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hidePivotFieldList="1"/>
  <bookViews>
    <workbookView xWindow="0" yWindow="0" windowWidth="20730" windowHeight="11760" tabRatio="1000" firstSheet="6" activeTab="15"/>
  </bookViews>
  <sheets>
    <sheet name="Jun2016" sheetId="29" r:id="rId1"/>
    <sheet name="Jul2016" sheetId="26" r:id="rId2"/>
    <sheet name="Ago2016" sheetId="25" r:id="rId3"/>
    <sheet name="Sep2016" sheetId="24" r:id="rId4"/>
    <sheet name="Oct2016" sheetId="21" r:id="rId5"/>
    <sheet name="Nov2016" sheetId="15" r:id="rId6"/>
    <sheet name="Dic2016" sheetId="18" r:id="rId7"/>
    <sheet name="Ene2017" sheetId="19" r:id="rId8"/>
    <sheet name="Feb2017" sheetId="20" r:id="rId9"/>
    <sheet name="Mar2017" sheetId="23" r:id="rId10"/>
    <sheet name="Abr2017" sheetId="28" r:id="rId11"/>
    <sheet name="May2017 " sheetId="31" r:id="rId12"/>
    <sheet name="Junio2017" sheetId="46" r:id="rId13"/>
    <sheet name="Saldos pendientes" sheetId="30" r:id="rId14"/>
    <sheet name="Tabla resumen" sheetId="42" r:id="rId15"/>
    <sheet name=" Compr.Ob.C.O." sheetId="54" r:id="rId16"/>
    <sheet name="Cobranza" sheetId="47" r:id="rId17"/>
    <sheet name="Resumen de datos" sheetId="41" r:id="rId18"/>
    <sheet name="Total Recup Mensual" sheetId="27" state="hidden" r:id="rId19"/>
  </sheets>
  <externalReferences>
    <externalReference r:id="rId20"/>
    <externalReference r:id="rId21"/>
    <externalReference r:id="rId22"/>
  </externalReferences>
  <definedNames>
    <definedName name="_xlnm._FilterDatabase" localSheetId="15" hidden="1">' Compr.Ob.C.O.'!$A$1:$L$21</definedName>
    <definedName name="_xlnm._FilterDatabase" localSheetId="17" hidden="1">'Resumen de datos'!$B$1:$M$291</definedName>
  </definedNames>
  <calcPr calcId="152511"/>
  <pivotCaches>
    <pivotCache cacheId="0" r:id="rId2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47" l="1"/>
  <c r="I22" i="54"/>
  <c r="F22" i="54"/>
  <c r="K292" i="41" l="1"/>
  <c r="G22" i="47"/>
  <c r="G256" i="41" l="1"/>
  <c r="G34" i="28"/>
  <c r="F28" i="28"/>
  <c r="G250" i="41"/>
  <c r="G9" i="23"/>
  <c r="G207" i="41"/>
  <c r="G238" i="41"/>
  <c r="G16" i="28"/>
  <c r="G9" i="47"/>
  <c r="K290" i="41" l="1"/>
  <c r="G235" i="41" l="1"/>
  <c r="G13" i="28"/>
  <c r="G262" i="41" l="1"/>
  <c r="G201" i="41"/>
  <c r="G241" i="41" l="1"/>
  <c r="G19" i="28"/>
  <c r="G80" i="41" l="1"/>
  <c r="G247" i="41" l="1"/>
  <c r="G25" i="28"/>
  <c r="G14" i="28"/>
  <c r="G255" i="41"/>
  <c r="G246" i="41"/>
  <c r="G33" i="28"/>
  <c r="G24" i="28"/>
  <c r="M17" i="42"/>
  <c r="G236" i="41" l="1"/>
  <c r="J10" i="46" l="1"/>
  <c r="K10" i="46" s="1"/>
  <c r="J9" i="46"/>
  <c r="K9" i="46" s="1"/>
  <c r="H15" i="20" l="1"/>
  <c r="G192" i="41"/>
  <c r="G140" i="41"/>
  <c r="G242" i="41"/>
  <c r="G133" i="41" l="1"/>
  <c r="G21" i="41" l="1"/>
  <c r="G34" i="41"/>
  <c r="G19" i="41" l="1"/>
  <c r="G267" i="41" l="1"/>
  <c r="G230" i="41"/>
  <c r="G32" i="23"/>
  <c r="G229" i="41" l="1"/>
  <c r="G248" i="41" l="1"/>
  <c r="G234" i="41" l="1"/>
  <c r="H230" i="41" l="1"/>
  <c r="G233" i="41" l="1"/>
  <c r="G11" i="28"/>
  <c r="G223" i="41"/>
  <c r="F290" i="41" l="1"/>
  <c r="F291" i="41" s="1"/>
  <c r="O13" i="41"/>
  <c r="O16" i="41"/>
  <c r="O50" i="41"/>
  <c r="O93" i="41"/>
  <c r="O95" i="41"/>
  <c r="O108" i="41"/>
  <c r="O121" i="41"/>
  <c r="O248" i="41" l="1"/>
  <c r="O246" i="41"/>
  <c r="O245" i="41"/>
  <c r="O238" i="41"/>
  <c r="P238" i="41" s="1"/>
  <c r="O234" i="41"/>
  <c r="P234" i="41" s="1"/>
  <c r="O219" i="41"/>
  <c r="O218" i="41"/>
  <c r="O217" i="41"/>
  <c r="O214" i="41"/>
  <c r="O210" i="41"/>
  <c r="O208" i="41"/>
  <c r="O207" i="41"/>
  <c r="P207" i="41" s="1"/>
  <c r="O206" i="41"/>
  <c r="O199" i="41"/>
  <c r="O194" i="41"/>
  <c r="P194" i="41" s="1"/>
  <c r="O192" i="41"/>
  <c r="P192" i="41" s="1"/>
  <c r="O191" i="41"/>
  <c r="O190" i="41"/>
  <c r="O181" i="41"/>
  <c r="O178" i="41"/>
  <c r="O173" i="41"/>
  <c r="O169" i="41"/>
  <c r="O168" i="41"/>
  <c r="P168" i="41" s="1"/>
  <c r="O160" i="41"/>
  <c r="O128" i="41"/>
  <c r="O127" i="41"/>
  <c r="O290" i="41" l="1"/>
  <c r="L19" i="42"/>
  <c r="L20" i="42" s="1"/>
  <c r="E16" i="46"/>
  <c r="L21" i="42"/>
  <c r="G224" i="41" l="1"/>
  <c r="G26" i="23"/>
  <c r="K27" i="25" l="1"/>
  <c r="G74" i="41"/>
  <c r="G16" i="23"/>
  <c r="G214" i="41"/>
  <c r="J10" i="31" l="1"/>
  <c r="K10" i="31" s="1"/>
  <c r="J11" i="31"/>
  <c r="O262" i="41" s="1"/>
  <c r="P262" i="41" s="1"/>
  <c r="J12" i="31"/>
  <c r="K12" i="31" s="1"/>
  <c r="J13" i="31"/>
  <c r="K13" i="31" s="1"/>
  <c r="J14" i="31"/>
  <c r="K14" i="31" s="1"/>
  <c r="J15" i="31"/>
  <c r="O266" i="41" s="1"/>
  <c r="P266" i="41" s="1"/>
  <c r="J16" i="31"/>
  <c r="K16" i="31" s="1"/>
  <c r="J18" i="31"/>
  <c r="K18" i="31" s="1"/>
  <c r="J19" i="31"/>
  <c r="O270" i="41" s="1"/>
  <c r="P270" i="41" s="1"/>
  <c r="J21" i="31"/>
  <c r="K21" i="31" s="1"/>
  <c r="J22" i="31"/>
  <c r="K22" i="31" s="1"/>
  <c r="J23" i="31"/>
  <c r="O274" i="41" s="1"/>
  <c r="P274" i="41" s="1"/>
  <c r="J24" i="31"/>
  <c r="K24" i="31" s="1"/>
  <c r="J26" i="31"/>
  <c r="K26" i="31" s="1"/>
  <c r="J27" i="31"/>
  <c r="O278" i="41" s="1"/>
  <c r="P278" i="41" s="1"/>
  <c r="J28" i="31"/>
  <c r="K28" i="31" s="1"/>
  <c r="J29" i="31"/>
  <c r="K29" i="31" s="1"/>
  <c r="J30" i="31"/>
  <c r="K30" i="31" s="1"/>
  <c r="J31" i="31"/>
  <c r="O282" i="41" s="1"/>
  <c r="P282" i="41" s="1"/>
  <c r="J33" i="31"/>
  <c r="K33" i="31" s="1"/>
  <c r="J34" i="31"/>
  <c r="O286" i="41" s="1"/>
  <c r="P286" i="41" s="1"/>
  <c r="J36" i="31"/>
  <c r="O288" i="41" s="1"/>
  <c r="P288" i="41" s="1"/>
  <c r="O261" i="41"/>
  <c r="P261" i="41" s="1"/>
  <c r="O264" i="41"/>
  <c r="P264" i="41" s="1"/>
  <c r="O265" i="41"/>
  <c r="P265" i="41" s="1"/>
  <c r="O267" i="41"/>
  <c r="P267" i="41" s="1"/>
  <c r="O272" i="41"/>
  <c r="P272" i="41" s="1"/>
  <c r="O275" i="41"/>
  <c r="P275" i="41" s="1"/>
  <c r="O277" i="41"/>
  <c r="P277" i="41" s="1"/>
  <c r="O280" i="41"/>
  <c r="P280" i="41" s="1"/>
  <c r="O281" i="41"/>
  <c r="P281" i="41" s="1"/>
  <c r="O283" i="41"/>
  <c r="P283" i="41" s="1"/>
  <c r="O285" i="41" l="1"/>
  <c r="P285" i="41" s="1"/>
  <c r="O279" i="41"/>
  <c r="P279" i="41" s="1"/>
  <c r="O269" i="41"/>
  <c r="P269" i="41" s="1"/>
  <c r="O263" i="41"/>
  <c r="P263" i="41" s="1"/>
  <c r="O273" i="41"/>
  <c r="P273" i="41" s="1"/>
  <c r="K34" i="31"/>
  <c r="K31" i="31"/>
  <c r="K27" i="31"/>
  <c r="K23" i="31"/>
  <c r="K19" i="31"/>
  <c r="K15" i="31"/>
  <c r="K11" i="31"/>
  <c r="K36" i="31"/>
  <c r="G211" i="41"/>
  <c r="G13" i="23"/>
  <c r="G9" i="28"/>
  <c r="G231" i="41"/>
  <c r="G22" i="28" l="1"/>
  <c r="G244" i="41"/>
  <c r="G29" i="23"/>
  <c r="G227" i="41"/>
  <c r="G27" i="23"/>
  <c r="G225" i="41"/>
  <c r="I11" i="19"/>
  <c r="G168" i="41"/>
  <c r="L32" i="25"/>
  <c r="G79" i="41"/>
  <c r="G95" i="41" l="1"/>
  <c r="I15" i="42" l="1"/>
  <c r="I18" i="42" l="1"/>
  <c r="I7" i="42"/>
  <c r="I8" i="42"/>
  <c r="I9" i="42"/>
  <c r="I10" i="42"/>
  <c r="I11" i="42"/>
  <c r="I12" i="42"/>
  <c r="I13" i="42"/>
  <c r="I16" i="42" l="1"/>
  <c r="I17" i="42"/>
  <c r="I14" i="42"/>
  <c r="I42" i="46"/>
  <c r="H42" i="46"/>
  <c r="D42" i="46"/>
  <c r="J41" i="46"/>
  <c r="K41" i="46" s="1"/>
  <c r="J40" i="46"/>
  <c r="J39" i="46"/>
  <c r="K39" i="46" s="1"/>
  <c r="J38" i="46"/>
  <c r="K38" i="46" s="1"/>
  <c r="J37" i="46"/>
  <c r="K37" i="46" s="1"/>
  <c r="J36" i="46"/>
  <c r="K36" i="46" s="1"/>
  <c r="J35" i="46"/>
  <c r="K35" i="46" s="1"/>
  <c r="J34" i="46"/>
  <c r="K34" i="46" s="1"/>
  <c r="J33" i="46"/>
  <c r="K33" i="46" s="1"/>
  <c r="J32" i="46"/>
  <c r="K32" i="46" s="1"/>
  <c r="J31" i="46"/>
  <c r="K31" i="46" s="1"/>
  <c r="J30" i="46"/>
  <c r="K30" i="46" s="1"/>
  <c r="J29" i="46"/>
  <c r="K29" i="46" s="1"/>
  <c r="J28" i="46"/>
  <c r="K28" i="46" s="1"/>
  <c r="J27" i="46"/>
  <c r="K27" i="46" s="1"/>
  <c r="J26" i="46"/>
  <c r="K26" i="46" s="1"/>
  <c r="J25" i="46"/>
  <c r="K25" i="46" s="1"/>
  <c r="J24" i="46"/>
  <c r="K24" i="46" s="1"/>
  <c r="J23" i="46"/>
  <c r="K23" i="46" s="1"/>
  <c r="J22" i="46"/>
  <c r="K22" i="46" s="1"/>
  <c r="J21" i="46"/>
  <c r="K21" i="46" s="1"/>
  <c r="J20" i="46"/>
  <c r="K20" i="46" s="1"/>
  <c r="J19" i="46"/>
  <c r="K19" i="46" s="1"/>
  <c r="J18" i="46"/>
  <c r="K18" i="46" s="1"/>
  <c r="J17" i="46"/>
  <c r="K17" i="46" s="1"/>
  <c r="J16" i="46"/>
  <c r="K16" i="46" s="1"/>
  <c r="J15" i="46"/>
  <c r="K15" i="46" s="1"/>
  <c r="J14" i="46"/>
  <c r="K14" i="46" s="1"/>
  <c r="J13" i="46"/>
  <c r="K13" i="46" s="1"/>
  <c r="J12" i="46"/>
  <c r="K12" i="46" s="1"/>
  <c r="A12" i="46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G42" i="46"/>
  <c r="F42" i="46"/>
  <c r="E42" i="46"/>
  <c r="H283" i="41"/>
  <c r="I20" i="42" l="1"/>
  <c r="J11" i="46"/>
  <c r="G203" i="41"/>
  <c r="G290" i="41" s="1"/>
  <c r="G209" i="41"/>
  <c r="J42" i="46" l="1"/>
  <c r="K11" i="46"/>
  <c r="K42" i="46" s="1"/>
  <c r="C17" i="30" s="1"/>
  <c r="N289" i="41" l="1"/>
  <c r="J37" i="31"/>
  <c r="J38" i="31"/>
  <c r="J10" i="28"/>
  <c r="K10" i="28" s="1"/>
  <c r="J11" i="28"/>
  <c r="K11" i="28" s="1"/>
  <c r="J12" i="28"/>
  <c r="K12" i="28" s="1"/>
  <c r="J13" i="28"/>
  <c r="K13" i="28" s="1"/>
  <c r="J14" i="28"/>
  <c r="K14" i="28" s="1"/>
  <c r="J16" i="28"/>
  <c r="K16" i="28" s="1"/>
  <c r="J17" i="28"/>
  <c r="K17" i="28" s="1"/>
  <c r="J18" i="28"/>
  <c r="K18" i="28" s="1"/>
  <c r="J20" i="28"/>
  <c r="K20" i="28" s="1"/>
  <c r="J21" i="28"/>
  <c r="K21" i="28" s="1"/>
  <c r="J22" i="28"/>
  <c r="K22" i="28" s="1"/>
  <c r="J23" i="28"/>
  <c r="K23" i="28" s="1"/>
  <c r="J24" i="28"/>
  <c r="K24" i="28" s="1"/>
  <c r="J25" i="28"/>
  <c r="K25" i="28" s="1"/>
  <c r="J26" i="28"/>
  <c r="K26" i="28" s="1"/>
  <c r="J27" i="28"/>
  <c r="K27" i="28" s="1"/>
  <c r="J28" i="28"/>
  <c r="K28" i="28" s="1"/>
  <c r="J30" i="28"/>
  <c r="K30" i="28" s="1"/>
  <c r="J31" i="28"/>
  <c r="K31" i="28" s="1"/>
  <c r="J32" i="28"/>
  <c r="K32" i="28" s="1"/>
  <c r="J33" i="28"/>
  <c r="K33" i="28" s="1"/>
  <c r="J34" i="28"/>
  <c r="K34" i="28" s="1"/>
  <c r="J35" i="28"/>
  <c r="K35" i="28" s="1"/>
  <c r="J36" i="28"/>
  <c r="K36" i="28" s="1"/>
  <c r="J37" i="28"/>
  <c r="K37" i="28" s="1"/>
  <c r="J38" i="28"/>
  <c r="K38" i="28" s="1"/>
  <c r="J39" i="28"/>
  <c r="K39" i="28" s="1"/>
  <c r="J9" i="28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9" i="24"/>
  <c r="D29" i="24"/>
  <c r="H23" i="41"/>
  <c r="H33" i="41"/>
  <c r="H34" i="41"/>
  <c r="H35" i="41"/>
  <c r="P42" i="29"/>
  <c r="P10" i="29"/>
  <c r="P11" i="29"/>
  <c r="P12" i="29"/>
  <c r="P13" i="29"/>
  <c r="P14" i="29"/>
  <c r="P15" i="29"/>
  <c r="P16" i="29"/>
  <c r="P17" i="29"/>
  <c r="P18" i="29"/>
  <c r="P19" i="29"/>
  <c r="P20" i="29"/>
  <c r="P21" i="29"/>
  <c r="P22" i="29"/>
  <c r="P24" i="29"/>
  <c r="P26" i="29"/>
  <c r="P29" i="29"/>
  <c r="P30" i="29"/>
  <c r="P31" i="29"/>
  <c r="P32" i="29"/>
  <c r="P33" i="29"/>
  <c r="P34" i="29"/>
  <c r="P35" i="29"/>
  <c r="P37" i="29"/>
  <c r="P38" i="29"/>
  <c r="P39" i="29"/>
  <c r="P40" i="29"/>
  <c r="P41" i="29"/>
  <c r="O29" i="24" l="1"/>
  <c r="K9" i="28"/>
  <c r="H288" i="41"/>
  <c r="H272" i="41"/>
  <c r="H273" i="41"/>
  <c r="H274" i="41"/>
  <c r="H275" i="41"/>
  <c r="H276" i="41"/>
  <c r="H277" i="41"/>
  <c r="H278" i="41"/>
  <c r="H279" i="41"/>
  <c r="H280" i="41"/>
  <c r="H281" i="41"/>
  <c r="H282" i="41"/>
  <c r="H284" i="41"/>
  <c r="H285" i="41"/>
  <c r="H286" i="41"/>
  <c r="H287" i="41"/>
  <c r="J10" i="23" l="1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30" i="23"/>
  <c r="J31" i="23"/>
  <c r="J32" i="23"/>
  <c r="K10" i="20"/>
  <c r="K11" i="20"/>
  <c r="K12" i="20"/>
  <c r="K13" i="20"/>
  <c r="K14" i="20"/>
  <c r="K16" i="20"/>
  <c r="K17" i="20"/>
  <c r="K18" i="20"/>
  <c r="K19" i="20"/>
  <c r="K21" i="20"/>
  <c r="K22" i="20"/>
  <c r="K23" i="20"/>
  <c r="K25" i="20"/>
  <c r="K26" i="20"/>
  <c r="K27" i="20"/>
  <c r="K28" i="20"/>
  <c r="K29" i="20"/>
  <c r="K9" i="20"/>
  <c r="L11" i="19"/>
  <c r="L12" i="19"/>
  <c r="L13" i="19"/>
  <c r="L14" i="19"/>
  <c r="L15" i="19"/>
  <c r="L16" i="19"/>
  <c r="L17" i="19"/>
  <c r="L18" i="19"/>
  <c r="L20" i="19"/>
  <c r="L21" i="19"/>
  <c r="L22" i="19"/>
  <c r="L23" i="19"/>
  <c r="L24" i="19"/>
  <c r="L25" i="19"/>
  <c r="L28" i="19"/>
  <c r="L9" i="19"/>
  <c r="M10" i="18"/>
  <c r="M11" i="18"/>
  <c r="M12" i="18"/>
  <c r="M13" i="18"/>
  <c r="M14" i="18"/>
  <c r="M15" i="18"/>
  <c r="M16" i="18"/>
  <c r="M17" i="18"/>
  <c r="M19" i="18"/>
  <c r="M20" i="18"/>
  <c r="M21" i="18"/>
  <c r="M23" i="18"/>
  <c r="M24" i="18"/>
  <c r="M9" i="18"/>
  <c r="N10" i="15"/>
  <c r="N11" i="15"/>
  <c r="N12" i="15"/>
  <c r="N13" i="15"/>
  <c r="N15" i="15"/>
  <c r="N16" i="15"/>
  <c r="N17" i="15"/>
  <c r="N18" i="15"/>
  <c r="N19" i="15"/>
  <c r="N20" i="15"/>
  <c r="N21" i="15"/>
  <c r="N22" i="15"/>
  <c r="N23" i="15"/>
  <c r="N24" i="15"/>
  <c r="N26" i="15"/>
  <c r="N27" i="15"/>
  <c r="N28" i="15"/>
  <c r="N29" i="15"/>
  <c r="N9" i="15"/>
  <c r="M10" i="21"/>
  <c r="M11" i="21"/>
  <c r="M12" i="21"/>
  <c r="M13" i="21"/>
  <c r="M14" i="21"/>
  <c r="M15" i="21"/>
  <c r="M16" i="21"/>
  <c r="M17" i="21"/>
  <c r="M18" i="21"/>
  <c r="M20" i="21"/>
  <c r="M21" i="21"/>
  <c r="M22" i="21"/>
  <c r="M25" i="21"/>
  <c r="M26" i="21"/>
  <c r="M27" i="21"/>
  <c r="M28" i="21"/>
  <c r="M9" i="21"/>
  <c r="O9" i="25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9" i="26"/>
  <c r="O10" i="25"/>
  <c r="O11" i="25"/>
  <c r="O13" i="25"/>
  <c r="O14" i="25"/>
  <c r="O15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6" i="25"/>
  <c r="O37" i="25"/>
  <c r="O39" i="25"/>
  <c r="O40" i="25"/>
  <c r="O41" i="25"/>
  <c r="G35" i="31" l="1"/>
  <c r="F35" i="31"/>
  <c r="E35" i="31"/>
  <c r="J35" i="31" l="1"/>
  <c r="D39" i="31"/>
  <c r="E32" i="31"/>
  <c r="J32" i="31" s="1"/>
  <c r="G25" i="31"/>
  <c r="F25" i="31"/>
  <c r="E25" i="31"/>
  <c r="E20" i="31"/>
  <c r="J20" i="31" s="1"/>
  <c r="J25" i="31" l="1"/>
  <c r="K25" i="31" s="1"/>
  <c r="O276" i="41"/>
  <c r="P276" i="41" s="1"/>
  <c r="K35" i="31"/>
  <c r="O287" i="41"/>
  <c r="P287" i="41" s="1"/>
  <c r="K20" i="31"/>
  <c r="O271" i="41"/>
  <c r="P271" i="41" s="1"/>
  <c r="O284" i="41"/>
  <c r="P284" i="41" s="1"/>
  <c r="K32" i="31"/>
  <c r="F19" i="28"/>
  <c r="J19" i="28" l="1"/>
  <c r="K19" i="28" s="1"/>
  <c r="M19" i="28"/>
  <c r="S17" i="25"/>
  <c r="N16" i="25"/>
  <c r="O16" i="25" s="1"/>
  <c r="R16" i="25" l="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1" i="41"/>
  <c r="H52" i="41"/>
  <c r="H53" i="41"/>
  <c r="H54" i="41"/>
  <c r="H55" i="41"/>
  <c r="H56" i="41"/>
  <c r="H57" i="41"/>
  <c r="H58" i="41"/>
  <c r="H59" i="41"/>
  <c r="H60" i="41"/>
  <c r="H61" i="41"/>
  <c r="H62" i="41"/>
  <c r="H63" i="41"/>
  <c r="H64" i="41"/>
  <c r="H65" i="41"/>
  <c r="H66" i="41"/>
  <c r="H67" i="41"/>
  <c r="H68" i="41"/>
  <c r="H69" i="41"/>
  <c r="H70" i="41"/>
  <c r="H71" i="41"/>
  <c r="H72" i="41"/>
  <c r="H73" i="41"/>
  <c r="H74" i="41"/>
  <c r="H75" i="41"/>
  <c r="H76" i="41"/>
  <c r="H77" i="41"/>
  <c r="H78" i="41"/>
  <c r="H79" i="41"/>
  <c r="H81" i="41"/>
  <c r="H82" i="41"/>
  <c r="H83" i="41"/>
  <c r="H84" i="41"/>
  <c r="H85" i="41"/>
  <c r="H86" i="41"/>
  <c r="H87" i="41"/>
  <c r="H88" i="41"/>
  <c r="H91" i="41"/>
  <c r="H92" i="41"/>
  <c r="H93" i="41"/>
  <c r="H94" i="41"/>
  <c r="H95" i="41"/>
  <c r="H96" i="41"/>
  <c r="H97" i="41"/>
  <c r="H98" i="41"/>
  <c r="H99" i="41"/>
  <c r="H100" i="41"/>
  <c r="H101" i="41"/>
  <c r="H102" i="41"/>
  <c r="H103" i="41"/>
  <c r="H104" i="41"/>
  <c r="H105" i="41"/>
  <c r="H106" i="41"/>
  <c r="H107" i="41"/>
  <c r="H108" i="41"/>
  <c r="H109" i="41"/>
  <c r="H110" i="41"/>
  <c r="H111" i="41"/>
  <c r="H112" i="41"/>
  <c r="H113" i="41"/>
  <c r="H114" i="41"/>
  <c r="H115" i="41"/>
  <c r="H116" i="41"/>
  <c r="H117" i="41"/>
  <c r="H118" i="41"/>
  <c r="H119" i="41"/>
  <c r="H120" i="41"/>
  <c r="H122" i="41"/>
  <c r="H123" i="41"/>
  <c r="H124" i="41"/>
  <c r="H126" i="41"/>
  <c r="H127" i="41"/>
  <c r="P127" i="41" s="1"/>
  <c r="H128" i="41"/>
  <c r="P128" i="41" s="1"/>
  <c r="H129" i="41"/>
  <c r="H130" i="41"/>
  <c r="H131" i="41"/>
  <c r="H132" i="41"/>
  <c r="H133" i="41"/>
  <c r="H134" i="41"/>
  <c r="H135" i="41"/>
  <c r="H136" i="41"/>
  <c r="H137" i="41"/>
  <c r="H138" i="41"/>
  <c r="H139" i="41"/>
  <c r="H140" i="41"/>
  <c r="H141" i="41"/>
  <c r="H142" i="41"/>
  <c r="H143" i="41"/>
  <c r="H144" i="41"/>
  <c r="H145" i="41"/>
  <c r="H146" i="41"/>
  <c r="H147" i="41"/>
  <c r="H148" i="41"/>
  <c r="H149" i="41"/>
  <c r="H150" i="41"/>
  <c r="H151" i="41"/>
  <c r="H152" i="41"/>
  <c r="H153" i="41"/>
  <c r="H154" i="41"/>
  <c r="H155" i="41"/>
  <c r="H156" i="41"/>
  <c r="H157" i="41"/>
  <c r="H158" i="41"/>
  <c r="H159" i="41"/>
  <c r="H160" i="41"/>
  <c r="P160" i="41" s="1"/>
  <c r="H161" i="41"/>
  <c r="H162" i="41"/>
  <c r="H163" i="41"/>
  <c r="H164" i="41"/>
  <c r="H165" i="41"/>
  <c r="H166" i="41"/>
  <c r="H167" i="41"/>
  <c r="H168" i="41"/>
  <c r="H169" i="41"/>
  <c r="P169" i="41" s="1"/>
  <c r="H170" i="41"/>
  <c r="H171" i="41"/>
  <c r="H172" i="41"/>
  <c r="H173" i="41"/>
  <c r="P173" i="41" s="1"/>
  <c r="H174" i="41"/>
  <c r="H175" i="41"/>
  <c r="H176" i="41"/>
  <c r="H177" i="41"/>
  <c r="H178" i="41"/>
  <c r="P178" i="41" s="1"/>
  <c r="H179" i="41"/>
  <c r="H180" i="41"/>
  <c r="H181" i="41"/>
  <c r="P181" i="41" s="1"/>
  <c r="H182" i="41"/>
  <c r="H183" i="41"/>
  <c r="H184" i="41"/>
  <c r="H185" i="41"/>
  <c r="H186" i="41"/>
  <c r="H187" i="41"/>
  <c r="H188" i="41"/>
  <c r="H189" i="41"/>
  <c r="H190" i="41"/>
  <c r="P190" i="41" s="1"/>
  <c r="H191" i="41"/>
  <c r="P191" i="41" s="1"/>
  <c r="H192" i="41"/>
  <c r="H193" i="41"/>
  <c r="H194" i="41"/>
  <c r="H195" i="41"/>
  <c r="H196" i="41"/>
  <c r="H197" i="41"/>
  <c r="H198" i="41"/>
  <c r="H199" i="41"/>
  <c r="P199" i="41" s="1"/>
  <c r="H200" i="41"/>
  <c r="H201" i="41"/>
  <c r="H202" i="41"/>
  <c r="H203" i="41"/>
  <c r="H204" i="41"/>
  <c r="H205" i="41"/>
  <c r="H206" i="41"/>
  <c r="P206" i="41" s="1"/>
  <c r="H207" i="41"/>
  <c r="H208" i="41"/>
  <c r="P208" i="41" s="1"/>
  <c r="H209" i="41"/>
  <c r="H210" i="41"/>
  <c r="P210" i="41" s="1"/>
  <c r="H211" i="41"/>
  <c r="H212" i="41"/>
  <c r="H213" i="41"/>
  <c r="H214" i="41"/>
  <c r="P214" i="41" s="1"/>
  <c r="H215" i="41"/>
  <c r="H216" i="41"/>
  <c r="H217" i="41"/>
  <c r="P217" i="41" s="1"/>
  <c r="H218" i="41"/>
  <c r="P218" i="41" s="1"/>
  <c r="H219" i="41"/>
  <c r="P219" i="41" s="1"/>
  <c r="H220" i="41"/>
  <c r="H221" i="41"/>
  <c r="H222" i="41"/>
  <c r="H223" i="41"/>
  <c r="H225" i="41"/>
  <c r="H226" i="41"/>
  <c r="H227" i="41"/>
  <c r="H228" i="41"/>
  <c r="H229" i="41"/>
  <c r="H231" i="41"/>
  <c r="H232" i="41"/>
  <c r="H233" i="41"/>
  <c r="H234" i="41"/>
  <c r="H235" i="41"/>
  <c r="H236" i="41"/>
  <c r="H237" i="41"/>
  <c r="H238" i="41"/>
  <c r="H239" i="41"/>
  <c r="H240" i="41"/>
  <c r="H241" i="41"/>
  <c r="H242" i="41"/>
  <c r="H243" i="41"/>
  <c r="H244" i="41"/>
  <c r="H245" i="41"/>
  <c r="P245" i="41" s="1"/>
  <c r="H246" i="41"/>
  <c r="P246" i="41" s="1"/>
  <c r="H247" i="41"/>
  <c r="H248" i="41"/>
  <c r="P248" i="41" s="1"/>
  <c r="H249" i="41"/>
  <c r="H250" i="41"/>
  <c r="H251" i="41"/>
  <c r="H252" i="41"/>
  <c r="H253" i="41"/>
  <c r="H254" i="41"/>
  <c r="H255" i="41"/>
  <c r="H256" i="41"/>
  <c r="H258" i="41"/>
  <c r="H259" i="41"/>
  <c r="H260" i="41"/>
  <c r="H261" i="41"/>
  <c r="H262" i="41"/>
  <c r="H263" i="41"/>
  <c r="H264" i="41"/>
  <c r="H265" i="41"/>
  <c r="H266" i="41"/>
  <c r="H267" i="41"/>
  <c r="H268" i="41"/>
  <c r="H269" i="41"/>
  <c r="H270" i="41"/>
  <c r="H271" i="41"/>
  <c r="D42" i="25"/>
  <c r="H290" i="41" l="1"/>
  <c r="P290" i="41"/>
  <c r="G9" i="31"/>
  <c r="F9" i="31"/>
  <c r="F39" i="31" s="1"/>
  <c r="E9" i="31"/>
  <c r="J9" i="31" l="1"/>
  <c r="K9" i="31" s="1"/>
  <c r="O260" i="41"/>
  <c r="P260" i="41" s="1"/>
  <c r="E39" i="31"/>
  <c r="J29" i="23"/>
  <c r="G17" i="31"/>
  <c r="J17" i="31" s="1"/>
  <c r="F15" i="28"/>
  <c r="J15" i="28" s="1"/>
  <c r="O268" i="41" l="1"/>
  <c r="P268" i="41" s="1"/>
  <c r="K17" i="31"/>
  <c r="G39" i="31"/>
  <c r="K15" i="28"/>
  <c r="J39" i="31"/>
  <c r="I39" i="31"/>
  <c r="H39" i="31"/>
  <c r="K38" i="31"/>
  <c r="A10" i="3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K39" i="31" l="1"/>
  <c r="C16" i="30" s="1"/>
  <c r="H29" i="19" l="1"/>
  <c r="D40" i="28" l="1"/>
  <c r="I25" i="18"/>
  <c r="J30" i="15"/>
  <c r="F29" i="28" l="1"/>
  <c r="J29" i="28" s="1"/>
  <c r="K29" i="28" l="1"/>
  <c r="K40" i="28" s="1"/>
  <c r="J40" i="28"/>
  <c r="F9" i="23"/>
  <c r="J9" i="23" s="1"/>
  <c r="J33" i="23" s="1"/>
  <c r="H25" i="18" l="1"/>
  <c r="G24" i="20"/>
  <c r="K24" i="20" s="1"/>
  <c r="G15" i="20" l="1"/>
  <c r="K15" i="20" s="1"/>
  <c r="G30" i="20" l="1"/>
  <c r="K30" i="23"/>
  <c r="L43" i="29" l="1"/>
  <c r="G36" i="29"/>
  <c r="J36" i="29"/>
  <c r="J43" i="29" s="1"/>
  <c r="Q39" i="29"/>
  <c r="H28" i="29"/>
  <c r="P28" i="29" s="1"/>
  <c r="H27" i="29"/>
  <c r="H25" i="29"/>
  <c r="P25" i="29" s="1"/>
  <c r="F23" i="29"/>
  <c r="P23" i="29" s="1"/>
  <c r="E9" i="29"/>
  <c r="A10" i="29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O43" i="29"/>
  <c r="N43" i="29"/>
  <c r="M43" i="29"/>
  <c r="K43" i="29"/>
  <c r="I43" i="29"/>
  <c r="G43" i="29"/>
  <c r="Q10" i="29"/>
  <c r="Q11" i="29"/>
  <c r="Q12" i="29"/>
  <c r="Q41" i="29"/>
  <c r="H43" i="29" l="1"/>
  <c r="P27" i="29"/>
  <c r="P36" i="29"/>
  <c r="Q36" i="29" s="1"/>
  <c r="F43" i="29"/>
  <c r="E43" i="29"/>
  <c r="P9" i="29"/>
  <c r="K30" i="15"/>
  <c r="D43" i="29"/>
  <c r="Q37" i="29"/>
  <c r="Q35" i="29"/>
  <c r="Q32" i="29"/>
  <c r="Q31" i="29"/>
  <c r="Q30" i="29"/>
  <c r="Q29" i="29"/>
  <c r="Q28" i="29"/>
  <c r="Q9" i="29" l="1"/>
  <c r="Q43" i="29" s="1"/>
  <c r="C5" i="30" s="1"/>
  <c r="P43" i="29"/>
  <c r="A40" i="29"/>
  <c r="A41" i="29" s="1"/>
  <c r="A42" i="29" s="1"/>
  <c r="F38" i="25" l="1"/>
  <c r="O38" i="25" s="1"/>
  <c r="F35" i="25" l="1"/>
  <c r="O35" i="25" s="1"/>
  <c r="I40" i="28" l="1"/>
  <c r="H40" i="28"/>
  <c r="G40" i="28"/>
  <c r="F40" i="28"/>
  <c r="E40" i="28"/>
  <c r="A10" i="28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C15" i="30" l="1"/>
  <c r="I33" i="23" l="1"/>
  <c r="F33" i="23"/>
  <c r="E33" i="23"/>
  <c r="D33" i="23"/>
  <c r="K29" i="23"/>
  <c r="K28" i="23"/>
  <c r="K31" i="23"/>
  <c r="K27" i="23"/>
  <c r="I29" i="19" l="1"/>
  <c r="K29" i="21" l="1"/>
  <c r="G26" i="19" l="1"/>
  <c r="L26" i="19" s="1"/>
  <c r="D29" i="26" l="1"/>
  <c r="F20" i="20" l="1"/>
  <c r="K20" i="20" s="1"/>
  <c r="K30" i="20" s="1"/>
  <c r="G19" i="19"/>
  <c r="P32" i="25" l="1"/>
  <c r="P29" i="25"/>
  <c r="L42" i="25"/>
  <c r="N42" i="25"/>
  <c r="M29" i="24" l="1"/>
  <c r="O27" i="26" l="1"/>
  <c r="O26" i="26"/>
  <c r="O25" i="26"/>
  <c r="O23" i="26"/>
  <c r="O22" i="26"/>
  <c r="O18" i="26"/>
  <c r="O17" i="26"/>
  <c r="O15" i="26"/>
  <c r="O14" i="26"/>
  <c r="O11" i="26"/>
  <c r="O10" i="26"/>
  <c r="O9" i="26"/>
  <c r="M29" i="26"/>
  <c r="L29" i="26"/>
  <c r="K29" i="26"/>
  <c r="J29" i="26"/>
  <c r="I29" i="26"/>
  <c r="H29" i="26"/>
  <c r="G29" i="26"/>
  <c r="F29" i="26"/>
  <c r="B6" i="27" s="1"/>
  <c r="E29" i="26"/>
  <c r="B5" i="27" s="1"/>
  <c r="O28" i="26"/>
  <c r="O24" i="26"/>
  <c r="O21" i="26"/>
  <c r="O20" i="26"/>
  <c r="O19" i="26"/>
  <c r="O16" i="26"/>
  <c r="O13" i="26"/>
  <c r="O12" i="26"/>
  <c r="A10" i="26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O29" i="26" l="1"/>
  <c r="C6" i="30" s="1"/>
  <c r="N29" i="26"/>
  <c r="M42" i="25" l="1"/>
  <c r="J42" i="25"/>
  <c r="I42" i="25"/>
  <c r="H42" i="25"/>
  <c r="G42" i="25"/>
  <c r="F42" i="25"/>
  <c r="E42" i="25"/>
  <c r="P25" i="25"/>
  <c r="P26" i="25"/>
  <c r="P27" i="25"/>
  <c r="P28" i="25"/>
  <c r="P30" i="25"/>
  <c r="P31" i="25"/>
  <c r="P33" i="25"/>
  <c r="P34" i="25"/>
  <c r="P35" i="25"/>
  <c r="P36" i="25"/>
  <c r="P37" i="25"/>
  <c r="P38" i="25"/>
  <c r="P39" i="25"/>
  <c r="P40" i="25"/>
  <c r="P41" i="25"/>
  <c r="K12" i="25"/>
  <c r="O12" i="25" s="1"/>
  <c r="O42" i="25" s="1"/>
  <c r="P24" i="25"/>
  <c r="P23" i="25"/>
  <c r="P22" i="25"/>
  <c r="P21" i="25"/>
  <c r="P20" i="25"/>
  <c r="P19" i="25"/>
  <c r="P18" i="25"/>
  <c r="P17" i="25"/>
  <c r="P16" i="25"/>
  <c r="P15" i="25"/>
  <c r="P14" i="25"/>
  <c r="P13" i="25"/>
  <c r="P11" i="25"/>
  <c r="P10" i="25"/>
  <c r="A10" i="25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K42" i="25" l="1"/>
  <c r="P12" i="25"/>
  <c r="P9" i="25"/>
  <c r="P42" i="25" l="1"/>
  <c r="C7" i="30" s="1"/>
  <c r="I29" i="24"/>
  <c r="H29" i="24"/>
  <c r="G29" i="24"/>
  <c r="F29" i="24"/>
  <c r="E29" i="24"/>
  <c r="B7" i="27" s="1"/>
  <c r="P28" i="24"/>
  <c r="N29" i="24"/>
  <c r="P27" i="24"/>
  <c r="K29" i="24" l="1"/>
  <c r="J29" i="24"/>
  <c r="P26" i="24"/>
  <c r="L29" i="24"/>
  <c r="P24" i="24"/>
  <c r="P23" i="24"/>
  <c r="P22" i="24"/>
  <c r="P20" i="24"/>
  <c r="P19" i="24"/>
  <c r="P18" i="24"/>
  <c r="P17" i="24"/>
  <c r="P16" i="24"/>
  <c r="P15" i="24"/>
  <c r="P14" i="24"/>
  <c r="P13" i="24"/>
  <c r="P12" i="24"/>
  <c r="P11" i="24"/>
  <c r="A10" i="24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P10" i="24" l="1"/>
  <c r="P9" i="24"/>
  <c r="P25" i="24"/>
  <c r="A25" i="24"/>
  <c r="A26" i="24" s="1"/>
  <c r="A27" i="24" s="1"/>
  <c r="A28" i="24" s="1"/>
  <c r="P21" i="24"/>
  <c r="I30" i="15"/>
  <c r="P29" i="24" l="1"/>
  <c r="C8" i="30" s="1"/>
  <c r="H30" i="20"/>
  <c r="G33" i="23"/>
  <c r="H33" i="23"/>
  <c r="K32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A10" i="23"/>
  <c r="A11" i="23" s="1"/>
  <c r="A12" i="23" s="1"/>
  <c r="K9" i="23"/>
  <c r="L14" i="15"/>
  <c r="N14" i="15" s="1"/>
  <c r="A13" i="23" l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K33" i="23"/>
  <c r="C14" i="30" s="1"/>
  <c r="M30" i="15" l="1"/>
  <c r="L30" i="15"/>
  <c r="I30" i="20"/>
  <c r="J29" i="19"/>
  <c r="L18" i="18"/>
  <c r="K25" i="18"/>
  <c r="L25" i="18" l="1"/>
  <c r="M18" i="18"/>
  <c r="G29" i="19"/>
  <c r="L29" i="20"/>
  <c r="F30" i="20"/>
  <c r="E19" i="19"/>
  <c r="L19" i="19" s="1"/>
  <c r="D30" i="20" l="1"/>
  <c r="E30" i="20"/>
  <c r="L29" i="21" l="1"/>
  <c r="I29" i="21"/>
  <c r="G24" i="21"/>
  <c r="H29" i="21"/>
  <c r="G29" i="21" l="1"/>
  <c r="M24" i="21"/>
  <c r="F23" i="21"/>
  <c r="J29" i="21"/>
  <c r="E19" i="21"/>
  <c r="N28" i="21"/>
  <c r="N27" i="21"/>
  <c r="N26" i="21"/>
  <c r="N22" i="21"/>
  <c r="N21" i="21"/>
  <c r="N20" i="21"/>
  <c r="N18" i="21"/>
  <c r="N17" i="21"/>
  <c r="N16" i="21"/>
  <c r="N15" i="21"/>
  <c r="N14" i="21"/>
  <c r="N13" i="21"/>
  <c r="N11" i="21"/>
  <c r="N10" i="21"/>
  <c r="N9" i="21"/>
  <c r="M19" i="21" l="1"/>
  <c r="N19" i="21" s="1"/>
  <c r="F29" i="21"/>
  <c r="M23" i="21"/>
  <c r="N12" i="21"/>
  <c r="N24" i="21"/>
  <c r="E29" i="21"/>
  <c r="B8" i="27" s="1"/>
  <c r="D29" i="21"/>
  <c r="D30" i="15"/>
  <c r="M29" i="21" l="1"/>
  <c r="N23" i="21"/>
  <c r="N29" i="21" s="1"/>
  <c r="C9" i="30" s="1"/>
  <c r="O10" i="15"/>
  <c r="A10" i="21" l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l="1"/>
  <c r="A28" i="21" s="1"/>
  <c r="M9" i="19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E10" i="19"/>
  <c r="L10" i="19" s="1"/>
  <c r="M11" i="19"/>
  <c r="M12" i="19"/>
  <c r="M13" i="19"/>
  <c r="M14" i="19"/>
  <c r="M15" i="19"/>
  <c r="M17" i="19"/>
  <c r="M18" i="19"/>
  <c r="M19" i="19"/>
  <c r="M20" i="19"/>
  <c r="M21" i="19"/>
  <c r="M23" i="19"/>
  <c r="M24" i="19"/>
  <c r="M25" i="19"/>
  <c r="M26" i="19"/>
  <c r="F27" i="19"/>
  <c r="L27" i="19" s="1"/>
  <c r="M28" i="19"/>
  <c r="D29" i="19"/>
  <c r="K29" i="19"/>
  <c r="J30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A10" i="20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J25" i="18"/>
  <c r="B15" i="27" s="1"/>
  <c r="G25" i="18"/>
  <c r="F25" i="18"/>
  <c r="D25" i="18"/>
  <c r="N24" i="18"/>
  <c r="N23" i="18"/>
  <c r="E22" i="18"/>
  <c r="N21" i="18"/>
  <c r="N20" i="18"/>
  <c r="N19" i="18"/>
  <c r="N18" i="18"/>
  <c r="N17" i="18"/>
  <c r="N16" i="18"/>
  <c r="N15" i="18"/>
  <c r="N14" i="18"/>
  <c r="N13" i="18"/>
  <c r="N11" i="18"/>
  <c r="N10" i="18"/>
  <c r="A10" i="18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L29" i="19" l="1"/>
  <c r="E25" i="18"/>
  <c r="M22" i="18"/>
  <c r="M25" i="18" s="1"/>
  <c r="F29" i="19"/>
  <c r="M27" i="19"/>
  <c r="N9" i="18"/>
  <c r="M10" i="19"/>
  <c r="N12" i="18"/>
  <c r="M16" i="19"/>
  <c r="L9" i="20"/>
  <c r="E29" i="19"/>
  <c r="M22" i="19"/>
  <c r="L10" i="20"/>
  <c r="N22" i="18" l="1"/>
  <c r="N25" i="18" s="1"/>
  <c r="C11" i="30" s="1"/>
  <c r="L30" i="20"/>
  <c r="C13" i="30" s="1"/>
  <c r="M29" i="19"/>
  <c r="C12" i="30" s="1"/>
  <c r="A10" i="15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G25" i="15" l="1"/>
  <c r="N25" i="15" s="1"/>
  <c r="N30" i="15" s="1"/>
  <c r="F30" i="15" l="1"/>
  <c r="B10" i="27" s="1"/>
  <c r="H30" i="15" l="1"/>
  <c r="B14" i="27" s="1"/>
  <c r="G30" i="15"/>
  <c r="B13" i="27" s="1"/>
  <c r="E30" i="15"/>
  <c r="B9" i="27" s="1"/>
  <c r="O29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4" i="15"/>
  <c r="O13" i="15"/>
  <c r="O12" i="15"/>
  <c r="O9" i="15"/>
  <c r="O28" i="15"/>
  <c r="O15" i="15"/>
  <c r="O11" i="15" l="1"/>
  <c r="O30" i="15" s="1"/>
  <c r="C10" i="30" s="1"/>
  <c r="C18" i="30" s="1"/>
  <c r="G23" i="47" l="1"/>
</calcChain>
</file>

<file path=xl/comments1.xml><?xml version="1.0" encoding="utf-8"?>
<comments xmlns="http://schemas.openxmlformats.org/spreadsheetml/2006/main">
  <authors>
    <author>PANORAMA</author>
  </authors>
  <commentList>
    <comment ref="L13" authorId="0">
      <text>
        <r>
          <rPr>
            <b/>
            <sz val="8"/>
            <color indexed="81"/>
            <rFont val="Tahoma"/>
            <family val="2"/>
          </rPr>
          <t>PANORAMA:</t>
        </r>
        <r>
          <rPr>
            <sz val="8"/>
            <color indexed="81"/>
            <rFont val="Tahoma"/>
            <family val="2"/>
          </rPr>
          <t xml:space="preserve">
Diferencia no depositada por el cliente YS 09-03-2017</t>
        </r>
      </text>
    </comment>
    <comment ref="L16" authorId="0">
      <text>
        <r>
          <rPr>
            <b/>
            <sz val="8"/>
            <color indexed="81"/>
            <rFont val="Tahoma"/>
            <family val="2"/>
          </rPr>
          <t>PANORAMA:</t>
        </r>
        <r>
          <rPr>
            <sz val="8"/>
            <color indexed="81"/>
            <rFont val="Tahoma"/>
            <family val="2"/>
          </rPr>
          <t xml:space="preserve">
Se condona deuda por inconvenientes al momento de la instalación YS 09-03-2017</t>
        </r>
      </text>
    </comment>
    <comment ref="L26" authorId="0">
      <text>
        <r>
          <rPr>
            <b/>
            <sz val="8"/>
            <color indexed="81"/>
            <rFont val="Tahoma"/>
            <family val="2"/>
          </rPr>
          <t>PANORAMA:</t>
        </r>
        <r>
          <rPr>
            <sz val="8"/>
            <color indexed="81"/>
            <rFont val="Tahoma"/>
            <family val="2"/>
          </rPr>
          <t xml:space="preserve">
Diferencia no depositada por el cliente YS 09-03-2017</t>
        </r>
      </text>
    </comment>
  </commentList>
</comments>
</file>

<file path=xl/comments2.xml><?xml version="1.0" encoding="utf-8"?>
<comments xmlns="http://schemas.openxmlformats.org/spreadsheetml/2006/main">
  <authors>
    <author>Panorama Cristalami</author>
  </authors>
  <commentList>
    <comment ref="H12" authorId="0">
      <text>
        <r>
          <rPr>
            <sz val="9"/>
            <color indexed="81"/>
            <rFont val="Tahoma"/>
            <family val="2"/>
          </rPr>
          <t>Descuento de costo de pasajes autorizados por ACO, 19-05-2017</t>
        </r>
      </text>
    </comment>
  </commentList>
</comments>
</file>

<file path=xl/sharedStrings.xml><?xml version="1.0" encoding="utf-8"?>
<sst xmlns="http://schemas.openxmlformats.org/spreadsheetml/2006/main" count="1022" uniqueCount="168">
  <si>
    <t>Nov</t>
  </si>
  <si>
    <t>Dic</t>
  </si>
  <si>
    <t>Ene</t>
  </si>
  <si>
    <t>Feb</t>
  </si>
  <si>
    <t>PAGOS</t>
  </si>
  <si>
    <t>NOV</t>
  </si>
  <si>
    <t>DIC</t>
  </si>
  <si>
    <t>ENE</t>
  </si>
  <si>
    <t>FEB</t>
  </si>
  <si>
    <t>MAR</t>
  </si>
  <si>
    <t>DCTO GG</t>
  </si>
  <si>
    <t>Rep. Vta. ACO</t>
  </si>
  <si>
    <t>CTTO #</t>
  </si>
  <si>
    <t>Vta. Bruta $</t>
  </si>
  <si>
    <t>TOTALES $</t>
  </si>
  <si>
    <t>CXC $</t>
  </si>
  <si>
    <t>COBRADO MES $</t>
  </si>
  <si>
    <t>Oct</t>
  </si>
  <si>
    <t>OCT</t>
  </si>
  <si>
    <t>COM. DIST</t>
  </si>
  <si>
    <t>ABR</t>
  </si>
  <si>
    <t>MAY</t>
  </si>
  <si>
    <t>SEP</t>
  </si>
  <si>
    <t>AGO</t>
  </si>
  <si>
    <t>JUL</t>
  </si>
  <si>
    <t>Jul</t>
  </si>
  <si>
    <t>Ago</t>
  </si>
  <si>
    <t>Sep</t>
  </si>
  <si>
    <t>Mar</t>
  </si>
  <si>
    <t>Abr</t>
  </si>
  <si>
    <t>May</t>
  </si>
  <si>
    <t>Jun</t>
  </si>
  <si>
    <t>al 24-03-2017</t>
  </si>
  <si>
    <t>C. Resk</t>
  </si>
  <si>
    <t>M. Ricci</t>
  </si>
  <si>
    <t>Enviar circular</t>
  </si>
  <si>
    <t>Sodimac</t>
  </si>
  <si>
    <t>C. Nakano</t>
  </si>
  <si>
    <t>Sin depto</t>
  </si>
  <si>
    <t>Cliente insatisfecho</t>
  </si>
  <si>
    <t>ctto 845</t>
  </si>
  <si>
    <t>JUN</t>
  </si>
  <si>
    <t>Tres (3) cheques: 04-05 $1.377.779 / 04-06 $1.377.779 / 04-07 $1.377.779</t>
  </si>
  <si>
    <t>Saldo a/f cliente</t>
  </si>
  <si>
    <t>ok</t>
  </si>
  <si>
    <t>Mes de venta</t>
  </si>
  <si>
    <t>Saldos Pendientes</t>
  </si>
  <si>
    <t>Total</t>
  </si>
  <si>
    <t xml:space="preserve">Mes Vta. </t>
  </si>
  <si>
    <t xml:space="preserve">COBRADO </t>
  </si>
  <si>
    <t xml:space="preserve">SALDO CXC </t>
  </si>
  <si>
    <t>Dato de instalación</t>
  </si>
  <si>
    <t>Con reparos</t>
  </si>
  <si>
    <t>Fecha de instalación</t>
  </si>
  <si>
    <t>Total general</t>
  </si>
  <si>
    <t>Suma de Vta. Bruta $</t>
  </si>
  <si>
    <t xml:space="preserve">Suma de SALDO CXC </t>
  </si>
  <si>
    <t>(Todas)</t>
  </si>
  <si>
    <t>Contratos</t>
  </si>
  <si>
    <t>SI</t>
  </si>
  <si>
    <t>NO</t>
  </si>
  <si>
    <t xml:space="preserve">Suma de COBRADO </t>
  </si>
  <si>
    <t>Casos con deuda</t>
  </si>
  <si>
    <t>Cuenta de Casos con deuda</t>
  </si>
  <si>
    <t>Mtrs. Lineales</t>
  </si>
  <si>
    <t>Suma de Mtrs. Lineales</t>
  </si>
  <si>
    <t>Cuenta de Con reparos</t>
  </si>
  <si>
    <t>OK</t>
  </si>
  <si>
    <t>Viga</t>
  </si>
  <si>
    <t>Fecha Contrato</t>
  </si>
  <si>
    <t>% con reparos</t>
  </si>
  <si>
    <t>Angelica</t>
  </si>
  <si>
    <t>Cliente pago el 04-06-2017 en transbank, 12 cuotas, de junio 2017 a mayo 2018.</t>
  </si>
  <si>
    <t>Pendiente de diseño (Mariam y Mauricio) 06-06.</t>
  </si>
  <si>
    <t>06-06: falta burlete en un paño, quedaron de llamarlo.</t>
  </si>
  <si>
    <t>,</t>
  </si>
  <si>
    <t>Filtraciones</t>
  </si>
  <si>
    <t>Pendiente de diseño, Mariam 08-06.</t>
  </si>
  <si>
    <t>julio</t>
  </si>
  <si>
    <t>Estado Cobranza</t>
  </si>
  <si>
    <t>Caja 08-05</t>
  </si>
  <si>
    <t>Caja 26-05</t>
  </si>
  <si>
    <t>Caja 04-06</t>
  </si>
  <si>
    <t>Problema con Transbank</t>
  </si>
  <si>
    <t>Post venta (Cristales rayados), ACO envío correo el 17-05, 09-06 Aco.</t>
  </si>
  <si>
    <t>Caja 05-05</t>
  </si>
  <si>
    <t>Caja 02-05</t>
  </si>
  <si>
    <t>Caja 15-05</t>
  </si>
  <si>
    <t>Caja 03-05</t>
  </si>
  <si>
    <t>Caja abril 2017</t>
  </si>
  <si>
    <t>Ver con Carmen por tema de comisiones, el 15-05.</t>
  </si>
  <si>
    <t>Caja 19-05</t>
  </si>
  <si>
    <t>Ver con Valentina el 05-06</t>
  </si>
  <si>
    <t>Caja 09-06</t>
  </si>
  <si>
    <t>Caja 22-05</t>
  </si>
  <si>
    <t>Caja 17-05</t>
  </si>
  <si>
    <t>Caja 06-06</t>
  </si>
  <si>
    <t>Por gestionar</t>
  </si>
  <si>
    <t>Con pago junio</t>
  </si>
  <si>
    <t>CP 09-06</t>
  </si>
  <si>
    <t>No instalado, junio</t>
  </si>
  <si>
    <t>Deuda no correspondia, no hay documento de respaldo</t>
  </si>
  <si>
    <t>CP 25-06</t>
  </si>
  <si>
    <t>CP 12-06</t>
  </si>
  <si>
    <t>CP 16-06</t>
  </si>
  <si>
    <t>CP 30-06</t>
  </si>
  <si>
    <t>CP 24-06</t>
  </si>
  <si>
    <t>Proyecto no instalado (Julio)</t>
  </si>
  <si>
    <t>Revisa</t>
  </si>
  <si>
    <t>13-06, se envía correo.</t>
  </si>
  <si>
    <t>Caja 08-06</t>
  </si>
  <si>
    <t>Proy.no instalado, se instala el 12/06 al 14/06, llamar la primera el 15-06.</t>
  </si>
  <si>
    <t>Se mando correo con Cbr. Judicial, 12/05 se coordina visita a terreno por cobrador, llamar el 15-06</t>
  </si>
  <si>
    <t>llamar el 05-06</t>
  </si>
  <si>
    <t>Visita final para el 14-06, 10:00 am, coordinado con Obedmar.</t>
  </si>
  <si>
    <t>Post venta, quedará ok el día 22-05, gestionar el 23-05</t>
  </si>
  <si>
    <t>Caja 02-06</t>
  </si>
  <si>
    <t>Con luz verde el día 19-05 para programar instalación, 3º semana de junio.</t>
  </si>
  <si>
    <t>Instalación OK, ACO</t>
  </si>
  <si>
    <t>Caja 12-06</t>
  </si>
  <si>
    <t>Caja 05-06</t>
  </si>
  <si>
    <t>Proy.sin fecha de instalación, Caso Mariam, 16-05 (Junio).</t>
  </si>
  <si>
    <t>Caja 24-06</t>
  </si>
  <si>
    <t>Proy. se instala el 03-06</t>
  </si>
  <si>
    <t>Proy. Se instala en agosto, pendiente.</t>
  </si>
  <si>
    <t>caja 09-06</t>
  </si>
  <si>
    <t>Caja 16-06</t>
  </si>
  <si>
    <t>Proy. Se instala el 01/06, gestionar el 02/06.</t>
  </si>
  <si>
    <t>Proy. Se instala desde el 5 al 6/06, gestionar el 07/06.</t>
  </si>
  <si>
    <t>Caja 07-06</t>
  </si>
  <si>
    <t>Con temas pendientes, revisar el 20-06</t>
  </si>
  <si>
    <t>Proy. Se instala la 2 semana de junio, revisar el 12-06.</t>
  </si>
  <si>
    <t>Proy. Se instala la 3 semana de junio, revisar el 19-06.</t>
  </si>
  <si>
    <t>Proy. Se instala la 1 semana de junio, revisar el 09-06.</t>
  </si>
  <si>
    <t>Caja 13-06</t>
  </si>
  <si>
    <t>Proy. Se instala el 29-05, llamar el 30-05.</t>
  </si>
  <si>
    <t>Proyecto se instala el 17-06-, revisar el 19-06.</t>
  </si>
  <si>
    <t>13-06, pendiente por cliente (Fuera del Pais).</t>
  </si>
  <si>
    <t>Caja 16-05</t>
  </si>
  <si>
    <t>Caja 30-06</t>
  </si>
  <si>
    <t>Proy. Se instala el 19-06, revisar 20..</t>
  </si>
  <si>
    <t>Proy. Se instala la 4 semana de junio, revisar el 27-06.</t>
  </si>
  <si>
    <t>Proy. Se instala en junio, aun sin fecha</t>
  </si>
  <si>
    <t>Proy. Se instala 17-06, revisar el 19</t>
  </si>
  <si>
    <t>Caja 22-06</t>
  </si>
  <si>
    <t>Instalación Julio.</t>
  </si>
  <si>
    <t>Caja 12-05</t>
  </si>
  <si>
    <t>Caja 25-05</t>
  </si>
  <si>
    <t>Caja 18-05</t>
  </si>
  <si>
    <t>Caja 24-05</t>
  </si>
  <si>
    <t>Regularizado Y.S.</t>
  </si>
  <si>
    <t>Correo enviado 13-06.</t>
  </si>
  <si>
    <t>Caja 11-05</t>
  </si>
  <si>
    <t>Julio</t>
  </si>
  <si>
    <t>Ver con Valentina el 19-06</t>
  </si>
  <si>
    <t>Falto un paño fijo</t>
  </si>
  <si>
    <t>Corredera no entró</t>
  </si>
  <si>
    <t>Gestionado, llamar el 20-06</t>
  </si>
  <si>
    <t>Monto neto</t>
  </si>
  <si>
    <t>Monto bruto</t>
  </si>
  <si>
    <t xml:space="preserve">C. Ojeda </t>
  </si>
  <si>
    <t>Estan listo, falta coordinar con cliente</t>
  </si>
  <si>
    <t>28-29 junio</t>
  </si>
  <si>
    <t>Solo instalar</t>
  </si>
  <si>
    <t>Obedmar y Mariam</t>
  </si>
  <si>
    <t>dos días</t>
  </si>
  <si>
    <t>ver con Mariam.</t>
  </si>
  <si>
    <t>Falta los vidrios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</si>
</sst>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_-* #,##0\ _€_-;\-* #,##0\ _€_-;_-* &quot;-&quot;??\ _€_-;_-@_-"/>
    <numFmt numFmtId="166" formatCode="_ * #,##0_ ;_ * \-#,##0_ ;_ * &quot;-&quot;??_ ;_ @_ "/>
    <numFmt numFmtId="167" formatCode="dd/mm/yy;@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0" fontId="6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1" fontId="9" fillId="0" borderId="0" applyFont="0" applyFill="0" applyBorder="0" applyAlignment="0" applyProtection="0"/>
  </cellStyleXfs>
  <cellXfs count="273">
    <xf numFmtId="0" fontId="0" fillId="0" borderId="0" xfId="0"/>
    <xf numFmtId="1" fontId="1" fillId="0" borderId="9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1" fillId="0" borderId="0" xfId="0" applyFont="1"/>
    <xf numFmtId="3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3" fontId="1" fillId="0" borderId="1" xfId="0" applyNumberFormat="1" applyFont="1" applyBorder="1"/>
    <xf numFmtId="3" fontId="1" fillId="2" borderId="7" xfId="0" applyNumberFormat="1" applyFont="1" applyFill="1" applyBorder="1" applyAlignment="1">
      <alignment horizontal="right"/>
    </xf>
    <xf numFmtId="3" fontId="1" fillId="2" borderId="5" xfId="0" applyNumberFormat="1" applyFont="1" applyFill="1" applyBorder="1" applyAlignment="1">
      <alignment horizontal="right"/>
    </xf>
    <xf numFmtId="3" fontId="1" fillId="2" borderId="6" xfId="0" applyNumberFormat="1" applyFont="1" applyFill="1" applyBorder="1" applyAlignment="1">
      <alignment horizontal="right"/>
    </xf>
    <xf numFmtId="3" fontId="1" fillId="4" borderId="7" xfId="0" applyNumberFormat="1" applyFont="1" applyFill="1" applyBorder="1" applyAlignment="1">
      <alignment horizontal="right"/>
    </xf>
    <xf numFmtId="3" fontId="1" fillId="4" borderId="5" xfId="0" applyNumberFormat="1" applyFont="1" applyFill="1" applyBorder="1" applyAlignment="1">
      <alignment horizontal="right"/>
    </xf>
    <xf numFmtId="3" fontId="1" fillId="4" borderId="6" xfId="0" applyNumberFormat="1" applyFont="1" applyFill="1" applyBorder="1" applyAlignment="1">
      <alignment horizontal="right"/>
    </xf>
    <xf numFmtId="3" fontId="2" fillId="0" borderId="9" xfId="0" applyNumberFormat="1" applyFont="1" applyBorder="1" applyAlignment="1">
      <alignment horizontal="right" vertical="center" wrapText="1"/>
    </xf>
    <xf numFmtId="3" fontId="2" fillId="0" borderId="5" xfId="0" applyNumberFormat="1" applyFont="1" applyBorder="1" applyAlignment="1">
      <alignment horizontal="right" vertical="center" wrapText="1"/>
    </xf>
    <xf numFmtId="3" fontId="2" fillId="0" borderId="6" xfId="0" applyNumberFormat="1" applyFont="1" applyFill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/>
    </xf>
    <xf numFmtId="3" fontId="1" fillId="0" borderId="0" xfId="0" applyNumberFormat="1" applyFont="1" applyFill="1" applyAlignment="1">
      <alignment horizontal="center"/>
    </xf>
    <xf numFmtId="3" fontId="1" fillId="2" borderId="5" xfId="0" applyNumberFormat="1" applyFont="1" applyFill="1" applyBorder="1"/>
    <xf numFmtId="3" fontId="1" fillId="0" borderId="7" xfId="0" applyNumberFormat="1" applyFont="1" applyFill="1" applyBorder="1"/>
    <xf numFmtId="3" fontId="1" fillId="2" borderId="7" xfId="0" applyNumberFormat="1" applyFont="1" applyFill="1" applyBorder="1"/>
    <xf numFmtId="3" fontId="2" fillId="0" borderId="4" xfId="0" applyNumberFormat="1" applyFont="1" applyBorder="1"/>
    <xf numFmtId="0" fontId="1" fillId="0" borderId="5" xfId="0" applyFont="1" applyFill="1" applyBorder="1" applyAlignment="1">
      <alignment horizontal="center"/>
    </xf>
    <xf numFmtId="3" fontId="2" fillId="0" borderId="5" xfId="0" applyNumberFormat="1" applyFont="1" applyFill="1" applyBorder="1" applyAlignment="1">
      <alignment horizontal="right" vertical="center" wrapText="1"/>
    </xf>
    <xf numFmtId="3" fontId="1" fillId="2" borderId="6" xfId="0" applyNumberFormat="1" applyFont="1" applyFill="1" applyBorder="1"/>
    <xf numFmtId="3" fontId="2" fillId="0" borderId="7" xfId="0" applyNumberFormat="1" applyFont="1" applyFill="1" applyBorder="1" applyAlignment="1">
      <alignment horizontal="right" vertical="center" wrapText="1"/>
    </xf>
    <xf numFmtId="3" fontId="1" fillId="2" borderId="7" xfId="0" applyNumberFormat="1" applyFont="1" applyFill="1" applyBorder="1" applyAlignment="1">
      <alignment horizontal="right" vertical="center" wrapText="1"/>
    </xf>
    <xf numFmtId="3" fontId="1" fillId="2" borderId="5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3" fontId="1" fillId="0" borderId="0" xfId="0" applyNumberFormat="1" applyFont="1" applyFill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4" borderId="5" xfId="0" applyNumberFormat="1" applyFont="1" applyFill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3" fontId="2" fillId="4" borderId="1" xfId="0" applyNumberFormat="1" applyFont="1" applyFill="1" applyBorder="1" applyAlignment="1">
      <alignment horizontal="right" vertical="center"/>
    </xf>
    <xf numFmtId="3" fontId="2" fillId="0" borderId="4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1" fillId="2" borderId="7" xfId="0" applyNumberFormat="1" applyFont="1" applyFill="1" applyBorder="1" applyAlignment="1">
      <alignment horizontal="right" vertical="center"/>
    </xf>
    <xf numFmtId="3" fontId="1" fillId="4" borderId="7" xfId="0" applyNumberFormat="1" applyFont="1" applyFill="1" applyBorder="1" applyAlignment="1">
      <alignment horizontal="right" vertical="center"/>
    </xf>
    <xf numFmtId="3" fontId="1" fillId="0" borderId="7" xfId="0" applyNumberFormat="1" applyFont="1" applyFill="1" applyBorder="1" applyAlignment="1">
      <alignment horizontal="right" vertical="center"/>
    </xf>
    <xf numFmtId="0" fontId="1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3" fontId="1" fillId="5" borderId="5" xfId="0" applyNumberFormat="1" applyFont="1" applyFill="1" applyBorder="1" applyAlignment="1">
      <alignment horizontal="right" vertical="center"/>
    </xf>
    <xf numFmtId="3" fontId="1" fillId="0" borderId="6" xfId="0" applyNumberFormat="1" applyFont="1" applyFill="1" applyBorder="1" applyAlignment="1">
      <alignment horizontal="right" vertical="center"/>
    </xf>
    <xf numFmtId="3" fontId="1" fillId="2" borderId="6" xfId="0" applyNumberFormat="1" applyFont="1" applyFill="1" applyBorder="1" applyAlignment="1">
      <alignment horizontal="right" vertical="center"/>
    </xf>
    <xf numFmtId="16" fontId="1" fillId="0" borderId="0" xfId="0" applyNumberFormat="1" applyFont="1" applyAlignment="1">
      <alignment horizontal="center" vertical="center"/>
    </xf>
    <xf numFmtId="3" fontId="1" fillId="0" borderId="9" xfId="0" applyNumberFormat="1" applyFont="1" applyFill="1" applyBorder="1" applyAlignment="1">
      <alignment horizontal="right" vertical="center"/>
    </xf>
    <xf numFmtId="3" fontId="1" fillId="4" borderId="6" xfId="0" applyNumberFormat="1" applyFont="1" applyFill="1" applyBorder="1" applyAlignment="1">
      <alignment horizontal="right" vertical="center"/>
    </xf>
    <xf numFmtId="17" fontId="1" fillId="0" borderId="9" xfId="0" applyNumberFormat="1" applyFont="1" applyBorder="1" applyAlignment="1">
      <alignment horizontal="center" vertical="center"/>
    </xf>
    <xf numFmtId="17" fontId="1" fillId="0" borderId="5" xfId="0" applyNumberFormat="1" applyFont="1" applyBorder="1" applyAlignment="1">
      <alignment horizontal="center" vertical="center"/>
    </xf>
    <xf numFmtId="3" fontId="1" fillId="0" borderId="7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 vertical="center" wrapText="1"/>
    </xf>
    <xf numFmtId="3" fontId="1" fillId="0" borderId="5" xfId="0" applyNumberFormat="1" applyFont="1" applyFill="1" applyBorder="1" applyAlignment="1">
      <alignment horizontal="right" vertical="center" wrapText="1"/>
    </xf>
    <xf numFmtId="3" fontId="1" fillId="0" borderId="6" xfId="0" applyNumberFormat="1" applyFont="1" applyFill="1" applyBorder="1" applyAlignment="1">
      <alignment horizontal="right" vertical="center" wrapText="1"/>
    </xf>
    <xf numFmtId="17" fontId="1" fillId="0" borderId="6" xfId="0" applyNumberFormat="1" applyFont="1" applyFill="1" applyBorder="1" applyAlignment="1">
      <alignment horizontal="center" vertical="center"/>
    </xf>
    <xf numFmtId="3" fontId="1" fillId="4" borderId="5" xfId="0" applyNumberFormat="1" applyFont="1" applyFill="1" applyBorder="1" applyAlignment="1">
      <alignment horizontal="right" vertical="center" wrapText="1"/>
    </xf>
    <xf numFmtId="3" fontId="0" fillId="0" borderId="0" xfId="0" applyNumberFormat="1"/>
    <xf numFmtId="0" fontId="7" fillId="0" borderId="0" xfId="0" applyFont="1"/>
    <xf numFmtId="0" fontId="1" fillId="0" borderId="13" xfId="0" applyFont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right" vertical="center" wrapText="1"/>
    </xf>
    <xf numFmtId="3" fontId="1" fillId="4" borderId="9" xfId="0" applyNumberFormat="1" applyFont="1" applyFill="1" applyBorder="1" applyAlignment="1">
      <alignment horizontal="right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7" borderId="0" xfId="0" applyFill="1"/>
    <xf numFmtId="0" fontId="0" fillId="7" borderId="16" xfId="0" applyFill="1" applyBorder="1" applyAlignment="1">
      <alignment horizontal="center"/>
    </xf>
    <xf numFmtId="0" fontId="0" fillId="7" borderId="17" xfId="0" applyFill="1" applyBorder="1"/>
    <xf numFmtId="17" fontId="0" fillId="7" borderId="18" xfId="0" applyNumberFormat="1" applyFill="1" applyBorder="1" applyAlignment="1">
      <alignment horizontal="center"/>
    </xf>
    <xf numFmtId="17" fontId="0" fillId="7" borderId="17" xfId="0" applyNumberFormat="1" applyFill="1" applyBorder="1" applyAlignment="1">
      <alignment horizontal="center"/>
    </xf>
    <xf numFmtId="165" fontId="0" fillId="7" borderId="18" xfId="2" applyNumberFormat="1" applyFont="1" applyFill="1" applyBorder="1"/>
    <xf numFmtId="165" fontId="0" fillId="7" borderId="17" xfId="2" applyNumberFormat="1" applyFont="1" applyFill="1" applyBorder="1"/>
    <xf numFmtId="0" fontId="0" fillId="7" borderId="19" xfId="0" applyFill="1" applyBorder="1"/>
    <xf numFmtId="165" fontId="0" fillId="7" borderId="15" xfId="2" applyNumberFormat="1" applyFont="1" applyFill="1" applyBorder="1"/>
    <xf numFmtId="165" fontId="0" fillId="8" borderId="18" xfId="2" applyNumberFormat="1" applyFont="1" applyFill="1" applyBorder="1"/>
    <xf numFmtId="0" fontId="2" fillId="7" borderId="15" xfId="0" applyFont="1" applyFill="1" applyBorder="1" applyAlignment="1">
      <alignment horizontal="center" vertical="center"/>
    </xf>
    <xf numFmtId="3" fontId="2" fillId="7" borderId="15" xfId="0" applyNumberFormat="1" applyFont="1" applyFill="1" applyBorder="1" applyAlignment="1">
      <alignment horizontal="center" vertical="center"/>
    </xf>
    <xf numFmtId="0" fontId="0" fillId="0" borderId="0" xfId="0" pivotButton="1"/>
    <xf numFmtId="9" fontId="1" fillId="0" borderId="0" xfId="3" applyFont="1" applyAlignment="1">
      <alignment horizontal="center" vertical="center"/>
    </xf>
    <xf numFmtId="17" fontId="1" fillId="5" borderId="5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right" vertical="center" wrapText="1"/>
    </xf>
    <xf numFmtId="3" fontId="1" fillId="5" borderId="5" xfId="0" applyNumberFormat="1" applyFont="1" applyFill="1" applyBorder="1" applyAlignment="1">
      <alignment horizontal="right" vertical="center" wrapText="1"/>
    </xf>
    <xf numFmtId="1" fontId="1" fillId="5" borderId="5" xfId="0" applyNumberFormat="1" applyFont="1" applyFill="1" applyBorder="1" applyAlignment="1">
      <alignment horizontal="center" vertical="center" wrapText="1"/>
    </xf>
    <xf numFmtId="17" fontId="1" fillId="9" borderId="15" xfId="0" applyNumberFormat="1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166" fontId="5" fillId="9" borderId="15" xfId="2" applyNumberFormat="1" applyFont="1" applyFill="1" applyBorder="1" applyAlignment="1">
      <alignment horizontal="right" vertical="center" wrapText="1"/>
    </xf>
    <xf numFmtId="166" fontId="9" fillId="9" borderId="15" xfId="2" applyNumberFormat="1" applyFont="1" applyFill="1" applyBorder="1"/>
    <xf numFmtId="165" fontId="0" fillId="9" borderId="15" xfId="2" applyNumberFormat="1" applyFont="1" applyFill="1" applyBorder="1"/>
    <xf numFmtId="0" fontId="0" fillId="9" borderId="15" xfId="0" applyFill="1" applyBorder="1" applyAlignment="1">
      <alignment horizontal="center"/>
    </xf>
    <xf numFmtId="0" fontId="0" fillId="9" borderId="15" xfId="0" applyFill="1" applyBorder="1"/>
    <xf numFmtId="1" fontId="1" fillId="9" borderId="15" xfId="0" applyNumberFormat="1" applyFont="1" applyFill="1" applyBorder="1" applyAlignment="1">
      <alignment horizontal="center" vertical="center" wrapText="1"/>
    </xf>
    <xf numFmtId="165" fontId="0" fillId="0" borderId="10" xfId="0" applyNumberFormat="1" applyBorder="1"/>
    <xf numFmtId="165" fontId="0" fillId="0" borderId="0" xfId="0" applyNumberFormat="1" applyBorder="1"/>
    <xf numFmtId="165" fontId="0" fillId="0" borderId="23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/>
    <xf numFmtId="165" fontId="0" fillId="0" borderId="22" xfId="0" applyNumberFormat="1" applyBorder="1"/>
    <xf numFmtId="0" fontId="0" fillId="0" borderId="2" xfId="0" pivotButton="1" applyBorder="1"/>
    <xf numFmtId="17" fontId="0" fillId="0" borderId="20" xfId="0" applyNumberFormat="1" applyBorder="1" applyAlignment="1">
      <alignment horizontal="left"/>
    </xf>
    <xf numFmtId="17" fontId="0" fillId="0" borderId="10" xfId="0" applyNumberFormat="1" applyBorder="1" applyAlignment="1">
      <alignment horizontal="left"/>
    </xf>
    <xf numFmtId="17" fontId="0" fillId="0" borderId="2" xfId="0" applyNumberFormat="1" applyBorder="1" applyAlignment="1">
      <alignment horizontal="left"/>
    </xf>
    <xf numFmtId="165" fontId="0" fillId="0" borderId="2" xfId="0" applyNumberFormat="1" applyBorder="1"/>
    <xf numFmtId="165" fontId="0" fillId="0" borderId="3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165" fontId="0" fillId="0" borderId="8" xfId="0" applyNumberFormat="1" applyBorder="1"/>
    <xf numFmtId="165" fontId="0" fillId="0" borderId="24" xfId="0" applyNumberFormat="1" applyBorder="1"/>
    <xf numFmtId="0" fontId="0" fillId="0" borderId="4" xfId="0" applyBorder="1"/>
    <xf numFmtId="17" fontId="0" fillId="0" borderId="11" xfId="0" applyNumberFormat="1" applyBorder="1" applyAlignment="1">
      <alignment horizontal="left"/>
    </xf>
    <xf numFmtId="165" fontId="0" fillId="0" borderId="4" xfId="0" applyNumberFormat="1" applyBorder="1"/>
    <xf numFmtId="0" fontId="0" fillId="0" borderId="2" xfId="0" applyBorder="1"/>
    <xf numFmtId="3" fontId="0" fillId="7" borderId="0" xfId="0" applyNumberFormat="1" applyFill="1"/>
    <xf numFmtId="167" fontId="0" fillId="9" borderId="15" xfId="0" applyNumberFormat="1" applyFill="1" applyBorder="1"/>
    <xf numFmtId="167" fontId="0" fillId="7" borderId="0" xfId="0" applyNumberFormat="1" applyFill="1"/>
    <xf numFmtId="0" fontId="1" fillId="0" borderId="25" xfId="0" applyFont="1" applyBorder="1" applyAlignment="1">
      <alignment horizontal="center" vertical="center"/>
    </xf>
    <xf numFmtId="165" fontId="0" fillId="0" borderId="0" xfId="0" applyNumberFormat="1"/>
    <xf numFmtId="0" fontId="0" fillId="0" borderId="1" xfId="0" applyBorder="1"/>
    <xf numFmtId="0" fontId="5" fillId="10" borderId="4" xfId="0" applyFont="1" applyFill="1" applyBorder="1"/>
    <xf numFmtId="9" fontId="0" fillId="7" borderId="22" xfId="3" applyFont="1" applyFill="1" applyBorder="1"/>
    <xf numFmtId="9" fontId="0" fillId="7" borderId="23" xfId="3" applyFont="1" applyFill="1" applyBorder="1"/>
    <xf numFmtId="166" fontId="0" fillId="7" borderId="23" xfId="0" applyNumberFormat="1" applyFill="1" applyBorder="1"/>
    <xf numFmtId="9" fontId="0" fillId="7" borderId="1" xfId="0" applyNumberFormat="1" applyFill="1" applyBorder="1"/>
    <xf numFmtId="41" fontId="0" fillId="7" borderId="0" xfId="5" applyFont="1" applyFill="1"/>
    <xf numFmtId="166" fontId="0" fillId="0" borderId="0" xfId="2" applyNumberFormat="1" applyFont="1"/>
    <xf numFmtId="165" fontId="0" fillId="0" borderId="22" xfId="0" applyNumberFormat="1" applyFill="1" applyBorder="1"/>
    <xf numFmtId="165" fontId="0" fillId="0" borderId="23" xfId="0" applyNumberFormat="1" applyFill="1" applyBorder="1"/>
    <xf numFmtId="167" fontId="0" fillId="5" borderId="15" xfId="0" applyNumberFormat="1" applyFill="1" applyBorder="1"/>
    <xf numFmtId="165" fontId="9" fillId="9" borderId="15" xfId="2" applyNumberFormat="1" applyFont="1" applyFill="1" applyBorder="1"/>
    <xf numFmtId="0" fontId="1" fillId="9" borderId="15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166" fontId="5" fillId="5" borderId="15" xfId="2" applyNumberFormat="1" applyFont="1" applyFill="1" applyBorder="1" applyAlignment="1">
      <alignment horizontal="right" vertical="center" wrapText="1"/>
    </xf>
    <xf numFmtId="166" fontId="9" fillId="5" borderId="15" xfId="2" applyNumberFormat="1" applyFont="1" applyFill="1" applyBorder="1"/>
    <xf numFmtId="165" fontId="0" fillId="5" borderId="15" xfId="2" applyNumberFormat="1" applyFont="1" applyFill="1" applyBorder="1"/>
    <xf numFmtId="165" fontId="0" fillId="8" borderId="10" xfId="0" applyNumberFormat="1" applyFill="1" applyBorder="1"/>
    <xf numFmtId="165" fontId="0" fillId="8" borderId="23" xfId="0" applyNumberFormat="1" applyFill="1" applyBorder="1"/>
    <xf numFmtId="165" fontId="0" fillId="8" borderId="24" xfId="0" applyNumberFormat="1" applyFill="1" applyBorder="1"/>
    <xf numFmtId="3" fontId="1" fillId="5" borderId="7" xfId="0" applyNumberFormat="1" applyFont="1" applyFill="1" applyBorder="1" applyAlignment="1">
      <alignment horizontal="right" vertical="center"/>
    </xf>
    <xf numFmtId="3" fontId="1" fillId="8" borderId="5" xfId="0" applyNumberFormat="1" applyFont="1" applyFill="1" applyBorder="1" applyAlignment="1">
      <alignment horizontal="right" vertical="center"/>
    </xf>
    <xf numFmtId="14" fontId="1" fillId="0" borderId="0" xfId="0" applyNumberFormat="1" applyFont="1" applyAlignment="1">
      <alignment horizontal="center" vertical="center"/>
    </xf>
    <xf numFmtId="165" fontId="0" fillId="5" borderId="20" xfId="0" applyNumberFormat="1" applyFill="1" applyBorder="1"/>
    <xf numFmtId="165" fontId="0" fillId="5" borderId="22" xfId="0" applyNumberFormat="1" applyFill="1" applyBorder="1"/>
    <xf numFmtId="165" fontId="0" fillId="5" borderId="8" xfId="0" applyNumberFormat="1" applyFill="1" applyBorder="1"/>
    <xf numFmtId="165" fontId="0" fillId="11" borderId="10" xfId="0" applyNumberFormat="1" applyFill="1" applyBorder="1"/>
    <xf numFmtId="165" fontId="0" fillId="11" borderId="23" xfId="0" applyNumberFormat="1" applyFill="1" applyBorder="1"/>
    <xf numFmtId="165" fontId="0" fillId="11" borderId="24" xfId="0" applyNumberFormat="1" applyFill="1" applyBorder="1"/>
    <xf numFmtId="3" fontId="2" fillId="0" borderId="22" xfId="0" applyNumberFormat="1" applyFont="1" applyBorder="1" applyAlignment="1">
      <alignment horizontal="center" vertical="center"/>
    </xf>
    <xf numFmtId="3" fontId="2" fillId="4" borderId="23" xfId="0" applyNumberFormat="1" applyFont="1" applyFill="1" applyBorder="1" applyAlignment="1">
      <alignment horizontal="center" vertical="center"/>
    </xf>
    <xf numFmtId="3" fontId="2" fillId="0" borderId="23" xfId="0" applyNumberFormat="1" applyFont="1" applyBorder="1" applyAlignment="1">
      <alignment horizontal="center" vertical="center"/>
    </xf>
    <xf numFmtId="17" fontId="1" fillId="0" borderId="7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 wrapText="1"/>
    </xf>
    <xf numFmtId="3" fontId="2" fillId="0" borderId="7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65" fontId="11" fillId="5" borderId="10" xfId="0" applyNumberFormat="1" applyFont="1" applyFill="1" applyBorder="1"/>
    <xf numFmtId="165" fontId="11" fillId="5" borderId="23" xfId="0" applyNumberFormat="1" applyFont="1" applyFill="1" applyBorder="1"/>
    <xf numFmtId="165" fontId="11" fillId="5" borderId="24" xfId="0" applyNumberFormat="1" applyFont="1" applyFill="1" applyBorder="1"/>
    <xf numFmtId="0" fontId="0" fillId="5" borderId="0" xfId="0" applyFill="1"/>
    <xf numFmtId="166" fontId="0" fillId="0" borderId="0" xfId="0" applyNumberFormat="1"/>
    <xf numFmtId="166" fontId="0" fillId="7" borderId="0" xfId="2" applyNumberFormat="1" applyFont="1" applyFill="1"/>
    <xf numFmtId="0" fontId="0" fillId="0" borderId="0" xfId="0" applyAlignment="1">
      <alignment horizontal="center"/>
    </xf>
    <xf numFmtId="166" fontId="0" fillId="12" borderId="1" xfId="2" applyNumberFormat="1" applyFont="1" applyFill="1" applyBorder="1"/>
    <xf numFmtId="0" fontId="0" fillId="2" borderId="2" xfId="0" applyFill="1" applyBorder="1" applyAlignment="1">
      <alignment horizontal="left"/>
    </xf>
    <xf numFmtId="165" fontId="0" fillId="2" borderId="2" xfId="0" applyNumberFormat="1" applyFill="1" applyBorder="1"/>
    <xf numFmtId="165" fontId="0" fillId="2" borderId="1" xfId="0" applyNumberFormat="1" applyFill="1" applyBorder="1"/>
    <xf numFmtId="165" fontId="0" fillId="2" borderId="4" xfId="0" applyNumberFormat="1" applyFill="1" applyBorder="1"/>
    <xf numFmtId="9" fontId="0" fillId="0" borderId="0" xfId="0" applyNumberFormat="1" applyAlignment="1">
      <alignment horizontal="left"/>
    </xf>
    <xf numFmtId="0" fontId="0" fillId="8" borderId="10" xfId="0" applyFill="1" applyBorder="1" applyAlignment="1">
      <alignment horizontal="left"/>
    </xf>
    <xf numFmtId="0" fontId="0" fillId="8" borderId="11" xfId="0" applyFill="1" applyBorder="1" applyAlignment="1">
      <alignment horizontal="left"/>
    </xf>
    <xf numFmtId="165" fontId="0" fillId="8" borderId="11" xfId="0" applyNumberFormat="1" applyFill="1" applyBorder="1"/>
    <xf numFmtId="165" fontId="0" fillId="8" borderId="25" xfId="0" applyNumberFormat="1" applyFill="1" applyBorder="1"/>
    <xf numFmtId="165" fontId="0" fillId="8" borderId="26" xfId="0" applyNumberFormat="1" applyFill="1" applyBorder="1"/>
    <xf numFmtId="165" fontId="0" fillId="8" borderId="1" xfId="0" applyNumberFormat="1" applyFill="1" applyBorder="1"/>
    <xf numFmtId="166" fontId="0" fillId="13" borderId="11" xfId="0" applyNumberFormat="1" applyFill="1" applyBorder="1"/>
    <xf numFmtId="0" fontId="0" fillId="13" borderId="25" xfId="0" applyFill="1" applyBorder="1"/>
    <xf numFmtId="166" fontId="0" fillId="2" borderId="2" xfId="2" applyNumberFormat="1" applyFont="1" applyFill="1" applyBorder="1"/>
    <xf numFmtId="0" fontId="0" fillId="2" borderId="1" xfId="0" applyFill="1" applyBorder="1"/>
    <xf numFmtId="0" fontId="0" fillId="0" borderId="20" xfId="0" pivotButton="1" applyBorder="1"/>
    <xf numFmtId="0" fontId="0" fillId="11" borderId="1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11" fillId="5" borderId="10" xfId="0" applyFont="1" applyFill="1" applyBorder="1" applyAlignment="1">
      <alignment horizontal="left"/>
    </xf>
    <xf numFmtId="0" fontId="0" fillId="0" borderId="21" xfId="0" applyBorder="1"/>
    <xf numFmtId="0" fontId="0" fillId="0" borderId="21" xfId="0" applyBorder="1" applyAlignment="1">
      <alignment horizontal="left"/>
    </xf>
    <xf numFmtId="0" fontId="0" fillId="5" borderId="20" xfId="0" applyFill="1" applyBorder="1" applyAlignment="1">
      <alignment horizontal="left"/>
    </xf>
    <xf numFmtId="41" fontId="0" fillId="7" borderId="0" xfId="0" applyNumberFormat="1" applyFill="1"/>
    <xf numFmtId="0" fontId="0" fillId="0" borderId="4" xfId="0" applyBorder="1" applyAlignment="1">
      <alignment horizontal="center"/>
    </xf>
    <xf numFmtId="14" fontId="0" fillId="0" borderId="27" xfId="0" applyNumberFormat="1" applyFont="1" applyBorder="1"/>
    <xf numFmtId="0" fontId="0" fillId="0" borderId="28" xfId="0" applyFont="1" applyBorder="1"/>
    <xf numFmtId="14" fontId="0" fillId="0" borderId="29" xfId="0" applyNumberFormat="1" applyFont="1" applyBorder="1"/>
    <xf numFmtId="41" fontId="0" fillId="0" borderId="28" xfId="5" applyNumberFormat="1" applyFont="1" applyBorder="1"/>
    <xf numFmtId="0" fontId="12" fillId="14" borderId="30" xfId="0" applyFont="1" applyFill="1" applyBorder="1"/>
    <xf numFmtId="0" fontId="12" fillId="14" borderId="31" xfId="0" applyFont="1" applyFill="1" applyBorder="1"/>
    <xf numFmtId="0" fontId="12" fillId="14" borderId="32" xfId="0" applyFont="1" applyFill="1" applyBorder="1"/>
    <xf numFmtId="14" fontId="0" fillId="10" borderId="30" xfId="0" applyNumberFormat="1" applyFont="1" applyFill="1" applyBorder="1"/>
    <xf numFmtId="0" fontId="0" fillId="10" borderId="31" xfId="0" applyFont="1" applyFill="1" applyBorder="1"/>
    <xf numFmtId="41" fontId="0" fillId="10" borderId="31" xfId="5" applyNumberFormat="1" applyFont="1" applyFill="1" applyBorder="1"/>
    <xf numFmtId="14" fontId="0" fillId="10" borderId="32" xfId="0" applyNumberFormat="1" applyFont="1" applyFill="1" applyBorder="1"/>
    <xf numFmtId="14" fontId="0" fillId="0" borderId="30" xfId="0" applyNumberFormat="1" applyFont="1" applyBorder="1"/>
    <xf numFmtId="0" fontId="0" fillId="0" borderId="31" xfId="0" applyFont="1" applyBorder="1"/>
    <xf numFmtId="41" fontId="0" fillId="0" borderId="31" xfId="5" applyNumberFormat="1" applyFont="1" applyBorder="1"/>
    <xf numFmtId="14" fontId="0" fillId="0" borderId="32" xfId="0" applyNumberFormat="1" applyFont="1" applyBorder="1"/>
    <xf numFmtId="41" fontId="0" fillId="10" borderId="31" xfId="5" applyFont="1" applyFill="1" applyBorder="1"/>
    <xf numFmtId="41" fontId="0" fillId="0" borderId="31" xfId="5" applyFont="1" applyBorder="1"/>
    <xf numFmtId="41" fontId="0" fillId="0" borderId="28" xfId="5" applyFont="1" applyBorder="1"/>
    <xf numFmtId="14" fontId="0" fillId="15" borderId="30" xfId="0" applyNumberFormat="1" applyFont="1" applyFill="1" applyBorder="1"/>
    <xf numFmtId="0" fontId="0" fillId="15" borderId="31" xfId="0" applyFont="1" applyFill="1" applyBorder="1"/>
    <xf numFmtId="41" fontId="0" fillId="15" borderId="31" xfId="5" applyFont="1" applyFill="1" applyBorder="1"/>
    <xf numFmtId="41" fontId="0" fillId="15" borderId="31" xfId="5" applyNumberFormat="1" applyFont="1" applyFill="1" applyBorder="1"/>
    <xf numFmtId="14" fontId="0" fillId="5" borderId="30" xfId="0" applyNumberFormat="1" applyFont="1" applyFill="1" applyBorder="1"/>
    <xf numFmtId="0" fontId="0" fillId="5" borderId="31" xfId="0" applyFont="1" applyFill="1" applyBorder="1"/>
    <xf numFmtId="41" fontId="0" fillId="5" borderId="31" xfId="5" applyFont="1" applyFill="1" applyBorder="1"/>
    <xf numFmtId="41" fontId="0" fillId="5" borderId="31" xfId="5" applyNumberFormat="1" applyFont="1" applyFill="1" applyBorder="1"/>
    <xf numFmtId="0" fontId="0" fillId="11" borderId="31" xfId="0" applyFont="1" applyFill="1" applyBorder="1"/>
    <xf numFmtId="0" fontId="0" fillId="16" borderId="31" xfId="0" applyFont="1" applyFill="1" applyBorder="1"/>
    <xf numFmtId="166" fontId="0" fillId="8" borderId="0" xfId="2" applyNumberFormat="1" applyFont="1" applyFill="1"/>
    <xf numFmtId="0" fontId="0" fillId="8" borderId="0" xfId="0" applyFill="1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3" fontId="2" fillId="0" borderId="2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</cellXfs>
  <cellStyles count="6">
    <cellStyle name="Millares" xfId="2" builtinId="3"/>
    <cellStyle name="Millares [0]" xfId="5" builtinId="6"/>
    <cellStyle name="Millares 2" xfId="4"/>
    <cellStyle name="Normal" xfId="0" builtinId="0"/>
    <cellStyle name="Normal 5" xfId="1"/>
    <cellStyle name="Porcentaje" xfId="3" builtinId="5"/>
  </cellStyles>
  <dxfs count="66"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numFmt numFmtId="165" formatCode="_-* #,##0\ _€_-;\-* #,##0\ _€_-;_-* &quot;-&quot;??\ _€_-;_-@_-"/>
    </dxf>
    <dxf>
      <fill>
        <patternFill patternType="none">
          <bgColor auto="1"/>
        </patternFill>
      </fill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numFmt numFmtId="165" formatCode="_-* #,##0\ _€_-;\-* #,##0\ _€_-;_-* &quot;-&quot;??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4</xdr:col>
      <xdr:colOff>320286</xdr:colOff>
      <xdr:row>4</xdr:row>
      <xdr:rowOff>132269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66675"/>
          <a:ext cx="2834886" cy="71329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4</xdr:col>
      <xdr:colOff>329811</xdr:colOff>
      <xdr:row>4</xdr:row>
      <xdr:rowOff>132269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66675"/>
          <a:ext cx="2834886" cy="71329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4</xdr:col>
      <xdr:colOff>329811</xdr:colOff>
      <xdr:row>4</xdr:row>
      <xdr:rowOff>132269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66675"/>
          <a:ext cx="2834886" cy="71329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4</xdr:col>
      <xdr:colOff>329811</xdr:colOff>
      <xdr:row>4</xdr:row>
      <xdr:rowOff>132269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66675"/>
          <a:ext cx="2834886" cy="71329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4</xdr:col>
      <xdr:colOff>329811</xdr:colOff>
      <xdr:row>4</xdr:row>
      <xdr:rowOff>132269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66675"/>
          <a:ext cx="2834886" cy="7132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4</xdr:col>
      <xdr:colOff>320286</xdr:colOff>
      <xdr:row>4</xdr:row>
      <xdr:rowOff>132269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66675"/>
          <a:ext cx="2834886" cy="7132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4</xdr:col>
      <xdr:colOff>320286</xdr:colOff>
      <xdr:row>4</xdr:row>
      <xdr:rowOff>132269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66675"/>
          <a:ext cx="2834886" cy="7132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4</xdr:col>
      <xdr:colOff>320286</xdr:colOff>
      <xdr:row>4</xdr:row>
      <xdr:rowOff>132269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66675"/>
          <a:ext cx="2834886" cy="7132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4</xdr:col>
      <xdr:colOff>320286</xdr:colOff>
      <xdr:row>4</xdr:row>
      <xdr:rowOff>132269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66675"/>
          <a:ext cx="2834886" cy="71329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4</xdr:col>
      <xdr:colOff>320286</xdr:colOff>
      <xdr:row>4</xdr:row>
      <xdr:rowOff>132269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66675"/>
          <a:ext cx="2834886" cy="71329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85725</xdr:rowOff>
    </xdr:from>
    <xdr:to>
      <xdr:col>4</xdr:col>
      <xdr:colOff>301236</xdr:colOff>
      <xdr:row>4</xdr:row>
      <xdr:rowOff>151319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85725"/>
          <a:ext cx="2834886" cy="71329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85725</xdr:rowOff>
    </xdr:from>
    <xdr:to>
      <xdr:col>4</xdr:col>
      <xdr:colOff>310761</xdr:colOff>
      <xdr:row>4</xdr:row>
      <xdr:rowOff>151319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85725"/>
          <a:ext cx="2834886" cy="7132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4</xdr:col>
      <xdr:colOff>329811</xdr:colOff>
      <xdr:row>4</xdr:row>
      <xdr:rowOff>132269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66675"/>
          <a:ext cx="2834886" cy="7132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zas/Cartolas/Cartolas%20Anteriores/CARTOLA%20BICE%20JULIO-%20AGOSTO%20-%20SEPTIEMBRE-%20OCTUBRE%202016%20cier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zas/Cartolas/03%20Marzo/Cartola%2008%20de%20Marz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zas/Cartolas/03%20Marzo/Cartola%2003%20de%20Marz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tola Julio"/>
      <sheetName val="cartola agosto"/>
      <sheetName val="cartola septiembre"/>
      <sheetName val="cartola Octubre"/>
      <sheetName val="CHG"/>
    </sheetNames>
    <sheetDataSet>
      <sheetData sheetId="0"/>
      <sheetData sheetId="1"/>
      <sheetData sheetId="2"/>
      <sheetData sheetId="3">
        <row r="25">
          <cell r="G25">
            <v>200000</v>
          </cell>
        </row>
        <row r="44">
          <cell r="G44">
            <v>600000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on Recaudación Cartera"/>
      <sheetName val="Pendiente por Identificar"/>
      <sheetName val="Hoja1"/>
      <sheetName val="cartola Mar"/>
      <sheetName val="cartola Feb"/>
      <sheetName val="cartola Ene"/>
      <sheetName val="cartola Dic"/>
      <sheetName val="Hoja2"/>
      <sheetName val="cartola Nov"/>
      <sheetName val="PAGOS FEBRERO"/>
    </sheetNames>
    <sheetDataSet>
      <sheetData sheetId="0"/>
      <sheetData sheetId="1"/>
      <sheetData sheetId="2"/>
      <sheetData sheetId="3"/>
      <sheetData sheetId="4"/>
      <sheetData sheetId="5"/>
      <sheetData sheetId="6">
        <row r="45">
          <cell r="I45">
            <v>359691</v>
          </cell>
        </row>
        <row r="92">
          <cell r="I92">
            <v>359691</v>
          </cell>
        </row>
      </sheetData>
      <sheetData sheetId="7"/>
      <sheetData sheetId="8">
        <row r="71">
          <cell r="I71">
            <v>2567103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on Recaudación Cartera"/>
      <sheetName val="Pendiente por Identificar"/>
      <sheetName val="Hoja1"/>
      <sheetName val="cartola Mar"/>
      <sheetName val="cartola Feb"/>
      <sheetName val="cartola Ene"/>
      <sheetName val="cartola Dic"/>
      <sheetName val="Hoja2"/>
      <sheetName val="cartola Nov"/>
      <sheetName val="PAGOS FEBRERO"/>
    </sheetNames>
    <sheetDataSet>
      <sheetData sheetId="0"/>
      <sheetData sheetId="1"/>
      <sheetData sheetId="2"/>
      <sheetData sheetId="3"/>
      <sheetData sheetId="4">
        <row r="109">
          <cell r="I109">
            <v>239019</v>
          </cell>
        </row>
        <row r="110">
          <cell r="I110">
            <v>717058</v>
          </cell>
        </row>
      </sheetData>
      <sheetData sheetId="5">
        <row r="104">
          <cell r="I104">
            <v>238000</v>
          </cell>
        </row>
        <row r="113">
          <cell r="I113">
            <v>1177974</v>
          </cell>
        </row>
      </sheetData>
      <sheetData sheetId="6">
        <row r="13">
          <cell r="I13">
            <v>186835</v>
          </cell>
        </row>
        <row r="38">
          <cell r="I38">
            <v>840288</v>
          </cell>
        </row>
      </sheetData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noramachile note03" refreshedDate="42907.654778587967" createdVersion="5" refreshedVersion="6" minRefreshableVersion="3" recordCount="287">
  <cacheSource type="worksheet">
    <worksheetSource ref="B1:M288" sheet="Resumen de datos"/>
  </cacheSource>
  <cacheFields count="12">
    <cacheField name="Mes Vta. " numFmtId="17">
      <sharedItems containsSemiMixedTypes="0" containsNonDate="0" containsDate="1" containsString="0" minDate="2016-06-01T00:00:00" maxDate="2017-06-02T00:00:00" count="13"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</sharedItems>
    </cacheField>
    <cacheField name="CTTO #" numFmtId="0">
      <sharedItems containsSemiMixedTypes="0" containsString="0" containsNumber="1" containsInteger="1" minValue="848" maxValue="1158"/>
    </cacheField>
    <cacheField name="Estado Cobranza" numFmtId="0">
      <sharedItems count="42">
        <e v="#N/A"/>
        <s v="Por gestionar"/>
        <s v="Regularizado Y.S."/>
        <s v="Correo enviado 13-06."/>
        <s v="No instalado, junio"/>
        <s v="Proyecto no instalado (Julio)"/>
        <s v="Caja 08-05"/>
        <s v="Caja 26-05"/>
        <s v="Con pago junio"/>
        <s v="Caja 04-06"/>
        <s v="Gestionado, llamar el 20-06"/>
        <s v="Problema con Transbank"/>
        <s v="Post venta (Cristales rayados), ACO envío correo el 17-05, 09-06 Aco."/>
        <s v="Caja 11-05"/>
        <s v="Caja 05-05"/>
        <s v="Deuda no correspondia, no hay documento de respaldo"/>
        <s v="Caja 02-05"/>
        <s v="CP 25-06"/>
        <s v="CP 09-06"/>
        <s v="Caja 15-05"/>
        <s v="Caja 03-05"/>
        <s v="CP 12-06"/>
        <s v="Caja abril 2017"/>
        <s v="Ver con Carmen por tema de comisiones, el 15-05."/>
        <s v="Ver con Valentina el 19-06"/>
        <s v="Caja 19-05"/>
        <s v="CP 24-06"/>
        <s v="Caja 22-05"/>
        <s v="Caja 17-05"/>
        <s v="Caja 06-06"/>
        <s v="CP 16-06"/>
        <s v="CP 30-06"/>
        <s v="Caja 09-06" u="1"/>
        <s v="Gestionado, llamar el 19-06." u="1"/>
        <s v="Ver con Valentina el 05-06" u="1"/>
        <s v="Gestionado, llamar el 16-06." u="1"/>
        <s v="CP 20-06" u="1"/>
        <s v="Gestionado, llamar el 19-06" u="1"/>
        <s v="Gestionado, llamar el 12-06" u="1"/>
        <s v="CP 15-06" u="1"/>
        <s v="Se envío correo (13-06), espera hasta el 16-06." u="1"/>
        <s v="CP 16-05" u="1"/>
      </sharedItems>
    </cacheField>
    <cacheField name="Revisa" numFmtId="0">
      <sharedItems/>
    </cacheField>
    <cacheField name="Vta. Bruta $" numFmtId="166">
      <sharedItems containsString="0" containsBlank="1" containsNumber="1" minValue="262000" maxValue="15642848"/>
    </cacheField>
    <cacheField name="COBRADO " numFmtId="166">
      <sharedItems containsString="0" containsBlank="1" containsNumber="1" minValue="0" maxValue="14447350"/>
    </cacheField>
    <cacheField name="SALDO CXC " numFmtId="165">
      <sharedItems containsString="0" containsBlank="1" containsNumber="1" minValue="-71487" maxValue="7642848"/>
    </cacheField>
    <cacheField name="Casos con deuda" numFmtId="165">
      <sharedItems containsString="0" containsBlank="1" containsNumber="1" containsInteger="1" minValue="1" maxValue="1" count="2">
        <m/>
        <n v="1"/>
      </sharedItems>
    </cacheField>
    <cacheField name="Dato de instalación" numFmtId="0">
      <sharedItems count="2">
        <s v="SI"/>
        <s v="NO"/>
      </sharedItems>
    </cacheField>
    <cacheField name="Mtrs. Lineales" numFmtId="0">
      <sharedItems containsString="0" containsBlank="1" containsNumber="1" minValue="0" maxValue="36.6"/>
    </cacheField>
    <cacheField name="Con reparos" numFmtId="0">
      <sharedItems containsString="0" containsBlank="1" containsNumber="1" containsInteger="1" minValue="1" maxValue="1" count="2">
        <m/>
        <n v="1"/>
      </sharedItems>
    </cacheField>
    <cacheField name="Fecha de instalación" numFmtId="167">
      <sharedItems containsDate="1" containsBlank="1" containsMixedTypes="1" minDate="2017-01-03T00:00:00" maxDate="2017-08-25T00:00:00" count="85">
        <m/>
        <d v="2017-01-13T00:00:00"/>
        <d v="2017-06-08T00:00:00"/>
        <s v="Julio"/>
        <d v="2017-01-24T00:00:00"/>
        <d v="2017-01-09T00:00:00"/>
        <d v="2017-06-12T00:00:00"/>
        <d v="2017-01-03T00:00:00"/>
        <d v="2017-01-31T00:00:00"/>
        <d v="2017-06-05T00:00:00"/>
        <d v="2017-01-20T00:00:00"/>
        <d v="2017-01-17T00:00:00"/>
        <d v="2017-02-01T00:00:00"/>
        <d v="2017-01-05T00:00:00"/>
        <d v="2017-01-04T00:00:00"/>
        <d v="2017-05-01T00:00:00"/>
        <d v="2017-06-14T00:00:00"/>
        <d v="2017-01-12T00:00:00"/>
        <d v="2017-01-16T00:00:00"/>
        <d v="2017-01-10T00:00:00"/>
        <d v="2017-04-03T00:00:00"/>
        <d v="2017-01-18T00:00:00"/>
        <d v="2017-01-06T00:00:00"/>
        <d v="2017-02-13T00:00:00"/>
        <d v="2017-02-10T00:00:00"/>
        <d v="2017-05-15T00:00:00"/>
        <d v="2017-01-23T00:00:00"/>
        <d v="2017-04-07T00:00:00"/>
        <d v="2017-03-20T00:00:00"/>
        <d v="2017-03-17T00:00:00"/>
        <d v="2017-02-21T00:00:00"/>
        <d v="2017-03-01T00:00:00"/>
        <d v="2017-03-02T00:00:00"/>
        <d v="2017-02-14T00:00:00"/>
        <d v="2017-02-23T00:00:00"/>
        <d v="2017-03-30T00:00:00"/>
        <d v="2017-03-14T00:00:00"/>
        <d v="2017-03-24T00:00:00"/>
        <d v="2017-03-09T00:00:00"/>
        <d v="2017-03-22T00:00:00"/>
        <d v="2017-03-21T00:00:00"/>
        <d v="2017-05-16T00:00:00"/>
        <d v="2017-03-15T00:00:00"/>
        <d v="2017-04-06T00:00:00"/>
        <d v="2017-04-24T00:00:00"/>
        <d v="2017-04-12T00:00:00"/>
        <d v="2017-03-23T00:00:00"/>
        <d v="2017-05-06T00:00:00"/>
        <d v="2017-04-13T00:00:00"/>
        <d v="2017-04-21T00:00:00"/>
        <d v="2017-04-10T00:00:00"/>
        <d v="2017-05-08T00:00:00"/>
        <d v="2017-05-23T00:00:00"/>
        <d v="2017-04-27T00:00:00"/>
        <d v="2017-04-18T00:00:00"/>
        <d v="2017-07-22T00:00:00"/>
        <d v="2017-05-04T00:00:00"/>
        <d v="2017-06-03T00:00:00"/>
        <d v="2017-05-19T00:00:00"/>
        <d v="2017-06-22T00:00:00"/>
        <d v="2017-05-10T00:00:00"/>
        <d v="2017-08-24T00:00:00"/>
        <d v="2017-06-02T00:00:00"/>
        <d v="2017-05-11T00:00:00"/>
        <d v="2017-05-02T00:00:00"/>
        <d v="2017-05-30T00:00:00"/>
        <d v="2017-06-15T00:00:00"/>
        <d v="2017-06-10T00:00:00"/>
        <d v="2017-05-24T00:00:00"/>
        <d v="2017-06-09T00:00:00"/>
        <d v="2017-04-26T00:00:00"/>
        <d v="2017-06-13T00:00:00"/>
        <d v="2017-06-16T00:00:00"/>
        <d v="2017-05-31T00:00:00"/>
        <d v="2017-06-06T00:00:00"/>
        <d v="2017-06-19T00:00:00"/>
        <d v="2017-06-29T00:00:00"/>
        <d v="2017-06-20T00:00:00"/>
        <d v="2017-05-18T00:00:00"/>
        <d v="2017-06-17T00:00:00"/>
        <d v="2017-06-23T00:00:00"/>
        <d v="2017-06-26T00:00:00"/>
        <d v="2017-06-28T00:00:00"/>
        <d v="2017-02-20T00:00:00" u="1"/>
        <s v="sin fech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7">
  <r>
    <x v="0"/>
    <n v="848"/>
    <x v="0"/>
    <e v="#N/A"/>
    <n v="5473000.3999999994"/>
    <n v="5473000"/>
    <n v="0"/>
    <x v="0"/>
    <x v="0"/>
    <m/>
    <x v="0"/>
    <x v="0"/>
  </r>
  <r>
    <x v="0"/>
    <n v="849"/>
    <x v="0"/>
    <e v="#N/A"/>
    <n v="3308000.08"/>
    <n v="3308000.08"/>
    <n v="0"/>
    <x v="0"/>
    <x v="0"/>
    <m/>
    <x v="0"/>
    <x v="0"/>
  </r>
  <r>
    <x v="0"/>
    <n v="850"/>
    <x v="0"/>
    <e v="#N/A"/>
    <n v="3662000"/>
    <n v="3662000"/>
    <n v="0"/>
    <x v="0"/>
    <x v="0"/>
    <m/>
    <x v="0"/>
    <x v="0"/>
  </r>
  <r>
    <x v="0"/>
    <n v="851"/>
    <x v="0"/>
    <e v="#N/A"/>
    <n v="3269304.8499999996"/>
    <n v="3269305"/>
    <n v="0"/>
    <x v="0"/>
    <x v="0"/>
    <m/>
    <x v="0"/>
    <x v="0"/>
  </r>
  <r>
    <x v="0"/>
    <n v="852"/>
    <x v="0"/>
    <e v="#N/A"/>
    <n v="4327048.25"/>
    <n v="4327048"/>
    <n v="0"/>
    <x v="0"/>
    <x v="0"/>
    <m/>
    <x v="0"/>
    <x v="0"/>
  </r>
  <r>
    <x v="0"/>
    <n v="853"/>
    <x v="0"/>
    <e v="#N/A"/>
    <n v="5002413.71"/>
    <n v="5002414"/>
    <n v="0"/>
    <x v="0"/>
    <x v="0"/>
    <m/>
    <x v="0"/>
    <x v="0"/>
  </r>
  <r>
    <x v="0"/>
    <n v="854"/>
    <x v="0"/>
    <e v="#N/A"/>
    <n v="3080937.3699999996"/>
    <n v="3080937"/>
    <n v="0"/>
    <x v="0"/>
    <x v="0"/>
    <m/>
    <x v="0"/>
    <x v="0"/>
  </r>
  <r>
    <x v="0"/>
    <n v="855"/>
    <x v="0"/>
    <e v="#N/A"/>
    <n v="4200826.1399999997"/>
    <n v="4200826"/>
    <n v="0"/>
    <x v="0"/>
    <x v="0"/>
    <m/>
    <x v="0"/>
    <x v="0"/>
  </r>
  <r>
    <x v="0"/>
    <n v="856"/>
    <x v="0"/>
    <e v="#N/A"/>
    <n v="1173460.19"/>
    <n v="1173460"/>
    <n v="0"/>
    <x v="0"/>
    <x v="0"/>
    <m/>
    <x v="0"/>
    <x v="0"/>
  </r>
  <r>
    <x v="0"/>
    <n v="857"/>
    <x v="0"/>
    <e v="#N/A"/>
    <n v="4999999.2"/>
    <n v="5000000"/>
    <n v="0"/>
    <x v="0"/>
    <x v="0"/>
    <m/>
    <x v="0"/>
    <x v="0"/>
  </r>
  <r>
    <x v="0"/>
    <n v="858"/>
    <x v="0"/>
    <e v="#N/A"/>
    <n v="2602782"/>
    <n v="2602782"/>
    <n v="0"/>
    <x v="0"/>
    <x v="0"/>
    <m/>
    <x v="0"/>
    <x v="0"/>
  </r>
  <r>
    <x v="0"/>
    <n v="859"/>
    <x v="0"/>
    <e v="#N/A"/>
    <n v="6072797.29"/>
    <n v="6072797"/>
    <n v="0"/>
    <x v="0"/>
    <x v="0"/>
    <m/>
    <x v="1"/>
    <x v="0"/>
  </r>
  <r>
    <x v="0"/>
    <n v="860"/>
    <x v="0"/>
    <e v="#N/A"/>
    <n v="1787475.2"/>
    <n v="1787475"/>
    <n v="0"/>
    <x v="0"/>
    <x v="0"/>
    <m/>
    <x v="0"/>
    <x v="0"/>
  </r>
  <r>
    <x v="0"/>
    <n v="861"/>
    <x v="0"/>
    <e v="#N/A"/>
    <n v="3163629.28"/>
    <n v="3163629"/>
    <n v="0"/>
    <x v="0"/>
    <x v="0"/>
    <m/>
    <x v="0"/>
    <x v="0"/>
  </r>
  <r>
    <x v="0"/>
    <n v="862"/>
    <x v="0"/>
    <e v="#N/A"/>
    <n v="5397925.9999999991"/>
    <n v="5397926"/>
    <n v="0"/>
    <x v="0"/>
    <x v="0"/>
    <m/>
    <x v="1"/>
    <x v="0"/>
  </r>
  <r>
    <x v="0"/>
    <n v="863"/>
    <x v="0"/>
    <e v="#N/A"/>
    <n v="541523"/>
    <n v="541523"/>
    <n v="0"/>
    <x v="0"/>
    <x v="0"/>
    <m/>
    <x v="0"/>
    <x v="0"/>
  </r>
  <r>
    <x v="0"/>
    <n v="865"/>
    <x v="0"/>
    <e v="#N/A"/>
    <n v="3211122.9999999995"/>
    <n v="3211123"/>
    <n v="0"/>
    <x v="0"/>
    <x v="0"/>
    <m/>
    <x v="0"/>
    <x v="0"/>
  </r>
  <r>
    <x v="0"/>
    <n v="866"/>
    <x v="1"/>
    <e v="#N/A"/>
    <n v="1365291.76"/>
    <n v="1365292"/>
    <n v="0"/>
    <x v="0"/>
    <x v="0"/>
    <m/>
    <x v="0"/>
    <x v="0"/>
  </r>
  <r>
    <x v="0"/>
    <n v="867"/>
    <x v="0"/>
    <e v="#N/A"/>
    <n v="3242670"/>
    <n v="3242670"/>
    <n v="0"/>
    <x v="0"/>
    <x v="0"/>
    <m/>
    <x v="0"/>
    <x v="0"/>
  </r>
  <r>
    <x v="0"/>
    <n v="868"/>
    <x v="2"/>
    <e v="#N/A"/>
    <n v="3239669.09"/>
    <n v="3239669"/>
    <n v="0"/>
    <x v="0"/>
    <x v="0"/>
    <m/>
    <x v="0"/>
    <x v="0"/>
  </r>
  <r>
    <x v="0"/>
    <n v="869"/>
    <x v="0"/>
    <e v="#N/A"/>
    <n v="3398180.6599999997"/>
    <n v="3398181"/>
    <n v="0"/>
    <x v="0"/>
    <x v="0"/>
    <m/>
    <x v="0"/>
    <x v="0"/>
  </r>
  <r>
    <x v="0"/>
    <n v="870"/>
    <x v="3"/>
    <s v="13-06, se envía correo."/>
    <n v="3200000.44"/>
    <n v="1600000"/>
    <n v="1600000.44"/>
    <x v="1"/>
    <x v="0"/>
    <m/>
    <x v="0"/>
    <x v="0"/>
  </r>
  <r>
    <x v="0"/>
    <n v="871"/>
    <x v="0"/>
    <e v="#N/A"/>
    <n v="3702280.4"/>
    <n v="3702280"/>
    <n v="0"/>
    <x v="0"/>
    <x v="0"/>
    <m/>
    <x v="0"/>
    <x v="0"/>
  </r>
  <r>
    <x v="0"/>
    <n v="872"/>
    <x v="0"/>
    <e v="#N/A"/>
    <n v="3099999.98"/>
    <n v="3100000"/>
    <n v="0"/>
    <x v="0"/>
    <x v="0"/>
    <m/>
    <x v="0"/>
    <x v="0"/>
  </r>
  <r>
    <x v="0"/>
    <n v="873"/>
    <x v="0"/>
    <e v="#N/A"/>
    <n v="3180299.9899999998"/>
    <n v="3180300"/>
    <n v="0"/>
    <x v="0"/>
    <x v="0"/>
    <m/>
    <x v="0"/>
    <x v="0"/>
  </r>
  <r>
    <x v="0"/>
    <n v="875"/>
    <x v="0"/>
    <e v="#N/A"/>
    <n v="2137527.98"/>
    <n v="2137528"/>
    <n v="0"/>
    <x v="0"/>
    <x v="0"/>
    <m/>
    <x v="0"/>
    <x v="0"/>
  </r>
  <r>
    <x v="0"/>
    <n v="876"/>
    <x v="0"/>
    <e v="#N/A"/>
    <n v="2859999.59"/>
    <n v="2860000"/>
    <n v="0"/>
    <x v="0"/>
    <x v="0"/>
    <m/>
    <x v="0"/>
    <x v="0"/>
  </r>
  <r>
    <x v="0"/>
    <n v="877"/>
    <x v="0"/>
    <e v="#N/A"/>
    <n v="5747700"/>
    <n v="5747700"/>
    <n v="0"/>
    <x v="0"/>
    <x v="0"/>
    <m/>
    <x v="0"/>
    <x v="0"/>
  </r>
  <r>
    <x v="0"/>
    <n v="878"/>
    <x v="0"/>
    <e v="#N/A"/>
    <n v="4227484.5199999996"/>
    <n v="4227485"/>
    <n v="0"/>
    <x v="0"/>
    <x v="0"/>
    <m/>
    <x v="0"/>
    <x v="0"/>
  </r>
  <r>
    <x v="0"/>
    <n v="879"/>
    <x v="0"/>
    <e v="#N/A"/>
    <n v="1924776.21"/>
    <n v="1924776"/>
    <n v="0"/>
    <x v="0"/>
    <x v="0"/>
    <m/>
    <x v="0"/>
    <x v="0"/>
  </r>
  <r>
    <x v="0"/>
    <n v="880"/>
    <x v="0"/>
    <e v="#N/A"/>
    <n v="3171319.06"/>
    <n v="3171319"/>
    <n v="0"/>
    <x v="0"/>
    <x v="0"/>
    <m/>
    <x v="0"/>
    <x v="0"/>
  </r>
  <r>
    <x v="0"/>
    <n v="881"/>
    <x v="0"/>
    <e v="#N/A"/>
    <n v="6623085"/>
    <n v="6623085"/>
    <n v="0"/>
    <x v="0"/>
    <x v="0"/>
    <n v="9.9"/>
    <x v="0"/>
    <x v="1"/>
  </r>
  <r>
    <x v="0"/>
    <n v="882"/>
    <x v="2"/>
    <e v="#N/A"/>
    <n v="2111308"/>
    <n v="2111308"/>
    <n v="0"/>
    <x v="0"/>
    <x v="0"/>
    <m/>
    <x v="0"/>
    <x v="0"/>
  </r>
  <r>
    <x v="0"/>
    <n v="883"/>
    <x v="0"/>
    <e v="#N/A"/>
    <n v="8035151"/>
    <n v="8035151"/>
    <n v="0"/>
    <x v="0"/>
    <x v="0"/>
    <m/>
    <x v="0"/>
    <x v="0"/>
  </r>
  <r>
    <x v="1"/>
    <n v="884"/>
    <x v="0"/>
    <e v="#N/A"/>
    <n v="5200000"/>
    <n v="5200000"/>
    <n v="0"/>
    <x v="0"/>
    <x v="0"/>
    <m/>
    <x v="0"/>
    <x v="0"/>
  </r>
  <r>
    <x v="1"/>
    <n v="885"/>
    <x v="0"/>
    <e v="#N/A"/>
    <n v="1281425"/>
    <n v="1281425"/>
    <n v="0"/>
    <x v="0"/>
    <x v="0"/>
    <m/>
    <x v="0"/>
    <x v="0"/>
  </r>
  <r>
    <x v="1"/>
    <n v="886"/>
    <x v="0"/>
    <e v="#N/A"/>
    <n v="3194767"/>
    <n v="3194767"/>
    <n v="0"/>
    <x v="0"/>
    <x v="0"/>
    <m/>
    <x v="0"/>
    <x v="0"/>
  </r>
  <r>
    <x v="1"/>
    <n v="887"/>
    <x v="0"/>
    <e v="#N/A"/>
    <n v="2384122"/>
    <n v="2384122"/>
    <n v="0"/>
    <x v="0"/>
    <x v="0"/>
    <m/>
    <x v="0"/>
    <x v="0"/>
  </r>
  <r>
    <x v="1"/>
    <n v="888"/>
    <x v="0"/>
    <e v="#N/A"/>
    <n v="5503676"/>
    <n v="5503676"/>
    <n v="0"/>
    <x v="0"/>
    <x v="0"/>
    <m/>
    <x v="0"/>
    <x v="0"/>
  </r>
  <r>
    <x v="1"/>
    <n v="889"/>
    <x v="0"/>
    <e v="#N/A"/>
    <n v="4720803"/>
    <n v="4720803"/>
    <n v="0"/>
    <x v="0"/>
    <x v="0"/>
    <m/>
    <x v="0"/>
    <x v="0"/>
  </r>
  <r>
    <x v="1"/>
    <n v="890"/>
    <x v="0"/>
    <e v="#N/A"/>
    <n v="5560367"/>
    <n v="5560367"/>
    <n v="0"/>
    <x v="0"/>
    <x v="0"/>
    <m/>
    <x v="0"/>
    <x v="0"/>
  </r>
  <r>
    <x v="1"/>
    <n v="891"/>
    <x v="4"/>
    <e v="#N/A"/>
    <n v="1967789"/>
    <n v="1967789"/>
    <n v="0"/>
    <x v="0"/>
    <x v="0"/>
    <m/>
    <x v="0"/>
    <x v="2"/>
  </r>
  <r>
    <x v="1"/>
    <n v="892"/>
    <x v="0"/>
    <e v="#N/A"/>
    <n v="2220035"/>
    <n v="2220035"/>
    <n v="0"/>
    <x v="0"/>
    <x v="0"/>
    <m/>
    <x v="0"/>
    <x v="0"/>
  </r>
  <r>
    <x v="1"/>
    <n v="893"/>
    <x v="0"/>
    <e v="#N/A"/>
    <n v="2494427"/>
    <n v="2494427"/>
    <n v="0"/>
    <x v="0"/>
    <x v="0"/>
    <m/>
    <x v="0"/>
    <x v="0"/>
  </r>
  <r>
    <x v="1"/>
    <n v="894"/>
    <x v="0"/>
    <e v="#N/A"/>
    <n v="2637966"/>
    <n v="2637966"/>
    <n v="0"/>
    <x v="0"/>
    <x v="0"/>
    <m/>
    <x v="0"/>
    <x v="0"/>
  </r>
  <r>
    <x v="1"/>
    <n v="895"/>
    <x v="0"/>
    <e v="#N/A"/>
    <n v="3470000"/>
    <n v="3470000"/>
    <n v="0"/>
    <x v="0"/>
    <x v="0"/>
    <m/>
    <x v="0"/>
    <x v="0"/>
  </r>
  <r>
    <x v="1"/>
    <n v="896"/>
    <x v="0"/>
    <e v="#N/A"/>
    <n v="3021000"/>
    <n v="3021000"/>
    <n v="0"/>
    <x v="0"/>
    <x v="0"/>
    <m/>
    <x v="0"/>
    <x v="0"/>
  </r>
  <r>
    <x v="1"/>
    <n v="897"/>
    <x v="0"/>
    <e v="#N/A"/>
    <n v="2734818"/>
    <n v="2734818"/>
    <n v="0"/>
    <x v="0"/>
    <x v="0"/>
    <m/>
    <x v="0"/>
    <x v="0"/>
  </r>
  <r>
    <x v="1"/>
    <n v="898"/>
    <x v="0"/>
    <e v="#N/A"/>
    <n v="9812837"/>
    <n v="9812837"/>
    <n v="0"/>
    <x v="0"/>
    <x v="0"/>
    <m/>
    <x v="1"/>
    <x v="0"/>
  </r>
  <r>
    <x v="1"/>
    <n v="899"/>
    <x v="0"/>
    <e v="#N/A"/>
    <n v="3902839"/>
    <n v="3902839"/>
    <n v="0"/>
    <x v="0"/>
    <x v="0"/>
    <m/>
    <x v="0"/>
    <x v="0"/>
  </r>
  <r>
    <x v="1"/>
    <n v="900"/>
    <x v="0"/>
    <e v="#N/A"/>
    <n v="3807424"/>
    <n v="3807424"/>
    <n v="0"/>
    <x v="0"/>
    <x v="0"/>
    <m/>
    <x v="0"/>
    <x v="0"/>
  </r>
  <r>
    <x v="1"/>
    <n v="901"/>
    <x v="0"/>
    <e v="#N/A"/>
    <n v="4150000"/>
    <n v="4150000"/>
    <n v="0"/>
    <x v="0"/>
    <x v="0"/>
    <m/>
    <x v="0"/>
    <x v="0"/>
  </r>
  <r>
    <x v="1"/>
    <n v="902"/>
    <x v="5"/>
    <e v="#N/A"/>
    <n v="4900000"/>
    <n v="4900000"/>
    <n v="0"/>
    <x v="0"/>
    <x v="1"/>
    <m/>
    <x v="0"/>
    <x v="3"/>
  </r>
  <r>
    <x v="1"/>
    <n v="903"/>
    <x v="0"/>
    <e v="#N/A"/>
    <n v="2000384"/>
    <n v="2000384"/>
    <n v="0"/>
    <x v="0"/>
    <x v="0"/>
    <m/>
    <x v="0"/>
    <x v="0"/>
  </r>
  <r>
    <x v="2"/>
    <n v="904"/>
    <x v="0"/>
    <e v="#N/A"/>
    <n v="1932291"/>
    <n v="1932291"/>
    <n v="0"/>
    <x v="0"/>
    <x v="0"/>
    <n v="5"/>
    <x v="0"/>
    <x v="4"/>
  </r>
  <r>
    <x v="2"/>
    <n v="905"/>
    <x v="0"/>
    <e v="#N/A"/>
    <n v="2478895"/>
    <n v="2478895"/>
    <n v="0"/>
    <x v="0"/>
    <x v="0"/>
    <m/>
    <x v="0"/>
    <x v="0"/>
  </r>
  <r>
    <x v="2"/>
    <n v="906"/>
    <x v="0"/>
    <e v="#N/A"/>
    <n v="3180299"/>
    <n v="3180299"/>
    <n v="0"/>
    <x v="0"/>
    <x v="0"/>
    <m/>
    <x v="0"/>
    <x v="0"/>
  </r>
  <r>
    <x v="2"/>
    <n v="907"/>
    <x v="3"/>
    <e v="#N/A"/>
    <n v="3942519"/>
    <n v="3768931"/>
    <n v="173588"/>
    <x v="1"/>
    <x v="0"/>
    <m/>
    <x v="0"/>
    <x v="0"/>
  </r>
  <r>
    <x v="2"/>
    <n v="908"/>
    <x v="6"/>
    <s v="Caja 08-05"/>
    <n v="833000"/>
    <n v="833000"/>
    <n v="0"/>
    <x v="0"/>
    <x v="0"/>
    <m/>
    <x v="0"/>
    <x v="0"/>
  </r>
  <r>
    <x v="2"/>
    <n v="909"/>
    <x v="0"/>
    <e v="#N/A"/>
    <n v="3079455"/>
    <n v="3079455"/>
    <n v="0"/>
    <x v="0"/>
    <x v="0"/>
    <m/>
    <x v="0"/>
    <x v="0"/>
  </r>
  <r>
    <x v="2"/>
    <n v="910"/>
    <x v="0"/>
    <e v="#N/A"/>
    <n v="2261000"/>
    <n v="2261000"/>
    <n v="0"/>
    <x v="0"/>
    <x v="0"/>
    <m/>
    <x v="0"/>
    <x v="0"/>
  </r>
  <r>
    <x v="2"/>
    <n v="911"/>
    <x v="7"/>
    <s v="Caja 26-05"/>
    <n v="3721742.9999999995"/>
    <n v="3721743"/>
    <n v="0"/>
    <x v="0"/>
    <x v="0"/>
    <m/>
    <x v="0"/>
    <x v="0"/>
  </r>
  <r>
    <x v="2"/>
    <n v="912"/>
    <x v="0"/>
    <e v="#N/A"/>
    <n v="7649999"/>
    <n v="7649999"/>
    <n v="0"/>
    <x v="0"/>
    <x v="0"/>
    <m/>
    <x v="0"/>
    <x v="0"/>
  </r>
  <r>
    <x v="2"/>
    <n v="913"/>
    <x v="0"/>
    <e v="#N/A"/>
    <n v="4120028"/>
    <n v="4120028"/>
    <n v="0"/>
    <x v="0"/>
    <x v="0"/>
    <m/>
    <x v="0"/>
    <x v="0"/>
  </r>
  <r>
    <x v="2"/>
    <n v="914"/>
    <x v="0"/>
    <e v="#N/A"/>
    <n v="1350000"/>
    <n v="1350000"/>
    <n v="0"/>
    <x v="0"/>
    <x v="0"/>
    <m/>
    <x v="0"/>
    <x v="0"/>
  </r>
  <r>
    <x v="2"/>
    <n v="915"/>
    <x v="0"/>
    <e v="#N/A"/>
    <n v="3542450"/>
    <n v="3542450"/>
    <n v="0"/>
    <x v="0"/>
    <x v="0"/>
    <m/>
    <x v="0"/>
    <x v="0"/>
  </r>
  <r>
    <x v="2"/>
    <n v="916"/>
    <x v="0"/>
    <e v="#N/A"/>
    <n v="4821279"/>
    <n v="4821279"/>
    <n v="0"/>
    <x v="0"/>
    <x v="0"/>
    <m/>
    <x v="0"/>
    <x v="0"/>
  </r>
  <r>
    <x v="2"/>
    <n v="917"/>
    <x v="0"/>
    <e v="#N/A"/>
    <n v="3025466"/>
    <n v="3025466"/>
    <n v="0"/>
    <x v="0"/>
    <x v="0"/>
    <m/>
    <x v="0"/>
    <x v="0"/>
  </r>
  <r>
    <x v="2"/>
    <n v="918"/>
    <x v="0"/>
    <e v="#N/A"/>
    <n v="2457193"/>
    <n v="2457193"/>
    <n v="0"/>
    <x v="0"/>
    <x v="0"/>
    <m/>
    <x v="0"/>
    <x v="0"/>
  </r>
  <r>
    <x v="2"/>
    <n v="920"/>
    <x v="0"/>
    <e v="#N/A"/>
    <n v="2600000"/>
    <n v="2600000"/>
    <n v="0"/>
    <x v="0"/>
    <x v="0"/>
    <m/>
    <x v="0"/>
    <x v="0"/>
  </r>
  <r>
    <x v="2"/>
    <n v="922"/>
    <x v="0"/>
    <e v="#N/A"/>
    <n v="2508589"/>
    <n v="2508589"/>
    <n v="0"/>
    <x v="0"/>
    <x v="0"/>
    <m/>
    <x v="0"/>
    <x v="0"/>
  </r>
  <r>
    <x v="2"/>
    <n v="923"/>
    <x v="0"/>
    <e v="#N/A"/>
    <n v="2354144"/>
    <n v="2354144"/>
    <n v="0"/>
    <x v="0"/>
    <x v="0"/>
    <m/>
    <x v="0"/>
    <x v="0"/>
  </r>
  <r>
    <x v="2"/>
    <n v="926"/>
    <x v="8"/>
    <s v="Caja 08-06"/>
    <n v="12000000"/>
    <n v="9000000"/>
    <n v="3000000"/>
    <x v="1"/>
    <x v="1"/>
    <m/>
    <x v="0"/>
    <x v="3"/>
  </r>
  <r>
    <x v="2"/>
    <n v="927"/>
    <x v="0"/>
    <e v="#N/A"/>
    <n v="7348580"/>
    <n v="7348580"/>
    <n v="0"/>
    <x v="0"/>
    <x v="0"/>
    <n v="28.2"/>
    <x v="0"/>
    <x v="5"/>
  </r>
  <r>
    <x v="2"/>
    <n v="928"/>
    <x v="0"/>
    <e v="#N/A"/>
    <n v="3198818"/>
    <n v="3198818"/>
    <n v="0"/>
    <x v="0"/>
    <x v="0"/>
    <n v="28.2"/>
    <x v="0"/>
    <x v="5"/>
  </r>
  <r>
    <x v="2"/>
    <n v="929"/>
    <x v="0"/>
    <e v="#N/A"/>
    <n v="4383858"/>
    <n v="4383858"/>
    <n v="0"/>
    <x v="0"/>
    <x v="0"/>
    <m/>
    <x v="0"/>
    <x v="0"/>
  </r>
  <r>
    <x v="2"/>
    <n v="931"/>
    <x v="0"/>
    <e v="#N/A"/>
    <n v="3360000"/>
    <n v="3360000"/>
    <n v="0"/>
    <x v="0"/>
    <x v="0"/>
    <m/>
    <x v="0"/>
    <x v="0"/>
  </r>
  <r>
    <x v="2"/>
    <n v="933"/>
    <x v="8"/>
    <s v="Caja 05-06"/>
    <n v="4862752"/>
    <n v="3484973"/>
    <n v="1377779"/>
    <x v="1"/>
    <x v="0"/>
    <m/>
    <x v="0"/>
    <x v="0"/>
  </r>
  <r>
    <x v="2"/>
    <n v="934"/>
    <x v="8"/>
    <s v="Proy.no instalado, se instala el 12/06 al 14/06, llamar la primera el 15-06."/>
    <n v="4898805"/>
    <n v="4898805"/>
    <n v="0"/>
    <x v="0"/>
    <x v="0"/>
    <n v="14"/>
    <x v="0"/>
    <x v="6"/>
  </r>
  <r>
    <x v="2"/>
    <n v="935"/>
    <x v="0"/>
    <e v="#N/A"/>
    <n v="4997454"/>
    <n v="4997454"/>
    <n v="0"/>
    <x v="0"/>
    <x v="0"/>
    <m/>
    <x v="0"/>
    <x v="0"/>
  </r>
  <r>
    <x v="2"/>
    <n v="936"/>
    <x v="0"/>
    <e v="#N/A"/>
    <n v="3102864"/>
    <n v="3102864"/>
    <n v="0"/>
    <x v="0"/>
    <x v="0"/>
    <m/>
    <x v="0"/>
    <x v="0"/>
  </r>
  <r>
    <x v="2"/>
    <n v="937"/>
    <x v="0"/>
    <e v="#N/A"/>
    <n v="3258638"/>
    <n v="3258638"/>
    <n v="0"/>
    <x v="0"/>
    <x v="0"/>
    <n v="7.83"/>
    <x v="0"/>
    <x v="5"/>
  </r>
  <r>
    <x v="2"/>
    <n v="938"/>
    <x v="0"/>
    <e v="#N/A"/>
    <n v="2575635"/>
    <n v="2575635"/>
    <n v="0"/>
    <x v="0"/>
    <x v="0"/>
    <n v="4.3"/>
    <x v="0"/>
    <x v="7"/>
  </r>
  <r>
    <x v="2"/>
    <n v="939"/>
    <x v="3"/>
    <e v="#N/A"/>
    <n v="2197252"/>
    <n v="1172417"/>
    <n v="1024835"/>
    <x v="1"/>
    <x v="0"/>
    <m/>
    <x v="0"/>
    <x v="0"/>
  </r>
  <r>
    <x v="2"/>
    <n v="940"/>
    <x v="0"/>
    <e v="#N/A"/>
    <n v="1309477"/>
    <n v="1309477"/>
    <n v="0"/>
    <x v="0"/>
    <x v="0"/>
    <m/>
    <x v="0"/>
    <x v="0"/>
  </r>
  <r>
    <x v="2"/>
    <n v="941"/>
    <x v="0"/>
    <e v="#N/A"/>
    <n v="1748455"/>
    <n v="1748455"/>
    <n v="0"/>
    <x v="0"/>
    <x v="0"/>
    <m/>
    <x v="0"/>
    <x v="0"/>
  </r>
  <r>
    <x v="2"/>
    <n v="943"/>
    <x v="3"/>
    <e v="#N/A"/>
    <n v="305000"/>
    <n v="305000"/>
    <n v="0"/>
    <x v="0"/>
    <x v="0"/>
    <m/>
    <x v="0"/>
    <x v="0"/>
  </r>
  <r>
    <x v="3"/>
    <n v="944"/>
    <x v="0"/>
    <e v="#N/A"/>
    <n v="3000000"/>
    <n v="3000000"/>
    <n v="0"/>
    <x v="0"/>
    <x v="0"/>
    <m/>
    <x v="0"/>
    <x v="0"/>
  </r>
  <r>
    <x v="3"/>
    <n v="945"/>
    <x v="0"/>
    <e v="#N/A"/>
    <n v="5439154.0000000009"/>
    <n v="5439156"/>
    <n v="0"/>
    <x v="0"/>
    <x v="0"/>
    <n v="13.8"/>
    <x v="0"/>
    <x v="8"/>
  </r>
  <r>
    <x v="3"/>
    <n v="948"/>
    <x v="0"/>
    <e v="#N/A"/>
    <n v="3578482"/>
    <n v="3578482"/>
    <n v="0"/>
    <x v="0"/>
    <x v="0"/>
    <m/>
    <x v="0"/>
    <x v="0"/>
  </r>
  <r>
    <x v="3"/>
    <n v="949"/>
    <x v="0"/>
    <e v="#N/A"/>
    <n v="1464219"/>
    <n v="1464219"/>
    <n v="0"/>
    <x v="0"/>
    <x v="0"/>
    <m/>
    <x v="0"/>
    <x v="0"/>
  </r>
  <r>
    <x v="3"/>
    <n v="950"/>
    <x v="4"/>
    <e v="#N/A"/>
    <n v="4100855"/>
    <n v="4100855"/>
    <n v="0"/>
    <x v="0"/>
    <x v="0"/>
    <m/>
    <x v="1"/>
    <x v="9"/>
  </r>
  <r>
    <x v="3"/>
    <n v="951"/>
    <x v="0"/>
    <e v="#N/A"/>
    <n v="3199855"/>
    <n v="3199855"/>
    <n v="0"/>
    <x v="0"/>
    <x v="0"/>
    <n v="7.9"/>
    <x v="0"/>
    <x v="10"/>
  </r>
  <r>
    <x v="3"/>
    <n v="952"/>
    <x v="9"/>
    <s v="Caja 04-06"/>
    <n v="3201719"/>
    <n v="3201719"/>
    <n v="0"/>
    <x v="0"/>
    <x v="0"/>
    <m/>
    <x v="1"/>
    <x v="0"/>
  </r>
  <r>
    <x v="3"/>
    <n v="953"/>
    <x v="0"/>
    <e v="#N/A"/>
    <n v="3198032"/>
    <n v="3198032"/>
    <n v="0"/>
    <x v="0"/>
    <x v="0"/>
    <m/>
    <x v="0"/>
    <x v="0"/>
  </r>
  <r>
    <x v="3"/>
    <n v="954"/>
    <x v="0"/>
    <e v="#N/A"/>
    <n v="3198032"/>
    <n v="3198032"/>
    <n v="0"/>
    <x v="0"/>
    <x v="0"/>
    <m/>
    <x v="0"/>
    <x v="0"/>
  </r>
  <r>
    <x v="3"/>
    <n v="955"/>
    <x v="0"/>
    <e v="#N/A"/>
    <n v="5654218"/>
    <n v="5654218"/>
    <n v="0"/>
    <x v="0"/>
    <x v="0"/>
    <n v="13"/>
    <x v="0"/>
    <x v="1"/>
  </r>
  <r>
    <x v="3"/>
    <n v="956"/>
    <x v="0"/>
    <e v="#N/A"/>
    <n v="2071874"/>
    <n v="2071874"/>
    <n v="0"/>
    <x v="0"/>
    <x v="0"/>
    <m/>
    <x v="0"/>
    <x v="0"/>
  </r>
  <r>
    <x v="3"/>
    <n v="957"/>
    <x v="10"/>
    <s v="Se mando correo con Cbr. Judicial, 12/05 se coordina visita a terreno por cobrador, llamar el 15-06"/>
    <n v="4820844"/>
    <n v="4025000"/>
    <n v="795844"/>
    <x v="1"/>
    <x v="0"/>
    <m/>
    <x v="0"/>
    <x v="0"/>
  </r>
  <r>
    <x v="3"/>
    <n v="959"/>
    <x v="0"/>
    <e v="#N/A"/>
    <n v="5977748"/>
    <n v="5977748"/>
    <n v="0"/>
    <x v="0"/>
    <x v="0"/>
    <m/>
    <x v="0"/>
    <x v="0"/>
  </r>
  <r>
    <x v="3"/>
    <n v="960"/>
    <x v="0"/>
    <e v="#N/A"/>
    <n v="3198032"/>
    <n v="3198032"/>
    <n v="0"/>
    <x v="0"/>
    <x v="0"/>
    <m/>
    <x v="0"/>
    <x v="0"/>
  </r>
  <r>
    <x v="3"/>
    <n v="961"/>
    <x v="0"/>
    <e v="#N/A"/>
    <n v="3242670"/>
    <n v="3242670"/>
    <n v="0"/>
    <x v="0"/>
    <x v="0"/>
    <m/>
    <x v="0"/>
    <x v="0"/>
  </r>
  <r>
    <x v="3"/>
    <n v="962"/>
    <x v="0"/>
    <e v="#N/A"/>
    <n v="5476976"/>
    <n v="5476976"/>
    <n v="0"/>
    <x v="0"/>
    <x v="0"/>
    <m/>
    <x v="0"/>
    <x v="0"/>
  </r>
  <r>
    <x v="3"/>
    <n v="963"/>
    <x v="0"/>
    <e v="#N/A"/>
    <n v="3316409"/>
    <n v="3316409"/>
    <n v="0"/>
    <x v="0"/>
    <x v="0"/>
    <m/>
    <x v="0"/>
    <x v="0"/>
  </r>
  <r>
    <x v="3"/>
    <n v="965"/>
    <x v="0"/>
    <e v="#N/A"/>
    <n v="2600000"/>
    <n v="2600000"/>
    <n v="0"/>
    <x v="0"/>
    <x v="0"/>
    <m/>
    <x v="0"/>
    <x v="0"/>
  </r>
  <r>
    <x v="3"/>
    <n v="966"/>
    <x v="0"/>
    <e v="#N/A"/>
    <n v="12085035"/>
    <n v="12085035"/>
    <n v="0"/>
    <x v="0"/>
    <x v="0"/>
    <m/>
    <x v="0"/>
    <x v="0"/>
  </r>
  <r>
    <x v="3"/>
    <n v="967"/>
    <x v="4"/>
    <e v="#N/A"/>
    <n v="9012547"/>
    <n v="9012547"/>
    <n v="0"/>
    <x v="0"/>
    <x v="0"/>
    <n v="15.8"/>
    <x v="1"/>
    <x v="9"/>
  </r>
  <r>
    <x v="4"/>
    <n v="969"/>
    <x v="11"/>
    <s v="Problema con Transbank"/>
    <n v="2124649"/>
    <n v="1416433"/>
    <n v="708216"/>
    <x v="1"/>
    <x v="0"/>
    <m/>
    <x v="0"/>
    <x v="0"/>
  </r>
  <r>
    <x v="4"/>
    <n v="970"/>
    <x v="10"/>
    <s v="llamar el 05-06"/>
    <n v="3064828"/>
    <n v="1336285"/>
    <n v="1728543"/>
    <x v="1"/>
    <x v="0"/>
    <m/>
    <x v="0"/>
    <x v="0"/>
  </r>
  <r>
    <x v="4"/>
    <n v="971"/>
    <x v="11"/>
    <s v="Problema con Transbank"/>
    <n v="888587"/>
    <n v="592392"/>
    <n v="296195"/>
    <x v="1"/>
    <x v="0"/>
    <m/>
    <x v="0"/>
    <x v="0"/>
  </r>
  <r>
    <x v="4"/>
    <n v="972"/>
    <x v="0"/>
    <e v="#N/A"/>
    <n v="13685000"/>
    <n v="13685000"/>
    <n v="0"/>
    <x v="0"/>
    <x v="0"/>
    <n v="36.6"/>
    <x v="0"/>
    <x v="11"/>
  </r>
  <r>
    <x v="4"/>
    <n v="973"/>
    <x v="0"/>
    <e v="#N/A"/>
    <n v="5439154"/>
    <n v="5439154"/>
    <n v="0"/>
    <x v="0"/>
    <x v="0"/>
    <m/>
    <x v="0"/>
    <x v="0"/>
  </r>
  <r>
    <x v="4"/>
    <n v="975"/>
    <x v="0"/>
    <e v="#N/A"/>
    <n v="4287917"/>
    <n v="4287917"/>
    <n v="0"/>
    <x v="0"/>
    <x v="0"/>
    <n v="8.5"/>
    <x v="0"/>
    <x v="12"/>
  </r>
  <r>
    <x v="4"/>
    <n v="976"/>
    <x v="0"/>
    <e v="#N/A"/>
    <n v="1950000"/>
    <n v="1950000"/>
    <n v="0"/>
    <x v="0"/>
    <x v="0"/>
    <m/>
    <x v="0"/>
    <x v="0"/>
  </r>
  <r>
    <x v="4"/>
    <n v="978"/>
    <x v="0"/>
    <e v="#N/A"/>
    <n v="999955"/>
    <n v="999955"/>
    <n v="0"/>
    <x v="0"/>
    <x v="0"/>
    <m/>
    <x v="0"/>
    <x v="0"/>
  </r>
  <r>
    <x v="4"/>
    <n v="979"/>
    <x v="0"/>
    <e v="#N/A"/>
    <n v="1972890"/>
    <n v="1972890"/>
    <n v="0"/>
    <x v="0"/>
    <x v="0"/>
    <m/>
    <x v="0"/>
    <x v="0"/>
  </r>
  <r>
    <x v="4"/>
    <n v="980"/>
    <x v="0"/>
    <e v="#N/A"/>
    <n v="3120779"/>
    <n v="3120779"/>
    <n v="0"/>
    <x v="0"/>
    <x v="0"/>
    <m/>
    <x v="0"/>
    <x v="0"/>
  </r>
  <r>
    <x v="4"/>
    <n v="981"/>
    <x v="0"/>
    <e v="#N/A"/>
    <n v="1464219"/>
    <n v="1464219"/>
    <n v="0"/>
    <x v="0"/>
    <x v="0"/>
    <m/>
    <x v="0"/>
    <x v="0"/>
  </r>
  <r>
    <x v="4"/>
    <n v="982"/>
    <x v="0"/>
    <e v="#N/A"/>
    <n v="3198821"/>
    <n v="3198821"/>
    <n v="0"/>
    <x v="0"/>
    <x v="0"/>
    <m/>
    <x v="0"/>
    <x v="0"/>
  </r>
  <r>
    <x v="4"/>
    <n v="983"/>
    <x v="0"/>
    <e v="#N/A"/>
    <n v="2679023.1999999997"/>
    <n v="2679023"/>
    <n v="0"/>
    <x v="0"/>
    <x v="0"/>
    <m/>
    <x v="1"/>
    <x v="0"/>
  </r>
  <r>
    <x v="4"/>
    <n v="985"/>
    <x v="0"/>
    <e v="#N/A"/>
    <n v="2521602"/>
    <n v="2521602"/>
    <n v="0"/>
    <x v="0"/>
    <x v="0"/>
    <m/>
    <x v="0"/>
    <x v="0"/>
  </r>
  <r>
    <x v="4"/>
    <n v="986"/>
    <x v="0"/>
    <e v="#N/A"/>
    <n v="5134206"/>
    <n v="5134206"/>
    <n v="0"/>
    <x v="0"/>
    <x v="0"/>
    <m/>
    <x v="0"/>
    <x v="0"/>
  </r>
  <r>
    <x v="4"/>
    <n v="987"/>
    <x v="0"/>
    <e v="#N/A"/>
    <n v="1438762"/>
    <n v="1438762"/>
    <n v="0"/>
    <x v="0"/>
    <x v="0"/>
    <n v="3.2"/>
    <x v="0"/>
    <x v="13"/>
  </r>
  <r>
    <x v="4"/>
    <n v="988"/>
    <x v="0"/>
    <e v="#N/A"/>
    <n v="1395650"/>
    <n v="1395649"/>
    <n v="0"/>
    <x v="0"/>
    <x v="0"/>
    <n v="2.6"/>
    <x v="0"/>
    <x v="14"/>
  </r>
  <r>
    <x v="4"/>
    <n v="989"/>
    <x v="0"/>
    <e v="#N/A"/>
    <n v="2193090"/>
    <n v="2193090"/>
    <n v="0"/>
    <x v="0"/>
    <x v="0"/>
    <m/>
    <x v="0"/>
    <x v="0"/>
  </r>
  <r>
    <x v="4"/>
    <n v="990"/>
    <x v="12"/>
    <s v="Post venta (Cristales rayados), ACO envío correo el 17-05, 09-06 Aco."/>
    <n v="3767396"/>
    <n v="2130216"/>
    <n v="1637180"/>
    <x v="1"/>
    <x v="0"/>
    <m/>
    <x v="1"/>
    <x v="15"/>
  </r>
  <r>
    <x v="4"/>
    <n v="991"/>
    <x v="12"/>
    <s v="Post venta (Cristales rayados), ACO envío correo el 17-05, 09-06 Aco."/>
    <n v="3133683"/>
    <n v="2130216"/>
    <n v="1003467"/>
    <x v="1"/>
    <x v="0"/>
    <m/>
    <x v="1"/>
    <x v="15"/>
  </r>
  <r>
    <x v="5"/>
    <n v="974"/>
    <x v="4"/>
    <s v="Visita final para el 14-06, 10:00 am, coordinado con Obedmar."/>
    <n v="7669182"/>
    <n v="3834591"/>
    <n v="3834591"/>
    <x v="1"/>
    <x v="1"/>
    <n v="15.15"/>
    <x v="0"/>
    <x v="16"/>
  </r>
  <r>
    <x v="5"/>
    <n v="984"/>
    <x v="0"/>
    <e v="#N/A"/>
    <n v="1144466"/>
    <n v="1144466"/>
    <n v="0"/>
    <x v="0"/>
    <x v="0"/>
    <m/>
    <x v="0"/>
    <x v="0"/>
  </r>
  <r>
    <x v="5"/>
    <n v="992"/>
    <x v="0"/>
    <e v="#N/A"/>
    <n v="5810433"/>
    <n v="5810433"/>
    <n v="0"/>
    <x v="0"/>
    <x v="0"/>
    <m/>
    <x v="0"/>
    <x v="0"/>
  </r>
  <r>
    <x v="5"/>
    <n v="993"/>
    <x v="0"/>
    <e v="#N/A"/>
    <n v="1345650"/>
    <n v="1345650"/>
    <n v="0"/>
    <x v="0"/>
    <x v="0"/>
    <m/>
    <x v="0"/>
    <x v="0"/>
  </r>
  <r>
    <x v="5"/>
    <n v="994"/>
    <x v="13"/>
    <e v="#N/A"/>
    <n v="2602155"/>
    <n v="2602155"/>
    <n v="0"/>
    <x v="0"/>
    <x v="0"/>
    <m/>
    <x v="0"/>
    <x v="0"/>
  </r>
  <r>
    <x v="5"/>
    <n v="995"/>
    <x v="0"/>
    <e v="#N/A"/>
    <n v="2892074"/>
    <n v="2892074"/>
    <n v="0"/>
    <x v="0"/>
    <x v="0"/>
    <n v="4.5999999999999996"/>
    <x v="0"/>
    <x v="17"/>
  </r>
  <r>
    <x v="5"/>
    <n v="996"/>
    <x v="0"/>
    <e v="#N/A"/>
    <n v="3598963"/>
    <n v="3598963"/>
    <n v="0"/>
    <x v="0"/>
    <x v="0"/>
    <n v="8.6"/>
    <x v="0"/>
    <x v="18"/>
  </r>
  <r>
    <x v="5"/>
    <n v="997"/>
    <x v="0"/>
    <e v="#N/A"/>
    <n v="4265436"/>
    <n v="4265436"/>
    <n v="0"/>
    <x v="0"/>
    <x v="0"/>
    <m/>
    <x v="0"/>
    <x v="0"/>
  </r>
  <r>
    <x v="5"/>
    <n v="998"/>
    <x v="0"/>
    <e v="#N/A"/>
    <n v="920000"/>
    <n v="920000"/>
    <n v="0"/>
    <x v="0"/>
    <x v="0"/>
    <m/>
    <x v="0"/>
    <x v="0"/>
  </r>
  <r>
    <x v="5"/>
    <n v="999"/>
    <x v="0"/>
    <e v="#N/A"/>
    <n v="3694186"/>
    <n v="3694186"/>
    <n v="0"/>
    <x v="0"/>
    <x v="0"/>
    <n v="9.5"/>
    <x v="0"/>
    <x v="1"/>
  </r>
  <r>
    <x v="5"/>
    <n v="1000"/>
    <x v="0"/>
    <e v="#N/A"/>
    <n v="14447350"/>
    <n v="14447350"/>
    <n v="0"/>
    <x v="0"/>
    <x v="0"/>
    <m/>
    <x v="0"/>
    <x v="0"/>
  </r>
  <r>
    <x v="5"/>
    <n v="1002"/>
    <x v="1"/>
    <e v="#N/A"/>
    <n v="2308758"/>
    <n v="2308758"/>
    <n v="0"/>
    <x v="0"/>
    <x v="0"/>
    <n v="5.056"/>
    <x v="0"/>
    <x v="19"/>
  </r>
  <r>
    <x v="5"/>
    <n v="1005"/>
    <x v="0"/>
    <e v="#N/A"/>
    <n v="2500000"/>
    <n v="2500000"/>
    <n v="0"/>
    <x v="0"/>
    <x v="0"/>
    <n v="5"/>
    <x v="0"/>
    <x v="20"/>
  </r>
  <r>
    <x v="5"/>
    <n v="1006"/>
    <x v="0"/>
    <e v="#N/A"/>
    <n v="6587388"/>
    <n v="6587388"/>
    <n v="0"/>
    <x v="0"/>
    <x v="0"/>
    <n v="13"/>
    <x v="0"/>
    <x v="21"/>
  </r>
  <r>
    <x v="5"/>
    <n v="1008"/>
    <x v="0"/>
    <e v="#N/A"/>
    <n v="3798999"/>
    <n v="3798999"/>
    <n v="0"/>
    <x v="0"/>
    <x v="0"/>
    <n v="8.6"/>
    <x v="0"/>
    <x v="13"/>
  </r>
  <r>
    <x v="5"/>
    <n v="1009"/>
    <x v="14"/>
    <s v="Caja 05-05"/>
    <n v="3400000"/>
    <n v="3400000"/>
    <n v="0"/>
    <x v="0"/>
    <x v="0"/>
    <n v="5.194"/>
    <x v="0"/>
    <x v="14"/>
  </r>
  <r>
    <x v="5"/>
    <n v="1010"/>
    <x v="0"/>
    <e v="#N/A"/>
    <n v="2423185"/>
    <n v="2423185"/>
    <n v="0"/>
    <x v="0"/>
    <x v="0"/>
    <n v="5.6"/>
    <x v="0"/>
    <x v="22"/>
  </r>
  <r>
    <x v="5"/>
    <n v="1011"/>
    <x v="0"/>
    <e v="#N/A"/>
    <n v="2792430"/>
    <n v="2792430"/>
    <n v="0"/>
    <x v="0"/>
    <x v="0"/>
    <n v="6.8"/>
    <x v="0"/>
    <x v="22"/>
  </r>
  <r>
    <x v="5"/>
    <n v="1013"/>
    <x v="0"/>
    <e v="#N/A"/>
    <n v="3800000"/>
    <n v="3800000"/>
    <n v="0"/>
    <x v="0"/>
    <x v="0"/>
    <m/>
    <x v="0"/>
    <x v="0"/>
  </r>
  <r>
    <x v="5"/>
    <n v="1015"/>
    <x v="0"/>
    <e v="#N/A"/>
    <n v="2000000"/>
    <n v="2000000"/>
    <n v="0"/>
    <x v="0"/>
    <x v="0"/>
    <m/>
    <x v="0"/>
    <x v="0"/>
  </r>
  <r>
    <x v="5"/>
    <n v="1016"/>
    <x v="0"/>
    <e v="#N/A"/>
    <n v="1604407"/>
    <n v="1604407"/>
    <n v="0"/>
    <x v="0"/>
    <x v="0"/>
    <m/>
    <x v="0"/>
    <x v="0"/>
  </r>
  <r>
    <x v="6"/>
    <n v="1007"/>
    <x v="15"/>
    <e v="#N/A"/>
    <n v="518176"/>
    <n v="518176"/>
    <n v="0"/>
    <x v="0"/>
    <x v="0"/>
    <m/>
    <x v="0"/>
    <x v="0"/>
  </r>
  <r>
    <x v="6"/>
    <n v="1012"/>
    <x v="16"/>
    <s v="Caja 02-05"/>
    <n v="2102342"/>
    <n v="2102342"/>
    <n v="0"/>
    <x v="0"/>
    <x v="0"/>
    <m/>
    <x v="0"/>
    <x v="0"/>
  </r>
  <r>
    <x v="6"/>
    <n v="1018"/>
    <x v="0"/>
    <e v="#N/A"/>
    <n v="450000"/>
    <n v="450000"/>
    <n v="0"/>
    <x v="0"/>
    <x v="0"/>
    <m/>
    <x v="0"/>
    <x v="0"/>
  </r>
  <r>
    <x v="6"/>
    <n v="1019"/>
    <x v="0"/>
    <e v="#N/A"/>
    <n v="4562611"/>
    <n v="4562611"/>
    <n v="0"/>
    <x v="0"/>
    <x v="0"/>
    <n v="10"/>
    <x v="0"/>
    <x v="23"/>
  </r>
  <r>
    <x v="6"/>
    <n v="1020"/>
    <x v="0"/>
    <e v="#N/A"/>
    <n v="1500000"/>
    <n v="1500000"/>
    <n v="0"/>
    <x v="0"/>
    <x v="0"/>
    <n v="9"/>
    <x v="0"/>
    <x v="24"/>
  </r>
  <r>
    <x v="6"/>
    <n v="1021"/>
    <x v="0"/>
    <e v="#N/A"/>
    <n v="1650833"/>
    <n v="1650833"/>
    <n v="0"/>
    <x v="0"/>
    <x v="0"/>
    <n v="5.4"/>
    <x v="0"/>
    <x v="11"/>
  </r>
  <r>
    <x v="6"/>
    <n v="1022"/>
    <x v="0"/>
    <e v="#N/A"/>
    <n v="3600000"/>
    <n v="3600000"/>
    <n v="0"/>
    <x v="0"/>
    <x v="0"/>
    <n v="9.01"/>
    <x v="0"/>
    <x v="4"/>
  </r>
  <r>
    <x v="6"/>
    <n v="1023"/>
    <x v="0"/>
    <e v="#N/A"/>
    <n v="2340000"/>
    <n v="2340000"/>
    <n v="0"/>
    <x v="0"/>
    <x v="0"/>
    <m/>
    <x v="0"/>
    <x v="12"/>
  </r>
  <r>
    <x v="6"/>
    <n v="1024"/>
    <x v="0"/>
    <e v="#N/A"/>
    <n v="262000"/>
    <n v="262000"/>
    <n v="0"/>
    <x v="0"/>
    <x v="0"/>
    <m/>
    <x v="1"/>
    <x v="0"/>
  </r>
  <r>
    <x v="6"/>
    <n v="1025"/>
    <x v="0"/>
    <e v="#N/A"/>
    <n v="2999435"/>
    <n v="2999435"/>
    <n v="0"/>
    <x v="0"/>
    <x v="0"/>
    <n v="6.5"/>
    <x v="0"/>
    <x v="23"/>
  </r>
  <r>
    <x v="6"/>
    <n v="1026"/>
    <x v="17"/>
    <s v="Post venta, quedará ok el día 22-05, gestionar el 23-05"/>
    <n v="15642848"/>
    <n v="8000000"/>
    <n v="7642848"/>
    <x v="1"/>
    <x v="0"/>
    <n v="14.2"/>
    <x v="1"/>
    <x v="25"/>
  </r>
  <r>
    <x v="6"/>
    <n v="1027"/>
    <x v="0"/>
    <e v="#N/A"/>
    <n v="1748480"/>
    <n v="1748480"/>
    <n v="0"/>
    <x v="0"/>
    <x v="0"/>
    <n v="3.9"/>
    <x v="0"/>
    <x v="26"/>
  </r>
  <r>
    <x v="6"/>
    <n v="1028"/>
    <x v="0"/>
    <e v="#N/A"/>
    <n v="4641000"/>
    <n v="4641000"/>
    <n v="0"/>
    <x v="0"/>
    <x v="0"/>
    <m/>
    <x v="0"/>
    <x v="27"/>
  </r>
  <r>
    <x v="6"/>
    <n v="1029"/>
    <x v="0"/>
    <e v="#N/A"/>
    <n v="1867411"/>
    <n v="1867411"/>
    <n v="0"/>
    <x v="0"/>
    <x v="0"/>
    <n v="4.05"/>
    <x v="0"/>
    <x v="21"/>
  </r>
  <r>
    <x v="6"/>
    <n v="1030"/>
    <x v="0"/>
    <e v="#N/A"/>
    <n v="4000000"/>
    <n v="4000000"/>
    <n v="0"/>
    <x v="0"/>
    <x v="0"/>
    <m/>
    <x v="0"/>
    <x v="12"/>
  </r>
  <r>
    <x v="6"/>
    <n v="1031"/>
    <x v="0"/>
    <e v="#N/A"/>
    <n v="5320190"/>
    <n v="5320190"/>
    <n v="0"/>
    <x v="0"/>
    <x v="0"/>
    <m/>
    <x v="0"/>
    <x v="28"/>
  </r>
  <r>
    <x v="7"/>
    <n v="1032"/>
    <x v="0"/>
    <e v="#N/A"/>
    <n v="1904000"/>
    <n v="1904000"/>
    <n v="0"/>
    <x v="0"/>
    <x v="0"/>
    <n v="10.4"/>
    <x v="0"/>
    <x v="0"/>
  </r>
  <r>
    <x v="7"/>
    <n v="1033"/>
    <x v="0"/>
    <e v="#N/A"/>
    <n v="1415974"/>
    <n v="1415974"/>
    <n v="0"/>
    <x v="0"/>
    <x v="0"/>
    <n v="2.8"/>
    <x v="0"/>
    <x v="12"/>
  </r>
  <r>
    <x v="7"/>
    <n v="1034"/>
    <x v="8"/>
    <s v="Caja 05-05"/>
    <n v="1971384"/>
    <n v="1642820"/>
    <n v="328564"/>
    <x v="1"/>
    <x v="0"/>
    <n v="3.7"/>
    <x v="1"/>
    <x v="29"/>
  </r>
  <r>
    <x v="7"/>
    <n v="1035"/>
    <x v="0"/>
    <e v="#N/A"/>
    <n v="3345333"/>
    <n v="3345333"/>
    <n v="0"/>
    <x v="0"/>
    <x v="0"/>
    <n v="13.8"/>
    <x v="1"/>
    <x v="0"/>
  </r>
  <r>
    <x v="7"/>
    <n v="1036"/>
    <x v="0"/>
    <e v="#N/A"/>
    <n v="1807879"/>
    <n v="1807879"/>
    <n v="0"/>
    <x v="0"/>
    <x v="0"/>
    <n v="3.79"/>
    <x v="0"/>
    <x v="30"/>
  </r>
  <r>
    <x v="7"/>
    <n v="1038"/>
    <x v="18"/>
    <s v="Caja 02-06"/>
    <n v="500000"/>
    <n v="250000"/>
    <n v="250000"/>
    <x v="1"/>
    <x v="0"/>
    <n v="2.6"/>
    <x v="0"/>
    <x v="0"/>
  </r>
  <r>
    <x v="7"/>
    <n v="1039"/>
    <x v="0"/>
    <e v="#N/A"/>
    <n v="1000000"/>
    <n v="1000000"/>
    <n v="0"/>
    <x v="0"/>
    <x v="0"/>
    <n v="0"/>
    <x v="0"/>
    <x v="0"/>
  </r>
  <r>
    <x v="7"/>
    <n v="1040"/>
    <x v="0"/>
    <e v="#N/A"/>
    <n v="1900319"/>
    <n v="1900319"/>
    <n v="0"/>
    <x v="0"/>
    <x v="0"/>
    <n v="5"/>
    <x v="1"/>
    <x v="31"/>
  </r>
  <r>
    <x v="7"/>
    <n v="1041"/>
    <x v="0"/>
    <e v="#N/A"/>
    <n v="7569221"/>
    <n v="7569221"/>
    <n v="0"/>
    <x v="0"/>
    <x v="0"/>
    <n v="10.199999999999999"/>
    <x v="0"/>
    <x v="32"/>
  </r>
  <r>
    <x v="7"/>
    <n v="1042"/>
    <x v="0"/>
    <e v="#N/A"/>
    <n v="2760000"/>
    <n v="2760000"/>
    <n v="0"/>
    <x v="0"/>
    <x v="0"/>
    <n v="6.4"/>
    <x v="0"/>
    <x v="33"/>
  </r>
  <r>
    <x v="7"/>
    <n v="1043"/>
    <x v="0"/>
    <e v="#N/A"/>
    <n v="3500000"/>
    <n v="3500000"/>
    <n v="0"/>
    <x v="0"/>
    <x v="0"/>
    <n v="10"/>
    <x v="0"/>
    <x v="34"/>
  </r>
  <r>
    <x v="7"/>
    <n v="1044"/>
    <x v="0"/>
    <e v="#N/A"/>
    <n v="4829448"/>
    <n v="4829448"/>
    <n v="0"/>
    <x v="0"/>
    <x v="0"/>
    <n v="8.84"/>
    <x v="0"/>
    <x v="35"/>
  </r>
  <r>
    <x v="7"/>
    <n v="1045"/>
    <x v="19"/>
    <s v="Caja 15-05"/>
    <n v="8900000"/>
    <n v="8900000"/>
    <n v="0"/>
    <x v="0"/>
    <x v="0"/>
    <n v="11.6"/>
    <x v="1"/>
    <x v="34"/>
  </r>
  <r>
    <x v="7"/>
    <n v="1046"/>
    <x v="0"/>
    <e v="#N/A"/>
    <n v="2373440"/>
    <n v="2373440"/>
    <n v="0"/>
    <x v="0"/>
    <x v="0"/>
    <n v="7"/>
    <x v="0"/>
    <x v="29"/>
  </r>
  <r>
    <x v="7"/>
    <n v="1047"/>
    <x v="0"/>
    <e v="#N/A"/>
    <n v="4400000"/>
    <n v="4400000"/>
    <n v="0"/>
    <x v="0"/>
    <x v="0"/>
    <n v="9.27"/>
    <x v="0"/>
    <x v="36"/>
  </r>
  <r>
    <x v="7"/>
    <n v="1048"/>
    <x v="0"/>
    <e v="#N/A"/>
    <n v="4480000"/>
    <n v="4480000"/>
    <n v="0"/>
    <x v="0"/>
    <x v="0"/>
    <n v="11.88"/>
    <x v="1"/>
    <x v="36"/>
  </r>
  <r>
    <x v="7"/>
    <n v="1049"/>
    <x v="0"/>
    <e v="#N/A"/>
    <n v="4000000"/>
    <n v="4000000"/>
    <n v="0"/>
    <x v="0"/>
    <x v="0"/>
    <n v="11.35"/>
    <x v="0"/>
    <x v="37"/>
  </r>
  <r>
    <x v="7"/>
    <n v="1050"/>
    <x v="20"/>
    <s v="Caja 03-05"/>
    <n v="6500000"/>
    <n v="6500000"/>
    <n v="0"/>
    <x v="0"/>
    <x v="0"/>
    <n v="17.71"/>
    <x v="0"/>
    <x v="38"/>
  </r>
  <r>
    <x v="7"/>
    <n v="1051"/>
    <x v="5"/>
    <s v="Con luz verde el día 19-05 para programar instalación, 3º semana de junio."/>
    <n v="4780389"/>
    <n v="1434115"/>
    <n v="3346274"/>
    <x v="1"/>
    <x v="1"/>
    <n v="12.81"/>
    <x v="0"/>
    <x v="3"/>
  </r>
  <r>
    <x v="7"/>
    <n v="1052"/>
    <x v="5"/>
    <s v="Con luz verde el día 19-05 para programar instalación, 3º semana de junio."/>
    <n v="5019793"/>
    <n v="1505947"/>
    <n v="3513846"/>
    <x v="1"/>
    <x v="1"/>
    <n v="13.45"/>
    <x v="0"/>
    <x v="3"/>
  </r>
  <r>
    <x v="8"/>
    <n v="1053"/>
    <x v="0"/>
    <e v="#N/A"/>
    <n v="3403180"/>
    <n v="3403180"/>
    <n v="0"/>
    <x v="0"/>
    <x v="0"/>
    <n v="9.8000000000000007"/>
    <x v="0"/>
    <x v="38"/>
  </r>
  <r>
    <x v="8"/>
    <n v="1054"/>
    <x v="0"/>
    <e v="#N/A"/>
    <n v="2670066"/>
    <n v="2670066"/>
    <n v="0"/>
    <x v="0"/>
    <x v="0"/>
    <n v="7.2"/>
    <x v="0"/>
    <x v="36"/>
  </r>
  <r>
    <x v="8"/>
    <n v="1055"/>
    <x v="14"/>
    <s v="Caja 05-05"/>
    <n v="3053289"/>
    <n v="3124776"/>
    <n v="-71487"/>
    <x v="0"/>
    <x v="0"/>
    <n v="7.8"/>
    <x v="0"/>
    <x v="39"/>
  </r>
  <r>
    <x v="8"/>
    <n v="1056"/>
    <x v="0"/>
    <e v="#N/A"/>
    <n v="1879901"/>
    <n v="1879901"/>
    <n v="0"/>
    <x v="0"/>
    <x v="0"/>
    <n v="3.3"/>
    <x v="0"/>
    <x v="40"/>
  </r>
  <r>
    <x v="8"/>
    <n v="1057"/>
    <x v="17"/>
    <s v="Instalación OK, ACO"/>
    <n v="3128570"/>
    <n v="0"/>
    <n v="3128570"/>
    <x v="1"/>
    <x v="0"/>
    <n v="0"/>
    <x v="1"/>
    <x v="41"/>
  </r>
  <r>
    <x v="8"/>
    <n v="1058"/>
    <x v="0"/>
    <e v="#N/A"/>
    <n v="2750000"/>
    <n v="2750000"/>
    <n v="0"/>
    <x v="0"/>
    <x v="0"/>
    <n v="7.13"/>
    <x v="1"/>
    <x v="42"/>
  </r>
  <r>
    <x v="8"/>
    <n v="1059"/>
    <x v="21"/>
    <s v="Caja 12-06"/>
    <n v="8900000"/>
    <n v="8900000"/>
    <n v="0"/>
    <x v="0"/>
    <x v="0"/>
    <n v="24"/>
    <x v="1"/>
    <x v="43"/>
  </r>
  <r>
    <x v="8"/>
    <n v="1060"/>
    <x v="0"/>
    <e v="#N/A"/>
    <n v="2500000"/>
    <n v="2500000"/>
    <n v="0"/>
    <x v="0"/>
    <x v="0"/>
    <n v="6.92"/>
    <x v="0"/>
    <x v="40"/>
  </r>
  <r>
    <x v="8"/>
    <n v="1061"/>
    <x v="8"/>
    <s v="Caja 05-06"/>
    <n v="3592960"/>
    <n v="2397653"/>
    <n v="1195307"/>
    <x v="1"/>
    <x v="0"/>
    <n v="10.5"/>
    <x v="1"/>
    <x v="44"/>
  </r>
  <r>
    <x v="8"/>
    <n v="1062"/>
    <x v="0"/>
    <e v="#N/A"/>
    <n v="882890"/>
    <n v="882890"/>
    <n v="0"/>
    <x v="0"/>
    <x v="0"/>
    <n v="1.4"/>
    <x v="0"/>
    <x v="35"/>
  </r>
  <r>
    <x v="8"/>
    <n v="1063"/>
    <x v="22"/>
    <s v="Caja abril 2017"/>
    <n v="4074592"/>
    <n v="4074592"/>
    <n v="0"/>
    <x v="0"/>
    <x v="0"/>
    <n v="10.1"/>
    <x v="0"/>
    <x v="45"/>
  </r>
  <r>
    <x v="8"/>
    <n v="1064"/>
    <x v="0"/>
    <e v="#N/A"/>
    <n v="3788119"/>
    <n v="3788119"/>
    <n v="0"/>
    <x v="0"/>
    <x v="0"/>
    <n v="6.85"/>
    <x v="0"/>
    <x v="46"/>
  </r>
  <r>
    <x v="8"/>
    <n v="1065"/>
    <x v="0"/>
    <e v="#N/A"/>
    <n v="3515524"/>
    <n v="3515524"/>
    <n v="0"/>
    <x v="0"/>
    <x v="0"/>
    <n v="8.9"/>
    <x v="0"/>
    <x v="39"/>
  </r>
  <r>
    <x v="8"/>
    <n v="1066"/>
    <x v="0"/>
    <e v="#N/A"/>
    <n v="2680000"/>
    <n v="2680000"/>
    <n v="0"/>
    <x v="0"/>
    <x v="0"/>
    <n v="6.63"/>
    <x v="1"/>
    <x v="47"/>
  </r>
  <r>
    <x v="8"/>
    <n v="1067"/>
    <x v="23"/>
    <s v="Ver con Carmen por tema de comisiones, el 15-05."/>
    <n v="3130961"/>
    <n v="1830581"/>
    <n v="1300380"/>
    <x v="1"/>
    <x v="0"/>
    <n v="7.8"/>
    <x v="0"/>
    <x v="35"/>
  </r>
  <r>
    <x v="8"/>
    <n v="1069"/>
    <x v="8"/>
    <s v="Caja 19-05"/>
    <n v="4000000"/>
    <n v="3800000"/>
    <n v="200000"/>
    <x v="1"/>
    <x v="0"/>
    <n v="10.96"/>
    <x v="0"/>
    <x v="48"/>
  </r>
  <r>
    <x v="8"/>
    <n v="1070"/>
    <x v="20"/>
    <s v="Caja 03-05"/>
    <n v="2480744"/>
    <n v="2480744"/>
    <n v="0"/>
    <x v="0"/>
    <x v="0"/>
    <n v="6"/>
    <x v="0"/>
    <x v="48"/>
  </r>
  <r>
    <x v="8"/>
    <n v="1071"/>
    <x v="0"/>
    <e v="#N/A"/>
    <n v="3217929"/>
    <n v="3217929"/>
    <n v="0"/>
    <x v="0"/>
    <x v="0"/>
    <n v="8.09"/>
    <x v="0"/>
    <x v="49"/>
  </r>
  <r>
    <x v="8"/>
    <n v="1072"/>
    <x v="24"/>
    <s v="Ver con Valentina el 05-06"/>
    <n v="1453691"/>
    <n v="700000"/>
    <n v="753691"/>
    <x v="1"/>
    <x v="0"/>
    <n v="3.1"/>
    <x v="0"/>
    <x v="50"/>
  </r>
  <r>
    <x v="8"/>
    <n v="1073"/>
    <x v="0"/>
    <e v="#N/A"/>
    <n v="2795700"/>
    <n v="2795700"/>
    <n v="0"/>
    <x v="0"/>
    <x v="0"/>
    <n v="7.5"/>
    <x v="0"/>
    <x v="43"/>
  </r>
  <r>
    <x v="8"/>
    <n v="1074"/>
    <x v="0"/>
    <e v="#N/A"/>
    <n v="1805850"/>
    <n v="1805850"/>
    <n v="0"/>
    <x v="0"/>
    <x v="0"/>
    <n v="4.28"/>
    <x v="1"/>
    <x v="51"/>
  </r>
  <r>
    <x v="9"/>
    <n v="1075"/>
    <x v="8"/>
    <s v="Caja 12-06"/>
    <n v="2012191"/>
    <n v="1609753"/>
    <n v="402438"/>
    <x v="1"/>
    <x v="0"/>
    <n v="4.72"/>
    <x v="1"/>
    <x v="48"/>
  </r>
  <r>
    <x v="9"/>
    <n v="1076"/>
    <x v="0"/>
    <e v="#N/A"/>
    <n v="3298960"/>
    <n v="3298960"/>
    <n v="0"/>
    <x v="0"/>
    <x v="0"/>
    <n v="7.83"/>
    <x v="1"/>
    <x v="51"/>
  </r>
  <r>
    <x v="9"/>
    <n v="1077"/>
    <x v="0"/>
    <e v="#N/A"/>
    <n v="4900000"/>
    <n v="4900000"/>
    <n v="0"/>
    <x v="0"/>
    <x v="0"/>
    <n v="13.86"/>
    <x v="0"/>
    <x v="52"/>
  </r>
  <r>
    <x v="9"/>
    <n v="1078"/>
    <x v="25"/>
    <s v="Caja 19-05"/>
    <n v="4562944"/>
    <n v="4562944"/>
    <n v="0"/>
    <x v="0"/>
    <x v="0"/>
    <n v="10.199999999999999"/>
    <x v="1"/>
    <x v="53"/>
  </r>
  <r>
    <x v="9"/>
    <n v="1081"/>
    <x v="8"/>
    <s v="Caja 09-06"/>
    <n v="2920000"/>
    <n v="2440000"/>
    <n v="480000"/>
    <x v="1"/>
    <x v="0"/>
    <n v="7.69"/>
    <x v="0"/>
    <x v="54"/>
  </r>
  <r>
    <x v="9"/>
    <n v="1082"/>
    <x v="5"/>
    <s v="Proy.sin fecha de instalación, Caso Mariam, 16-05 (Junio)."/>
    <n v="4376797"/>
    <n v="2188000"/>
    <n v="2188797"/>
    <x v="1"/>
    <x v="1"/>
    <n v="9.9700000000000006"/>
    <x v="0"/>
    <x v="55"/>
  </r>
  <r>
    <x v="9"/>
    <n v="1083"/>
    <x v="0"/>
    <e v="#N/A"/>
    <n v="3800000"/>
    <n v="3800000"/>
    <n v="0"/>
    <x v="0"/>
    <x v="0"/>
    <n v="10.130000000000001"/>
    <x v="0"/>
    <x v="56"/>
  </r>
  <r>
    <x v="9"/>
    <n v="1084"/>
    <x v="4"/>
    <s v="Caja 08-06"/>
    <n v="5286663"/>
    <n v="5286663"/>
    <n v="0"/>
    <x v="0"/>
    <x v="0"/>
    <n v="15.4"/>
    <x v="1"/>
    <x v="57"/>
  </r>
  <r>
    <x v="9"/>
    <n v="1085"/>
    <x v="0"/>
    <e v="#N/A"/>
    <n v="4380000"/>
    <n v="4380000"/>
    <n v="0"/>
    <x v="0"/>
    <x v="0"/>
    <n v="11.88"/>
    <x v="0"/>
    <x v="49"/>
  </r>
  <r>
    <x v="9"/>
    <n v="1086"/>
    <x v="0"/>
    <e v="#N/A"/>
    <n v="1284463"/>
    <n v="1284463"/>
    <n v="0"/>
    <x v="0"/>
    <x v="0"/>
    <n v="3.33"/>
    <x v="0"/>
    <x v="54"/>
  </r>
  <r>
    <x v="9"/>
    <n v="1087"/>
    <x v="26"/>
    <s v="Caja 24-06"/>
    <n v="2394000"/>
    <n v="2383956"/>
    <n v="10044"/>
    <x v="1"/>
    <x v="0"/>
    <n v="5.85"/>
    <x v="1"/>
    <x v="58"/>
  </r>
  <r>
    <x v="9"/>
    <n v="1088"/>
    <x v="27"/>
    <s v="Caja 22-05"/>
    <n v="4044000"/>
    <n v="4044000"/>
    <n v="0"/>
    <x v="0"/>
    <x v="0"/>
    <n v="11.5"/>
    <x v="1"/>
    <x v="53"/>
  </r>
  <r>
    <x v="9"/>
    <n v="1089"/>
    <x v="27"/>
    <s v="Caja 22-05"/>
    <n v="2687655"/>
    <n v="2687655"/>
    <n v="0"/>
    <x v="0"/>
    <x v="0"/>
    <n v="6.5"/>
    <x v="1"/>
    <x v="53"/>
  </r>
  <r>
    <x v="9"/>
    <n v="1090"/>
    <x v="4"/>
    <s v="Proy. se instala el 03-06"/>
    <n v="7681930"/>
    <n v="3840964"/>
    <n v="3840966"/>
    <x v="1"/>
    <x v="1"/>
    <n v="16.760000000000002"/>
    <x v="1"/>
    <x v="59"/>
  </r>
  <r>
    <x v="9"/>
    <n v="1091"/>
    <x v="28"/>
    <s v="Caja 17-05"/>
    <n v="3640000"/>
    <n v="3640000"/>
    <n v="0"/>
    <x v="0"/>
    <x v="0"/>
    <n v="10.3"/>
    <x v="0"/>
    <x v="60"/>
  </r>
  <r>
    <x v="9"/>
    <n v="1092"/>
    <x v="5"/>
    <s v="Proy. Se instala en agosto, pendiente."/>
    <n v="9850473"/>
    <n v="6600000"/>
    <n v="3250473"/>
    <x v="1"/>
    <x v="1"/>
    <n v="26.69"/>
    <x v="0"/>
    <x v="61"/>
  </r>
  <r>
    <x v="9"/>
    <n v="1093"/>
    <x v="4"/>
    <s v="Caja 09-06"/>
    <n v="2000000"/>
    <n v="2000000"/>
    <n v="0"/>
    <x v="0"/>
    <x v="0"/>
    <n v="5.9"/>
    <x v="0"/>
    <x v="62"/>
  </r>
  <r>
    <x v="9"/>
    <n v="1094"/>
    <x v="8"/>
    <s v="Caja 09-06"/>
    <n v="3192526"/>
    <n v="3192525"/>
    <n v="0"/>
    <x v="0"/>
    <x v="0"/>
    <n v="8.35"/>
    <x v="0"/>
    <x v="63"/>
  </r>
  <r>
    <x v="9"/>
    <n v="1095"/>
    <x v="4"/>
    <s v="Caja 05-06"/>
    <n v="8033000"/>
    <n v="3293334"/>
    <n v="4739666"/>
    <x v="1"/>
    <x v="1"/>
    <n v="14.65"/>
    <x v="0"/>
    <x v="6"/>
  </r>
  <r>
    <x v="9"/>
    <n v="1096"/>
    <x v="14"/>
    <s v="Caja 05-05"/>
    <n v="4200000"/>
    <n v="4200000"/>
    <n v="0"/>
    <x v="0"/>
    <x v="0"/>
    <n v="11.6"/>
    <x v="0"/>
    <x v="64"/>
  </r>
  <r>
    <x v="9"/>
    <n v="1097"/>
    <x v="29"/>
    <s v="Caja 06-06"/>
    <n v="3743770"/>
    <n v="3743770"/>
    <n v="0"/>
    <x v="0"/>
    <x v="0"/>
    <n v="9.35"/>
    <x v="0"/>
    <x v="64"/>
  </r>
  <r>
    <x v="9"/>
    <n v="1098"/>
    <x v="4"/>
    <e v="#N/A"/>
    <n v="2710520"/>
    <n v="2710520"/>
    <n v="0"/>
    <x v="0"/>
    <x v="0"/>
    <n v="6.51"/>
    <x v="0"/>
    <x v="6"/>
  </r>
  <r>
    <x v="9"/>
    <n v="1099"/>
    <x v="18"/>
    <s v="caja 09-06"/>
    <n v="3798000"/>
    <n v="3798000"/>
    <n v="0"/>
    <x v="0"/>
    <x v="0"/>
    <n v="9.59"/>
    <x v="0"/>
    <x v="62"/>
  </r>
  <r>
    <x v="9"/>
    <n v="1100"/>
    <x v="30"/>
    <s v="Caja 16-06"/>
    <n v="3997083"/>
    <n v="1500000"/>
    <n v="2497083"/>
    <x v="1"/>
    <x v="0"/>
    <n v="9.77"/>
    <x v="0"/>
    <x v="65"/>
  </r>
  <r>
    <x v="10"/>
    <n v="1101"/>
    <x v="18"/>
    <s v="Caja 09-06"/>
    <n v="1672718"/>
    <n v="1672718"/>
    <n v="0"/>
    <x v="0"/>
    <x v="0"/>
    <n v="4.55"/>
    <x v="0"/>
    <x v="57"/>
  </r>
  <r>
    <x v="10"/>
    <n v="1102"/>
    <x v="4"/>
    <s v="Proy. Se instala el 01/06, gestionar el 02/06."/>
    <n v="2590791"/>
    <n v="1300000"/>
    <n v="1290791"/>
    <x v="1"/>
    <x v="1"/>
    <n v="6.88"/>
    <x v="0"/>
    <x v="66"/>
  </r>
  <r>
    <x v="10"/>
    <n v="1103"/>
    <x v="4"/>
    <s v="Proy. Se instala desde el 5 al 6/06, gestionar el 07/06."/>
    <n v="5236000"/>
    <n v="5236000"/>
    <n v="0"/>
    <x v="0"/>
    <x v="0"/>
    <n v="14.6"/>
    <x v="0"/>
    <x v="2"/>
  </r>
  <r>
    <x v="10"/>
    <n v="1104"/>
    <x v="4"/>
    <s v="Caja 12-06"/>
    <n v="3698875"/>
    <n v="3698875"/>
    <n v="0"/>
    <x v="0"/>
    <x v="0"/>
    <n v="8.2799999999999994"/>
    <x v="1"/>
    <x v="67"/>
  </r>
  <r>
    <x v="10"/>
    <n v="1105"/>
    <x v="8"/>
    <s v="Caja 07-06"/>
    <n v="611591"/>
    <n v="611591"/>
    <n v="0"/>
    <x v="0"/>
    <x v="0"/>
    <n v="1.1599999999999999"/>
    <x v="0"/>
    <x v="68"/>
  </r>
  <r>
    <x v="10"/>
    <n v="1106"/>
    <x v="8"/>
    <s v="Con temas pendientes, revisar el 20-06"/>
    <n v="5448352"/>
    <n v="4448352"/>
    <n v="1000000"/>
    <x v="1"/>
    <x v="0"/>
    <n v="14.29"/>
    <x v="0"/>
    <x v="69"/>
  </r>
  <r>
    <x v="10"/>
    <n v="1107"/>
    <x v="0"/>
    <e v="#N/A"/>
    <n v="351050"/>
    <n v="351050"/>
    <n v="0"/>
    <x v="0"/>
    <x v="0"/>
    <n v="9.59"/>
    <x v="0"/>
    <x v="70"/>
  </r>
  <r>
    <x v="10"/>
    <n v="1108"/>
    <x v="8"/>
    <s v="Caja 05-06"/>
    <n v="3091228"/>
    <n v="3091228"/>
    <n v="0"/>
    <x v="0"/>
    <x v="0"/>
    <n v="8.3699999999999992"/>
    <x v="1"/>
    <x v="16"/>
  </r>
  <r>
    <x v="10"/>
    <n v="1109"/>
    <x v="4"/>
    <s v="Proy. Se instala la 2 semana de junio, revisar el 12-06."/>
    <n v="2805197"/>
    <n v="1402598"/>
    <n v="1402599"/>
    <x v="1"/>
    <x v="0"/>
    <n v="7.21"/>
    <x v="0"/>
    <x v="71"/>
  </r>
  <r>
    <x v="10"/>
    <n v="1110"/>
    <x v="4"/>
    <s v="Proy. Se instala la 3 semana de junio, revisar el 19-06."/>
    <n v="2797420"/>
    <n v="1400000"/>
    <n v="1397420"/>
    <x v="1"/>
    <x v="0"/>
    <n v="7.03"/>
    <x v="0"/>
    <x v="66"/>
  </r>
  <r>
    <x v="10"/>
    <n v="1111"/>
    <x v="8"/>
    <s v="Proy. Se instala la 1 semana de junio, revisar el 09-06."/>
    <n v="1931721"/>
    <n v="1931721"/>
    <n v="0"/>
    <x v="0"/>
    <x v="0"/>
    <n v="4.55"/>
    <x v="1"/>
    <x v="66"/>
  </r>
  <r>
    <x v="10"/>
    <n v="1112"/>
    <x v="8"/>
    <s v="Caja 13-06"/>
    <n v="2640417"/>
    <n v="2640417"/>
    <n v="0"/>
    <x v="0"/>
    <x v="0"/>
    <n v="5.81"/>
    <x v="0"/>
    <x v="2"/>
  </r>
  <r>
    <x v="10"/>
    <n v="1113"/>
    <x v="4"/>
    <s v="Proy. Se instala el 29-05, llamar el 30-05."/>
    <n v="5532531"/>
    <n v="2760000"/>
    <n v="2772531"/>
    <x v="1"/>
    <x v="1"/>
    <n v="11.15"/>
    <x v="0"/>
    <x v="72"/>
  </r>
  <r>
    <x v="10"/>
    <n v="1114"/>
    <x v="4"/>
    <s v="Proyecto se instala el 17-06-, revisar el 19-06."/>
    <n v="4738133"/>
    <n v="3158754"/>
    <n v="1579379"/>
    <x v="1"/>
    <x v="1"/>
    <n v="14.25"/>
    <x v="0"/>
    <x v="66"/>
  </r>
  <r>
    <x v="10"/>
    <n v="1115"/>
    <x v="30"/>
    <s v="Caja 12-06"/>
    <n v="5800000"/>
    <n v="966666"/>
    <n v="4833334"/>
    <x v="1"/>
    <x v="0"/>
    <n v="15.46"/>
    <x v="1"/>
    <x v="69"/>
  </r>
  <r>
    <x v="10"/>
    <n v="1116"/>
    <x v="8"/>
    <s v="Caja 12-06"/>
    <n v="8976229"/>
    <n v="8976229"/>
    <n v="0"/>
    <x v="0"/>
    <x v="0"/>
    <n v="23.55"/>
    <x v="1"/>
    <x v="73"/>
  </r>
  <r>
    <x v="10"/>
    <n v="1117"/>
    <x v="8"/>
    <s v="13-06, pendiente por cliente (Fuera del Pais)."/>
    <n v="4580459"/>
    <n v="3298174"/>
    <n v="1282285"/>
    <x v="1"/>
    <x v="0"/>
    <n v="11"/>
    <x v="0"/>
    <x v="2"/>
  </r>
  <r>
    <x v="10"/>
    <n v="1118"/>
    <x v="18"/>
    <s v="Caja 09-06"/>
    <n v="3272773"/>
    <n v="3272773"/>
    <n v="0"/>
    <x v="0"/>
    <x v="0"/>
    <n v="8.3800000000000008"/>
    <x v="1"/>
    <x v="74"/>
  </r>
  <r>
    <x v="10"/>
    <n v="1119"/>
    <x v="4"/>
    <s v="Caja 05-05"/>
    <n v="3132486"/>
    <n v="1566234"/>
    <n v="1566252"/>
    <x v="1"/>
    <x v="1"/>
    <n v="7.8250000000000002"/>
    <x v="0"/>
    <x v="75"/>
  </r>
  <r>
    <x v="10"/>
    <n v="1120"/>
    <x v="8"/>
    <s v="Caja 16-05"/>
    <n v="1908400"/>
    <n v="1908400"/>
    <n v="0"/>
    <x v="0"/>
    <x v="0"/>
    <n v="5.27"/>
    <x v="0"/>
    <x v="74"/>
  </r>
  <r>
    <x v="10"/>
    <n v="1121"/>
    <x v="31"/>
    <s v="Caja 30-06"/>
    <n v="1574767"/>
    <n v="1049845"/>
    <n v="524922"/>
    <x v="1"/>
    <x v="0"/>
    <n v="4.3499999999999996"/>
    <x v="0"/>
    <x v="62"/>
  </r>
  <r>
    <x v="10"/>
    <n v="1122"/>
    <x v="4"/>
    <s v="Proy. Se instala la 3 semana de junio, revisar el 19-06."/>
    <n v="3144874"/>
    <n v="524145"/>
    <n v="2620729"/>
    <x v="1"/>
    <x v="1"/>
    <n v="9.02"/>
    <x v="1"/>
    <x v="76"/>
  </r>
  <r>
    <x v="10"/>
    <n v="1123"/>
    <x v="4"/>
    <s v="Proy. Se instala el 19-06, revisar 20.."/>
    <n v="3614178"/>
    <n v="1807089"/>
    <n v="1807089"/>
    <x v="1"/>
    <x v="1"/>
    <n v="10.8"/>
    <x v="0"/>
    <x v="77"/>
  </r>
  <r>
    <x v="10"/>
    <n v="1124"/>
    <x v="4"/>
    <s v="Proy. Se instala la 3 semana de junio, revisar el 19-06."/>
    <n v="3499731"/>
    <n v="1750000"/>
    <n v="1749731"/>
    <x v="1"/>
    <x v="0"/>
    <n v="9.6300000000000008"/>
    <x v="1"/>
    <x v="66"/>
  </r>
  <r>
    <x v="10"/>
    <n v="1125"/>
    <x v="8"/>
    <s v="Proy. Se instala la 3 semana de junio, revisar el 19-06."/>
    <n v="4477332"/>
    <n v="4477332"/>
    <n v="0"/>
    <x v="0"/>
    <x v="0"/>
    <n v="11.16"/>
    <x v="0"/>
    <x v="6"/>
  </r>
  <r>
    <x v="10"/>
    <n v="1126"/>
    <x v="4"/>
    <s v="Proy. Se instala la 4 semana de junio, revisar el 27-06."/>
    <n v="3455315"/>
    <n v="3455315"/>
    <n v="0"/>
    <x v="0"/>
    <x v="1"/>
    <n v="10.5"/>
    <x v="0"/>
    <x v="72"/>
  </r>
  <r>
    <x v="10"/>
    <n v="1127"/>
    <x v="0"/>
    <e v="#N/A"/>
    <m/>
    <m/>
    <m/>
    <x v="0"/>
    <x v="0"/>
    <n v="16.5"/>
    <x v="0"/>
    <x v="78"/>
  </r>
  <r>
    <x v="10"/>
    <n v="1128"/>
    <x v="4"/>
    <s v="Proy. Se instala en junio, aun sin fecha"/>
    <n v="1948942"/>
    <n v="1948942"/>
    <n v="0"/>
    <x v="0"/>
    <x v="1"/>
    <n v="4.82"/>
    <x v="0"/>
    <x v="59"/>
  </r>
  <r>
    <x v="10"/>
    <n v="1129"/>
    <x v="4"/>
    <s v="Proy. Se instala 17-06, revisar el 19"/>
    <n v="4000000"/>
    <n v="1680000"/>
    <n v="2320000"/>
    <x v="1"/>
    <x v="1"/>
    <n v="7.2"/>
    <x v="1"/>
    <x v="79"/>
  </r>
  <r>
    <x v="11"/>
    <n v="1130"/>
    <x v="4"/>
    <s v="Caja 13-06"/>
    <n v="4176932"/>
    <n v="4176932"/>
    <n v="0"/>
    <x v="0"/>
    <x v="1"/>
    <n v="12.72"/>
    <x v="0"/>
    <x v="80"/>
  </r>
  <r>
    <x v="11"/>
    <n v="1131"/>
    <x v="4"/>
    <s v="Caja 19-05"/>
    <n v="4616268"/>
    <n v="1538756"/>
    <n v="3077512"/>
    <x v="1"/>
    <x v="1"/>
    <n v="13.93"/>
    <x v="0"/>
    <x v="80"/>
  </r>
  <r>
    <x v="11"/>
    <n v="1132"/>
    <x v="4"/>
    <s v="Caja 22-06"/>
    <n v="4500000"/>
    <n v="1500000"/>
    <n v="3000000"/>
    <x v="1"/>
    <x v="1"/>
    <n v="9.76"/>
    <x v="0"/>
    <x v="80"/>
  </r>
  <r>
    <x v="11"/>
    <n v="1133"/>
    <x v="5"/>
    <s v="Instalación Julio."/>
    <n v="2697482"/>
    <n v="1348741"/>
    <n v="1348741"/>
    <x v="1"/>
    <x v="1"/>
    <n v="4.91"/>
    <x v="0"/>
    <x v="3"/>
  </r>
  <r>
    <x v="11"/>
    <n v="1134"/>
    <x v="4"/>
    <s v="Caja 22-05"/>
    <n v="7127000"/>
    <n v="3563500"/>
    <n v="3563500"/>
    <x v="1"/>
    <x v="1"/>
    <n v="19.57"/>
    <x v="0"/>
    <x v="75"/>
  </r>
  <r>
    <x v="11"/>
    <n v="1135"/>
    <x v="5"/>
    <s v="Instalación Julio."/>
    <n v="1280450"/>
    <n v="600000"/>
    <n v="680450"/>
    <x v="1"/>
    <x v="1"/>
    <n v="3.22"/>
    <x v="0"/>
    <x v="3"/>
  </r>
  <r>
    <x v="11"/>
    <n v="1136"/>
    <x v="4"/>
    <e v="#N/A"/>
    <n v="6693750"/>
    <n v="0"/>
    <n v="6693750"/>
    <x v="1"/>
    <x v="1"/>
    <n v="0"/>
    <x v="0"/>
    <x v="81"/>
  </r>
  <r>
    <x v="11"/>
    <n v="1137"/>
    <x v="4"/>
    <s v="Caja 13-06"/>
    <n v="3100000"/>
    <n v="2066666"/>
    <n v="1033334"/>
    <x v="1"/>
    <x v="0"/>
    <n v="8.5"/>
    <x v="0"/>
    <x v="75"/>
  </r>
  <r>
    <x v="11"/>
    <n v="1138"/>
    <x v="5"/>
    <s v="Caja 17-05"/>
    <n v="3072648"/>
    <n v="3072648"/>
    <n v="0"/>
    <x v="0"/>
    <x v="1"/>
    <n v="8.08"/>
    <x v="0"/>
    <x v="3"/>
  </r>
  <r>
    <x v="11"/>
    <n v="1139"/>
    <x v="4"/>
    <e v="#N/A"/>
    <n v="3211371"/>
    <n v="1605685"/>
    <n v="1605686"/>
    <x v="1"/>
    <x v="1"/>
    <n v="9.07"/>
    <x v="0"/>
    <x v="82"/>
  </r>
  <r>
    <x v="11"/>
    <n v="1140"/>
    <x v="4"/>
    <s v="Caja 12-05"/>
    <n v="1871878"/>
    <n v="935939"/>
    <n v="935939"/>
    <x v="1"/>
    <x v="1"/>
    <n v="4.97"/>
    <x v="0"/>
    <x v="76"/>
  </r>
  <r>
    <x v="11"/>
    <n v="1141"/>
    <x v="5"/>
    <s v="Caja 25-05"/>
    <n v="1820000"/>
    <n v="303333.33333333331"/>
    <n v="1516666.6666666667"/>
    <x v="1"/>
    <x v="1"/>
    <n v="4.7699999999999996"/>
    <x v="0"/>
    <x v="3"/>
  </r>
  <r>
    <x v="11"/>
    <n v="1142"/>
    <x v="5"/>
    <s v="Caja 18-05"/>
    <n v="5654606"/>
    <n v="2827303"/>
    <n v="2827303"/>
    <x v="1"/>
    <x v="1"/>
    <n v="12.28"/>
    <x v="0"/>
    <x v="3"/>
  </r>
  <r>
    <x v="11"/>
    <n v="1143"/>
    <x v="5"/>
    <s v="Caja 19-05"/>
    <n v="13311340"/>
    <n v="6655670"/>
    <n v="6655670"/>
    <x v="1"/>
    <x v="1"/>
    <n v="0"/>
    <x v="0"/>
    <x v="3"/>
  </r>
  <r>
    <x v="11"/>
    <n v="1144"/>
    <x v="5"/>
    <s v="Caja 22-05"/>
    <n v="1864768"/>
    <n v="1080000"/>
    <n v="784768"/>
    <x v="1"/>
    <x v="1"/>
    <n v="6.02"/>
    <x v="0"/>
    <x v="3"/>
  </r>
  <r>
    <x v="11"/>
    <n v="1145"/>
    <x v="5"/>
    <s v="Caja 19-05"/>
    <n v="3887854"/>
    <n v="1700000"/>
    <n v="2187854"/>
    <x v="1"/>
    <x v="1"/>
    <n v="10.1"/>
    <x v="0"/>
    <x v="3"/>
  </r>
  <r>
    <x v="11"/>
    <n v="1146"/>
    <x v="5"/>
    <s v="Caja 24-05"/>
    <n v="3542774"/>
    <n v="3542774"/>
    <n v="0"/>
    <x v="0"/>
    <x v="1"/>
    <n v="9.67"/>
    <x v="0"/>
    <x v="3"/>
  </r>
  <r>
    <x v="11"/>
    <n v="1147"/>
    <x v="5"/>
    <s v="Por gestionar"/>
    <n v="1804498"/>
    <n v="0"/>
    <n v="1804498"/>
    <x v="1"/>
    <x v="1"/>
    <n v="5.2"/>
    <x v="0"/>
    <x v="3"/>
  </r>
  <r>
    <x v="11"/>
    <n v="1148"/>
    <x v="5"/>
    <s v="Por gestionar"/>
    <n v="1800458"/>
    <n v="0"/>
    <n v="1800458"/>
    <x v="1"/>
    <x v="1"/>
    <n v="5.18"/>
    <x v="0"/>
    <x v="3"/>
  </r>
  <r>
    <x v="11"/>
    <n v="1149"/>
    <x v="5"/>
    <s v="Por gestionar"/>
    <n v="1080326"/>
    <n v="0"/>
    <n v="1080326"/>
    <x v="1"/>
    <x v="1"/>
    <n v="5.18"/>
    <x v="0"/>
    <x v="3"/>
  </r>
  <r>
    <x v="11"/>
    <n v="1150"/>
    <x v="5"/>
    <s v="Por gestionar"/>
    <n v="3256980"/>
    <n v="1630000"/>
    <n v="1626980"/>
    <x v="1"/>
    <x v="1"/>
    <n v="8.9"/>
    <x v="0"/>
    <x v="3"/>
  </r>
  <r>
    <x v="11"/>
    <n v="1151"/>
    <x v="5"/>
    <s v="Por gestionar"/>
    <n v="1394855"/>
    <n v="700000"/>
    <n v="694855"/>
    <x v="1"/>
    <x v="1"/>
    <n v="3.77"/>
    <x v="0"/>
    <x v="3"/>
  </r>
  <r>
    <x v="11"/>
    <n v="1152"/>
    <x v="5"/>
    <e v="#N/A"/>
    <n v="3876676"/>
    <n v="3876676"/>
    <n v="0"/>
    <x v="0"/>
    <x v="1"/>
    <n v="5.34"/>
    <x v="0"/>
    <x v="3"/>
  </r>
  <r>
    <x v="12"/>
    <n v="1153"/>
    <x v="5"/>
    <e v="#N/A"/>
    <n v="2798231"/>
    <m/>
    <n v="2798231"/>
    <x v="1"/>
    <x v="1"/>
    <n v="31.62"/>
    <x v="0"/>
    <x v="3"/>
  </r>
  <r>
    <x v="11"/>
    <n v="1154"/>
    <x v="5"/>
    <s v="Por gestionar"/>
    <n v="4104000"/>
    <n v="2052000"/>
    <n v="2052000"/>
    <x v="1"/>
    <x v="1"/>
    <n v="9.93"/>
    <x v="0"/>
    <x v="3"/>
  </r>
  <r>
    <x v="11"/>
    <n v="1155"/>
    <x v="5"/>
    <e v="#N/A"/>
    <n v="4702706"/>
    <n v="4702706"/>
    <n v="0"/>
    <x v="0"/>
    <x v="1"/>
    <n v="9.69"/>
    <x v="0"/>
    <x v="3"/>
  </r>
  <r>
    <x v="11"/>
    <n v="1156"/>
    <x v="5"/>
    <s v="Por gestionar"/>
    <n v="2618610"/>
    <n v="1309305"/>
    <n v="1309305"/>
    <x v="1"/>
    <x v="1"/>
    <n v="7.22"/>
    <x v="0"/>
    <x v="3"/>
  </r>
  <r>
    <x v="11"/>
    <n v="1157"/>
    <x v="5"/>
    <s v="Caja 02-06"/>
    <n v="3943879"/>
    <n v="1971939"/>
    <n v="1971940"/>
    <x v="1"/>
    <x v="1"/>
    <n v="10.14"/>
    <x v="0"/>
    <x v="3"/>
  </r>
  <r>
    <x v="12"/>
    <n v="1158"/>
    <x v="5"/>
    <s v="Caja 08-06"/>
    <n v="5524072"/>
    <n v="2762036"/>
    <n v="2762036"/>
    <x v="1"/>
    <x v="1"/>
    <m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rowHeaderCaption="Fecha Contrato">
  <location ref="A6:H15" firstHeaderRow="0" firstDataRow="1" firstDataCol="1" rowPageCount="3" colPageCount="1"/>
  <pivotFields count="12">
    <pivotField axis="axisRow" numFmtId="17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showAll="0" defaultSubtotal="0"/>
    <pivotField showAll="0" defaultSubtotal="0"/>
    <pivotField dataField="1" showAll="0"/>
    <pivotField dataField="1" numFmtId="165" showAll="0"/>
    <pivotField dataField="1" numFmtId="165" showAll="0"/>
    <pivotField dataField="1" showAll="0" defaultSubtotal="0"/>
    <pivotField axis="axisPage" showAll="0">
      <items count="3">
        <item x="0"/>
        <item x="1"/>
        <item t="default"/>
      </items>
    </pivotField>
    <pivotField dataField="1" showAll="0" defaultSubtotal="0"/>
    <pivotField axis="axisPage" dataField="1" showAll="0">
      <items count="3">
        <item x="0"/>
        <item x="1"/>
        <item t="default"/>
      </items>
    </pivotField>
    <pivotField axis="axisPage" showAll="0">
      <items count="86">
        <item x="0"/>
        <item x="1"/>
        <item x="2"/>
        <item x="4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m="1" x="83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84"/>
        <item x="56"/>
        <item x="57"/>
        <item x="58"/>
        <item x="75"/>
        <item x="60"/>
        <item x="61"/>
        <item x="62"/>
        <item x="63"/>
        <item x="64"/>
        <item x="65"/>
        <item x="66"/>
        <item x="67"/>
        <item x="68"/>
        <item x="69"/>
        <item x="70"/>
        <item x="16"/>
        <item x="71"/>
        <item x="72"/>
        <item x="73"/>
        <item x="74"/>
        <item x="76"/>
        <item x="77"/>
        <item x="78"/>
        <item x="59"/>
        <item x="80"/>
        <item x="81"/>
        <item x="82"/>
        <item x="79"/>
        <item x="55"/>
        <item t="default"/>
      </items>
    </pivotField>
  </pivotFields>
  <rowFields count="1">
    <field x="0"/>
  </rowFields>
  <rowItems count="9">
    <i>
      <x v="1"/>
    </i>
    <i>
      <x v="2"/>
    </i>
    <i>
      <x v="5"/>
    </i>
    <i>
      <x v="7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3">
    <pageField fld="10" hier="-1"/>
    <pageField fld="11" hier="-1"/>
    <pageField fld="8" item="1" hier="-1"/>
  </pageFields>
  <dataFields count="7">
    <dataField name="Suma de Vta. Bruta $" fld="4" baseField="0" baseItem="0"/>
    <dataField name="Suma de COBRADO " fld="5" baseField="0" baseItem="0"/>
    <dataField name="Suma de SALDO CXC " fld="6" baseField="0" baseItem="0"/>
    <dataField name="Contratos" fld="1" subtotal="count" baseField="0" baseItem="6"/>
    <dataField name="Cuenta de Con reparos" fld="10" subtotal="count" baseField="0" baseItem="0"/>
    <dataField name="Cuenta de Casos con deuda" fld="7" subtotal="count" baseField="0" baseItem="0"/>
    <dataField name="Suma de Mtrs. Lineales" fld="9" baseField="0" baseItem="0"/>
  </dataFields>
  <formats count="25">
    <format dxfId="65">
      <pivotArea outline="0" collapsedLevelsAreSubtotals="1" fieldPosition="0"/>
    </format>
    <format dxfId="64">
      <pivotArea dataOnly="0" labelOnly="1" outline="0" fieldPosition="0">
        <references count="1">
          <reference field="4294967294" count="3">
            <x v="0"/>
            <x v="2"/>
            <x v="3"/>
          </reference>
        </references>
      </pivotArea>
    </format>
    <format dxfId="63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6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1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  <format dxfId="60">
      <pivotArea dataOnly="0" labelOnly="1" outline="0" fieldPosition="0">
        <references count="1">
          <reference field="4294967294" count="3">
            <x v="3"/>
            <x v="4"/>
            <x v="5"/>
          </reference>
        </references>
      </pivotArea>
    </format>
    <format dxfId="59">
      <pivotArea field="0" type="button" dataOnly="0" labelOnly="1" outline="0" axis="axisRow" fieldPosition="0"/>
    </format>
    <format dxfId="58">
      <pivotArea dataOnly="0" labelOnly="1" fieldPosition="0">
        <references count="1">
          <reference field="0" count="0"/>
        </references>
      </pivotArea>
    </format>
    <format dxfId="57">
      <pivotArea dataOnly="0" labelOnly="1" grandRow="1" outline="0" fieldPosition="0"/>
    </format>
    <format dxfId="56">
      <pivotArea grandRow="1" outline="0" collapsedLevelsAreSubtotals="1" fieldPosition="0"/>
    </format>
    <format dxfId="55">
      <pivotArea dataOnly="0" labelOnly="1" grandRow="1" outline="0" fieldPosition="0"/>
    </format>
    <format dxfId="5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2">
      <pivotArea dataOnly="0" outline="0" fieldPosition="0">
        <references count="1">
          <reference field="4294967294" count="1">
            <x v="2"/>
          </reference>
        </references>
      </pivotArea>
    </format>
    <format dxfId="5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collapsedLevelsAreSubtotals="1" fieldPosition="0">
        <references count="1">
          <reference field="8" count="1">
            <x v="0"/>
          </reference>
        </references>
      </pivotArea>
    </format>
    <format dxfId="46">
      <pivotArea dataOnly="0" labelOnly="1" fieldPosition="0">
        <references count="1">
          <reference field="8" count="1">
            <x v="0"/>
          </reference>
        </references>
      </pivotArea>
    </format>
    <format dxfId="45">
      <pivotArea collapsedLevelsAreSubtotals="1" fieldPosition="0">
        <references count="1">
          <reference field="8" count="1">
            <x v="1"/>
          </reference>
        </references>
      </pivotArea>
    </format>
    <format dxfId="44">
      <pivotArea dataOnly="0" labelOnly="1" fieldPosition="0">
        <references count="1">
          <reference field="8" count="1">
            <x v="1"/>
          </reference>
        </references>
      </pivotArea>
    </format>
    <format dxfId="4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2"/>
          </reference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rowHeaderCaption="Fecha Contrato">
  <location ref="B7:F22" firstHeaderRow="0" firstDataRow="1" firstDataCol="1" rowPageCount="5" colPageCount="1"/>
  <pivotFields count="12">
    <pivotField axis="axisPage" numFmtId="17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axis="axisRow" showAll="0" defaultSubtotal="0">
      <items count="42">
        <item x="16"/>
        <item x="20"/>
        <item x="9"/>
        <item x="14"/>
        <item x="29"/>
        <item x="6"/>
        <item m="1" x="32"/>
        <item x="13"/>
        <item x="19"/>
        <item x="28"/>
        <item x="25"/>
        <item x="27"/>
        <item x="7"/>
        <item x="22"/>
        <item x="5"/>
        <item x="4"/>
        <item x="8"/>
        <item x="3"/>
        <item x="18"/>
        <item x="21"/>
        <item m="1" x="39"/>
        <item m="1" x="41"/>
        <item x="30"/>
        <item m="1" x="36"/>
        <item x="26"/>
        <item x="17"/>
        <item x="31"/>
        <item x="15"/>
        <item m="1" x="38"/>
        <item m="1" x="35"/>
        <item x="1"/>
        <item x="12"/>
        <item x="2"/>
        <item m="1" x="40"/>
        <item x="23"/>
        <item m="1" x="34"/>
        <item x="0"/>
        <item m="1" x="33"/>
        <item m="1" x="37"/>
        <item x="10"/>
        <item x="24"/>
        <item x="11"/>
      </items>
    </pivotField>
    <pivotField showAll="0" defaultSubtotal="0"/>
    <pivotField dataField="1" showAll="0"/>
    <pivotField dataField="1" numFmtId="165" showAll="0"/>
    <pivotField dataField="1" numFmtId="165" showAll="0"/>
    <pivotField axis="axisPage" showAll="0" defaultSubtotal="0">
      <items count="2">
        <item x="1"/>
        <item x="0"/>
      </items>
    </pivotField>
    <pivotField axis="axisPage" showAll="0">
      <items count="3">
        <item x="0"/>
        <item x="1"/>
        <item t="default"/>
      </items>
    </pivotField>
    <pivotField showAll="0" defaultSubtotal="0"/>
    <pivotField axis="axisPage" showAll="0">
      <items count="3">
        <item x="0"/>
        <item x="1"/>
        <item t="default"/>
      </items>
    </pivotField>
    <pivotField axis="axisPage" showAll="0">
      <items count="86">
        <item x="0"/>
        <item x="1"/>
        <item x="2"/>
        <item x="4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m="1" x="83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84"/>
        <item x="56"/>
        <item x="57"/>
        <item x="58"/>
        <item x="75"/>
        <item x="60"/>
        <item x="61"/>
        <item x="62"/>
        <item x="63"/>
        <item x="64"/>
        <item x="65"/>
        <item x="66"/>
        <item x="67"/>
        <item x="68"/>
        <item x="69"/>
        <item x="70"/>
        <item x="16"/>
        <item x="71"/>
        <item x="72"/>
        <item x="73"/>
        <item x="74"/>
        <item x="76"/>
        <item x="77"/>
        <item x="78"/>
        <item x="59"/>
        <item x="80"/>
        <item x="81"/>
        <item x="82"/>
        <item x="79"/>
        <item x="55"/>
        <item t="default"/>
      </items>
    </pivotField>
  </pivotFields>
  <rowFields count="1">
    <field x="2"/>
  </rowFields>
  <rowItems count="15">
    <i>
      <x v="14"/>
    </i>
    <i>
      <x v="15"/>
    </i>
    <i>
      <x v="16"/>
    </i>
    <i>
      <x v="17"/>
    </i>
    <i>
      <x v="18"/>
    </i>
    <i>
      <x v="22"/>
    </i>
    <i>
      <x v="24"/>
    </i>
    <i>
      <x v="25"/>
    </i>
    <i>
      <x v="26"/>
    </i>
    <i>
      <x v="31"/>
    </i>
    <i>
      <x v="34"/>
    </i>
    <i>
      <x v="39"/>
    </i>
    <i>
      <x v="40"/>
    </i>
    <i>
      <x v="4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5">
    <pageField fld="10" hier="-1"/>
    <pageField fld="11" hier="-1"/>
    <pageField fld="8" hier="-1"/>
    <pageField fld="0" hier="-1"/>
    <pageField fld="7" item="0" hier="-1"/>
  </pageFields>
  <dataFields count="4">
    <dataField name="Suma de Vta. Bruta $" fld="4" baseField="0" baseItem="0"/>
    <dataField name="Suma de COBRADO " fld="5" baseField="0" baseItem="0"/>
    <dataField name="Suma de SALDO CXC " fld="6" baseField="0" baseItem="0"/>
    <dataField name="Contratos" fld="1" subtotal="count" baseField="0" baseItem="6"/>
  </dataFields>
  <formats count="41">
    <format dxfId="40">
      <pivotArea outline="0" collapsedLevelsAreSubtotals="1" fieldPosition="0"/>
    </format>
    <format dxfId="39">
      <pivotArea dataOnly="0" labelOnly="1" outline="0" fieldPosition="0">
        <references count="1">
          <reference field="4294967294" count="3">
            <x v="0"/>
            <x v="2"/>
            <x v="3"/>
          </reference>
        </references>
      </pivotArea>
    </format>
    <format dxfId="38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3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4">
      <pivotArea field="0" type="button" dataOnly="0" labelOnly="1" outline="0" axis="axisPage" fieldPosition="3"/>
    </format>
    <format dxfId="33">
      <pivotArea dataOnly="0" labelOnly="1" fieldPosition="0">
        <references count="1">
          <reference field="0" count="0"/>
        </references>
      </pivotArea>
    </format>
    <format dxfId="32">
      <pivotArea dataOnly="0" labelOnly="1" grandRow="1" outline="0" fieldPosition="0"/>
    </format>
    <format dxfId="31">
      <pivotArea grandRow="1" outline="0" collapsedLevelsAreSubtotals="1" fieldPosition="0"/>
    </format>
    <format dxfId="3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8">
      <pivotArea dataOnly="0" outline="0" fieldPosition="0">
        <references count="1">
          <reference field="4294967294" count="1">
            <x v="2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6">
      <pivotArea collapsedLevelsAreSubtotals="1" fieldPosition="0">
        <references count="1">
          <reference field="8" count="1">
            <x v="0"/>
          </reference>
        </references>
      </pivotArea>
    </format>
    <format dxfId="25">
      <pivotArea dataOnly="0" labelOnly="1" fieldPosition="0">
        <references count="1">
          <reference field="8" count="1">
            <x v="0"/>
          </reference>
        </references>
      </pivotArea>
    </format>
    <format dxfId="24">
      <pivotArea collapsedLevelsAreSubtotals="1" fieldPosition="0">
        <references count="1">
          <reference field="8" count="1">
            <x v="1"/>
          </reference>
        </references>
      </pivotArea>
    </format>
    <format dxfId="23">
      <pivotArea dataOnly="0" labelOnly="1" fieldPosition="0">
        <references count="1">
          <reference field="8" count="1">
            <x v="1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2"/>
          </reference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1">
      <pivotArea collapsedLevelsAreSubtotals="1" fieldPosition="0">
        <references count="1">
          <reference field="2" count="1">
            <x v="14"/>
          </reference>
        </references>
      </pivotArea>
    </format>
    <format dxfId="20">
      <pivotArea dataOnly="0" labelOnly="1" fieldPosition="0">
        <references count="1">
          <reference field="2" count="1">
            <x v="14"/>
          </reference>
        </references>
      </pivotArea>
    </format>
    <format dxfId="19">
      <pivotArea collapsedLevelsAreSubtotals="1" fieldPosition="0">
        <references count="1">
          <reference field="2" count="1">
            <x v="15"/>
          </reference>
        </references>
      </pivotArea>
    </format>
    <format dxfId="18">
      <pivotArea dataOnly="0" labelOnly="1" fieldPosition="0">
        <references count="1">
          <reference field="2" count="1">
            <x v="15"/>
          </reference>
        </references>
      </pivotArea>
    </format>
    <format dxfId="17">
      <pivotArea collapsedLevelsAreSubtotals="1" fieldPosition="0">
        <references count="1">
          <reference field="2" count="11">
            <x v="16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16">
      <pivotArea dataOnly="0" labelOnly="1" fieldPosition="0">
        <references count="1">
          <reference field="2" count="11">
            <x v="16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15">
      <pivotArea collapsedLevelsAreSubtotals="1" fieldPosition="0">
        <references count="1">
          <reference field="2" count="3">
            <x v="28"/>
            <x v="29"/>
            <x v="31"/>
          </reference>
        </references>
      </pivotArea>
    </format>
    <format dxfId="14">
      <pivotArea dataOnly="0" labelOnly="1" fieldPosition="0">
        <references count="1">
          <reference field="2" count="3">
            <x v="28"/>
            <x v="29"/>
            <x v="31"/>
          </reference>
        </references>
      </pivotArea>
    </format>
    <format dxfId="13">
      <pivotArea collapsedLevelsAreSubtotals="1" fieldPosition="0">
        <references count="1">
          <reference field="2" count="1">
            <x v="41"/>
          </reference>
        </references>
      </pivotArea>
    </format>
    <format dxfId="12">
      <pivotArea dataOnly="0" labelOnly="1" fieldPosition="0">
        <references count="1">
          <reference field="2" count="1">
            <x v="41"/>
          </reference>
        </references>
      </pivotArea>
    </format>
    <format dxfId="11">
      <pivotArea collapsedLevelsAreSubtotals="1" fieldPosition="0">
        <references count="1">
          <reference field="2" count="1">
            <x v="41"/>
          </reference>
        </references>
      </pivotArea>
    </format>
    <format dxfId="10">
      <pivotArea dataOnly="0" labelOnly="1" fieldPosition="0">
        <references count="1">
          <reference field="2" count="1">
            <x v="41"/>
          </reference>
        </references>
      </pivotArea>
    </format>
    <format dxfId="9">
      <pivotArea collapsedLevelsAreSubtotals="1" fieldPosition="0">
        <references count="1">
          <reference field="2" count="1">
            <x v="15"/>
          </reference>
        </references>
      </pivotArea>
    </format>
    <format dxfId="8">
      <pivotArea dataOnly="0" labelOnly="1" fieldPosition="0">
        <references count="1">
          <reference field="2" count="1">
            <x v="15"/>
          </reference>
        </references>
      </pivotArea>
    </format>
    <format dxfId="7">
      <pivotArea collapsedLevelsAreSubtotals="1" fieldPosition="0">
        <references count="1">
          <reference field="2" count="10">
            <x v="16"/>
            <x v="17"/>
            <x v="18"/>
            <x v="19"/>
            <x v="21"/>
            <x v="22"/>
            <x v="23"/>
            <x v="24"/>
            <x v="25"/>
            <x v="26"/>
          </reference>
        </references>
      </pivotArea>
    </format>
    <format dxfId="6">
      <pivotArea dataOnly="0" labelOnly="1" fieldPosition="0">
        <references count="1">
          <reference field="2" count="10">
            <x v="16"/>
            <x v="17"/>
            <x v="18"/>
            <x v="19"/>
            <x v="21"/>
            <x v="22"/>
            <x v="23"/>
            <x v="24"/>
            <x v="25"/>
            <x v="26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17">
            <x v="14"/>
            <x v="15"/>
            <x v="16"/>
            <x v="17"/>
            <x v="18"/>
            <x v="19"/>
            <x v="21"/>
            <x v="22"/>
            <x v="23"/>
            <x v="24"/>
            <x v="25"/>
            <x v="26"/>
            <x v="31"/>
            <x v="34"/>
            <x v="39"/>
            <x v="40"/>
            <x v="41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ivotTable" Target="../pivotTables/pivotTable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59"/>
  <sheetViews>
    <sheetView topLeftCell="A3" zoomScale="90" zoomScaleNormal="90" workbookViewId="0">
      <selection activeCell="D39" sqref="D39"/>
    </sheetView>
  </sheetViews>
  <sheetFormatPr baseColWidth="10" defaultRowHeight="12.75" x14ac:dyDescent="0.25"/>
  <cols>
    <col min="1" max="1" width="3.7109375" style="43" customWidth="1"/>
    <col min="2" max="2" width="13.7109375" style="43" customWidth="1"/>
    <col min="3" max="3" width="8.7109375" style="43" customWidth="1"/>
    <col min="4" max="4" width="12.7109375" style="43" customWidth="1"/>
    <col min="5" max="15" width="12.7109375" style="44" customWidth="1"/>
    <col min="16" max="17" width="14.7109375" style="43" customWidth="1"/>
    <col min="18" max="16384" width="11.42578125" style="43"/>
  </cols>
  <sheetData>
    <row r="6" spans="1:17" ht="13.5" thickBot="1" x14ac:dyDescent="0.3"/>
    <row r="7" spans="1:17" ht="15.75" thickBot="1" x14ac:dyDescent="0.3">
      <c r="B7" s="45">
        <v>42522</v>
      </c>
      <c r="E7" s="245" t="s">
        <v>4</v>
      </c>
      <c r="F7" s="246"/>
      <c r="G7" s="246"/>
      <c r="H7" s="246"/>
      <c r="I7" s="246"/>
      <c r="J7" s="246"/>
      <c r="K7" s="246"/>
      <c r="L7" s="246"/>
      <c r="M7" s="247"/>
    </row>
    <row r="8" spans="1:17" ht="15" customHeight="1" thickBot="1" x14ac:dyDescent="0.3">
      <c r="B8" s="46" t="s">
        <v>11</v>
      </c>
      <c r="C8" s="46" t="s">
        <v>12</v>
      </c>
      <c r="D8" s="46" t="s">
        <v>13</v>
      </c>
      <c r="E8" s="47" t="s">
        <v>41</v>
      </c>
      <c r="F8" s="47" t="s">
        <v>24</v>
      </c>
      <c r="G8" s="47" t="s">
        <v>23</v>
      </c>
      <c r="H8" s="47" t="s">
        <v>22</v>
      </c>
      <c r="I8" s="47" t="s">
        <v>18</v>
      </c>
      <c r="J8" s="47" t="s">
        <v>5</v>
      </c>
      <c r="K8" s="47" t="s">
        <v>6</v>
      </c>
      <c r="L8" s="47" t="s">
        <v>7</v>
      </c>
      <c r="M8" s="47" t="s">
        <v>8</v>
      </c>
      <c r="N8" s="48" t="s">
        <v>10</v>
      </c>
      <c r="O8" s="48" t="s">
        <v>19</v>
      </c>
      <c r="P8" s="46" t="s">
        <v>16</v>
      </c>
      <c r="Q8" s="47" t="s">
        <v>15</v>
      </c>
    </row>
    <row r="9" spans="1:17" ht="18" customHeight="1" x14ac:dyDescent="0.25">
      <c r="A9" s="49">
        <v>1</v>
      </c>
      <c r="B9" s="74">
        <v>42522</v>
      </c>
      <c r="C9" s="86">
        <v>848</v>
      </c>
      <c r="D9" s="87">
        <v>5473000.3999999994</v>
      </c>
      <c r="E9" s="72">
        <f>2740000</f>
        <v>2740000</v>
      </c>
      <c r="F9" s="72">
        <v>2733000</v>
      </c>
      <c r="G9" s="72"/>
      <c r="H9" s="72"/>
      <c r="I9" s="72"/>
      <c r="J9" s="72"/>
      <c r="K9" s="72"/>
      <c r="L9" s="72"/>
      <c r="M9" s="72"/>
      <c r="N9" s="88"/>
      <c r="O9" s="88"/>
      <c r="P9" s="54">
        <f>SUM(E9:O9)</f>
        <v>5473000</v>
      </c>
      <c r="Q9" s="54">
        <f>D9-P9</f>
        <v>0.39999999944120646</v>
      </c>
    </row>
    <row r="10" spans="1:17" ht="18" customHeight="1" x14ac:dyDescent="0.25">
      <c r="A10" s="50">
        <f>A9+1</f>
        <v>2</v>
      </c>
      <c r="B10" s="75">
        <v>42522</v>
      </c>
      <c r="C10" s="89">
        <v>849</v>
      </c>
      <c r="D10" s="38">
        <v>3308000.08</v>
      </c>
      <c r="E10" s="54">
        <v>3308000.08</v>
      </c>
      <c r="F10" s="54"/>
      <c r="G10" s="54"/>
      <c r="H10" s="54"/>
      <c r="I10" s="54"/>
      <c r="J10" s="54"/>
      <c r="K10" s="54"/>
      <c r="L10" s="54"/>
      <c r="M10" s="54"/>
      <c r="N10" s="56"/>
      <c r="O10" s="56"/>
      <c r="P10" s="54">
        <f t="shared" ref="P10:P41" si="0">SUM(E10:O10)</f>
        <v>3308000.08</v>
      </c>
      <c r="Q10" s="54">
        <f>D10-P10</f>
        <v>0</v>
      </c>
    </row>
    <row r="11" spans="1:17" ht="18" customHeight="1" x14ac:dyDescent="0.25">
      <c r="A11" s="50">
        <f t="shared" ref="A11:A39" si="1">A10+1</f>
        <v>3</v>
      </c>
      <c r="B11" s="75">
        <v>42522</v>
      </c>
      <c r="C11" s="89">
        <v>850</v>
      </c>
      <c r="D11" s="38">
        <v>3662000</v>
      </c>
      <c r="E11" s="54">
        <v>1950000</v>
      </c>
      <c r="F11" s="54">
        <v>1712000</v>
      </c>
      <c r="G11" s="54"/>
      <c r="H11" s="54"/>
      <c r="I11" s="54"/>
      <c r="J11" s="54"/>
      <c r="K11" s="54"/>
      <c r="L11" s="54"/>
      <c r="M11" s="54"/>
      <c r="N11" s="56"/>
      <c r="O11" s="56"/>
      <c r="P11" s="54">
        <f t="shared" si="0"/>
        <v>3662000</v>
      </c>
      <c r="Q11" s="54">
        <f>D11-P11</f>
        <v>0</v>
      </c>
    </row>
    <row r="12" spans="1:17" ht="18" customHeight="1" x14ac:dyDescent="0.25">
      <c r="A12" s="50">
        <f t="shared" si="1"/>
        <v>4</v>
      </c>
      <c r="B12" s="75">
        <v>42522</v>
      </c>
      <c r="C12" s="89">
        <v>851</v>
      </c>
      <c r="D12" s="38">
        <v>3269304.8499999996</v>
      </c>
      <c r="E12" s="54">
        <v>1000000</v>
      </c>
      <c r="F12" s="54">
        <v>450000</v>
      </c>
      <c r="G12" s="54">
        <v>450000</v>
      </c>
      <c r="H12" s="54">
        <v>450000</v>
      </c>
      <c r="I12" s="54">
        <v>450000</v>
      </c>
      <c r="J12" s="54">
        <v>469305</v>
      </c>
      <c r="K12" s="54"/>
      <c r="L12" s="54"/>
      <c r="M12" s="54"/>
      <c r="N12" s="56"/>
      <c r="O12" s="56"/>
      <c r="P12" s="54">
        <f t="shared" si="0"/>
        <v>3269305</v>
      </c>
      <c r="Q12" s="54">
        <f>D12-P12</f>
        <v>-0.15000000037252903</v>
      </c>
    </row>
    <row r="13" spans="1:17" ht="18" customHeight="1" x14ac:dyDescent="0.25">
      <c r="A13" s="50">
        <f t="shared" si="1"/>
        <v>5</v>
      </c>
      <c r="B13" s="75">
        <v>42522</v>
      </c>
      <c r="C13" s="89">
        <v>852</v>
      </c>
      <c r="D13" s="38">
        <v>4327048.25</v>
      </c>
      <c r="E13" s="54">
        <v>360587</v>
      </c>
      <c r="F13" s="54">
        <v>3966462</v>
      </c>
      <c r="G13" s="54"/>
      <c r="H13" s="54"/>
      <c r="I13" s="54"/>
      <c r="J13" s="54"/>
      <c r="K13" s="54"/>
      <c r="L13" s="54"/>
      <c r="M13" s="54"/>
      <c r="N13" s="56">
        <v>-1</v>
      </c>
      <c r="O13" s="56"/>
      <c r="P13" s="54">
        <f t="shared" si="0"/>
        <v>4327048</v>
      </c>
      <c r="Q13" s="54">
        <v>0</v>
      </c>
    </row>
    <row r="14" spans="1:17" ht="18" customHeight="1" x14ac:dyDescent="0.25">
      <c r="A14" s="50">
        <f t="shared" si="1"/>
        <v>6</v>
      </c>
      <c r="B14" s="75">
        <v>42522</v>
      </c>
      <c r="C14" s="89">
        <v>853</v>
      </c>
      <c r="D14" s="38">
        <v>5002413.71</v>
      </c>
      <c r="E14" s="54">
        <v>2500000</v>
      </c>
      <c r="F14" s="54"/>
      <c r="G14" s="54">
        <v>833333</v>
      </c>
      <c r="H14" s="54">
        <v>833333</v>
      </c>
      <c r="I14" s="54">
        <v>833333</v>
      </c>
      <c r="J14" s="54"/>
      <c r="K14" s="54"/>
      <c r="L14" s="54"/>
      <c r="M14" s="54"/>
      <c r="N14" s="56">
        <v>2415</v>
      </c>
      <c r="O14" s="56"/>
      <c r="P14" s="54">
        <f t="shared" si="0"/>
        <v>5002414</v>
      </c>
      <c r="Q14" s="54">
        <v>0</v>
      </c>
    </row>
    <row r="15" spans="1:17" ht="18" customHeight="1" x14ac:dyDescent="0.25">
      <c r="A15" s="50">
        <f t="shared" si="1"/>
        <v>7</v>
      </c>
      <c r="B15" s="75">
        <v>42522</v>
      </c>
      <c r="C15" s="89">
        <v>854</v>
      </c>
      <c r="D15" s="38">
        <v>3080937.3699999996</v>
      </c>
      <c r="E15" s="54">
        <v>1026979</v>
      </c>
      <c r="F15" s="54">
        <v>1026979</v>
      </c>
      <c r="G15" s="54">
        <v>1026979</v>
      </c>
      <c r="H15" s="54"/>
      <c r="I15" s="54"/>
      <c r="J15" s="54"/>
      <c r="K15" s="54"/>
      <c r="L15" s="54"/>
      <c r="M15" s="54"/>
      <c r="N15" s="56"/>
      <c r="O15" s="56"/>
      <c r="P15" s="54">
        <f t="shared" si="0"/>
        <v>3080937</v>
      </c>
      <c r="Q15" s="54">
        <v>0</v>
      </c>
    </row>
    <row r="16" spans="1:17" ht="18" customHeight="1" x14ac:dyDescent="0.25">
      <c r="A16" s="50">
        <f t="shared" si="1"/>
        <v>8</v>
      </c>
      <c r="B16" s="75">
        <v>42522</v>
      </c>
      <c r="C16" s="89">
        <v>855</v>
      </c>
      <c r="D16" s="38">
        <v>4200826.1399999997</v>
      </c>
      <c r="E16" s="54">
        <v>1260000</v>
      </c>
      <c r="F16" s="54">
        <v>367500</v>
      </c>
      <c r="G16" s="54">
        <v>367500</v>
      </c>
      <c r="H16" s="54">
        <v>367500</v>
      </c>
      <c r="I16" s="54">
        <v>367500</v>
      </c>
      <c r="J16" s="54">
        <v>367500</v>
      </c>
      <c r="K16" s="54">
        <v>367500</v>
      </c>
      <c r="L16" s="54">
        <v>367500</v>
      </c>
      <c r="M16" s="54">
        <v>367500</v>
      </c>
      <c r="N16" s="56">
        <v>826</v>
      </c>
      <c r="O16" s="56"/>
      <c r="P16" s="54">
        <f t="shared" si="0"/>
        <v>4200826</v>
      </c>
      <c r="Q16" s="54">
        <v>0</v>
      </c>
    </row>
    <row r="17" spans="1:19" ht="18" customHeight="1" x14ac:dyDescent="0.25">
      <c r="A17" s="50">
        <f t="shared" si="1"/>
        <v>9</v>
      </c>
      <c r="B17" s="75">
        <v>42522</v>
      </c>
      <c r="C17" s="89">
        <v>856</v>
      </c>
      <c r="D17" s="38">
        <v>1173460.19</v>
      </c>
      <c r="E17" s="54">
        <v>400000</v>
      </c>
      <c r="F17" s="54">
        <v>110500</v>
      </c>
      <c r="G17" s="54">
        <v>110500</v>
      </c>
      <c r="H17" s="54">
        <v>110500</v>
      </c>
      <c r="I17" s="54">
        <v>110500</v>
      </c>
      <c r="J17" s="54">
        <v>110500</v>
      </c>
      <c r="K17" s="54">
        <v>110500</v>
      </c>
      <c r="L17" s="54">
        <v>110500</v>
      </c>
      <c r="M17" s="54"/>
      <c r="N17" s="56">
        <v>-40</v>
      </c>
      <c r="O17" s="56"/>
      <c r="P17" s="54">
        <f t="shared" si="0"/>
        <v>1173460</v>
      </c>
      <c r="Q17" s="54">
        <v>0</v>
      </c>
    </row>
    <row r="18" spans="1:19" ht="18" customHeight="1" x14ac:dyDescent="0.25">
      <c r="A18" s="50">
        <f t="shared" si="1"/>
        <v>10</v>
      </c>
      <c r="B18" s="75">
        <v>42522</v>
      </c>
      <c r="C18" s="89">
        <v>857</v>
      </c>
      <c r="D18" s="38">
        <v>4999999.2</v>
      </c>
      <c r="E18" s="54">
        <v>2500000</v>
      </c>
      <c r="F18" s="54">
        <v>2500000</v>
      </c>
      <c r="G18" s="54"/>
      <c r="H18" s="54"/>
      <c r="I18" s="54"/>
      <c r="J18" s="54"/>
      <c r="K18" s="54"/>
      <c r="L18" s="54"/>
      <c r="M18" s="54"/>
      <c r="N18" s="56"/>
      <c r="O18" s="56"/>
      <c r="P18" s="54">
        <f t="shared" si="0"/>
        <v>5000000</v>
      </c>
      <c r="Q18" s="54">
        <v>0</v>
      </c>
    </row>
    <row r="19" spans="1:19" ht="18" customHeight="1" x14ac:dyDescent="0.25">
      <c r="A19" s="50">
        <f t="shared" si="1"/>
        <v>11</v>
      </c>
      <c r="B19" s="75">
        <v>42522</v>
      </c>
      <c r="C19" s="89">
        <v>858</v>
      </c>
      <c r="D19" s="38">
        <v>2602782</v>
      </c>
      <c r="E19" s="54">
        <v>2600000</v>
      </c>
      <c r="F19" s="54"/>
      <c r="G19" s="54"/>
      <c r="H19" s="54"/>
      <c r="I19" s="54"/>
      <c r="J19" s="54"/>
      <c r="K19" s="54"/>
      <c r="L19" s="54"/>
      <c r="M19" s="54"/>
      <c r="N19" s="56">
        <v>2782</v>
      </c>
      <c r="O19" s="56"/>
      <c r="P19" s="54">
        <f t="shared" si="0"/>
        <v>2602782</v>
      </c>
      <c r="Q19" s="54">
        <v>0</v>
      </c>
    </row>
    <row r="20" spans="1:19" ht="18" customHeight="1" x14ac:dyDescent="0.25">
      <c r="A20" s="50">
        <f t="shared" si="1"/>
        <v>12</v>
      </c>
      <c r="B20" s="75">
        <v>42522</v>
      </c>
      <c r="C20" s="89">
        <v>859</v>
      </c>
      <c r="D20" s="38">
        <v>6072797.29</v>
      </c>
      <c r="E20" s="54">
        <v>6072797</v>
      </c>
      <c r="F20" s="54"/>
      <c r="G20" s="54"/>
      <c r="H20" s="54"/>
      <c r="I20" s="54"/>
      <c r="J20" s="54"/>
      <c r="K20" s="54"/>
      <c r="L20" s="54"/>
      <c r="M20" s="54"/>
      <c r="N20" s="56"/>
      <c r="O20" s="56"/>
      <c r="P20" s="54">
        <f t="shared" si="0"/>
        <v>6072797</v>
      </c>
      <c r="Q20" s="54">
        <v>0</v>
      </c>
    </row>
    <row r="21" spans="1:19" ht="18" customHeight="1" x14ac:dyDescent="0.25">
      <c r="A21" s="50">
        <f t="shared" si="1"/>
        <v>13</v>
      </c>
      <c r="B21" s="75">
        <v>42522</v>
      </c>
      <c r="C21" s="89">
        <v>860</v>
      </c>
      <c r="D21" s="38">
        <v>1787475.2</v>
      </c>
      <c r="E21" s="54">
        <v>937475</v>
      </c>
      <c r="F21" s="54">
        <v>170000</v>
      </c>
      <c r="G21" s="54">
        <v>170000</v>
      </c>
      <c r="H21" s="54">
        <v>170000</v>
      </c>
      <c r="I21" s="54">
        <v>170000</v>
      </c>
      <c r="J21" s="54">
        <v>170000</v>
      </c>
      <c r="K21" s="54"/>
      <c r="L21" s="54"/>
      <c r="M21" s="54"/>
      <c r="N21" s="56"/>
      <c r="O21" s="56"/>
      <c r="P21" s="54">
        <f t="shared" si="0"/>
        <v>1787475</v>
      </c>
      <c r="Q21" s="54">
        <v>0</v>
      </c>
    </row>
    <row r="22" spans="1:19" ht="18" customHeight="1" x14ac:dyDescent="0.25">
      <c r="A22" s="50">
        <f t="shared" si="1"/>
        <v>14</v>
      </c>
      <c r="B22" s="75">
        <v>42522</v>
      </c>
      <c r="C22" s="89">
        <v>861</v>
      </c>
      <c r="D22" s="38">
        <v>3163629.28</v>
      </c>
      <c r="E22" s="54">
        <v>1581815</v>
      </c>
      <c r="F22" s="54"/>
      <c r="G22" s="54">
        <v>1581815</v>
      </c>
      <c r="H22" s="54"/>
      <c r="I22" s="54"/>
      <c r="J22" s="54"/>
      <c r="K22" s="54"/>
      <c r="L22" s="54"/>
      <c r="M22" s="54"/>
      <c r="N22" s="56">
        <v>-1</v>
      </c>
      <c r="O22" s="56"/>
      <c r="P22" s="54">
        <f t="shared" si="0"/>
        <v>3163629</v>
      </c>
      <c r="Q22" s="54">
        <v>0</v>
      </c>
    </row>
    <row r="23" spans="1:19" ht="18" customHeight="1" x14ac:dyDescent="0.25">
      <c r="A23" s="50">
        <f t="shared" si="1"/>
        <v>15</v>
      </c>
      <c r="B23" s="75">
        <v>42522</v>
      </c>
      <c r="C23" s="89">
        <v>862</v>
      </c>
      <c r="D23" s="38">
        <v>5397925.9999999991</v>
      </c>
      <c r="E23" s="54">
        <v>1799308</v>
      </c>
      <c r="F23" s="54">
        <f>1799308+1799310</f>
        <v>3598618</v>
      </c>
      <c r="G23" s="54"/>
      <c r="H23" s="54"/>
      <c r="I23" s="54"/>
      <c r="J23" s="54"/>
      <c r="K23" s="54"/>
      <c r="L23" s="54"/>
      <c r="M23" s="54"/>
      <c r="N23" s="56"/>
      <c r="O23" s="56"/>
      <c r="P23" s="54">
        <f t="shared" si="0"/>
        <v>5397926</v>
      </c>
      <c r="Q23" s="54">
        <v>0</v>
      </c>
    </row>
    <row r="24" spans="1:19" ht="18" customHeight="1" x14ac:dyDescent="0.25">
      <c r="A24" s="50">
        <f t="shared" si="1"/>
        <v>16</v>
      </c>
      <c r="B24" s="75">
        <v>42522</v>
      </c>
      <c r="C24" s="89">
        <v>863</v>
      </c>
      <c r="D24" s="38">
        <v>541523</v>
      </c>
      <c r="E24" s="54">
        <v>541450</v>
      </c>
      <c r="F24" s="54"/>
      <c r="G24" s="54"/>
      <c r="H24" s="54"/>
      <c r="I24" s="54"/>
      <c r="J24" s="54"/>
      <c r="K24" s="54"/>
      <c r="L24" s="54"/>
      <c r="M24" s="54"/>
      <c r="N24" s="56">
        <v>73</v>
      </c>
      <c r="O24" s="56"/>
      <c r="P24" s="54">
        <f t="shared" si="0"/>
        <v>541523</v>
      </c>
      <c r="Q24" s="54">
        <v>0</v>
      </c>
    </row>
    <row r="25" spans="1:19" ht="18" customHeight="1" x14ac:dyDescent="0.25">
      <c r="A25" s="50">
        <f t="shared" si="1"/>
        <v>17</v>
      </c>
      <c r="B25" s="75">
        <v>42522</v>
      </c>
      <c r="C25" s="89">
        <v>865</v>
      </c>
      <c r="D25" s="38">
        <v>3211122.9999999995</v>
      </c>
      <c r="E25" s="54">
        <v>1605561</v>
      </c>
      <c r="F25" s="54">
        <v>267593</v>
      </c>
      <c r="G25" s="54"/>
      <c r="H25" s="54">
        <f>267593+267593</f>
        <v>535186</v>
      </c>
      <c r="I25" s="54">
        <v>267593</v>
      </c>
      <c r="J25" s="54">
        <v>267593</v>
      </c>
      <c r="K25" s="54">
        <v>267593</v>
      </c>
      <c r="L25" s="54"/>
      <c r="M25" s="54"/>
      <c r="N25" s="56">
        <v>4</v>
      </c>
      <c r="O25" s="56"/>
      <c r="P25" s="54">
        <f t="shared" si="0"/>
        <v>3211123</v>
      </c>
      <c r="Q25" s="54">
        <v>0</v>
      </c>
    </row>
    <row r="26" spans="1:19" ht="18" customHeight="1" x14ac:dyDescent="0.25">
      <c r="A26" s="50">
        <f t="shared" si="1"/>
        <v>18</v>
      </c>
      <c r="B26" s="105">
        <v>42522</v>
      </c>
      <c r="C26" s="106">
        <v>866</v>
      </c>
      <c r="D26" s="107">
        <v>1365291.76</v>
      </c>
      <c r="E26" s="166">
        <v>683000</v>
      </c>
      <c r="F26" s="68"/>
      <c r="G26" s="68"/>
      <c r="H26" s="68"/>
      <c r="I26" s="166">
        <v>228000</v>
      </c>
      <c r="J26" s="166">
        <v>228000</v>
      </c>
      <c r="K26" s="68"/>
      <c r="L26" s="166">
        <v>228000</v>
      </c>
      <c r="M26" s="68"/>
      <c r="N26" s="68"/>
      <c r="O26" s="68"/>
      <c r="P26" s="68">
        <f t="shared" si="0"/>
        <v>1367000</v>
      </c>
      <c r="Q26" s="68">
        <v>0</v>
      </c>
    </row>
    <row r="27" spans="1:19" ht="18" customHeight="1" x14ac:dyDescent="0.25">
      <c r="A27" s="50">
        <f t="shared" si="1"/>
        <v>19</v>
      </c>
      <c r="B27" s="75">
        <v>42522</v>
      </c>
      <c r="C27" s="89">
        <v>867</v>
      </c>
      <c r="D27" s="38">
        <v>3242670</v>
      </c>
      <c r="E27" s="54">
        <v>1619758</v>
      </c>
      <c r="F27" s="54"/>
      <c r="G27" s="54"/>
      <c r="H27" s="54">
        <f>1200000+419158</f>
        <v>1619158</v>
      </c>
      <c r="I27" s="54"/>
      <c r="J27" s="54"/>
      <c r="K27" s="54"/>
      <c r="L27" s="54"/>
      <c r="M27" s="54"/>
      <c r="N27" s="56">
        <v>3754</v>
      </c>
      <c r="O27" s="56"/>
      <c r="P27" s="54">
        <f t="shared" si="0"/>
        <v>3242670</v>
      </c>
      <c r="Q27" s="54">
        <v>0</v>
      </c>
      <c r="S27" s="167"/>
    </row>
    <row r="28" spans="1:19" ht="18" customHeight="1" x14ac:dyDescent="0.25">
      <c r="A28" s="50">
        <f t="shared" si="1"/>
        <v>20</v>
      </c>
      <c r="B28" s="105">
        <v>42522</v>
      </c>
      <c r="C28" s="106">
        <v>868</v>
      </c>
      <c r="D28" s="107">
        <v>3242670</v>
      </c>
      <c r="E28" s="166">
        <v>1621335</v>
      </c>
      <c r="F28" s="68">
        <v>270224</v>
      </c>
      <c r="G28" s="68"/>
      <c r="H28" s="68">
        <f>270222+270222</f>
        <v>540444</v>
      </c>
      <c r="I28" s="68"/>
      <c r="J28" s="166">
        <v>270222</v>
      </c>
      <c r="K28" s="68">
        <v>270222</v>
      </c>
      <c r="L28" s="68">
        <v>270223</v>
      </c>
      <c r="M28" s="68"/>
      <c r="N28" s="108"/>
      <c r="O28" s="108"/>
      <c r="P28" s="68">
        <f t="shared" si="0"/>
        <v>3242670</v>
      </c>
      <c r="Q28" s="68">
        <f>D28-P28</f>
        <v>0</v>
      </c>
    </row>
    <row r="29" spans="1:19" ht="18" customHeight="1" x14ac:dyDescent="0.25">
      <c r="A29" s="50">
        <f t="shared" si="1"/>
        <v>21</v>
      </c>
      <c r="B29" s="75">
        <v>42522</v>
      </c>
      <c r="C29" s="3">
        <v>869</v>
      </c>
      <c r="D29" s="38">
        <v>3398180.6599999997</v>
      </c>
      <c r="E29" s="54">
        <v>1700000</v>
      </c>
      <c r="F29" s="54"/>
      <c r="G29" s="54">
        <v>1698181</v>
      </c>
      <c r="H29" s="54"/>
      <c r="I29" s="54"/>
      <c r="J29" s="54"/>
      <c r="K29" s="54"/>
      <c r="L29" s="54"/>
      <c r="M29" s="54"/>
      <c r="N29" s="56"/>
      <c r="O29" s="56"/>
      <c r="P29" s="54">
        <f t="shared" si="0"/>
        <v>3398181</v>
      </c>
      <c r="Q29" s="54">
        <f>D29-P29</f>
        <v>-0.34000000031664968</v>
      </c>
    </row>
    <row r="30" spans="1:19" ht="18" customHeight="1" x14ac:dyDescent="0.25">
      <c r="A30" s="50">
        <f t="shared" si="1"/>
        <v>22</v>
      </c>
      <c r="B30" s="105">
        <v>42522</v>
      </c>
      <c r="C30" s="109">
        <v>870</v>
      </c>
      <c r="D30" s="107">
        <v>3200000.44</v>
      </c>
      <c r="E30" s="68">
        <v>1600000</v>
      </c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>
        <f t="shared" si="0"/>
        <v>1600000</v>
      </c>
      <c r="Q30" s="68">
        <f>D30-P30</f>
        <v>1600000.44</v>
      </c>
    </row>
    <row r="31" spans="1:19" ht="18" customHeight="1" x14ac:dyDescent="0.25">
      <c r="A31" s="50">
        <f t="shared" si="1"/>
        <v>23</v>
      </c>
      <c r="B31" s="75">
        <v>42522</v>
      </c>
      <c r="C31" s="3">
        <v>871</v>
      </c>
      <c r="D31" s="38">
        <v>3702280.4</v>
      </c>
      <c r="E31" s="54">
        <v>1851140</v>
      </c>
      <c r="F31" s="54"/>
      <c r="G31" s="54">
        <v>1851140</v>
      </c>
      <c r="H31" s="54"/>
      <c r="I31" s="54"/>
      <c r="J31" s="54"/>
      <c r="K31" s="54"/>
      <c r="L31" s="54"/>
      <c r="M31" s="54"/>
      <c r="N31" s="56"/>
      <c r="O31" s="56"/>
      <c r="P31" s="54">
        <f t="shared" si="0"/>
        <v>3702280</v>
      </c>
      <c r="Q31" s="54">
        <f>D31-P31</f>
        <v>0.39999999990686774</v>
      </c>
    </row>
    <row r="32" spans="1:19" ht="18" customHeight="1" x14ac:dyDescent="0.25">
      <c r="A32" s="50">
        <f t="shared" si="1"/>
        <v>24</v>
      </c>
      <c r="B32" s="75">
        <v>42522</v>
      </c>
      <c r="C32" s="3">
        <v>872</v>
      </c>
      <c r="D32" s="38">
        <v>3099999.98</v>
      </c>
      <c r="E32" s="54"/>
      <c r="F32" s="54">
        <v>3100000</v>
      </c>
      <c r="G32" s="54"/>
      <c r="H32" s="54"/>
      <c r="I32" s="54"/>
      <c r="J32" s="54"/>
      <c r="K32" s="54"/>
      <c r="L32" s="54"/>
      <c r="M32" s="54"/>
      <c r="N32" s="56"/>
      <c r="O32" s="56"/>
      <c r="P32" s="54">
        <f t="shared" si="0"/>
        <v>3100000</v>
      </c>
      <c r="Q32" s="54">
        <f>D32-P32</f>
        <v>-2.0000000018626451E-2</v>
      </c>
    </row>
    <row r="33" spans="1:17" ht="18" customHeight="1" x14ac:dyDescent="0.25">
      <c r="A33" s="50">
        <f t="shared" si="1"/>
        <v>25</v>
      </c>
      <c r="B33" s="75">
        <v>42522</v>
      </c>
      <c r="C33" s="3">
        <v>873</v>
      </c>
      <c r="D33" s="38">
        <v>3180299.9899999998</v>
      </c>
      <c r="E33" s="80">
        <v>1590000</v>
      </c>
      <c r="F33" s="80"/>
      <c r="G33" s="54"/>
      <c r="H33" s="54"/>
      <c r="I33" s="54">
        <v>1590000</v>
      </c>
      <c r="J33" s="54"/>
      <c r="K33" s="54"/>
      <c r="L33" s="54"/>
      <c r="M33" s="54"/>
      <c r="N33" s="56">
        <v>300</v>
      </c>
      <c r="O33" s="56"/>
      <c r="P33" s="54">
        <f t="shared" si="0"/>
        <v>3180300</v>
      </c>
      <c r="Q33" s="54">
        <v>0</v>
      </c>
    </row>
    <row r="34" spans="1:17" ht="18" customHeight="1" x14ac:dyDescent="0.25">
      <c r="A34" s="50">
        <f t="shared" si="1"/>
        <v>26</v>
      </c>
      <c r="B34" s="75">
        <v>42522</v>
      </c>
      <c r="C34" s="3">
        <v>875</v>
      </c>
      <c r="D34" s="38">
        <v>2137527.98</v>
      </c>
      <c r="E34" s="54">
        <v>1068764</v>
      </c>
      <c r="F34" s="54"/>
      <c r="G34" s="54"/>
      <c r="H34" s="54">
        <v>178127</v>
      </c>
      <c r="I34" s="54">
        <v>178127</v>
      </c>
      <c r="J34" s="54">
        <v>178127</v>
      </c>
      <c r="K34" s="54">
        <v>178127</v>
      </c>
      <c r="L34" s="54">
        <v>178127</v>
      </c>
      <c r="M34" s="54">
        <v>178127</v>
      </c>
      <c r="N34" s="56">
        <v>2</v>
      </c>
      <c r="O34" s="56"/>
      <c r="P34" s="54">
        <f t="shared" si="0"/>
        <v>2137528</v>
      </c>
      <c r="Q34" s="54">
        <v>0</v>
      </c>
    </row>
    <row r="35" spans="1:17" ht="18" customHeight="1" x14ac:dyDescent="0.25">
      <c r="A35" s="50">
        <f t="shared" si="1"/>
        <v>27</v>
      </c>
      <c r="B35" s="75">
        <v>42522</v>
      </c>
      <c r="C35" s="3">
        <v>876</v>
      </c>
      <c r="D35" s="38">
        <v>2859999.59</v>
      </c>
      <c r="E35" s="54">
        <v>1500000</v>
      </c>
      <c r="F35" s="54">
        <v>1360000</v>
      </c>
      <c r="G35" s="54"/>
      <c r="H35" s="54"/>
      <c r="I35" s="54"/>
      <c r="J35" s="54"/>
      <c r="K35" s="54"/>
      <c r="L35" s="54"/>
      <c r="M35" s="54"/>
      <c r="N35" s="56"/>
      <c r="O35" s="56"/>
      <c r="P35" s="54">
        <f t="shared" si="0"/>
        <v>2860000</v>
      </c>
      <c r="Q35" s="54">
        <f>D35-P35</f>
        <v>-0.41000000014901161</v>
      </c>
    </row>
    <row r="36" spans="1:17" ht="18" customHeight="1" x14ac:dyDescent="0.25">
      <c r="A36" s="50">
        <f t="shared" si="1"/>
        <v>28</v>
      </c>
      <c r="B36" s="75">
        <v>42522</v>
      </c>
      <c r="C36" s="3">
        <v>877</v>
      </c>
      <c r="D36" s="38">
        <v>5747700</v>
      </c>
      <c r="E36" s="54"/>
      <c r="F36" s="54">
        <v>1724310</v>
      </c>
      <c r="G36" s="54">
        <f>804678+804678</f>
        <v>1609356</v>
      </c>
      <c r="H36" s="54"/>
      <c r="I36" s="54"/>
      <c r="J36" s="54">
        <f>804678+804678</f>
        <v>1609356</v>
      </c>
      <c r="K36" s="54">
        <v>804678</v>
      </c>
      <c r="L36" s="54"/>
      <c r="M36" s="54"/>
      <c r="N36" s="56"/>
      <c r="O36" s="56"/>
      <c r="P36" s="54">
        <f t="shared" si="0"/>
        <v>5747700</v>
      </c>
      <c r="Q36" s="54">
        <f>D36-P36</f>
        <v>0</v>
      </c>
    </row>
    <row r="37" spans="1:17" ht="18" customHeight="1" x14ac:dyDescent="0.25">
      <c r="A37" s="50">
        <f t="shared" si="1"/>
        <v>29</v>
      </c>
      <c r="B37" s="75">
        <v>42522</v>
      </c>
      <c r="C37" s="3">
        <v>878</v>
      </c>
      <c r="D37" s="38">
        <v>4227484.5199999996</v>
      </c>
      <c r="E37" s="54"/>
      <c r="F37" s="54">
        <v>2254659</v>
      </c>
      <c r="G37" s="54">
        <v>986413</v>
      </c>
      <c r="H37" s="54">
        <v>986413</v>
      </c>
      <c r="I37" s="54"/>
      <c r="J37" s="54"/>
      <c r="K37" s="54"/>
      <c r="L37" s="54"/>
      <c r="M37" s="54"/>
      <c r="N37" s="56"/>
      <c r="O37" s="56"/>
      <c r="P37" s="54">
        <f t="shared" si="0"/>
        <v>4227485</v>
      </c>
      <c r="Q37" s="54">
        <f>D37-P37</f>
        <v>-0.48000000044703484</v>
      </c>
    </row>
    <row r="38" spans="1:17" ht="18" customHeight="1" x14ac:dyDescent="0.25">
      <c r="A38" s="50">
        <f t="shared" si="1"/>
        <v>30</v>
      </c>
      <c r="B38" s="75">
        <v>42522</v>
      </c>
      <c r="C38" s="3">
        <v>879</v>
      </c>
      <c r="D38" s="38">
        <v>1924776.21</v>
      </c>
      <c r="E38" s="54"/>
      <c r="F38" s="54">
        <v>965000</v>
      </c>
      <c r="G38" s="54">
        <v>959775</v>
      </c>
      <c r="H38" s="54"/>
      <c r="I38" s="54"/>
      <c r="J38" s="54"/>
      <c r="K38" s="54"/>
      <c r="L38" s="54"/>
      <c r="M38" s="54"/>
      <c r="N38" s="56">
        <v>1</v>
      </c>
      <c r="O38" s="56"/>
      <c r="P38" s="54">
        <f t="shared" si="0"/>
        <v>1924776</v>
      </c>
      <c r="Q38" s="54">
        <v>0</v>
      </c>
    </row>
    <row r="39" spans="1:17" ht="18" customHeight="1" x14ac:dyDescent="0.25">
      <c r="A39" s="50">
        <f t="shared" si="1"/>
        <v>31</v>
      </c>
      <c r="B39" s="75">
        <v>42522</v>
      </c>
      <c r="C39" s="3">
        <v>880</v>
      </c>
      <c r="D39" s="38">
        <v>3171319.06</v>
      </c>
      <c r="E39" s="54">
        <v>951396</v>
      </c>
      <c r="F39" s="54"/>
      <c r="G39" s="54">
        <v>739974</v>
      </c>
      <c r="H39" s="54">
        <v>739974</v>
      </c>
      <c r="I39" s="54">
        <v>739975</v>
      </c>
      <c r="J39" s="54"/>
      <c r="K39" s="54"/>
      <c r="L39" s="54"/>
      <c r="M39" s="54"/>
      <c r="N39" s="56"/>
      <c r="O39" s="56"/>
      <c r="P39" s="54">
        <f t="shared" si="0"/>
        <v>3171319</v>
      </c>
      <c r="Q39" s="54">
        <f>D39-P39</f>
        <v>6.0000000055879354E-2</v>
      </c>
    </row>
    <row r="40" spans="1:17" ht="18" customHeight="1" x14ac:dyDescent="0.25">
      <c r="A40" s="50">
        <f>A39+1</f>
        <v>32</v>
      </c>
      <c r="B40" s="75">
        <v>42522</v>
      </c>
      <c r="C40" s="3">
        <v>881</v>
      </c>
      <c r="D40" s="38">
        <v>6623085</v>
      </c>
      <c r="E40" s="54"/>
      <c r="F40" s="54">
        <v>3311543</v>
      </c>
      <c r="G40" s="54"/>
      <c r="H40" s="54"/>
      <c r="I40" s="54"/>
      <c r="J40" s="54"/>
      <c r="K40" s="54"/>
      <c r="L40" s="54"/>
      <c r="M40" s="54">
        <v>3311543</v>
      </c>
      <c r="N40" s="56">
        <v>-1</v>
      </c>
      <c r="O40" s="56"/>
      <c r="P40" s="54">
        <f t="shared" si="0"/>
        <v>6623085</v>
      </c>
      <c r="Q40" s="54">
        <v>0</v>
      </c>
    </row>
    <row r="41" spans="1:17" ht="18" customHeight="1" x14ac:dyDescent="0.25">
      <c r="A41" s="50">
        <f>A40+1</f>
        <v>33</v>
      </c>
      <c r="B41" s="105">
        <v>42522</v>
      </c>
      <c r="C41" s="109">
        <v>882</v>
      </c>
      <c r="D41" s="107">
        <v>2111308</v>
      </c>
      <c r="E41" s="68"/>
      <c r="F41" s="68">
        <v>1056000</v>
      </c>
      <c r="G41" s="68"/>
      <c r="H41" s="68"/>
      <c r="I41" s="68"/>
      <c r="J41" s="68"/>
      <c r="K41" s="68"/>
      <c r="L41" s="68"/>
      <c r="M41" s="68">
        <v>574221</v>
      </c>
      <c r="N41" s="68">
        <v>481087</v>
      </c>
      <c r="O41" s="68"/>
      <c r="P41" s="68">
        <f t="shared" si="0"/>
        <v>2111308</v>
      </c>
      <c r="Q41" s="68">
        <f>D41-P41</f>
        <v>0</v>
      </c>
    </row>
    <row r="42" spans="1:17" ht="18" customHeight="1" thickBot="1" x14ac:dyDescent="0.3">
      <c r="A42" s="51">
        <f>A41+1</f>
        <v>34</v>
      </c>
      <c r="B42" s="75">
        <v>42522</v>
      </c>
      <c r="C42" s="3">
        <v>883</v>
      </c>
      <c r="D42" s="38">
        <v>8035151</v>
      </c>
      <c r="E42" s="54">
        <v>4017576</v>
      </c>
      <c r="F42" s="54"/>
      <c r="G42" s="54"/>
      <c r="H42" s="54">
        <v>3000000</v>
      </c>
      <c r="I42" s="54"/>
      <c r="J42" s="54"/>
      <c r="K42" s="54"/>
      <c r="L42" s="54"/>
      <c r="M42" s="54">
        <v>817577</v>
      </c>
      <c r="N42" s="56">
        <v>200000</v>
      </c>
      <c r="O42" s="56">
        <v>-2</v>
      </c>
      <c r="P42" s="54">
        <f>SUM(E42:O42)</f>
        <v>8035151</v>
      </c>
      <c r="Q42" s="54">
        <v>0</v>
      </c>
    </row>
    <row r="43" spans="1:17" ht="20.100000000000001" customHeight="1" thickBot="1" x14ac:dyDescent="0.3">
      <c r="B43" s="248" t="s">
        <v>14</v>
      </c>
      <c r="C43" s="249"/>
      <c r="D43" s="57">
        <f t="shared" ref="D43:O43" si="2">SUM(D9:D42)</f>
        <v>122543990.55</v>
      </c>
      <c r="E43" s="57">
        <f t="shared" si="2"/>
        <v>50386941.079999998</v>
      </c>
      <c r="F43" s="57">
        <f t="shared" si="2"/>
        <v>30944388</v>
      </c>
      <c r="G43" s="57">
        <f t="shared" si="2"/>
        <v>12384966</v>
      </c>
      <c r="H43" s="57">
        <f t="shared" si="2"/>
        <v>9530635</v>
      </c>
      <c r="I43" s="57">
        <f t="shared" si="2"/>
        <v>4935028</v>
      </c>
      <c r="J43" s="57">
        <f t="shared" si="2"/>
        <v>3670603</v>
      </c>
      <c r="K43" s="57">
        <f t="shared" si="2"/>
        <v>1998620</v>
      </c>
      <c r="L43" s="57">
        <f t="shared" si="2"/>
        <v>1154350</v>
      </c>
      <c r="M43" s="57">
        <f t="shared" si="2"/>
        <v>5248968</v>
      </c>
      <c r="N43" s="58">
        <f t="shared" si="2"/>
        <v>691201</v>
      </c>
      <c r="O43" s="58">
        <f t="shared" si="2"/>
        <v>-2</v>
      </c>
      <c r="P43" s="57">
        <f>SUM(P9:P42)</f>
        <v>120945698.08</v>
      </c>
      <c r="Q43" s="59">
        <f>SUM(Q9:Q42)</f>
        <v>1599999.899999998</v>
      </c>
    </row>
    <row r="45" spans="1:17" x14ac:dyDescent="0.25">
      <c r="E45" s="43"/>
      <c r="F45" s="43"/>
      <c r="G45" s="43"/>
      <c r="H45" s="43"/>
      <c r="I45" s="43"/>
      <c r="J45" s="43"/>
      <c r="K45" s="43"/>
      <c r="L45" s="43"/>
    </row>
    <row r="48" spans="1:17" x14ac:dyDescent="0.25">
      <c r="E48" s="43"/>
    </row>
    <row r="49" spans="4:17" x14ac:dyDescent="0.25">
      <c r="E49" s="43"/>
      <c r="F49" s="43"/>
      <c r="G49" s="43"/>
      <c r="H49" s="43"/>
      <c r="I49" s="43"/>
      <c r="J49" s="43"/>
      <c r="K49" s="43"/>
      <c r="L49" s="43"/>
      <c r="N49" s="52"/>
      <c r="O49" s="52"/>
      <c r="P49" s="44"/>
    </row>
    <row r="50" spans="4:17" x14ac:dyDescent="0.25">
      <c r="E50" s="43"/>
      <c r="F50" s="43"/>
      <c r="G50" s="43"/>
      <c r="H50" s="43"/>
      <c r="I50" s="43"/>
      <c r="J50" s="43"/>
      <c r="K50" s="43"/>
      <c r="L50" s="43"/>
      <c r="N50" s="52"/>
      <c r="O50" s="52"/>
      <c r="P50" s="44"/>
    </row>
    <row r="51" spans="4:17" x14ac:dyDescent="0.25">
      <c r="N51" s="52"/>
      <c r="O51" s="52"/>
      <c r="P51" s="44"/>
      <c r="Q51" s="44"/>
    </row>
    <row r="52" spans="4:17" x14ac:dyDescent="0.25">
      <c r="N52" s="52"/>
      <c r="O52" s="52"/>
      <c r="P52" s="44"/>
      <c r="Q52" s="44"/>
    </row>
    <row r="53" spans="4:17" x14ac:dyDescent="0.25">
      <c r="N53" s="52"/>
      <c r="O53" s="52"/>
      <c r="P53" s="44"/>
      <c r="Q53" s="44"/>
    </row>
    <row r="54" spans="4:17" x14ac:dyDescent="0.25">
      <c r="N54" s="52"/>
      <c r="O54" s="52"/>
      <c r="P54" s="44"/>
      <c r="Q54" s="44"/>
    </row>
    <row r="55" spans="4:17" x14ac:dyDescent="0.25">
      <c r="N55" s="52"/>
      <c r="O55" s="52"/>
      <c r="P55" s="44"/>
    </row>
    <row r="56" spans="4:17" x14ac:dyDescent="0.25">
      <c r="D56" s="44"/>
      <c r="N56" s="52"/>
      <c r="O56" s="52"/>
      <c r="P56" s="44"/>
      <c r="Q56" s="44"/>
    </row>
    <row r="57" spans="4:17" x14ac:dyDescent="0.25">
      <c r="E57" s="43"/>
    </row>
    <row r="58" spans="4:17" ht="13.5" thickBot="1" x14ac:dyDescent="0.3">
      <c r="E58" s="43"/>
      <c r="P58" s="44"/>
      <c r="Q58" s="44"/>
    </row>
    <row r="59" spans="4:17" ht="13.5" thickBot="1" x14ac:dyDescent="0.3">
      <c r="Q59" s="53"/>
    </row>
  </sheetData>
  <mergeCells count="2">
    <mergeCell ref="E7:M7"/>
    <mergeCell ref="B43:C4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AX40"/>
  <sheetViews>
    <sheetView zoomScale="90" zoomScaleNormal="90" workbookViewId="0">
      <selection activeCell="G10" sqref="G10"/>
    </sheetView>
  </sheetViews>
  <sheetFormatPr baseColWidth="10" defaultRowHeight="12.75" x14ac:dyDescent="0.25"/>
  <cols>
    <col min="1" max="1" width="3.7109375" style="66" customWidth="1"/>
    <col min="2" max="2" width="13.7109375" style="43" customWidth="1"/>
    <col min="3" max="3" width="8.7109375" style="43" customWidth="1"/>
    <col min="4" max="4" width="12.7109375" style="43" customWidth="1"/>
    <col min="5" max="9" width="12.7109375" style="44" customWidth="1"/>
    <col min="10" max="11" width="14.7109375" style="43" customWidth="1"/>
    <col min="12" max="16384" width="11.42578125" style="43"/>
  </cols>
  <sheetData>
    <row r="6" spans="1:11" ht="13.5" thickBot="1" x14ac:dyDescent="0.3"/>
    <row r="7" spans="1:11" ht="13.5" thickBot="1" x14ac:dyDescent="0.3">
      <c r="B7" s="45">
        <v>42795</v>
      </c>
      <c r="E7" s="268" t="s">
        <v>4</v>
      </c>
      <c r="F7" s="269"/>
      <c r="G7" s="272"/>
    </row>
    <row r="8" spans="1:11" ht="15" customHeight="1" thickBot="1" x14ac:dyDescent="0.3">
      <c r="B8" s="46" t="s">
        <v>11</v>
      </c>
      <c r="C8" s="46" t="s">
        <v>12</v>
      </c>
      <c r="D8" s="60" t="s">
        <v>13</v>
      </c>
      <c r="E8" s="47" t="s">
        <v>9</v>
      </c>
      <c r="F8" s="47" t="s">
        <v>20</v>
      </c>
      <c r="G8" s="47" t="s">
        <v>21</v>
      </c>
      <c r="H8" s="48" t="s">
        <v>10</v>
      </c>
      <c r="I8" s="48" t="s">
        <v>19</v>
      </c>
      <c r="J8" s="46" t="s">
        <v>16</v>
      </c>
      <c r="K8" s="47" t="s">
        <v>15</v>
      </c>
    </row>
    <row r="9" spans="1:11" ht="18" customHeight="1" x14ac:dyDescent="0.25">
      <c r="A9" s="49">
        <v>1</v>
      </c>
      <c r="B9" s="74">
        <v>42795</v>
      </c>
      <c r="C9" s="1">
        <v>1075</v>
      </c>
      <c r="D9" s="28">
        <v>2012191</v>
      </c>
      <c r="E9" s="72">
        <v>335365</v>
      </c>
      <c r="F9" s="72">
        <f>335365+201219</f>
        <v>536584</v>
      </c>
      <c r="G9" s="72">
        <f>335366+201219+201219</f>
        <v>737804</v>
      </c>
      <c r="H9" s="64"/>
      <c r="I9" s="64"/>
      <c r="J9" s="65">
        <f>SUM(E9:I9)</f>
        <v>1609753</v>
      </c>
      <c r="K9" s="63">
        <f t="shared" ref="K9:K32" si="0">D9-J9</f>
        <v>402438</v>
      </c>
    </row>
    <row r="10" spans="1:11" ht="18" customHeight="1" x14ac:dyDescent="0.25">
      <c r="A10" s="50">
        <f>A9+1</f>
        <v>2</v>
      </c>
      <c r="B10" s="75">
        <v>42795</v>
      </c>
      <c r="C10" s="2">
        <v>1076</v>
      </c>
      <c r="D10" s="29">
        <v>3298960</v>
      </c>
      <c r="E10" s="54">
        <v>1649480</v>
      </c>
      <c r="F10" s="54"/>
      <c r="G10" s="54">
        <v>1649480</v>
      </c>
      <c r="H10" s="56"/>
      <c r="I10" s="56"/>
      <c r="J10" s="65">
        <f t="shared" ref="J10:J32" si="1">SUM(E10:I10)</f>
        <v>3298960</v>
      </c>
      <c r="K10" s="55">
        <f t="shared" si="0"/>
        <v>0</v>
      </c>
    </row>
    <row r="11" spans="1:11" ht="18" customHeight="1" x14ac:dyDescent="0.25">
      <c r="A11" s="50">
        <f t="shared" ref="A11:A32" si="2">A10+1</f>
        <v>3</v>
      </c>
      <c r="B11" s="75">
        <v>42795</v>
      </c>
      <c r="C11" s="2">
        <v>1077</v>
      </c>
      <c r="D11" s="29">
        <v>4900000</v>
      </c>
      <c r="E11" s="54"/>
      <c r="F11" s="54">
        <v>2450000</v>
      </c>
      <c r="G11" s="54">
        <v>2450000</v>
      </c>
      <c r="H11" s="56"/>
      <c r="I11" s="56"/>
      <c r="J11" s="65">
        <f t="shared" si="1"/>
        <v>4900000</v>
      </c>
      <c r="K11" s="55">
        <f t="shared" si="0"/>
        <v>0</v>
      </c>
    </row>
    <row r="12" spans="1:11" ht="18" customHeight="1" x14ac:dyDescent="0.25">
      <c r="A12" s="50">
        <f t="shared" si="2"/>
        <v>4</v>
      </c>
      <c r="B12" s="75">
        <v>42795</v>
      </c>
      <c r="C12" s="2">
        <v>1078</v>
      </c>
      <c r="D12" s="29">
        <v>4562944</v>
      </c>
      <c r="E12" s="54">
        <v>1982681</v>
      </c>
      <c r="F12" s="54"/>
      <c r="G12" s="54">
        <v>1616879</v>
      </c>
      <c r="H12" s="56">
        <v>365800</v>
      </c>
      <c r="I12" s="56">
        <v>597584</v>
      </c>
      <c r="J12" s="65">
        <f t="shared" si="1"/>
        <v>4562944</v>
      </c>
      <c r="K12" s="55">
        <f t="shared" si="0"/>
        <v>0</v>
      </c>
    </row>
    <row r="13" spans="1:11" ht="18" customHeight="1" x14ac:dyDescent="0.25">
      <c r="A13" s="50">
        <f t="shared" si="2"/>
        <v>5</v>
      </c>
      <c r="B13" s="75">
        <v>42795</v>
      </c>
      <c r="C13" s="2">
        <v>1081</v>
      </c>
      <c r="D13" s="29">
        <v>2920000</v>
      </c>
      <c r="E13" s="54">
        <v>1460000</v>
      </c>
      <c r="F13" s="54"/>
      <c r="G13" s="54">
        <f>490000+490000</f>
        <v>980000</v>
      </c>
      <c r="H13" s="56"/>
      <c r="I13" s="56"/>
      <c r="J13" s="65">
        <f t="shared" si="1"/>
        <v>2440000</v>
      </c>
      <c r="K13" s="55">
        <f t="shared" si="0"/>
        <v>480000</v>
      </c>
    </row>
    <row r="14" spans="1:11" ht="18" customHeight="1" x14ac:dyDescent="0.25">
      <c r="A14" s="50">
        <f t="shared" si="2"/>
        <v>6</v>
      </c>
      <c r="B14" s="75">
        <v>42795</v>
      </c>
      <c r="C14" s="2">
        <v>1082</v>
      </c>
      <c r="D14" s="29">
        <v>4376797</v>
      </c>
      <c r="E14" s="54">
        <v>2188000</v>
      </c>
      <c r="F14" s="54"/>
      <c r="G14" s="54" t="s">
        <v>75</v>
      </c>
      <c r="H14" s="56"/>
      <c r="I14" s="56"/>
      <c r="J14" s="65">
        <f t="shared" si="1"/>
        <v>2188000</v>
      </c>
      <c r="K14" s="55">
        <f t="shared" si="0"/>
        <v>2188797</v>
      </c>
    </row>
    <row r="15" spans="1:11" ht="18" customHeight="1" x14ac:dyDescent="0.25">
      <c r="A15" s="50">
        <f t="shared" si="2"/>
        <v>7</v>
      </c>
      <c r="B15" s="75">
        <v>42795</v>
      </c>
      <c r="C15" s="2">
        <v>1083</v>
      </c>
      <c r="D15" s="29">
        <v>3800000</v>
      </c>
      <c r="E15" s="54">
        <v>3800000</v>
      </c>
      <c r="F15" s="54"/>
      <c r="G15" s="54"/>
      <c r="H15" s="56"/>
      <c r="I15" s="56"/>
      <c r="J15" s="65">
        <f t="shared" si="1"/>
        <v>3800000</v>
      </c>
      <c r="K15" s="55">
        <f t="shared" si="0"/>
        <v>0</v>
      </c>
    </row>
    <row r="16" spans="1:11" ht="18" customHeight="1" x14ac:dyDescent="0.25">
      <c r="A16" s="50">
        <f t="shared" si="2"/>
        <v>8</v>
      </c>
      <c r="B16" s="75">
        <v>42795</v>
      </c>
      <c r="C16" s="3">
        <v>1084</v>
      </c>
      <c r="D16" s="38">
        <v>5286663</v>
      </c>
      <c r="E16" s="54"/>
      <c r="F16" s="54">
        <v>2600000</v>
      </c>
      <c r="G16" s="54">
        <f>2000000+686663</f>
        <v>2686663</v>
      </c>
      <c r="H16" s="56"/>
      <c r="I16" s="56"/>
      <c r="J16" s="65">
        <f t="shared" si="1"/>
        <v>5286663</v>
      </c>
      <c r="K16" s="55">
        <f t="shared" si="0"/>
        <v>0</v>
      </c>
    </row>
    <row r="17" spans="1:11" ht="18" customHeight="1" x14ac:dyDescent="0.25">
      <c r="A17" s="50">
        <f t="shared" si="2"/>
        <v>9</v>
      </c>
      <c r="B17" s="75">
        <v>42795</v>
      </c>
      <c r="C17" s="2">
        <v>1085</v>
      </c>
      <c r="D17" s="29">
        <v>4380000</v>
      </c>
      <c r="E17" s="54">
        <v>3500000</v>
      </c>
      <c r="F17" s="54">
        <v>880000</v>
      </c>
      <c r="G17" s="54"/>
      <c r="H17" s="56"/>
      <c r="I17" s="56"/>
      <c r="J17" s="65">
        <f t="shared" si="1"/>
        <v>4380000</v>
      </c>
      <c r="K17" s="55">
        <f t="shared" si="0"/>
        <v>0</v>
      </c>
    </row>
    <row r="18" spans="1:11" ht="18" customHeight="1" x14ac:dyDescent="0.25">
      <c r="A18" s="50">
        <f t="shared" si="2"/>
        <v>10</v>
      </c>
      <c r="B18" s="75">
        <v>42795</v>
      </c>
      <c r="C18" s="2">
        <v>1086</v>
      </c>
      <c r="D18" s="29">
        <v>1284463</v>
      </c>
      <c r="E18" s="54">
        <v>1284463</v>
      </c>
      <c r="F18" s="54"/>
      <c r="G18" s="54"/>
      <c r="H18" s="56"/>
      <c r="I18" s="56"/>
      <c r="J18" s="65">
        <f t="shared" si="1"/>
        <v>1284463</v>
      </c>
      <c r="K18" s="55">
        <f t="shared" si="0"/>
        <v>0</v>
      </c>
    </row>
    <row r="19" spans="1:11" ht="18" customHeight="1" x14ac:dyDescent="0.25">
      <c r="A19" s="50">
        <f t="shared" si="2"/>
        <v>11</v>
      </c>
      <c r="B19" s="75">
        <v>42795</v>
      </c>
      <c r="C19" s="2">
        <v>1087</v>
      </c>
      <c r="D19" s="29">
        <v>2394000</v>
      </c>
      <c r="E19" s="54">
        <v>1197000</v>
      </c>
      <c r="F19" s="54"/>
      <c r="G19" s="54">
        <v>1186956</v>
      </c>
      <c r="H19" s="56"/>
      <c r="I19" s="56"/>
      <c r="J19" s="65">
        <f t="shared" si="1"/>
        <v>2383956</v>
      </c>
      <c r="K19" s="55">
        <f t="shared" si="0"/>
        <v>10044</v>
      </c>
    </row>
    <row r="20" spans="1:11" ht="18" customHeight="1" x14ac:dyDescent="0.25">
      <c r="A20" s="50">
        <f t="shared" si="2"/>
        <v>12</v>
      </c>
      <c r="B20" s="75">
        <v>42795</v>
      </c>
      <c r="C20" s="2">
        <v>1088</v>
      </c>
      <c r="D20" s="29">
        <v>4044000</v>
      </c>
      <c r="E20" s="54">
        <v>2022000</v>
      </c>
      <c r="F20" s="54"/>
      <c r="G20" s="54">
        <v>2022000</v>
      </c>
      <c r="H20" s="56"/>
      <c r="I20" s="56"/>
      <c r="J20" s="65">
        <f t="shared" si="1"/>
        <v>4044000</v>
      </c>
      <c r="K20" s="55">
        <f t="shared" si="0"/>
        <v>0</v>
      </c>
    </row>
    <row r="21" spans="1:11" ht="18" customHeight="1" x14ac:dyDescent="0.25">
      <c r="A21" s="50">
        <f t="shared" si="2"/>
        <v>13</v>
      </c>
      <c r="B21" s="75">
        <v>42795</v>
      </c>
      <c r="C21" s="2">
        <v>1089</v>
      </c>
      <c r="D21" s="29">
        <v>2687655</v>
      </c>
      <c r="E21" s="54">
        <v>1174785</v>
      </c>
      <c r="F21" s="54"/>
      <c r="G21" s="54">
        <v>1174785</v>
      </c>
      <c r="H21" s="56"/>
      <c r="I21" s="56">
        <v>338085</v>
      </c>
      <c r="J21" s="65">
        <f t="shared" si="1"/>
        <v>2687655</v>
      </c>
      <c r="K21" s="55">
        <f t="shared" si="0"/>
        <v>0</v>
      </c>
    </row>
    <row r="22" spans="1:11" ht="18" customHeight="1" x14ac:dyDescent="0.25">
      <c r="A22" s="50">
        <f t="shared" si="2"/>
        <v>14</v>
      </c>
      <c r="B22" s="75">
        <v>42795</v>
      </c>
      <c r="C22" s="2">
        <v>1090</v>
      </c>
      <c r="D22" s="29">
        <v>7681930</v>
      </c>
      <c r="E22" s="54"/>
      <c r="F22" s="54"/>
      <c r="G22" s="54">
        <v>3840964</v>
      </c>
      <c r="H22" s="56"/>
      <c r="I22" s="56"/>
      <c r="J22" s="65">
        <f t="shared" si="1"/>
        <v>3840964</v>
      </c>
      <c r="K22" s="55">
        <f t="shared" si="0"/>
        <v>3840966</v>
      </c>
    </row>
    <row r="23" spans="1:11" ht="18" customHeight="1" x14ac:dyDescent="0.25">
      <c r="A23" s="50">
        <f t="shared" si="2"/>
        <v>15</v>
      </c>
      <c r="B23" s="75">
        <v>42795</v>
      </c>
      <c r="C23" s="2">
        <v>1091</v>
      </c>
      <c r="D23" s="29">
        <v>3640000</v>
      </c>
      <c r="E23" s="54">
        <v>1820000</v>
      </c>
      <c r="F23" s="54"/>
      <c r="G23" s="54">
        <v>1820000</v>
      </c>
      <c r="H23" s="56"/>
      <c r="I23" s="56"/>
      <c r="J23" s="65">
        <f t="shared" si="1"/>
        <v>3640000</v>
      </c>
      <c r="K23" s="55">
        <f t="shared" si="0"/>
        <v>0</v>
      </c>
    </row>
    <row r="24" spans="1:11" ht="18" customHeight="1" x14ac:dyDescent="0.25">
      <c r="A24" s="50">
        <f t="shared" si="2"/>
        <v>16</v>
      </c>
      <c r="B24" s="75">
        <v>42795</v>
      </c>
      <c r="C24" s="3">
        <v>1092</v>
      </c>
      <c r="D24" s="38">
        <v>9850473</v>
      </c>
      <c r="E24" s="54">
        <v>3300000</v>
      </c>
      <c r="F24" s="54">
        <v>3300000</v>
      </c>
      <c r="G24" s="54"/>
      <c r="H24" s="56"/>
      <c r="I24" s="56"/>
      <c r="J24" s="65">
        <f t="shared" si="1"/>
        <v>6600000</v>
      </c>
      <c r="K24" s="55">
        <f t="shared" si="0"/>
        <v>3250473</v>
      </c>
    </row>
    <row r="25" spans="1:11" ht="18" customHeight="1" x14ac:dyDescent="0.25">
      <c r="A25" s="50">
        <f t="shared" si="2"/>
        <v>17</v>
      </c>
      <c r="B25" s="75">
        <v>42795</v>
      </c>
      <c r="C25" s="3">
        <v>1093</v>
      </c>
      <c r="D25" s="38">
        <v>2000000</v>
      </c>
      <c r="E25" s="54">
        <v>1000000</v>
      </c>
      <c r="F25" s="54"/>
      <c r="G25" s="54">
        <v>1000000</v>
      </c>
      <c r="H25" s="56"/>
      <c r="I25" s="56"/>
      <c r="J25" s="65">
        <f t="shared" si="1"/>
        <v>2000000</v>
      </c>
      <c r="K25" s="55">
        <f t="shared" si="0"/>
        <v>0</v>
      </c>
    </row>
    <row r="26" spans="1:11" ht="18" customHeight="1" x14ac:dyDescent="0.25">
      <c r="A26" s="50">
        <f t="shared" si="2"/>
        <v>18</v>
      </c>
      <c r="B26" s="75">
        <v>42795</v>
      </c>
      <c r="C26" s="3">
        <v>1094</v>
      </c>
      <c r="D26" s="38">
        <v>3192526</v>
      </c>
      <c r="E26" s="54"/>
      <c r="F26" s="54">
        <v>1064175</v>
      </c>
      <c r="G26" s="54">
        <f>1064175+1064175</f>
        <v>2128350</v>
      </c>
      <c r="H26" s="56"/>
      <c r="I26" s="56"/>
      <c r="J26" s="65">
        <f t="shared" si="1"/>
        <v>3192525</v>
      </c>
      <c r="K26" s="55">
        <v>0</v>
      </c>
    </row>
    <row r="27" spans="1:11" ht="18" customHeight="1" x14ac:dyDescent="0.25">
      <c r="A27" s="50">
        <f t="shared" si="2"/>
        <v>19</v>
      </c>
      <c r="B27" s="75">
        <v>42795</v>
      </c>
      <c r="C27" s="3">
        <v>1095</v>
      </c>
      <c r="D27" s="38">
        <v>8033000</v>
      </c>
      <c r="E27" s="54"/>
      <c r="F27" s="54">
        <v>1097778</v>
      </c>
      <c r="G27" s="54">
        <f>1097778+1097778</f>
        <v>2195556</v>
      </c>
      <c r="H27" s="56"/>
      <c r="I27" s="56"/>
      <c r="J27" s="65">
        <f t="shared" si="1"/>
        <v>3293334</v>
      </c>
      <c r="K27" s="55">
        <f>D27-J27</f>
        <v>4739666</v>
      </c>
    </row>
    <row r="28" spans="1:11" ht="18" customHeight="1" x14ac:dyDescent="0.25">
      <c r="A28" s="50">
        <f t="shared" si="2"/>
        <v>20</v>
      </c>
      <c r="B28" s="75">
        <v>42795</v>
      </c>
      <c r="C28" s="3">
        <v>1096</v>
      </c>
      <c r="D28" s="38">
        <v>4200000</v>
      </c>
      <c r="E28" s="54"/>
      <c r="F28" s="54">
        <v>2100000</v>
      </c>
      <c r="G28" s="54">
        <v>2100000</v>
      </c>
      <c r="H28" s="56"/>
      <c r="I28" s="56"/>
      <c r="J28" s="65">
        <f t="shared" si="1"/>
        <v>4200000</v>
      </c>
      <c r="K28" s="55">
        <f>D28-J28</f>
        <v>0</v>
      </c>
    </row>
    <row r="29" spans="1:11" ht="18" customHeight="1" x14ac:dyDescent="0.25">
      <c r="A29" s="50">
        <f t="shared" si="2"/>
        <v>21</v>
      </c>
      <c r="B29" s="75">
        <v>42795</v>
      </c>
      <c r="C29" s="3">
        <v>1097</v>
      </c>
      <c r="D29" s="38">
        <v>3743770</v>
      </c>
      <c r="E29" s="54"/>
      <c r="F29" s="54">
        <v>374377</v>
      </c>
      <c r="G29" s="54">
        <f>2620639+374377+374377</f>
        <v>3369393</v>
      </c>
      <c r="H29" s="56"/>
      <c r="I29" s="56"/>
      <c r="J29" s="65">
        <f t="shared" si="1"/>
        <v>3743770</v>
      </c>
      <c r="K29" s="55">
        <f>D29-J29</f>
        <v>0</v>
      </c>
    </row>
    <row r="30" spans="1:11" ht="18" customHeight="1" x14ac:dyDescent="0.25">
      <c r="A30" s="50">
        <f t="shared" si="2"/>
        <v>22</v>
      </c>
      <c r="B30" s="75">
        <v>42795</v>
      </c>
      <c r="C30" s="3">
        <v>1098</v>
      </c>
      <c r="D30" s="38">
        <v>2710520</v>
      </c>
      <c r="E30" s="54"/>
      <c r="F30" s="54">
        <v>2710520</v>
      </c>
      <c r="G30" s="54"/>
      <c r="H30" s="56"/>
      <c r="I30" s="56"/>
      <c r="J30" s="65">
        <f t="shared" si="1"/>
        <v>2710520</v>
      </c>
      <c r="K30" s="55">
        <f>D30-J30</f>
        <v>0</v>
      </c>
    </row>
    <row r="31" spans="1:11" ht="18" customHeight="1" x14ac:dyDescent="0.25">
      <c r="A31" s="50">
        <f t="shared" si="2"/>
        <v>23</v>
      </c>
      <c r="B31" s="75">
        <v>42795</v>
      </c>
      <c r="C31" s="3">
        <v>1099</v>
      </c>
      <c r="D31" s="38">
        <v>3798000</v>
      </c>
      <c r="E31" s="54"/>
      <c r="F31" s="54">
        <v>1899000</v>
      </c>
      <c r="G31" s="54">
        <v>1899000</v>
      </c>
      <c r="H31" s="56"/>
      <c r="I31" s="56"/>
      <c r="J31" s="65">
        <f t="shared" si="1"/>
        <v>3798000</v>
      </c>
      <c r="K31" s="55">
        <f>D31-J31</f>
        <v>0</v>
      </c>
    </row>
    <row r="32" spans="1:11" ht="18" customHeight="1" thickBot="1" x14ac:dyDescent="0.3">
      <c r="A32" s="51">
        <f t="shared" si="2"/>
        <v>24</v>
      </c>
      <c r="B32" s="75">
        <v>42795</v>
      </c>
      <c r="C32" s="3">
        <v>1100</v>
      </c>
      <c r="D32" s="38">
        <v>3997083</v>
      </c>
      <c r="E32" s="54"/>
      <c r="F32" s="54">
        <v>500000</v>
      </c>
      <c r="G32" s="54">
        <f>500000+500000</f>
        <v>1000000</v>
      </c>
      <c r="H32" s="56"/>
      <c r="I32" s="56"/>
      <c r="J32" s="65">
        <f t="shared" si="1"/>
        <v>1500000</v>
      </c>
      <c r="K32" s="55">
        <f t="shared" si="0"/>
        <v>2497083</v>
      </c>
    </row>
    <row r="33" spans="1:50" ht="20.100000000000001" customHeight="1" thickBot="1" x14ac:dyDescent="0.3">
      <c r="B33" s="248"/>
      <c r="C33" s="249"/>
      <c r="D33" s="57">
        <f t="shared" ref="D33:I33" si="3">SUM(D9:D32)</f>
        <v>98794975</v>
      </c>
      <c r="E33" s="57">
        <f t="shared" si="3"/>
        <v>26713774</v>
      </c>
      <c r="F33" s="57">
        <f t="shared" si="3"/>
        <v>19512434</v>
      </c>
      <c r="G33" s="57">
        <f t="shared" si="3"/>
        <v>33857830</v>
      </c>
      <c r="H33" s="58">
        <f t="shared" si="3"/>
        <v>365800</v>
      </c>
      <c r="I33" s="58">
        <f t="shared" si="3"/>
        <v>935669</v>
      </c>
      <c r="J33" s="57">
        <f>SUM(J9:J32)</f>
        <v>81385507</v>
      </c>
      <c r="K33" s="59">
        <f>SUM(K9:K32)</f>
        <v>17409467</v>
      </c>
      <c r="M33" s="71"/>
    </row>
    <row r="35" spans="1:50" x14ac:dyDescent="0.25">
      <c r="E35" s="43"/>
      <c r="F35" s="43"/>
      <c r="G35" s="43"/>
    </row>
    <row r="36" spans="1:50" x14ac:dyDescent="0.25">
      <c r="C36" s="44"/>
      <c r="D36" s="44"/>
    </row>
    <row r="40" spans="1:50" s="62" customFormat="1" x14ac:dyDescent="0.25">
      <c r="A40" s="66"/>
      <c r="B40" s="43"/>
      <c r="C40" s="43"/>
      <c r="D40" s="43"/>
      <c r="E40" s="44"/>
      <c r="F40" s="44"/>
      <c r="G40" s="44"/>
      <c r="H40" s="44"/>
      <c r="I40" s="44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</row>
  </sheetData>
  <mergeCells count="2">
    <mergeCell ref="E7:G7"/>
    <mergeCell ref="B33:C33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X47"/>
  <sheetViews>
    <sheetView topLeftCell="A7" zoomScale="90" zoomScaleNormal="90" workbookViewId="0">
      <selection activeCell="G34" sqref="G34"/>
    </sheetView>
  </sheetViews>
  <sheetFormatPr baseColWidth="10" defaultRowHeight="12.75" x14ac:dyDescent="0.25"/>
  <cols>
    <col min="1" max="1" width="3.7109375" style="66" customWidth="1"/>
    <col min="2" max="2" width="13.7109375" style="43" customWidth="1"/>
    <col min="3" max="3" width="8.7109375" style="43" customWidth="1"/>
    <col min="4" max="4" width="12.7109375" style="43" customWidth="1"/>
    <col min="5" max="9" width="12.7109375" style="44" customWidth="1"/>
    <col min="10" max="11" width="14.7109375" style="43" customWidth="1"/>
    <col min="12" max="16384" width="11.42578125" style="43"/>
  </cols>
  <sheetData>
    <row r="6" spans="1:11" ht="13.5" thickBot="1" x14ac:dyDescent="0.3"/>
    <row r="7" spans="1:11" ht="13.5" thickBot="1" x14ac:dyDescent="0.3">
      <c r="B7" s="45">
        <v>42826</v>
      </c>
      <c r="E7" s="268" t="s">
        <v>4</v>
      </c>
      <c r="F7" s="269"/>
      <c r="G7" s="272"/>
    </row>
    <row r="8" spans="1:11" ht="15" customHeight="1" thickBot="1" x14ac:dyDescent="0.3">
      <c r="B8" s="46" t="s">
        <v>11</v>
      </c>
      <c r="C8" s="46" t="s">
        <v>12</v>
      </c>
      <c r="D8" s="60" t="s">
        <v>13</v>
      </c>
      <c r="E8" s="47" t="s">
        <v>9</v>
      </c>
      <c r="F8" s="47" t="s">
        <v>20</v>
      </c>
      <c r="G8" s="47" t="s">
        <v>21</v>
      </c>
      <c r="H8" s="48" t="s">
        <v>10</v>
      </c>
      <c r="I8" s="48" t="s">
        <v>19</v>
      </c>
      <c r="J8" s="46" t="s">
        <v>16</v>
      </c>
      <c r="K8" s="47" t="s">
        <v>15</v>
      </c>
    </row>
    <row r="9" spans="1:11" ht="18" customHeight="1" x14ac:dyDescent="0.25">
      <c r="A9" s="49">
        <v>1</v>
      </c>
      <c r="B9" s="74">
        <v>42826</v>
      </c>
      <c r="C9" s="1">
        <v>1101</v>
      </c>
      <c r="D9" s="28">
        <v>1672718</v>
      </c>
      <c r="E9" s="72"/>
      <c r="F9" s="72">
        <v>557572</v>
      </c>
      <c r="G9" s="72">
        <f>557572+557574</f>
        <v>1115146</v>
      </c>
      <c r="H9" s="64"/>
      <c r="I9" s="64"/>
      <c r="J9" s="65">
        <f>SUM(E9:I9)</f>
        <v>1672718</v>
      </c>
      <c r="K9" s="63">
        <f>D9-J9</f>
        <v>0</v>
      </c>
    </row>
    <row r="10" spans="1:11" ht="18" customHeight="1" x14ac:dyDescent="0.25">
      <c r="A10" s="50">
        <f>A9+1</f>
        <v>2</v>
      </c>
      <c r="B10" s="75">
        <v>42826</v>
      </c>
      <c r="C10" s="2">
        <v>1102</v>
      </c>
      <c r="D10" s="29">
        <v>2590791</v>
      </c>
      <c r="E10" s="54"/>
      <c r="F10" s="54">
        <v>1300000</v>
      </c>
      <c r="G10" s="54"/>
      <c r="H10" s="56"/>
      <c r="I10" s="56"/>
      <c r="J10" s="65">
        <f t="shared" ref="J10:J39" si="0">SUM(E10:I10)</f>
        <v>1300000</v>
      </c>
      <c r="K10" s="63">
        <f t="shared" ref="K10:K39" si="1">D10-J10</f>
        <v>1290791</v>
      </c>
    </row>
    <row r="11" spans="1:11" ht="18" customHeight="1" x14ac:dyDescent="0.25">
      <c r="A11" s="50">
        <f t="shared" ref="A11:A39" si="2">A10+1</f>
        <v>3</v>
      </c>
      <c r="B11" s="75">
        <v>42826</v>
      </c>
      <c r="C11" s="2">
        <v>1103</v>
      </c>
      <c r="D11" s="29">
        <v>5236000</v>
      </c>
      <c r="E11" s="54"/>
      <c r="F11" s="54">
        <v>1745333</v>
      </c>
      <c r="G11" s="54">
        <f>1745333+1745334</f>
        <v>3490667</v>
      </c>
      <c r="H11" s="56"/>
      <c r="I11" s="56"/>
      <c r="J11" s="65">
        <f t="shared" si="0"/>
        <v>5236000</v>
      </c>
      <c r="K11" s="63">
        <f t="shared" si="1"/>
        <v>0</v>
      </c>
    </row>
    <row r="12" spans="1:11" ht="18" customHeight="1" x14ac:dyDescent="0.25">
      <c r="A12" s="50">
        <f t="shared" si="2"/>
        <v>4</v>
      </c>
      <c r="B12" s="75">
        <v>42826</v>
      </c>
      <c r="C12" s="2">
        <v>1104</v>
      </c>
      <c r="D12" s="29">
        <v>3698875</v>
      </c>
      <c r="E12" s="54"/>
      <c r="F12" s="54">
        <v>1849438</v>
      </c>
      <c r="G12" s="54">
        <v>1849437</v>
      </c>
      <c r="H12" s="56"/>
      <c r="I12" s="56"/>
      <c r="J12" s="65">
        <f t="shared" si="0"/>
        <v>3698875</v>
      </c>
      <c r="K12" s="63">
        <f t="shared" si="1"/>
        <v>0</v>
      </c>
    </row>
    <row r="13" spans="1:11" ht="18" customHeight="1" x14ac:dyDescent="0.25">
      <c r="A13" s="50">
        <f t="shared" si="2"/>
        <v>5</v>
      </c>
      <c r="B13" s="75">
        <v>42826</v>
      </c>
      <c r="C13" s="2">
        <v>1105</v>
      </c>
      <c r="D13" s="29">
        <v>611591</v>
      </c>
      <c r="E13" s="54"/>
      <c r="F13" s="54"/>
      <c r="G13" s="54">
        <f>305796+305795</f>
        <v>611591</v>
      </c>
      <c r="H13" s="56"/>
      <c r="I13" s="56"/>
      <c r="J13" s="65">
        <f t="shared" si="0"/>
        <v>611591</v>
      </c>
      <c r="K13" s="63">
        <f t="shared" si="1"/>
        <v>0</v>
      </c>
    </row>
    <row r="14" spans="1:11" ht="18" customHeight="1" x14ac:dyDescent="0.25">
      <c r="A14" s="50">
        <f t="shared" si="2"/>
        <v>6</v>
      </c>
      <c r="B14" s="75">
        <v>42826</v>
      </c>
      <c r="C14" s="2">
        <v>1106</v>
      </c>
      <c r="D14" s="29">
        <v>5448352</v>
      </c>
      <c r="E14" s="54"/>
      <c r="F14" s="54">
        <v>1000000</v>
      </c>
      <c r="G14" s="54">
        <f>3000000+448352</f>
        <v>3448352</v>
      </c>
      <c r="H14" s="56"/>
      <c r="I14" s="56"/>
      <c r="J14" s="65">
        <f t="shared" si="0"/>
        <v>4448352</v>
      </c>
      <c r="K14" s="63">
        <f t="shared" si="1"/>
        <v>1000000</v>
      </c>
    </row>
    <row r="15" spans="1:11" ht="18" customHeight="1" x14ac:dyDescent="0.25">
      <c r="A15" s="50">
        <f t="shared" si="2"/>
        <v>7</v>
      </c>
      <c r="B15" s="75">
        <v>42826</v>
      </c>
      <c r="C15" s="2">
        <v>1107</v>
      </c>
      <c r="D15" s="29">
        <v>351050</v>
      </c>
      <c r="E15" s="54"/>
      <c r="F15" s="54">
        <f>175000+176050</f>
        <v>351050</v>
      </c>
      <c r="G15" s="54"/>
      <c r="H15" s="56"/>
      <c r="I15" s="56"/>
      <c r="J15" s="65">
        <f t="shared" si="0"/>
        <v>351050</v>
      </c>
      <c r="K15" s="63">
        <f t="shared" si="1"/>
        <v>0</v>
      </c>
    </row>
    <row r="16" spans="1:11" ht="18" customHeight="1" x14ac:dyDescent="0.25">
      <c r="A16" s="50">
        <f t="shared" si="2"/>
        <v>8</v>
      </c>
      <c r="B16" s="75">
        <v>42826</v>
      </c>
      <c r="C16" s="3">
        <v>1108</v>
      </c>
      <c r="D16" s="38">
        <v>3091228</v>
      </c>
      <c r="E16" s="54"/>
      <c r="F16" s="54">
        <v>1545614</v>
      </c>
      <c r="G16" s="54">
        <f>772807+772807</f>
        <v>1545614</v>
      </c>
      <c r="H16" s="56"/>
      <c r="I16" s="56"/>
      <c r="J16" s="65">
        <f t="shared" si="0"/>
        <v>3091228</v>
      </c>
      <c r="K16" s="63">
        <f t="shared" si="1"/>
        <v>0</v>
      </c>
    </row>
    <row r="17" spans="1:13" ht="18" customHeight="1" x14ac:dyDescent="0.25">
      <c r="A17" s="50">
        <f t="shared" si="2"/>
        <v>9</v>
      </c>
      <c r="B17" s="75">
        <v>42826</v>
      </c>
      <c r="C17" s="2">
        <v>1109</v>
      </c>
      <c r="D17" s="29">
        <v>2805197</v>
      </c>
      <c r="E17" s="54"/>
      <c r="F17" s="54">
        <v>1402598</v>
      </c>
      <c r="G17" s="54"/>
      <c r="H17" s="56"/>
      <c r="I17" s="56"/>
      <c r="J17" s="65">
        <f t="shared" si="0"/>
        <v>1402598</v>
      </c>
      <c r="K17" s="63">
        <f t="shared" si="1"/>
        <v>1402599</v>
      </c>
    </row>
    <row r="18" spans="1:13" ht="18" customHeight="1" x14ac:dyDescent="0.25">
      <c r="A18" s="50">
        <f t="shared" si="2"/>
        <v>10</v>
      </c>
      <c r="B18" s="75">
        <v>42826</v>
      </c>
      <c r="C18" s="2">
        <v>1110</v>
      </c>
      <c r="D18" s="29">
        <v>2797420</v>
      </c>
      <c r="E18" s="54"/>
      <c r="F18" s="54">
        <v>1400000</v>
      </c>
      <c r="G18" s="54"/>
      <c r="H18" s="56"/>
      <c r="I18" s="56"/>
      <c r="J18" s="65">
        <f t="shared" si="0"/>
        <v>1400000</v>
      </c>
      <c r="K18" s="63">
        <f t="shared" si="1"/>
        <v>1397420</v>
      </c>
    </row>
    <row r="19" spans="1:13" ht="18" customHeight="1" x14ac:dyDescent="0.25">
      <c r="A19" s="50">
        <f t="shared" si="2"/>
        <v>11</v>
      </c>
      <c r="B19" s="75">
        <v>42826</v>
      </c>
      <c r="C19" s="2">
        <v>1111</v>
      </c>
      <c r="D19" s="29">
        <v>1931721</v>
      </c>
      <c r="E19" s="54"/>
      <c r="F19" s="54">
        <f>330000</f>
        <v>330000</v>
      </c>
      <c r="G19" s="54">
        <f>330000+941721+330000</f>
        <v>1601721</v>
      </c>
      <c r="H19" s="56"/>
      <c r="I19" s="56"/>
      <c r="J19" s="65">
        <f t="shared" si="0"/>
        <v>1931721</v>
      </c>
      <c r="K19" s="63">
        <f t="shared" si="1"/>
        <v>0</v>
      </c>
      <c r="M19" s="44">
        <f>F19+G19</f>
        <v>1931721</v>
      </c>
    </row>
    <row r="20" spans="1:13" ht="18" customHeight="1" x14ac:dyDescent="0.25">
      <c r="A20" s="50">
        <f t="shared" si="2"/>
        <v>12</v>
      </c>
      <c r="B20" s="75">
        <v>42826</v>
      </c>
      <c r="C20" s="2">
        <v>1112</v>
      </c>
      <c r="D20" s="29">
        <v>2640417</v>
      </c>
      <c r="E20" s="54"/>
      <c r="F20" s="54">
        <v>1400000</v>
      </c>
      <c r="G20" s="54">
        <v>1240417</v>
      </c>
      <c r="H20" s="56"/>
      <c r="I20" s="56"/>
      <c r="J20" s="65">
        <f t="shared" si="0"/>
        <v>2640417</v>
      </c>
      <c r="K20" s="63">
        <f t="shared" si="1"/>
        <v>0</v>
      </c>
    </row>
    <row r="21" spans="1:13" ht="18" customHeight="1" x14ac:dyDescent="0.25">
      <c r="A21" s="50">
        <f t="shared" si="2"/>
        <v>13</v>
      </c>
      <c r="B21" s="75">
        <v>42826</v>
      </c>
      <c r="C21" s="2">
        <v>1113</v>
      </c>
      <c r="D21" s="29">
        <v>5532531</v>
      </c>
      <c r="E21" s="54"/>
      <c r="F21" s="54">
        <v>2760000</v>
      </c>
      <c r="G21" s="54"/>
      <c r="H21" s="56"/>
      <c r="I21" s="56"/>
      <c r="J21" s="65">
        <f t="shared" si="0"/>
        <v>2760000</v>
      </c>
      <c r="K21" s="63">
        <f t="shared" si="1"/>
        <v>2772531</v>
      </c>
    </row>
    <row r="22" spans="1:13" ht="18" customHeight="1" x14ac:dyDescent="0.25">
      <c r="A22" s="50">
        <f t="shared" si="2"/>
        <v>14</v>
      </c>
      <c r="B22" s="75">
        <v>42826</v>
      </c>
      <c r="C22" s="2">
        <v>1114</v>
      </c>
      <c r="D22" s="29">
        <v>4738133</v>
      </c>
      <c r="E22" s="54"/>
      <c r="F22" s="54"/>
      <c r="G22" s="54">
        <f>1579377+1579377</f>
        <v>3158754</v>
      </c>
      <c r="H22" s="56"/>
      <c r="I22" s="56"/>
      <c r="J22" s="65">
        <f t="shared" si="0"/>
        <v>3158754</v>
      </c>
      <c r="K22" s="63">
        <f t="shared" si="1"/>
        <v>1579379</v>
      </c>
    </row>
    <row r="23" spans="1:13" ht="18" customHeight="1" x14ac:dyDescent="0.25">
      <c r="A23" s="50">
        <f t="shared" si="2"/>
        <v>15</v>
      </c>
      <c r="B23" s="75">
        <v>42826</v>
      </c>
      <c r="C23" s="2">
        <v>1115</v>
      </c>
      <c r="D23" s="29">
        <v>5800000</v>
      </c>
      <c r="E23" s="54"/>
      <c r="F23" s="54">
        <v>966666</v>
      </c>
      <c r="G23" s="54"/>
      <c r="H23" s="56"/>
      <c r="I23" s="56"/>
      <c r="J23" s="65">
        <f t="shared" si="0"/>
        <v>966666</v>
      </c>
      <c r="K23" s="63">
        <f t="shared" si="1"/>
        <v>4833334</v>
      </c>
    </row>
    <row r="24" spans="1:13" ht="18" customHeight="1" x14ac:dyDescent="0.25">
      <c r="A24" s="50">
        <f t="shared" si="2"/>
        <v>16</v>
      </c>
      <c r="B24" s="75">
        <v>42826</v>
      </c>
      <c r="C24" s="3">
        <v>1116</v>
      </c>
      <c r="D24" s="38">
        <v>8976229</v>
      </c>
      <c r="E24" s="54"/>
      <c r="F24" s="54"/>
      <c r="G24" s="54">
        <f>4103393+4872836</f>
        <v>8976229</v>
      </c>
      <c r="H24" s="56"/>
      <c r="I24" s="56"/>
      <c r="J24" s="65">
        <f t="shared" si="0"/>
        <v>8976229</v>
      </c>
      <c r="K24" s="63">
        <f t="shared" si="1"/>
        <v>0</v>
      </c>
    </row>
    <row r="25" spans="1:13" ht="18" customHeight="1" x14ac:dyDescent="0.25">
      <c r="A25" s="50">
        <f t="shared" si="2"/>
        <v>17</v>
      </c>
      <c r="B25" s="75">
        <v>42826</v>
      </c>
      <c r="C25" s="3">
        <v>1117</v>
      </c>
      <c r="D25" s="38">
        <v>4580459</v>
      </c>
      <c r="E25" s="54"/>
      <c r="F25" s="54"/>
      <c r="G25" s="54">
        <f>2091730+1206444</f>
        <v>3298174</v>
      </c>
      <c r="H25" s="56"/>
      <c r="I25" s="56"/>
      <c r="J25" s="65">
        <f t="shared" si="0"/>
        <v>3298174</v>
      </c>
      <c r="K25" s="63">
        <f t="shared" si="1"/>
        <v>1282285</v>
      </c>
    </row>
    <row r="26" spans="1:13" ht="18" customHeight="1" x14ac:dyDescent="0.25">
      <c r="A26" s="50">
        <f t="shared" si="2"/>
        <v>18</v>
      </c>
      <c r="B26" s="75">
        <v>42826</v>
      </c>
      <c r="C26" s="3">
        <v>1118</v>
      </c>
      <c r="D26" s="38">
        <v>3272773</v>
      </c>
      <c r="E26" s="54"/>
      <c r="F26" s="54">
        <v>1636387</v>
      </c>
      <c r="G26" s="54">
        <v>1636386</v>
      </c>
      <c r="H26" s="56"/>
      <c r="I26" s="56"/>
      <c r="J26" s="65">
        <f t="shared" si="0"/>
        <v>3272773</v>
      </c>
      <c r="K26" s="63">
        <f t="shared" si="1"/>
        <v>0</v>
      </c>
    </row>
    <row r="27" spans="1:13" ht="18" customHeight="1" x14ac:dyDescent="0.25">
      <c r="A27" s="50">
        <f t="shared" si="2"/>
        <v>19</v>
      </c>
      <c r="B27" s="75">
        <v>42826</v>
      </c>
      <c r="C27" s="3">
        <v>1119</v>
      </c>
      <c r="D27" s="38">
        <v>3132486</v>
      </c>
      <c r="E27" s="54"/>
      <c r="F27" s="54">
        <v>1566234</v>
      </c>
      <c r="G27" s="54"/>
      <c r="H27" s="56"/>
      <c r="I27" s="56"/>
      <c r="J27" s="65">
        <f t="shared" si="0"/>
        <v>1566234</v>
      </c>
      <c r="K27" s="63">
        <f t="shared" si="1"/>
        <v>1566252</v>
      </c>
    </row>
    <row r="28" spans="1:13" ht="18" customHeight="1" x14ac:dyDescent="0.25">
      <c r="A28" s="50">
        <f t="shared" si="2"/>
        <v>20</v>
      </c>
      <c r="B28" s="75">
        <v>42826</v>
      </c>
      <c r="C28" s="3">
        <v>1120</v>
      </c>
      <c r="D28" s="38">
        <v>1908400</v>
      </c>
      <c r="E28" s="54"/>
      <c r="F28" s="54">
        <f>954199+954199+2</f>
        <v>1908400</v>
      </c>
      <c r="G28" s="54"/>
      <c r="H28" s="56"/>
      <c r="I28" s="56"/>
      <c r="J28" s="65">
        <f t="shared" si="0"/>
        <v>1908400</v>
      </c>
      <c r="K28" s="63">
        <f t="shared" si="1"/>
        <v>0</v>
      </c>
    </row>
    <row r="29" spans="1:13" ht="18" customHeight="1" x14ac:dyDescent="0.25">
      <c r="A29" s="50">
        <f t="shared" si="2"/>
        <v>21</v>
      </c>
      <c r="B29" s="75">
        <v>42826</v>
      </c>
      <c r="C29" s="3">
        <v>1121</v>
      </c>
      <c r="D29" s="38">
        <v>1574767</v>
      </c>
      <c r="E29" s="54"/>
      <c r="F29" s="54">
        <f>787384+262461</f>
        <v>1049845</v>
      </c>
      <c r="G29" s="54"/>
      <c r="H29" s="56"/>
      <c r="I29" s="56"/>
      <c r="J29" s="65">
        <f t="shared" si="0"/>
        <v>1049845</v>
      </c>
      <c r="K29" s="63">
        <f t="shared" si="1"/>
        <v>524922</v>
      </c>
    </row>
    <row r="30" spans="1:13" ht="18" customHeight="1" x14ac:dyDescent="0.25">
      <c r="A30" s="50">
        <f t="shared" si="2"/>
        <v>22</v>
      </c>
      <c r="B30" s="75">
        <v>42826</v>
      </c>
      <c r="C30" s="3">
        <v>1122</v>
      </c>
      <c r="D30" s="38">
        <v>3144874</v>
      </c>
      <c r="E30" s="54"/>
      <c r="F30" s="54">
        <v>524145</v>
      </c>
      <c r="G30" s="54"/>
      <c r="H30" s="56"/>
      <c r="I30" s="56"/>
      <c r="J30" s="65">
        <f t="shared" si="0"/>
        <v>524145</v>
      </c>
      <c r="K30" s="63">
        <f t="shared" si="1"/>
        <v>2620729</v>
      </c>
    </row>
    <row r="31" spans="1:13" ht="18" customHeight="1" x14ac:dyDescent="0.25">
      <c r="A31" s="50">
        <f t="shared" si="2"/>
        <v>23</v>
      </c>
      <c r="B31" s="75">
        <v>42826</v>
      </c>
      <c r="C31" s="3">
        <v>1123</v>
      </c>
      <c r="D31" s="38">
        <v>3614178</v>
      </c>
      <c r="E31" s="54"/>
      <c r="F31" s="54">
        <v>1807089</v>
      </c>
      <c r="G31" s="54"/>
      <c r="H31" s="56"/>
      <c r="I31" s="56"/>
      <c r="J31" s="65">
        <f t="shared" si="0"/>
        <v>1807089</v>
      </c>
      <c r="K31" s="63">
        <f t="shared" si="1"/>
        <v>1807089</v>
      </c>
    </row>
    <row r="32" spans="1:13" ht="18" customHeight="1" x14ac:dyDescent="0.25">
      <c r="A32" s="50">
        <f t="shared" si="2"/>
        <v>24</v>
      </c>
      <c r="B32" s="75">
        <v>42826</v>
      </c>
      <c r="C32" s="3">
        <v>1124</v>
      </c>
      <c r="D32" s="38">
        <v>3499731</v>
      </c>
      <c r="E32" s="54"/>
      <c r="F32" s="54">
        <v>1750000</v>
      </c>
      <c r="G32" s="54"/>
      <c r="H32" s="56"/>
      <c r="I32" s="56"/>
      <c r="J32" s="65">
        <f t="shared" si="0"/>
        <v>1750000</v>
      </c>
      <c r="K32" s="63">
        <f t="shared" si="1"/>
        <v>1749731</v>
      </c>
    </row>
    <row r="33" spans="1:50" ht="18" customHeight="1" x14ac:dyDescent="0.25">
      <c r="A33" s="50">
        <f t="shared" si="2"/>
        <v>25</v>
      </c>
      <c r="B33" s="75">
        <v>42826</v>
      </c>
      <c r="C33" s="3">
        <v>1125</v>
      </c>
      <c r="D33" s="38">
        <v>4477332</v>
      </c>
      <c r="E33" s="54"/>
      <c r="F33" s="54"/>
      <c r="G33" s="54">
        <f>2045637+2431695</f>
        <v>4477332</v>
      </c>
      <c r="H33" s="56"/>
      <c r="I33" s="56"/>
      <c r="J33" s="65">
        <f t="shared" si="0"/>
        <v>4477332</v>
      </c>
      <c r="K33" s="63">
        <f t="shared" si="1"/>
        <v>0</v>
      </c>
    </row>
    <row r="34" spans="1:50" ht="18" customHeight="1" x14ac:dyDescent="0.25">
      <c r="A34" s="50">
        <f t="shared" si="2"/>
        <v>26</v>
      </c>
      <c r="B34" s="75">
        <v>42826</v>
      </c>
      <c r="C34" s="3">
        <v>1126</v>
      </c>
      <c r="D34" s="38">
        <v>3455315</v>
      </c>
      <c r="E34" s="54"/>
      <c r="F34" s="54"/>
      <c r="G34" s="54">
        <f>1727658+1727657</f>
        <v>3455315</v>
      </c>
      <c r="H34" s="56"/>
      <c r="I34" s="56"/>
      <c r="J34" s="65">
        <f t="shared" si="0"/>
        <v>3455315</v>
      </c>
      <c r="K34" s="63">
        <f t="shared" si="1"/>
        <v>0</v>
      </c>
    </row>
    <row r="35" spans="1:50" ht="18" customHeight="1" x14ac:dyDescent="0.25">
      <c r="A35" s="50">
        <f t="shared" si="2"/>
        <v>27</v>
      </c>
      <c r="B35" s="75"/>
      <c r="C35" s="3">
        <v>1127</v>
      </c>
      <c r="D35" s="38"/>
      <c r="E35" s="54"/>
      <c r="F35" s="54"/>
      <c r="G35" s="54"/>
      <c r="H35" s="56"/>
      <c r="I35" s="56"/>
      <c r="J35" s="65">
        <f t="shared" si="0"/>
        <v>0</v>
      </c>
      <c r="K35" s="63">
        <f t="shared" si="1"/>
        <v>0</v>
      </c>
    </row>
    <row r="36" spans="1:50" ht="18" customHeight="1" x14ac:dyDescent="0.25">
      <c r="A36" s="50">
        <f t="shared" si="2"/>
        <v>28</v>
      </c>
      <c r="B36" s="75">
        <v>42826</v>
      </c>
      <c r="C36" s="3">
        <v>1128</v>
      </c>
      <c r="D36" s="38">
        <v>1948942</v>
      </c>
      <c r="E36" s="54"/>
      <c r="F36" s="54"/>
      <c r="G36" s="54">
        <v>1948942</v>
      </c>
      <c r="H36" s="56"/>
      <c r="I36" s="56"/>
      <c r="J36" s="65">
        <f t="shared" si="0"/>
        <v>1948942</v>
      </c>
      <c r="K36" s="63">
        <f t="shared" si="1"/>
        <v>0</v>
      </c>
    </row>
    <row r="37" spans="1:50" ht="18" customHeight="1" x14ac:dyDescent="0.25">
      <c r="A37" s="50">
        <f t="shared" si="2"/>
        <v>29</v>
      </c>
      <c r="B37" s="75">
        <v>42826</v>
      </c>
      <c r="C37" s="3">
        <v>1129</v>
      </c>
      <c r="D37" s="38">
        <v>4000000</v>
      </c>
      <c r="E37" s="54"/>
      <c r="F37" s="54"/>
      <c r="G37" s="54">
        <v>1680000</v>
      </c>
      <c r="H37" s="56"/>
      <c r="I37" s="56"/>
      <c r="J37" s="65">
        <f t="shared" si="0"/>
        <v>1680000</v>
      </c>
      <c r="K37" s="63">
        <f t="shared" si="1"/>
        <v>2320000</v>
      </c>
    </row>
    <row r="38" spans="1:50" ht="18" customHeight="1" x14ac:dyDescent="0.25">
      <c r="A38" s="50">
        <f t="shared" si="2"/>
        <v>30</v>
      </c>
      <c r="B38" s="75"/>
      <c r="C38" s="3"/>
      <c r="D38" s="38"/>
      <c r="E38" s="54"/>
      <c r="F38" s="54"/>
      <c r="G38" s="54"/>
      <c r="H38" s="56"/>
      <c r="I38" s="56"/>
      <c r="J38" s="65">
        <f t="shared" si="0"/>
        <v>0</v>
      </c>
      <c r="K38" s="63">
        <f t="shared" si="1"/>
        <v>0</v>
      </c>
    </row>
    <row r="39" spans="1:50" ht="18" customHeight="1" thickBot="1" x14ac:dyDescent="0.3">
      <c r="A39" s="51">
        <f t="shared" si="2"/>
        <v>31</v>
      </c>
      <c r="B39" s="50"/>
      <c r="C39" s="3"/>
      <c r="D39" s="38"/>
      <c r="E39" s="54"/>
      <c r="F39" s="54"/>
      <c r="G39" s="54"/>
      <c r="H39" s="56"/>
      <c r="I39" s="56"/>
      <c r="J39" s="65">
        <f t="shared" si="0"/>
        <v>0</v>
      </c>
      <c r="K39" s="63">
        <f t="shared" si="1"/>
        <v>0</v>
      </c>
    </row>
    <row r="40" spans="1:50" ht="20.100000000000001" customHeight="1" thickBot="1" x14ac:dyDescent="0.3">
      <c r="B40" s="248"/>
      <c r="C40" s="249"/>
      <c r="D40" s="57">
        <f t="shared" ref="D40:I40" si="3">SUM(D9:D39)</f>
        <v>96531510</v>
      </c>
      <c r="E40" s="57">
        <f t="shared" si="3"/>
        <v>0</v>
      </c>
      <c r="F40" s="57">
        <f t="shared" si="3"/>
        <v>26850371</v>
      </c>
      <c r="G40" s="57">
        <f t="shared" si="3"/>
        <v>43534077</v>
      </c>
      <c r="H40" s="58">
        <f t="shared" si="3"/>
        <v>0</v>
      </c>
      <c r="I40" s="58">
        <f t="shared" si="3"/>
        <v>0</v>
      </c>
      <c r="J40" s="57">
        <f>SUM(J9:J39)</f>
        <v>70384448</v>
      </c>
      <c r="K40" s="59">
        <f>SUM(K9:K39)</f>
        <v>26147062</v>
      </c>
      <c r="M40" s="71"/>
    </row>
    <row r="42" spans="1:50" x14ac:dyDescent="0.25">
      <c r="E42" s="43"/>
      <c r="F42" s="43"/>
      <c r="G42" s="43"/>
    </row>
    <row r="43" spans="1:50" x14ac:dyDescent="0.25">
      <c r="C43" s="44"/>
      <c r="D43" s="44"/>
    </row>
    <row r="47" spans="1:50" s="62" customFormat="1" x14ac:dyDescent="0.25">
      <c r="A47" s="66"/>
      <c r="B47" s="43"/>
      <c r="C47" s="43"/>
      <c r="D47" s="43"/>
      <c r="E47" s="44"/>
      <c r="F47" s="44"/>
      <c r="G47" s="44"/>
      <c r="H47" s="44"/>
      <c r="I47" s="44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</row>
  </sheetData>
  <mergeCells count="2">
    <mergeCell ref="E7:G7"/>
    <mergeCell ref="B40:C4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X46"/>
  <sheetViews>
    <sheetView topLeftCell="A8" zoomScale="90" zoomScaleNormal="90" workbookViewId="0">
      <selection activeCell="I34" sqref="I34"/>
    </sheetView>
  </sheetViews>
  <sheetFormatPr baseColWidth="10" defaultRowHeight="12.75" x14ac:dyDescent="0.25"/>
  <cols>
    <col min="1" max="1" width="3.7109375" style="66" customWidth="1"/>
    <col min="2" max="2" width="13.7109375" style="43" customWidth="1"/>
    <col min="3" max="3" width="8.7109375" style="43" customWidth="1"/>
    <col min="4" max="4" width="12.7109375" style="43" customWidth="1"/>
    <col min="5" max="9" width="12.7109375" style="44" customWidth="1"/>
    <col min="10" max="11" width="14.7109375" style="43" customWidth="1"/>
    <col min="12" max="16384" width="11.42578125" style="43"/>
  </cols>
  <sheetData>
    <row r="6" spans="1:11" ht="13.5" thickBot="1" x14ac:dyDescent="0.3"/>
    <row r="7" spans="1:11" ht="13.5" thickBot="1" x14ac:dyDescent="0.3">
      <c r="B7" s="45">
        <v>42856</v>
      </c>
      <c r="E7" s="268" t="s">
        <v>4</v>
      </c>
      <c r="F7" s="269"/>
      <c r="G7" s="272"/>
    </row>
    <row r="8" spans="1:11" ht="15" customHeight="1" thickBot="1" x14ac:dyDescent="0.3">
      <c r="B8" s="46" t="s">
        <v>11</v>
      </c>
      <c r="C8" s="46" t="s">
        <v>12</v>
      </c>
      <c r="D8" s="60" t="s">
        <v>13</v>
      </c>
      <c r="E8" s="47" t="s">
        <v>21</v>
      </c>
      <c r="F8" s="47" t="s">
        <v>41</v>
      </c>
      <c r="G8" s="47" t="s">
        <v>24</v>
      </c>
      <c r="H8" s="48" t="s">
        <v>10</v>
      </c>
      <c r="I8" s="48" t="s">
        <v>19</v>
      </c>
      <c r="J8" s="46" t="s">
        <v>16</v>
      </c>
      <c r="K8" s="47" t="s">
        <v>15</v>
      </c>
    </row>
    <row r="9" spans="1:11" ht="18" customHeight="1" x14ac:dyDescent="0.25">
      <c r="A9" s="49">
        <v>1</v>
      </c>
      <c r="B9" s="74">
        <v>42856</v>
      </c>
      <c r="C9" s="1">
        <v>1130</v>
      </c>
      <c r="D9" s="28">
        <v>4176932</v>
      </c>
      <c r="E9" s="72">
        <f>$D$9/3</f>
        <v>1392310.6666666667</v>
      </c>
      <c r="F9" s="72">
        <f>$D$9/3</f>
        <v>1392310.6666666667</v>
      </c>
      <c r="G9" s="72">
        <f>$D$9/3</f>
        <v>1392310.6666666667</v>
      </c>
      <c r="H9" s="64"/>
      <c r="I9" s="64"/>
      <c r="J9" s="65">
        <f>SUM(E9:I9)</f>
        <v>4176932</v>
      </c>
      <c r="K9" s="63">
        <f>D9-J9</f>
        <v>0</v>
      </c>
    </row>
    <row r="10" spans="1:11" ht="18" customHeight="1" x14ac:dyDescent="0.25">
      <c r="A10" s="50">
        <f>A9+1</f>
        <v>2</v>
      </c>
      <c r="B10" s="75">
        <v>42856</v>
      </c>
      <c r="C10" s="2">
        <v>1131</v>
      </c>
      <c r="D10" s="29">
        <v>4616268</v>
      </c>
      <c r="E10" s="54">
        <v>1538756</v>
      </c>
      <c r="F10" s="54"/>
      <c r="G10" s="54"/>
      <c r="H10" s="56"/>
      <c r="I10" s="56"/>
      <c r="J10" s="65">
        <f t="shared" ref="J10:J36" si="0">SUM(E10:I10)</f>
        <v>1538756</v>
      </c>
      <c r="K10" s="63">
        <f t="shared" ref="K10:K36" si="1">D10-J10</f>
        <v>3077512</v>
      </c>
    </row>
    <row r="11" spans="1:11" ht="18" customHeight="1" x14ac:dyDescent="0.25">
      <c r="A11" s="50">
        <f t="shared" ref="A11:A36" si="2">A10+1</f>
        <v>3</v>
      </c>
      <c r="B11" s="75">
        <v>42856</v>
      </c>
      <c r="C11" s="2">
        <v>1132</v>
      </c>
      <c r="D11" s="29">
        <v>4500000</v>
      </c>
      <c r="E11" s="54">
        <v>750000</v>
      </c>
      <c r="F11" s="54">
        <v>750000</v>
      </c>
      <c r="G11" s="54"/>
      <c r="H11" s="56"/>
      <c r="I11" s="56"/>
      <c r="J11" s="65">
        <f t="shared" si="0"/>
        <v>1500000</v>
      </c>
      <c r="K11" s="63">
        <f t="shared" si="1"/>
        <v>3000000</v>
      </c>
    </row>
    <row r="12" spans="1:11" ht="18" customHeight="1" x14ac:dyDescent="0.25">
      <c r="A12" s="50">
        <f t="shared" si="2"/>
        <v>4</v>
      </c>
      <c r="B12" s="75">
        <v>42856</v>
      </c>
      <c r="C12" s="2">
        <v>1133</v>
      </c>
      <c r="D12" s="29">
        <v>2697482</v>
      </c>
      <c r="E12" s="54">
        <v>1348741</v>
      </c>
      <c r="F12" s="54"/>
      <c r="G12" s="54"/>
      <c r="H12" s="56"/>
      <c r="I12" s="56"/>
      <c r="J12" s="65">
        <f t="shared" si="0"/>
        <v>1348741</v>
      </c>
      <c r="K12" s="63">
        <f t="shared" si="1"/>
        <v>1348741</v>
      </c>
    </row>
    <row r="13" spans="1:11" ht="18" customHeight="1" x14ac:dyDescent="0.25">
      <c r="A13" s="50">
        <f t="shared" si="2"/>
        <v>5</v>
      </c>
      <c r="B13" s="75">
        <v>42856</v>
      </c>
      <c r="C13" s="2">
        <v>1134</v>
      </c>
      <c r="D13" s="29">
        <v>7127000</v>
      </c>
      <c r="E13" s="54">
        <v>3563500</v>
      </c>
      <c r="F13" s="54"/>
      <c r="G13" s="54"/>
      <c r="H13" s="56"/>
      <c r="I13" s="56"/>
      <c r="J13" s="65">
        <f t="shared" si="0"/>
        <v>3563500</v>
      </c>
      <c r="K13" s="63">
        <f t="shared" si="1"/>
        <v>3563500</v>
      </c>
    </row>
    <row r="14" spans="1:11" ht="18" customHeight="1" x14ac:dyDescent="0.25">
      <c r="A14" s="50">
        <f t="shared" si="2"/>
        <v>6</v>
      </c>
      <c r="B14" s="75">
        <v>42856</v>
      </c>
      <c r="C14" s="2">
        <v>1135</v>
      </c>
      <c r="D14" s="29">
        <v>1280450</v>
      </c>
      <c r="E14" s="54">
        <v>600000</v>
      </c>
      <c r="F14" s="54"/>
      <c r="G14" s="54"/>
      <c r="H14" s="56"/>
      <c r="I14" s="56"/>
      <c r="J14" s="65">
        <f t="shared" si="0"/>
        <v>600000</v>
      </c>
      <c r="K14" s="63">
        <f t="shared" si="1"/>
        <v>680450</v>
      </c>
    </row>
    <row r="15" spans="1:11" ht="18" customHeight="1" x14ac:dyDescent="0.25">
      <c r="A15" s="50">
        <f t="shared" si="2"/>
        <v>7</v>
      </c>
      <c r="B15" s="75">
        <v>42856</v>
      </c>
      <c r="C15" s="2">
        <v>1136</v>
      </c>
      <c r="D15" s="29">
        <v>6693750</v>
      </c>
      <c r="E15" s="54"/>
      <c r="F15" s="54"/>
      <c r="G15" s="54"/>
      <c r="H15" s="56"/>
      <c r="I15" s="56"/>
      <c r="J15" s="65">
        <f t="shared" si="0"/>
        <v>0</v>
      </c>
      <c r="K15" s="63">
        <f t="shared" si="1"/>
        <v>6693750</v>
      </c>
    </row>
    <row r="16" spans="1:11" ht="18" customHeight="1" x14ac:dyDescent="0.25">
      <c r="A16" s="50">
        <f t="shared" si="2"/>
        <v>8</v>
      </c>
      <c r="B16" s="75">
        <v>42856</v>
      </c>
      <c r="C16" s="2">
        <v>1137</v>
      </c>
      <c r="D16" s="38">
        <v>3100000</v>
      </c>
      <c r="E16" s="54">
        <v>1033333</v>
      </c>
      <c r="F16" s="54">
        <v>1033333</v>
      </c>
      <c r="G16" s="54"/>
      <c r="H16" s="56"/>
      <c r="I16" s="56"/>
      <c r="J16" s="65">
        <f t="shared" si="0"/>
        <v>2066666</v>
      </c>
      <c r="K16" s="63">
        <f t="shared" si="1"/>
        <v>1033334</v>
      </c>
    </row>
    <row r="17" spans="1:11" ht="18" customHeight="1" x14ac:dyDescent="0.25">
      <c r="A17" s="50">
        <f t="shared" si="2"/>
        <v>9</v>
      </c>
      <c r="B17" s="75">
        <v>42856</v>
      </c>
      <c r="C17" s="2">
        <v>1138</v>
      </c>
      <c r="D17" s="29">
        <v>3072648</v>
      </c>
      <c r="E17" s="54">
        <v>900000</v>
      </c>
      <c r="F17" s="54">
        <v>543162</v>
      </c>
      <c r="G17" s="54">
        <f>543162*3</f>
        <v>1629486</v>
      </c>
      <c r="H17" s="56"/>
      <c r="I17" s="56"/>
      <c r="J17" s="65">
        <f t="shared" si="0"/>
        <v>3072648</v>
      </c>
      <c r="K17" s="63">
        <f t="shared" si="1"/>
        <v>0</v>
      </c>
    </row>
    <row r="18" spans="1:11" ht="18" customHeight="1" x14ac:dyDescent="0.25">
      <c r="A18" s="50">
        <f t="shared" si="2"/>
        <v>10</v>
      </c>
      <c r="B18" s="75">
        <v>42856</v>
      </c>
      <c r="C18" s="2">
        <v>1139</v>
      </c>
      <c r="D18" s="29">
        <v>3211371</v>
      </c>
      <c r="E18" s="54">
        <v>1605685</v>
      </c>
      <c r="F18" s="54"/>
      <c r="G18" s="54"/>
      <c r="H18" s="56"/>
      <c r="I18" s="56"/>
      <c r="J18" s="65">
        <f t="shared" si="0"/>
        <v>1605685</v>
      </c>
      <c r="K18" s="63">
        <f t="shared" si="1"/>
        <v>1605686</v>
      </c>
    </row>
    <row r="19" spans="1:11" ht="18" customHeight="1" x14ac:dyDescent="0.25">
      <c r="A19" s="50">
        <f t="shared" si="2"/>
        <v>11</v>
      </c>
      <c r="B19" s="75">
        <v>42856</v>
      </c>
      <c r="C19" s="2">
        <v>1140</v>
      </c>
      <c r="D19" s="29">
        <v>1871878</v>
      </c>
      <c r="E19" s="54">
        <v>935939</v>
      </c>
      <c r="F19" s="54"/>
      <c r="G19" s="54"/>
      <c r="H19" s="56"/>
      <c r="I19" s="56"/>
      <c r="J19" s="65">
        <f t="shared" si="0"/>
        <v>935939</v>
      </c>
      <c r="K19" s="63">
        <f t="shared" si="1"/>
        <v>935939</v>
      </c>
    </row>
    <row r="20" spans="1:11" ht="18" customHeight="1" x14ac:dyDescent="0.25">
      <c r="A20" s="50">
        <f t="shared" si="2"/>
        <v>12</v>
      </c>
      <c r="B20" s="75">
        <v>42856</v>
      </c>
      <c r="C20" s="2">
        <v>1141</v>
      </c>
      <c r="D20" s="29">
        <v>1820000</v>
      </c>
      <c r="E20" s="54">
        <f>910000/3</f>
        <v>303333.33333333331</v>
      </c>
      <c r="F20" s="54"/>
      <c r="G20" s="54"/>
      <c r="H20" s="56"/>
      <c r="I20" s="56"/>
      <c r="J20" s="65">
        <f t="shared" si="0"/>
        <v>303333.33333333331</v>
      </c>
      <c r="K20" s="63">
        <f t="shared" si="1"/>
        <v>1516666.6666666667</v>
      </c>
    </row>
    <row r="21" spans="1:11" ht="18" customHeight="1" x14ac:dyDescent="0.25">
      <c r="A21" s="50">
        <f t="shared" si="2"/>
        <v>13</v>
      </c>
      <c r="B21" s="75">
        <v>42856</v>
      </c>
      <c r="C21" s="2">
        <v>1142</v>
      </c>
      <c r="D21" s="29">
        <v>5654606</v>
      </c>
      <c r="E21" s="54">
        <v>2827303</v>
      </c>
      <c r="F21" s="54"/>
      <c r="G21" s="54"/>
      <c r="H21" s="56"/>
      <c r="I21" s="56"/>
      <c r="J21" s="65">
        <f t="shared" si="0"/>
        <v>2827303</v>
      </c>
      <c r="K21" s="63">
        <f t="shared" si="1"/>
        <v>2827303</v>
      </c>
    </row>
    <row r="22" spans="1:11" ht="18" customHeight="1" x14ac:dyDescent="0.25">
      <c r="A22" s="50">
        <f t="shared" si="2"/>
        <v>14</v>
      </c>
      <c r="B22" s="75">
        <v>42856</v>
      </c>
      <c r="C22" s="2">
        <v>1143</v>
      </c>
      <c r="D22" s="29">
        <v>13311340</v>
      </c>
      <c r="E22" s="54">
        <v>6655670</v>
      </c>
      <c r="F22" s="54"/>
      <c r="G22" s="54"/>
      <c r="H22" s="56"/>
      <c r="I22" s="56"/>
      <c r="J22" s="65">
        <f t="shared" si="0"/>
        <v>6655670</v>
      </c>
      <c r="K22" s="63">
        <f t="shared" si="1"/>
        <v>6655670</v>
      </c>
    </row>
    <row r="23" spans="1:11" ht="18" customHeight="1" x14ac:dyDescent="0.25">
      <c r="A23" s="50">
        <f t="shared" si="2"/>
        <v>15</v>
      </c>
      <c r="B23" s="75">
        <v>42856</v>
      </c>
      <c r="C23" s="2">
        <v>1144</v>
      </c>
      <c r="D23" s="29">
        <v>1864768</v>
      </c>
      <c r="E23" s="54">
        <v>1080000</v>
      </c>
      <c r="F23" s="54"/>
      <c r="G23" s="54"/>
      <c r="H23" s="56"/>
      <c r="I23" s="56"/>
      <c r="J23" s="65">
        <f t="shared" si="0"/>
        <v>1080000</v>
      </c>
      <c r="K23" s="63">
        <f t="shared" si="1"/>
        <v>784768</v>
      </c>
    </row>
    <row r="24" spans="1:11" ht="18" customHeight="1" x14ac:dyDescent="0.25">
      <c r="A24" s="50">
        <f t="shared" si="2"/>
        <v>16</v>
      </c>
      <c r="B24" s="75">
        <v>42856</v>
      </c>
      <c r="C24" s="2">
        <v>1145</v>
      </c>
      <c r="D24" s="38">
        <v>3887854</v>
      </c>
      <c r="E24" s="54">
        <v>1700000</v>
      </c>
      <c r="F24" s="54"/>
      <c r="G24" s="54"/>
      <c r="H24" s="56"/>
      <c r="I24" s="56"/>
      <c r="J24" s="65">
        <f t="shared" si="0"/>
        <v>1700000</v>
      </c>
      <c r="K24" s="63">
        <f t="shared" si="1"/>
        <v>2187854</v>
      </c>
    </row>
    <row r="25" spans="1:11" ht="18" customHeight="1" x14ac:dyDescent="0.25">
      <c r="A25" s="50">
        <f t="shared" si="2"/>
        <v>17</v>
      </c>
      <c r="B25" s="75">
        <v>42856</v>
      </c>
      <c r="C25" s="2">
        <v>1146</v>
      </c>
      <c r="D25" s="38">
        <v>3542774</v>
      </c>
      <c r="E25" s="54">
        <f>3542774/3</f>
        <v>1180924.6666666667</v>
      </c>
      <c r="F25" s="54">
        <f>3542774/3</f>
        <v>1180924.6666666667</v>
      </c>
      <c r="G25" s="54">
        <f>3542774/3</f>
        <v>1180924.6666666667</v>
      </c>
      <c r="H25" s="56"/>
      <c r="I25" s="56"/>
      <c r="J25" s="65">
        <f t="shared" si="0"/>
        <v>3542774</v>
      </c>
      <c r="K25" s="63">
        <f t="shared" si="1"/>
        <v>0</v>
      </c>
    </row>
    <row r="26" spans="1:11" ht="18" customHeight="1" x14ac:dyDescent="0.25">
      <c r="A26" s="50">
        <f t="shared" si="2"/>
        <v>18</v>
      </c>
      <c r="B26" s="75">
        <v>42856</v>
      </c>
      <c r="C26" s="2">
        <v>1147</v>
      </c>
      <c r="D26" s="38">
        <v>1804498</v>
      </c>
      <c r="E26" s="54"/>
      <c r="F26" s="54"/>
      <c r="G26" s="54"/>
      <c r="H26" s="56"/>
      <c r="I26" s="56"/>
      <c r="J26" s="65">
        <f t="shared" si="0"/>
        <v>0</v>
      </c>
      <c r="K26" s="63">
        <f t="shared" si="1"/>
        <v>1804498</v>
      </c>
    </row>
    <row r="27" spans="1:11" ht="18" customHeight="1" x14ac:dyDescent="0.25">
      <c r="A27" s="50">
        <f t="shared" si="2"/>
        <v>19</v>
      </c>
      <c r="B27" s="75">
        <v>42856</v>
      </c>
      <c r="C27" s="2">
        <v>1148</v>
      </c>
      <c r="D27" s="38">
        <v>1800458</v>
      </c>
      <c r="E27" s="54"/>
      <c r="F27" s="54"/>
      <c r="G27" s="54"/>
      <c r="H27" s="56"/>
      <c r="I27" s="56"/>
      <c r="J27" s="65">
        <f t="shared" si="0"/>
        <v>0</v>
      </c>
      <c r="K27" s="63">
        <f t="shared" si="1"/>
        <v>1800458</v>
      </c>
    </row>
    <row r="28" spans="1:11" ht="18" customHeight="1" x14ac:dyDescent="0.25">
      <c r="A28" s="50">
        <f t="shared" si="2"/>
        <v>20</v>
      </c>
      <c r="B28" s="75">
        <v>42856</v>
      </c>
      <c r="C28" s="2">
        <v>1149</v>
      </c>
      <c r="D28" s="38">
        <v>1080326</v>
      </c>
      <c r="E28" s="54"/>
      <c r="F28" s="54"/>
      <c r="G28" s="54"/>
      <c r="H28" s="56"/>
      <c r="I28" s="56"/>
      <c r="J28" s="65">
        <f t="shared" si="0"/>
        <v>0</v>
      </c>
      <c r="K28" s="63">
        <f t="shared" si="1"/>
        <v>1080326</v>
      </c>
    </row>
    <row r="29" spans="1:11" ht="18" customHeight="1" x14ac:dyDescent="0.25">
      <c r="A29" s="50">
        <f t="shared" si="2"/>
        <v>21</v>
      </c>
      <c r="B29" s="75">
        <v>42856</v>
      </c>
      <c r="C29" s="2">
        <v>1150</v>
      </c>
      <c r="D29" s="38">
        <v>3256980</v>
      </c>
      <c r="E29" s="54">
        <v>1630000</v>
      </c>
      <c r="F29" s="54"/>
      <c r="G29" s="54"/>
      <c r="H29" s="56"/>
      <c r="I29" s="56"/>
      <c r="J29" s="65">
        <f t="shared" si="0"/>
        <v>1630000</v>
      </c>
      <c r="K29" s="63">
        <f t="shared" si="1"/>
        <v>1626980</v>
      </c>
    </row>
    <row r="30" spans="1:11" ht="18" customHeight="1" x14ac:dyDescent="0.25">
      <c r="A30" s="50">
        <f t="shared" si="2"/>
        <v>22</v>
      </c>
      <c r="B30" s="75">
        <v>42856</v>
      </c>
      <c r="C30" s="2">
        <v>1151</v>
      </c>
      <c r="D30" s="38">
        <v>1394855</v>
      </c>
      <c r="E30" s="54">
        <v>700000</v>
      </c>
      <c r="F30" s="54"/>
      <c r="G30" s="54"/>
      <c r="H30" s="56"/>
      <c r="I30" s="56"/>
      <c r="J30" s="65">
        <f t="shared" si="0"/>
        <v>700000</v>
      </c>
      <c r="K30" s="63">
        <f t="shared" si="1"/>
        <v>694855</v>
      </c>
    </row>
    <row r="31" spans="1:11" ht="18" customHeight="1" x14ac:dyDescent="0.25">
      <c r="A31" s="50">
        <f t="shared" si="2"/>
        <v>23</v>
      </c>
      <c r="B31" s="75">
        <v>42856</v>
      </c>
      <c r="C31" s="2">
        <v>1152</v>
      </c>
      <c r="D31" s="38">
        <v>3876676</v>
      </c>
      <c r="E31" s="54">
        <v>3876676</v>
      </c>
      <c r="F31" s="54"/>
      <c r="G31" s="54"/>
      <c r="H31" s="56"/>
      <c r="I31" s="56"/>
      <c r="J31" s="65">
        <f t="shared" si="0"/>
        <v>3876676</v>
      </c>
      <c r="K31" s="63">
        <f t="shared" si="1"/>
        <v>0</v>
      </c>
    </row>
    <row r="32" spans="1:11" ht="18" customHeight="1" x14ac:dyDescent="0.25">
      <c r="A32" s="50">
        <f t="shared" si="2"/>
        <v>24</v>
      </c>
      <c r="B32" s="75">
        <v>42856</v>
      </c>
      <c r="C32" s="2">
        <v>1154</v>
      </c>
      <c r="D32" s="38">
        <v>4104000</v>
      </c>
      <c r="E32" s="54">
        <f>2052000</f>
        <v>2052000</v>
      </c>
      <c r="F32" s="54"/>
      <c r="G32" s="54"/>
      <c r="H32" s="56"/>
      <c r="I32" s="56"/>
      <c r="J32" s="65">
        <f t="shared" si="0"/>
        <v>2052000</v>
      </c>
      <c r="K32" s="63">
        <f t="shared" si="1"/>
        <v>2052000</v>
      </c>
    </row>
    <row r="33" spans="1:50" ht="18" customHeight="1" x14ac:dyDescent="0.25">
      <c r="A33" s="50">
        <f t="shared" si="2"/>
        <v>25</v>
      </c>
      <c r="B33" s="75">
        <v>42856</v>
      </c>
      <c r="C33" s="2">
        <v>1155</v>
      </c>
      <c r="D33" s="38">
        <v>4702706</v>
      </c>
      <c r="E33" s="54">
        <v>2351353</v>
      </c>
      <c r="F33" s="54">
        <v>1175677</v>
      </c>
      <c r="G33" s="54">
        <v>1175676</v>
      </c>
      <c r="H33" s="56"/>
      <c r="I33" s="56"/>
      <c r="J33" s="65">
        <f t="shared" si="0"/>
        <v>4702706</v>
      </c>
      <c r="K33" s="63">
        <f t="shared" si="1"/>
        <v>0</v>
      </c>
    </row>
    <row r="34" spans="1:50" ht="18" customHeight="1" x14ac:dyDescent="0.25">
      <c r="A34" s="50">
        <f t="shared" si="2"/>
        <v>26</v>
      </c>
      <c r="B34" s="75">
        <v>42856</v>
      </c>
      <c r="C34" s="2">
        <v>1156</v>
      </c>
      <c r="D34" s="38">
        <v>2618610</v>
      </c>
      <c r="E34" s="54">
        <v>1309305</v>
      </c>
      <c r="F34" s="54"/>
      <c r="G34" s="54"/>
      <c r="H34" s="56"/>
      <c r="I34" s="56"/>
      <c r="J34" s="65">
        <f t="shared" si="0"/>
        <v>1309305</v>
      </c>
      <c r="K34" s="63">
        <f t="shared" si="1"/>
        <v>1309305</v>
      </c>
    </row>
    <row r="35" spans="1:50" ht="18" customHeight="1" x14ac:dyDescent="0.25">
      <c r="A35" s="50">
        <f t="shared" si="2"/>
        <v>27</v>
      </c>
      <c r="B35" s="75">
        <v>42856</v>
      </c>
      <c r="C35" s="2">
        <v>1157</v>
      </c>
      <c r="D35" s="38">
        <v>3943879</v>
      </c>
      <c r="E35" s="54">
        <f>1971939/3</f>
        <v>657313</v>
      </c>
      <c r="F35" s="54">
        <f>1971939/3</f>
        <v>657313</v>
      </c>
      <c r="G35" s="54">
        <f>1971939/3</f>
        <v>657313</v>
      </c>
      <c r="H35" s="56"/>
      <c r="I35" s="56"/>
      <c r="J35" s="65">
        <f t="shared" si="0"/>
        <v>1971939</v>
      </c>
      <c r="K35" s="63">
        <f t="shared" si="1"/>
        <v>1971940</v>
      </c>
    </row>
    <row r="36" spans="1:50" ht="18" customHeight="1" x14ac:dyDescent="0.25">
      <c r="A36" s="50">
        <f t="shared" si="2"/>
        <v>28</v>
      </c>
      <c r="B36" s="75"/>
      <c r="C36" s="2"/>
      <c r="D36" s="38"/>
      <c r="E36" s="54"/>
      <c r="F36" s="54"/>
      <c r="G36" s="54"/>
      <c r="H36" s="56"/>
      <c r="I36" s="56"/>
      <c r="J36" s="65">
        <f t="shared" si="0"/>
        <v>0</v>
      </c>
      <c r="K36" s="63">
        <f t="shared" si="1"/>
        <v>0</v>
      </c>
    </row>
    <row r="37" spans="1:50" ht="18" customHeight="1" x14ac:dyDescent="0.25">
      <c r="A37" s="50"/>
      <c r="B37" s="75"/>
      <c r="C37" s="3"/>
      <c r="D37" s="38"/>
      <c r="E37" s="54"/>
      <c r="F37" s="54"/>
      <c r="G37" s="54"/>
      <c r="H37" s="56"/>
      <c r="I37" s="56"/>
      <c r="J37" s="65">
        <f>SUM(E37:I37)</f>
        <v>0</v>
      </c>
      <c r="K37" s="55"/>
    </row>
    <row r="38" spans="1:50" ht="18" customHeight="1" thickBot="1" x14ac:dyDescent="0.3">
      <c r="A38" s="51"/>
      <c r="B38" s="50"/>
      <c r="C38" s="4"/>
      <c r="D38" s="38"/>
      <c r="E38" s="54"/>
      <c r="F38" s="54"/>
      <c r="G38" s="54"/>
      <c r="H38" s="56"/>
      <c r="I38" s="56"/>
      <c r="J38" s="65">
        <f>SUM(E38:I38)</f>
        <v>0</v>
      </c>
      <c r="K38" s="55">
        <f>D38-J38</f>
        <v>0</v>
      </c>
    </row>
    <row r="39" spans="1:50" ht="20.100000000000001" customHeight="1" thickBot="1" x14ac:dyDescent="0.3">
      <c r="B39" s="248"/>
      <c r="C39" s="249"/>
      <c r="D39" s="57">
        <f t="shared" ref="D39:K39" si="3">SUM(D9:D38)</f>
        <v>101012109</v>
      </c>
      <c r="E39" s="57">
        <f t="shared" si="3"/>
        <v>39992142.666666672</v>
      </c>
      <c r="F39" s="57">
        <f t="shared" si="3"/>
        <v>6732720.333333334</v>
      </c>
      <c r="G39" s="57">
        <f t="shared" si="3"/>
        <v>6035710.333333334</v>
      </c>
      <c r="H39" s="58">
        <f t="shared" si="3"/>
        <v>0</v>
      </c>
      <c r="I39" s="58">
        <f t="shared" si="3"/>
        <v>0</v>
      </c>
      <c r="J39" s="57">
        <f t="shared" si="3"/>
        <v>52760573.333333328</v>
      </c>
      <c r="K39" s="59">
        <f t="shared" si="3"/>
        <v>48251535.666666672</v>
      </c>
      <c r="M39" s="71"/>
    </row>
    <row r="41" spans="1:50" x14ac:dyDescent="0.25">
      <c r="E41" s="43"/>
      <c r="F41" s="43"/>
      <c r="G41" s="43"/>
    </row>
    <row r="42" spans="1:50" x14ac:dyDescent="0.25">
      <c r="C42" s="44"/>
      <c r="D42" s="44"/>
    </row>
    <row r="46" spans="1:50" s="62" customFormat="1" x14ac:dyDescent="0.25">
      <c r="A46" s="66"/>
      <c r="B46" s="43"/>
      <c r="C46" s="43"/>
      <c r="D46" s="43"/>
      <c r="E46" s="44"/>
      <c r="F46" s="44"/>
      <c r="G46" s="44"/>
      <c r="H46" s="44"/>
      <c r="I46" s="44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</row>
  </sheetData>
  <mergeCells count="2">
    <mergeCell ref="E7:G7"/>
    <mergeCell ref="B39:C3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X49"/>
  <sheetViews>
    <sheetView workbookViewId="0">
      <selection activeCell="G11" sqref="G11"/>
    </sheetView>
  </sheetViews>
  <sheetFormatPr baseColWidth="10" defaultRowHeight="12.75" x14ac:dyDescent="0.25"/>
  <cols>
    <col min="1" max="1" width="3.7109375" style="66" customWidth="1"/>
    <col min="2" max="2" width="13.7109375" style="43" customWidth="1"/>
    <col min="3" max="3" width="8.7109375" style="43" customWidth="1"/>
    <col min="4" max="4" width="12.7109375" style="43" customWidth="1"/>
    <col min="5" max="9" width="12.7109375" style="44" customWidth="1"/>
    <col min="10" max="11" width="14.7109375" style="43" customWidth="1"/>
    <col min="12" max="16384" width="11.42578125" style="43"/>
  </cols>
  <sheetData>
    <row r="6" spans="1:11" ht="13.5" thickBot="1" x14ac:dyDescent="0.3"/>
    <row r="7" spans="1:11" ht="13.5" thickBot="1" x14ac:dyDescent="0.3">
      <c r="B7" s="45">
        <v>42887</v>
      </c>
      <c r="E7" s="268" t="s">
        <v>4</v>
      </c>
      <c r="F7" s="269"/>
      <c r="G7" s="272"/>
    </row>
    <row r="8" spans="1:11" ht="15" customHeight="1" thickBot="1" x14ac:dyDescent="0.3">
      <c r="B8" s="46" t="s">
        <v>11</v>
      </c>
      <c r="C8" s="46" t="s">
        <v>12</v>
      </c>
      <c r="D8" s="46" t="s">
        <v>13</v>
      </c>
      <c r="E8" s="47" t="s">
        <v>41</v>
      </c>
      <c r="F8" s="47" t="s">
        <v>24</v>
      </c>
      <c r="G8" s="47" t="s">
        <v>23</v>
      </c>
      <c r="H8" s="48" t="s">
        <v>10</v>
      </c>
      <c r="I8" s="48" t="s">
        <v>19</v>
      </c>
      <c r="J8" s="46" t="s">
        <v>16</v>
      </c>
      <c r="K8" s="47" t="s">
        <v>15</v>
      </c>
    </row>
    <row r="9" spans="1:11" ht="15" customHeight="1" x14ac:dyDescent="0.25">
      <c r="A9" s="181">
        <v>1</v>
      </c>
      <c r="B9" s="177">
        <v>42887</v>
      </c>
      <c r="C9" s="178">
        <v>1153</v>
      </c>
      <c r="D9" s="179">
        <v>2798231</v>
      </c>
      <c r="E9" s="174"/>
      <c r="F9" s="174"/>
      <c r="G9" s="174"/>
      <c r="H9" s="175"/>
      <c r="I9" s="175"/>
      <c r="J9" s="65">
        <f>SUM(E9:I9)</f>
        <v>0</v>
      </c>
      <c r="K9" s="63">
        <f>D9-J9</f>
        <v>2798231</v>
      </c>
    </row>
    <row r="10" spans="1:11" ht="15" customHeight="1" x14ac:dyDescent="0.25">
      <c r="A10" s="182">
        <v>2</v>
      </c>
      <c r="B10" s="177">
        <v>42887</v>
      </c>
      <c r="C10" s="178">
        <v>1158</v>
      </c>
      <c r="D10" s="179">
        <v>5524072</v>
      </c>
      <c r="E10" s="176">
        <v>2762036</v>
      </c>
      <c r="F10" s="176"/>
      <c r="G10" s="176"/>
      <c r="H10" s="175"/>
      <c r="I10" s="175"/>
      <c r="J10" s="65">
        <f>SUM(E10:I10)</f>
        <v>2762036</v>
      </c>
      <c r="K10" s="63">
        <f>D10-J10</f>
        <v>2762036</v>
      </c>
    </row>
    <row r="11" spans="1:11" ht="18" customHeight="1" x14ac:dyDescent="0.25">
      <c r="A11" s="180">
        <v>3</v>
      </c>
      <c r="B11" s="177">
        <v>42887</v>
      </c>
      <c r="C11" s="178">
        <v>1159</v>
      </c>
      <c r="D11" s="179">
        <v>12162592</v>
      </c>
      <c r="E11" s="65">
        <v>4000000</v>
      </c>
      <c r="F11" s="65">
        <v>2020300</v>
      </c>
      <c r="G11" s="65"/>
      <c r="H11" s="56"/>
      <c r="I11" s="56"/>
      <c r="J11" s="65">
        <f>SUM(E11:I11)</f>
        <v>6020300</v>
      </c>
      <c r="K11" s="63">
        <f t="shared" ref="K11:K41" si="0">D11-J11</f>
        <v>6142292</v>
      </c>
    </row>
    <row r="12" spans="1:11" ht="18" customHeight="1" x14ac:dyDescent="0.25">
      <c r="A12" s="50">
        <f>A11+1</f>
        <v>4</v>
      </c>
      <c r="B12" s="75">
        <v>42887</v>
      </c>
      <c r="C12" s="2">
        <v>1160</v>
      </c>
      <c r="D12" s="29">
        <v>5600000</v>
      </c>
      <c r="E12" s="54">
        <v>2800000</v>
      </c>
      <c r="F12" s="54"/>
      <c r="G12" s="54"/>
      <c r="H12" s="56"/>
      <c r="I12" s="56"/>
      <c r="J12" s="65">
        <f t="shared" ref="J12:J41" si="1">SUM(E12:I12)</f>
        <v>2800000</v>
      </c>
      <c r="K12" s="55">
        <f t="shared" si="0"/>
        <v>2800000</v>
      </c>
    </row>
    <row r="13" spans="1:11" ht="18" customHeight="1" x14ac:dyDescent="0.25">
      <c r="A13" s="50">
        <f t="shared" ref="A13:A41" si="2">A12+1</f>
        <v>5</v>
      </c>
      <c r="B13" s="75">
        <v>42887</v>
      </c>
      <c r="C13" s="2">
        <v>1161</v>
      </c>
      <c r="D13" s="29">
        <v>764379</v>
      </c>
      <c r="E13" s="54">
        <v>764379</v>
      </c>
      <c r="F13" s="54"/>
      <c r="G13" s="54"/>
      <c r="H13" s="56"/>
      <c r="I13" s="56"/>
      <c r="J13" s="65">
        <f t="shared" si="1"/>
        <v>764379</v>
      </c>
      <c r="K13" s="55">
        <f t="shared" si="0"/>
        <v>0</v>
      </c>
    </row>
    <row r="14" spans="1:11" ht="18" customHeight="1" x14ac:dyDescent="0.25">
      <c r="A14" s="50">
        <f t="shared" si="2"/>
        <v>6</v>
      </c>
      <c r="B14" s="75">
        <v>42887</v>
      </c>
      <c r="C14" s="2">
        <v>1162</v>
      </c>
      <c r="D14" s="29"/>
      <c r="E14" s="54">
        <v>1007154</v>
      </c>
      <c r="F14" s="54"/>
      <c r="G14" s="54"/>
      <c r="H14" s="56"/>
      <c r="I14" s="56"/>
      <c r="J14" s="65">
        <f t="shared" si="1"/>
        <v>1007154</v>
      </c>
      <c r="K14" s="55">
        <f t="shared" si="0"/>
        <v>-1007154</v>
      </c>
    </row>
    <row r="15" spans="1:11" ht="18" customHeight="1" x14ac:dyDescent="0.25">
      <c r="A15" s="50">
        <f t="shared" si="2"/>
        <v>7</v>
      </c>
      <c r="B15" s="75">
        <v>42887</v>
      </c>
      <c r="C15" s="2">
        <v>1163</v>
      </c>
      <c r="D15" s="29">
        <v>5103150</v>
      </c>
      <c r="E15" s="54">
        <v>5103150</v>
      </c>
      <c r="F15" s="54"/>
      <c r="G15" s="54"/>
      <c r="H15" s="56"/>
      <c r="I15" s="56"/>
      <c r="J15" s="65">
        <f t="shared" si="1"/>
        <v>5103150</v>
      </c>
      <c r="K15" s="55">
        <f t="shared" si="0"/>
        <v>0</v>
      </c>
    </row>
    <row r="16" spans="1:11" ht="18" customHeight="1" x14ac:dyDescent="0.25">
      <c r="A16" s="50">
        <f t="shared" si="2"/>
        <v>8</v>
      </c>
      <c r="B16" s="75">
        <v>42887</v>
      </c>
      <c r="C16" s="2">
        <v>1164</v>
      </c>
      <c r="D16" s="29">
        <v>3000000</v>
      </c>
      <c r="E16" s="54">
        <f>1000000+500000</f>
        <v>1500000</v>
      </c>
      <c r="F16" s="54"/>
      <c r="G16" s="54"/>
      <c r="H16" s="56"/>
      <c r="I16" s="56"/>
      <c r="J16" s="65">
        <f t="shared" si="1"/>
        <v>1500000</v>
      </c>
      <c r="K16" s="55">
        <f t="shared" si="0"/>
        <v>1500000</v>
      </c>
    </row>
    <row r="17" spans="1:11" ht="18" customHeight="1" x14ac:dyDescent="0.25">
      <c r="A17" s="50">
        <f t="shared" si="2"/>
        <v>9</v>
      </c>
      <c r="B17" s="75">
        <v>42887</v>
      </c>
      <c r="C17" s="2">
        <v>1165</v>
      </c>
      <c r="D17" s="29">
        <v>3173211</v>
      </c>
      <c r="E17" s="54">
        <v>1673211</v>
      </c>
      <c r="F17" s="54"/>
      <c r="G17" s="54"/>
      <c r="H17" s="56"/>
      <c r="I17" s="56"/>
      <c r="J17" s="65">
        <f t="shared" si="1"/>
        <v>1673211</v>
      </c>
      <c r="K17" s="55">
        <f>D17-J17</f>
        <v>1500000</v>
      </c>
    </row>
    <row r="18" spans="1:11" ht="18" customHeight="1" x14ac:dyDescent="0.25">
      <c r="A18" s="50">
        <f t="shared" si="2"/>
        <v>10</v>
      </c>
      <c r="B18" s="75">
        <v>42887</v>
      </c>
      <c r="C18" s="2">
        <v>1166</v>
      </c>
      <c r="D18" s="38">
        <v>3979593</v>
      </c>
      <c r="E18" s="54">
        <v>3979593</v>
      </c>
      <c r="F18" s="54"/>
      <c r="G18" s="54"/>
      <c r="H18" s="56"/>
      <c r="I18" s="56"/>
      <c r="J18" s="65">
        <f t="shared" si="1"/>
        <v>3979593</v>
      </c>
      <c r="K18" s="55">
        <f t="shared" si="0"/>
        <v>0</v>
      </c>
    </row>
    <row r="19" spans="1:11" ht="18" customHeight="1" x14ac:dyDescent="0.25">
      <c r="A19" s="50">
        <f t="shared" si="2"/>
        <v>11</v>
      </c>
      <c r="B19" s="75">
        <v>42887</v>
      </c>
      <c r="C19" s="2">
        <v>1167</v>
      </c>
      <c r="D19" s="29">
        <v>5225188</v>
      </c>
      <c r="E19" s="54"/>
      <c r="F19" s="54"/>
      <c r="G19" s="54"/>
      <c r="H19" s="56"/>
      <c r="I19" s="56"/>
      <c r="J19" s="65">
        <f t="shared" si="1"/>
        <v>0</v>
      </c>
      <c r="K19" s="55">
        <f t="shared" si="0"/>
        <v>5225188</v>
      </c>
    </row>
    <row r="20" spans="1:11" ht="18" customHeight="1" x14ac:dyDescent="0.25">
      <c r="A20" s="50">
        <f t="shared" si="2"/>
        <v>12</v>
      </c>
      <c r="B20" s="75">
        <v>42887</v>
      </c>
      <c r="C20" s="2">
        <v>1168</v>
      </c>
      <c r="D20" s="29">
        <v>2758000</v>
      </c>
      <c r="E20" s="54">
        <v>1300000</v>
      </c>
      <c r="F20" s="54"/>
      <c r="G20" s="54"/>
      <c r="H20" s="56"/>
      <c r="I20" s="56"/>
      <c r="J20" s="65">
        <f t="shared" si="1"/>
        <v>1300000</v>
      </c>
      <c r="K20" s="55">
        <f t="shared" si="0"/>
        <v>1458000</v>
      </c>
    </row>
    <row r="21" spans="1:11" ht="18" customHeight="1" x14ac:dyDescent="0.25">
      <c r="A21" s="50">
        <f t="shared" si="2"/>
        <v>13</v>
      </c>
      <c r="B21" s="75">
        <v>42887</v>
      </c>
      <c r="C21" s="2">
        <v>1169</v>
      </c>
      <c r="D21" s="29"/>
      <c r="E21" s="54"/>
      <c r="F21" s="54"/>
      <c r="G21" s="54"/>
      <c r="H21" s="56"/>
      <c r="I21" s="56"/>
      <c r="J21" s="65">
        <f t="shared" si="1"/>
        <v>0</v>
      </c>
      <c r="K21" s="55">
        <f t="shared" si="0"/>
        <v>0</v>
      </c>
    </row>
    <row r="22" spans="1:11" ht="18" customHeight="1" x14ac:dyDescent="0.25">
      <c r="A22" s="50">
        <f t="shared" si="2"/>
        <v>14</v>
      </c>
      <c r="B22" s="75">
        <v>42887</v>
      </c>
      <c r="C22" s="2">
        <v>1170</v>
      </c>
      <c r="D22" s="29">
        <v>2380000</v>
      </c>
      <c r="E22" s="54">
        <v>1190000</v>
      </c>
      <c r="F22" s="54"/>
      <c r="G22" s="54"/>
      <c r="H22" s="56"/>
      <c r="I22" s="56"/>
      <c r="J22" s="65">
        <f t="shared" si="1"/>
        <v>1190000</v>
      </c>
      <c r="K22" s="55">
        <f t="shared" si="0"/>
        <v>1190000</v>
      </c>
    </row>
    <row r="23" spans="1:11" ht="18" customHeight="1" x14ac:dyDescent="0.25">
      <c r="A23" s="50">
        <f t="shared" si="2"/>
        <v>15</v>
      </c>
      <c r="B23" s="75">
        <v>42887</v>
      </c>
      <c r="C23" s="2">
        <v>1171</v>
      </c>
      <c r="D23" s="29"/>
      <c r="E23" s="54"/>
      <c r="F23" s="54"/>
      <c r="G23" s="54"/>
      <c r="H23" s="56"/>
      <c r="I23" s="56"/>
      <c r="J23" s="65">
        <f t="shared" si="1"/>
        <v>0</v>
      </c>
      <c r="K23" s="55">
        <f t="shared" si="0"/>
        <v>0</v>
      </c>
    </row>
    <row r="24" spans="1:11" ht="18" customHeight="1" x14ac:dyDescent="0.25">
      <c r="A24" s="50">
        <f t="shared" si="2"/>
        <v>16</v>
      </c>
      <c r="B24" s="75">
        <v>42887</v>
      </c>
      <c r="C24" s="2">
        <v>1172</v>
      </c>
      <c r="D24" s="29"/>
      <c r="E24" s="54"/>
      <c r="F24" s="54"/>
      <c r="G24" s="54"/>
      <c r="H24" s="56"/>
      <c r="I24" s="56"/>
      <c r="J24" s="65">
        <f t="shared" si="1"/>
        <v>0</v>
      </c>
      <c r="K24" s="55">
        <f t="shared" si="0"/>
        <v>0</v>
      </c>
    </row>
    <row r="25" spans="1:11" ht="18" customHeight="1" x14ac:dyDescent="0.25">
      <c r="A25" s="50">
        <f t="shared" si="2"/>
        <v>17</v>
      </c>
      <c r="B25" s="75">
        <v>42887</v>
      </c>
      <c r="C25" s="2">
        <v>1173</v>
      </c>
      <c r="D25" s="29"/>
      <c r="E25" s="54"/>
      <c r="F25" s="54"/>
      <c r="G25" s="54"/>
      <c r="H25" s="56"/>
      <c r="I25" s="56"/>
      <c r="J25" s="65">
        <f t="shared" si="1"/>
        <v>0</v>
      </c>
      <c r="K25" s="55">
        <f t="shared" si="0"/>
        <v>0</v>
      </c>
    </row>
    <row r="26" spans="1:11" ht="18" customHeight="1" x14ac:dyDescent="0.25">
      <c r="A26" s="50">
        <f t="shared" si="2"/>
        <v>18</v>
      </c>
      <c r="B26" s="75">
        <v>42887</v>
      </c>
      <c r="C26" s="2">
        <v>1174</v>
      </c>
      <c r="D26" s="38">
        <v>2852442</v>
      </c>
      <c r="E26" s="54">
        <v>1426221</v>
      </c>
      <c r="F26" s="54"/>
      <c r="G26" s="54"/>
      <c r="H26" s="56"/>
      <c r="I26" s="56"/>
      <c r="J26" s="65">
        <f t="shared" si="1"/>
        <v>1426221</v>
      </c>
      <c r="K26" s="55">
        <f t="shared" si="0"/>
        <v>1426221</v>
      </c>
    </row>
    <row r="27" spans="1:11" ht="18" customHeight="1" x14ac:dyDescent="0.25">
      <c r="A27" s="50">
        <f t="shared" si="2"/>
        <v>19</v>
      </c>
      <c r="B27" s="75">
        <v>42887</v>
      </c>
      <c r="C27" s="2">
        <v>1175</v>
      </c>
      <c r="D27" s="38"/>
      <c r="E27" s="54"/>
      <c r="F27" s="54"/>
      <c r="G27" s="54"/>
      <c r="H27" s="56"/>
      <c r="I27" s="56"/>
      <c r="J27" s="65">
        <f t="shared" si="1"/>
        <v>0</v>
      </c>
      <c r="K27" s="55">
        <f t="shared" si="0"/>
        <v>0</v>
      </c>
    </row>
    <row r="28" spans="1:11" ht="18" customHeight="1" x14ac:dyDescent="0.25">
      <c r="A28" s="50">
        <f t="shared" si="2"/>
        <v>20</v>
      </c>
      <c r="B28" s="75">
        <v>42887</v>
      </c>
      <c r="C28" s="2">
        <v>1176</v>
      </c>
      <c r="D28" s="38">
        <v>5986734</v>
      </c>
      <c r="E28" s="54">
        <v>3093000</v>
      </c>
      <c r="F28" s="54"/>
      <c r="G28" s="54"/>
      <c r="H28" s="56"/>
      <c r="I28" s="56"/>
      <c r="J28" s="65">
        <f t="shared" si="1"/>
        <v>3093000</v>
      </c>
      <c r="K28" s="55">
        <f t="shared" si="0"/>
        <v>2893734</v>
      </c>
    </row>
    <row r="29" spans="1:11" ht="18" customHeight="1" x14ac:dyDescent="0.25">
      <c r="A29" s="50">
        <f t="shared" si="2"/>
        <v>21</v>
      </c>
      <c r="B29" s="75">
        <v>42887</v>
      </c>
      <c r="C29" s="2">
        <v>1177</v>
      </c>
      <c r="D29" s="38">
        <v>3340561</v>
      </c>
      <c r="E29" s="54">
        <v>1457777</v>
      </c>
      <c r="F29" s="54"/>
      <c r="G29" s="54"/>
      <c r="H29" s="56"/>
      <c r="I29" s="56"/>
      <c r="J29" s="65">
        <f t="shared" si="1"/>
        <v>1457777</v>
      </c>
      <c r="K29" s="55">
        <f t="shared" si="0"/>
        <v>1882784</v>
      </c>
    </row>
    <row r="30" spans="1:11" ht="18" customHeight="1" x14ac:dyDescent="0.25">
      <c r="A30" s="50">
        <f t="shared" si="2"/>
        <v>22</v>
      </c>
      <c r="B30" s="75">
        <v>42887</v>
      </c>
      <c r="C30" s="2">
        <v>1178</v>
      </c>
      <c r="D30" s="38">
        <v>3592972</v>
      </c>
      <c r="E30" s="54"/>
      <c r="F30" s="54"/>
      <c r="G30" s="54"/>
      <c r="H30" s="56"/>
      <c r="I30" s="56"/>
      <c r="J30" s="65">
        <f t="shared" si="1"/>
        <v>0</v>
      </c>
      <c r="K30" s="55">
        <f t="shared" si="0"/>
        <v>3592972</v>
      </c>
    </row>
    <row r="31" spans="1:11" ht="18" customHeight="1" x14ac:dyDescent="0.25">
      <c r="A31" s="50">
        <f t="shared" si="2"/>
        <v>23</v>
      </c>
      <c r="B31" s="75">
        <v>42887</v>
      </c>
      <c r="C31" s="2">
        <v>1179</v>
      </c>
      <c r="D31" s="38"/>
      <c r="E31" s="54"/>
      <c r="F31" s="54"/>
      <c r="G31" s="54"/>
      <c r="H31" s="56"/>
      <c r="I31" s="56"/>
      <c r="J31" s="65">
        <f t="shared" si="1"/>
        <v>0</v>
      </c>
      <c r="K31" s="55">
        <f t="shared" si="0"/>
        <v>0</v>
      </c>
    </row>
    <row r="32" spans="1:11" ht="18" customHeight="1" x14ac:dyDescent="0.25">
      <c r="A32" s="50">
        <f t="shared" si="2"/>
        <v>24</v>
      </c>
      <c r="B32" s="75">
        <v>42887</v>
      </c>
      <c r="C32" s="2">
        <v>1180</v>
      </c>
      <c r="D32" s="38"/>
      <c r="E32" s="54"/>
      <c r="F32" s="54"/>
      <c r="G32" s="54"/>
      <c r="H32" s="56"/>
      <c r="I32" s="56"/>
      <c r="J32" s="65">
        <f t="shared" si="1"/>
        <v>0</v>
      </c>
      <c r="K32" s="55">
        <f t="shared" si="0"/>
        <v>0</v>
      </c>
    </row>
    <row r="33" spans="1:13" ht="18" customHeight="1" x14ac:dyDescent="0.25">
      <c r="A33" s="50">
        <f t="shared" si="2"/>
        <v>25</v>
      </c>
      <c r="B33" s="75">
        <v>42887</v>
      </c>
      <c r="C33" s="2">
        <v>1181</v>
      </c>
      <c r="D33" s="38"/>
      <c r="E33" s="54"/>
      <c r="F33" s="54"/>
      <c r="G33" s="54"/>
      <c r="H33" s="56"/>
      <c r="I33" s="56"/>
      <c r="J33" s="65">
        <f t="shared" si="1"/>
        <v>0</v>
      </c>
      <c r="K33" s="55">
        <f t="shared" si="0"/>
        <v>0</v>
      </c>
    </row>
    <row r="34" spans="1:13" ht="18" customHeight="1" x14ac:dyDescent="0.25">
      <c r="A34" s="50">
        <f t="shared" si="2"/>
        <v>26</v>
      </c>
      <c r="B34" s="75">
        <v>42887</v>
      </c>
      <c r="C34" s="2">
        <v>1182</v>
      </c>
      <c r="D34" s="38"/>
      <c r="E34" s="54"/>
      <c r="F34" s="54"/>
      <c r="G34" s="54"/>
      <c r="H34" s="56"/>
      <c r="I34" s="56"/>
      <c r="J34" s="65">
        <f t="shared" si="1"/>
        <v>0</v>
      </c>
      <c r="K34" s="55">
        <f t="shared" si="0"/>
        <v>0</v>
      </c>
    </row>
    <row r="35" spans="1:13" ht="18" customHeight="1" x14ac:dyDescent="0.25">
      <c r="A35" s="50">
        <f t="shared" si="2"/>
        <v>27</v>
      </c>
      <c r="B35" s="75">
        <v>42887</v>
      </c>
      <c r="C35" s="2">
        <v>1183</v>
      </c>
      <c r="D35" s="38"/>
      <c r="E35" s="54"/>
      <c r="F35" s="54"/>
      <c r="G35" s="54"/>
      <c r="H35" s="56"/>
      <c r="I35" s="56"/>
      <c r="J35" s="65">
        <f>SUM(E35:I35)</f>
        <v>0</v>
      </c>
      <c r="K35" s="55">
        <f t="shared" si="0"/>
        <v>0</v>
      </c>
    </row>
    <row r="36" spans="1:13" ht="18" customHeight="1" x14ac:dyDescent="0.25">
      <c r="A36" s="50">
        <f t="shared" si="2"/>
        <v>28</v>
      </c>
      <c r="B36" s="75">
        <v>42887</v>
      </c>
      <c r="C36" s="2">
        <v>1184</v>
      </c>
      <c r="D36" s="38"/>
      <c r="E36" s="54"/>
      <c r="F36" s="54"/>
      <c r="G36" s="54"/>
      <c r="H36" s="56"/>
      <c r="I36" s="56"/>
      <c r="J36" s="65">
        <f>SUM(E36:I36)</f>
        <v>0</v>
      </c>
      <c r="K36" s="55">
        <f t="shared" si="0"/>
        <v>0</v>
      </c>
    </row>
    <row r="37" spans="1:13" ht="18" customHeight="1" x14ac:dyDescent="0.25">
      <c r="A37" s="50">
        <f t="shared" si="2"/>
        <v>29</v>
      </c>
      <c r="B37" s="75">
        <v>42887</v>
      </c>
      <c r="C37" s="2">
        <v>1185</v>
      </c>
      <c r="D37" s="38"/>
      <c r="E37" s="54"/>
      <c r="F37" s="54"/>
      <c r="G37" s="54"/>
      <c r="H37" s="56"/>
      <c r="I37" s="56"/>
      <c r="J37" s="65">
        <f t="shared" si="1"/>
        <v>0</v>
      </c>
      <c r="K37" s="55">
        <f t="shared" si="0"/>
        <v>0</v>
      </c>
    </row>
    <row r="38" spans="1:13" ht="18" customHeight="1" x14ac:dyDescent="0.25">
      <c r="A38" s="50">
        <f t="shared" si="2"/>
        <v>30</v>
      </c>
      <c r="B38" s="75">
        <v>42887</v>
      </c>
      <c r="C38" s="2">
        <v>1186</v>
      </c>
      <c r="D38" s="38"/>
      <c r="E38" s="54"/>
      <c r="F38" s="54"/>
      <c r="G38" s="54"/>
      <c r="H38" s="56"/>
      <c r="I38" s="56"/>
      <c r="J38" s="65">
        <f t="shared" si="1"/>
        <v>0</v>
      </c>
      <c r="K38" s="55">
        <f t="shared" si="0"/>
        <v>0</v>
      </c>
    </row>
    <row r="39" spans="1:13" ht="18" customHeight="1" x14ac:dyDescent="0.25">
      <c r="A39" s="50">
        <f t="shared" si="2"/>
        <v>31</v>
      </c>
      <c r="B39" s="75">
        <v>42887</v>
      </c>
      <c r="C39" s="2">
        <v>1187</v>
      </c>
      <c r="D39" s="38"/>
      <c r="E39" s="54"/>
      <c r="F39" s="54"/>
      <c r="G39" s="54"/>
      <c r="H39" s="56"/>
      <c r="I39" s="56"/>
      <c r="J39" s="65">
        <f t="shared" si="1"/>
        <v>0</v>
      </c>
      <c r="K39" s="55">
        <f>D39-J39</f>
        <v>0</v>
      </c>
    </row>
    <row r="40" spans="1:13" ht="18" customHeight="1" x14ac:dyDescent="0.25">
      <c r="A40" s="50">
        <f t="shared" si="2"/>
        <v>32</v>
      </c>
      <c r="B40" s="75"/>
      <c r="C40" s="3"/>
      <c r="D40" s="38"/>
      <c r="E40" s="54"/>
      <c r="F40" s="54"/>
      <c r="G40" s="54"/>
      <c r="H40" s="56"/>
      <c r="I40" s="56"/>
      <c r="J40" s="65">
        <f t="shared" si="1"/>
        <v>0</v>
      </c>
      <c r="K40" s="55"/>
    </row>
    <row r="41" spans="1:13" ht="18" customHeight="1" thickBot="1" x14ac:dyDescent="0.3">
      <c r="A41" s="51">
        <f t="shared" si="2"/>
        <v>33</v>
      </c>
      <c r="B41" s="143"/>
      <c r="C41" s="4"/>
      <c r="D41" s="38"/>
      <c r="E41" s="54"/>
      <c r="F41" s="54"/>
      <c r="G41" s="54"/>
      <c r="H41" s="56"/>
      <c r="I41" s="56"/>
      <c r="J41" s="65">
        <f t="shared" si="1"/>
        <v>0</v>
      </c>
      <c r="K41" s="55">
        <f t="shared" si="0"/>
        <v>0</v>
      </c>
    </row>
    <row r="42" spans="1:13" ht="20.100000000000001" customHeight="1" thickBot="1" x14ac:dyDescent="0.3">
      <c r="B42" s="248"/>
      <c r="C42" s="249"/>
      <c r="D42" s="57">
        <f t="shared" ref="D42:K42" si="3">SUM(D11:D41)</f>
        <v>59918822</v>
      </c>
      <c r="E42" s="57">
        <f t="shared" si="3"/>
        <v>29294485</v>
      </c>
      <c r="F42" s="57">
        <f t="shared" si="3"/>
        <v>2020300</v>
      </c>
      <c r="G42" s="57">
        <f t="shared" si="3"/>
        <v>0</v>
      </c>
      <c r="H42" s="58">
        <f t="shared" si="3"/>
        <v>0</v>
      </c>
      <c r="I42" s="58">
        <f t="shared" si="3"/>
        <v>0</v>
      </c>
      <c r="J42" s="57">
        <f t="shared" si="3"/>
        <v>31314785</v>
      </c>
      <c r="K42" s="59">
        <f t="shared" si="3"/>
        <v>28604037</v>
      </c>
      <c r="M42" s="71"/>
    </row>
    <row r="44" spans="1:13" x14ac:dyDescent="0.25">
      <c r="E44" s="43"/>
      <c r="F44" s="43"/>
      <c r="G44" s="43"/>
    </row>
    <row r="45" spans="1:13" x14ac:dyDescent="0.25">
      <c r="C45" s="44"/>
      <c r="D45" s="44"/>
    </row>
    <row r="49" spans="1:50" s="62" customFormat="1" x14ac:dyDescent="0.25">
      <c r="A49" s="66"/>
      <c r="B49" s="43"/>
      <c r="C49" s="43"/>
      <c r="D49" s="43"/>
      <c r="E49" s="44"/>
      <c r="F49" s="44"/>
      <c r="G49" s="44"/>
      <c r="H49" s="44"/>
      <c r="I49" s="44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</row>
  </sheetData>
  <mergeCells count="2">
    <mergeCell ref="E7:G7"/>
    <mergeCell ref="B42:C4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8"/>
  <sheetViews>
    <sheetView workbookViewId="0">
      <selection activeCell="C5" sqref="C5:C16"/>
    </sheetView>
  </sheetViews>
  <sheetFormatPr baseColWidth="10" defaultRowHeight="15" x14ac:dyDescent="0.25"/>
  <cols>
    <col min="1" max="1" width="11.42578125" style="91"/>
    <col min="2" max="2" width="12.85546875" style="91" bestFit="1" customWidth="1"/>
    <col min="3" max="3" width="17.42578125" style="91" bestFit="1" customWidth="1"/>
    <col min="4" max="4" width="11.42578125" style="91"/>
    <col min="5" max="5" width="14" style="91" bestFit="1" customWidth="1"/>
    <col min="6" max="16384" width="11.42578125" style="91"/>
  </cols>
  <sheetData>
    <row r="3" spans="2:3" x14ac:dyDescent="0.25">
      <c r="B3" s="92" t="s">
        <v>45</v>
      </c>
      <c r="C3" s="92" t="s">
        <v>46</v>
      </c>
    </row>
    <row r="4" spans="2:3" x14ac:dyDescent="0.25">
      <c r="B4" s="93"/>
      <c r="C4" s="93"/>
    </row>
    <row r="5" spans="2:3" x14ac:dyDescent="0.25">
      <c r="B5" s="94">
        <v>42522</v>
      </c>
      <c r="C5" s="100">
        <f>SUM('Jun2016'!Q43)</f>
        <v>1599999.899999998</v>
      </c>
    </row>
    <row r="6" spans="2:3" x14ac:dyDescent="0.25">
      <c r="B6" s="94">
        <v>42552</v>
      </c>
      <c r="C6" s="100">
        <f>'Jul2016'!O29</f>
        <v>0</v>
      </c>
    </row>
    <row r="7" spans="2:3" x14ac:dyDescent="0.25">
      <c r="B7" s="94">
        <v>42583</v>
      </c>
      <c r="C7" s="100">
        <f>'Ago2016'!P42</f>
        <v>5576202</v>
      </c>
    </row>
    <row r="8" spans="2:3" x14ac:dyDescent="0.25">
      <c r="B8" s="94">
        <v>42614</v>
      </c>
      <c r="C8" s="100">
        <f>'Sep2016'!P29</f>
        <v>795842.00000000093</v>
      </c>
    </row>
    <row r="9" spans="2:3" x14ac:dyDescent="0.25">
      <c r="B9" s="94">
        <v>42644</v>
      </c>
      <c r="C9" s="100">
        <f>'Oct2016'!N29</f>
        <v>5373601.1999999993</v>
      </c>
    </row>
    <row r="10" spans="2:3" x14ac:dyDescent="0.25">
      <c r="B10" s="94">
        <v>42675</v>
      </c>
      <c r="C10" s="100">
        <f>'Nov2016'!O30</f>
        <v>3834593</v>
      </c>
    </row>
    <row r="11" spans="2:3" x14ac:dyDescent="0.25">
      <c r="B11" s="94">
        <v>42705</v>
      </c>
      <c r="C11" s="100">
        <f>'Dic2016'!N25</f>
        <v>7642848</v>
      </c>
    </row>
    <row r="12" spans="2:3" x14ac:dyDescent="0.25">
      <c r="B12" s="94">
        <v>42736</v>
      </c>
      <c r="C12" s="100">
        <f>'Ene2017'!M29</f>
        <v>7438684</v>
      </c>
    </row>
    <row r="13" spans="2:3" x14ac:dyDescent="0.25">
      <c r="B13" s="94">
        <v>42767</v>
      </c>
      <c r="C13" s="100">
        <f>'Feb2017'!L30</f>
        <v>6506461</v>
      </c>
    </row>
    <row r="14" spans="2:3" x14ac:dyDescent="0.25">
      <c r="B14" s="94">
        <v>42795</v>
      </c>
      <c r="C14" s="100">
        <f>'Mar2017'!K33</f>
        <v>17409467</v>
      </c>
    </row>
    <row r="15" spans="2:3" x14ac:dyDescent="0.25">
      <c r="B15" s="94">
        <v>42826</v>
      </c>
      <c r="C15" s="100">
        <f>'Abr2017'!K40</f>
        <v>26147062</v>
      </c>
    </row>
    <row r="16" spans="2:3" x14ac:dyDescent="0.25">
      <c r="B16" s="94">
        <v>42856</v>
      </c>
      <c r="C16" s="96">
        <f>'May2017 '!K39</f>
        <v>48251535.666666672</v>
      </c>
    </row>
    <row r="17" spans="2:3" x14ac:dyDescent="0.25">
      <c r="B17" s="95">
        <v>42887</v>
      </c>
      <c r="C17" s="97">
        <f>Junio2017!K42</f>
        <v>28604037</v>
      </c>
    </row>
    <row r="18" spans="2:3" x14ac:dyDescent="0.25">
      <c r="B18" s="98" t="s">
        <v>47</v>
      </c>
      <c r="C18" s="99">
        <f>SUM(C5:C17)</f>
        <v>159180332.76666665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1"/>
  <sheetViews>
    <sheetView workbookViewId="0">
      <selection activeCell="E15" sqref="E15"/>
    </sheetView>
  </sheetViews>
  <sheetFormatPr baseColWidth="10" defaultRowHeight="15" x14ac:dyDescent="0.25"/>
  <cols>
    <col min="1" max="1" width="19" customWidth="1"/>
    <col min="2" max="2" width="19.28515625" customWidth="1"/>
    <col min="3" max="3" width="18.42578125" customWidth="1"/>
    <col min="4" max="4" width="19.28515625" customWidth="1"/>
    <col min="5" max="5" width="9.5703125" customWidth="1"/>
    <col min="6" max="6" width="21.28515625" customWidth="1"/>
    <col min="7" max="7" width="25.28515625" customWidth="1"/>
    <col min="8" max="8" width="21.7109375" customWidth="1"/>
    <col min="9" max="9" width="13.28515625" bestFit="1" customWidth="1"/>
    <col min="10" max="10" width="14.42578125" bestFit="1" customWidth="1"/>
    <col min="11" max="11" width="12.85546875" bestFit="1" customWidth="1"/>
    <col min="12" max="12" width="17.42578125" bestFit="1" customWidth="1"/>
  </cols>
  <sheetData>
    <row r="2" spans="1:12" x14ac:dyDescent="0.25">
      <c r="A2" s="103" t="s">
        <v>52</v>
      </c>
      <c r="B2" t="s">
        <v>57</v>
      </c>
    </row>
    <row r="3" spans="1:12" ht="15.75" thickBot="1" x14ac:dyDescent="0.3">
      <c r="A3" s="103" t="s">
        <v>53</v>
      </c>
      <c r="B3" t="s">
        <v>57</v>
      </c>
    </row>
    <row r="4" spans="1:12" ht="15.75" thickBot="1" x14ac:dyDescent="0.3">
      <c r="A4" s="103" t="s">
        <v>51</v>
      </c>
      <c r="B4" s="139" t="s">
        <v>60</v>
      </c>
    </row>
    <row r="5" spans="1:12" ht="15.75" thickBot="1" x14ac:dyDescent="0.3">
      <c r="K5" s="92" t="s">
        <v>45</v>
      </c>
      <c r="L5" s="92" t="s">
        <v>46</v>
      </c>
    </row>
    <row r="6" spans="1:12" ht="15.75" thickBot="1" x14ac:dyDescent="0.3">
      <c r="A6" s="126" t="s">
        <v>69</v>
      </c>
      <c r="B6" s="123" t="s">
        <v>55</v>
      </c>
      <c r="C6" s="139" t="s">
        <v>61</v>
      </c>
      <c r="D6" s="133" t="s">
        <v>56</v>
      </c>
      <c r="E6" s="214" t="s">
        <v>58</v>
      </c>
      <c r="F6" s="124" t="s">
        <v>66</v>
      </c>
      <c r="G6" s="145" t="s">
        <v>63</v>
      </c>
      <c r="H6" s="136" t="s">
        <v>65</v>
      </c>
      <c r="I6" s="146" t="s">
        <v>70</v>
      </c>
      <c r="K6" s="93"/>
      <c r="L6" s="93"/>
    </row>
    <row r="7" spans="1:12" x14ac:dyDescent="0.25">
      <c r="A7" s="127">
        <v>42552</v>
      </c>
      <c r="B7" s="121">
        <v>4900000</v>
      </c>
      <c r="C7" s="121">
        <v>4900000</v>
      </c>
      <c r="D7" s="153">
        <v>0</v>
      </c>
      <c r="E7" s="134">
        <v>1</v>
      </c>
      <c r="F7" s="122"/>
      <c r="G7" s="125"/>
      <c r="H7" s="134"/>
      <c r="I7" s="147">
        <f t="shared" ref="I7:I13" si="0">F7/E7</f>
        <v>0</v>
      </c>
      <c r="K7" s="94">
        <v>42522</v>
      </c>
      <c r="L7" s="100">
        <v>1599999.899999998</v>
      </c>
    </row>
    <row r="8" spans="1:12" x14ac:dyDescent="0.25">
      <c r="A8" s="128">
        <v>42583</v>
      </c>
      <c r="B8" s="118">
        <v>12000000</v>
      </c>
      <c r="C8" s="118">
        <v>9000000</v>
      </c>
      <c r="D8" s="154">
        <v>3000000</v>
      </c>
      <c r="E8" s="135">
        <v>1</v>
      </c>
      <c r="F8" s="119"/>
      <c r="G8" s="120">
        <v>1</v>
      </c>
      <c r="H8" s="135"/>
      <c r="I8" s="148">
        <f t="shared" si="0"/>
        <v>0</v>
      </c>
      <c r="K8" s="94">
        <v>42552</v>
      </c>
      <c r="L8" s="100">
        <v>0</v>
      </c>
    </row>
    <row r="9" spans="1:12" x14ac:dyDescent="0.25">
      <c r="A9" s="128">
        <v>42675</v>
      </c>
      <c r="B9" s="118">
        <v>7669182</v>
      </c>
      <c r="C9" s="118">
        <v>3834591</v>
      </c>
      <c r="D9" s="154">
        <v>3834591</v>
      </c>
      <c r="E9" s="135">
        <v>1</v>
      </c>
      <c r="F9" s="119"/>
      <c r="G9" s="120">
        <v>1</v>
      </c>
      <c r="H9" s="135">
        <v>15.15</v>
      </c>
      <c r="I9" s="148">
        <f t="shared" si="0"/>
        <v>0</v>
      </c>
      <c r="K9" s="94">
        <v>42583</v>
      </c>
      <c r="L9" s="100">
        <v>5576202</v>
      </c>
    </row>
    <row r="10" spans="1:12" x14ac:dyDescent="0.25">
      <c r="A10" s="128">
        <v>42736</v>
      </c>
      <c r="B10" s="118">
        <v>9800182</v>
      </c>
      <c r="C10" s="118">
        <v>2940062</v>
      </c>
      <c r="D10" s="154">
        <v>6860120</v>
      </c>
      <c r="E10" s="135">
        <v>2</v>
      </c>
      <c r="F10" s="119"/>
      <c r="G10" s="120">
        <v>2</v>
      </c>
      <c r="H10" s="135">
        <v>26.259999999999998</v>
      </c>
      <c r="I10" s="148">
        <f t="shared" si="0"/>
        <v>0</v>
      </c>
      <c r="K10" s="94">
        <v>42614</v>
      </c>
      <c r="L10" s="100">
        <v>795842.00000000093</v>
      </c>
    </row>
    <row r="11" spans="1:12" x14ac:dyDescent="0.25">
      <c r="A11" s="128">
        <v>42795</v>
      </c>
      <c r="B11" s="118">
        <v>29942200</v>
      </c>
      <c r="C11" s="118">
        <v>15922298</v>
      </c>
      <c r="D11" s="154">
        <v>14019902</v>
      </c>
      <c r="E11" s="135">
        <v>4</v>
      </c>
      <c r="F11" s="119">
        <v>1</v>
      </c>
      <c r="G11" s="120">
        <v>4</v>
      </c>
      <c r="H11" s="135">
        <v>68.070000000000007</v>
      </c>
      <c r="I11" s="148">
        <f t="shared" si="0"/>
        <v>0.25</v>
      </c>
      <c r="K11" s="94">
        <v>42644</v>
      </c>
      <c r="L11" s="100">
        <v>5373601.1999999993</v>
      </c>
    </row>
    <row r="12" spans="1:12" x14ac:dyDescent="0.25">
      <c r="A12" s="128">
        <v>42826</v>
      </c>
      <c r="B12" s="118">
        <v>32157250</v>
      </c>
      <c r="C12" s="118">
        <v>18200479</v>
      </c>
      <c r="D12" s="154">
        <v>13956771</v>
      </c>
      <c r="E12" s="135">
        <v>9</v>
      </c>
      <c r="F12" s="119">
        <v>2</v>
      </c>
      <c r="G12" s="120">
        <v>7</v>
      </c>
      <c r="H12" s="135">
        <v>82.445000000000007</v>
      </c>
      <c r="I12" s="148">
        <f t="shared" si="0"/>
        <v>0.22222222222222221</v>
      </c>
      <c r="K12" s="94">
        <v>42675</v>
      </c>
      <c r="L12" s="100">
        <v>3834593</v>
      </c>
    </row>
    <row r="13" spans="1:12" x14ac:dyDescent="0.25">
      <c r="A13" s="128">
        <v>42856</v>
      </c>
      <c r="B13" s="118">
        <v>97912109</v>
      </c>
      <c r="C13" s="118">
        <v>50693907.333333328</v>
      </c>
      <c r="D13" s="154">
        <v>47218201.666666672</v>
      </c>
      <c r="E13" s="135">
        <v>26</v>
      </c>
      <c r="F13" s="119"/>
      <c r="G13" s="120">
        <v>21</v>
      </c>
      <c r="H13" s="135">
        <v>199.61999999999998</v>
      </c>
      <c r="I13" s="148">
        <f t="shared" si="0"/>
        <v>0</v>
      </c>
      <c r="K13" s="94">
        <v>42705</v>
      </c>
      <c r="L13" s="100">
        <v>7642848</v>
      </c>
    </row>
    <row r="14" spans="1:12" ht="15.75" thickBot="1" x14ac:dyDescent="0.3">
      <c r="A14" s="137">
        <v>42887</v>
      </c>
      <c r="B14" s="118">
        <v>8322303</v>
      </c>
      <c r="C14" s="118">
        <v>2762036</v>
      </c>
      <c r="D14" s="120">
        <v>5560267</v>
      </c>
      <c r="E14" s="135">
        <v>2</v>
      </c>
      <c r="F14" s="119"/>
      <c r="G14" s="120">
        <v>2</v>
      </c>
      <c r="H14" s="135">
        <v>31.62</v>
      </c>
      <c r="I14" s="148">
        <f>F14/E14</f>
        <v>0</v>
      </c>
      <c r="K14" s="94">
        <v>42736</v>
      </c>
      <c r="L14" s="100">
        <v>7438684</v>
      </c>
    </row>
    <row r="15" spans="1:12" ht="15.75" thickBot="1" x14ac:dyDescent="0.3">
      <c r="A15" s="129" t="s">
        <v>54</v>
      </c>
      <c r="B15" s="130">
        <v>202703226</v>
      </c>
      <c r="C15" s="130">
        <v>108253373.33333333</v>
      </c>
      <c r="D15" s="132">
        <v>94449852.666666672</v>
      </c>
      <c r="E15" s="138">
        <v>46</v>
      </c>
      <c r="F15" s="131">
        <v>3</v>
      </c>
      <c r="G15" s="132">
        <v>38</v>
      </c>
      <c r="H15" s="138">
        <v>423.16500000000008</v>
      </c>
      <c r="I15" s="148">
        <f>F15/E15</f>
        <v>6.5217391304347824E-2</v>
      </c>
      <c r="K15" s="94">
        <v>42767</v>
      </c>
      <c r="L15" s="100">
        <v>6706461</v>
      </c>
    </row>
    <row r="16" spans="1:12" x14ac:dyDescent="0.25">
      <c r="I16" s="148" t="e">
        <f>F16/E16</f>
        <v>#DIV/0!</v>
      </c>
      <c r="K16" s="94">
        <v>42795</v>
      </c>
      <c r="L16" s="100">
        <v>17610686</v>
      </c>
    </row>
    <row r="17" spans="4:13" x14ac:dyDescent="0.25">
      <c r="I17" s="148" t="e">
        <f>F17/E17</f>
        <v>#DIV/0!</v>
      </c>
      <c r="K17" s="94">
        <v>42826</v>
      </c>
      <c r="L17" s="100">
        <v>30237522</v>
      </c>
      <c r="M17" s="144">
        <f>L17-GETPIVOTDATA("Suma de SALDO CXC ",$A$6,"Mes Vta. ",DATE(2017,4,1))</f>
        <v>16280751</v>
      </c>
    </row>
    <row r="18" spans="4:13" x14ac:dyDescent="0.25">
      <c r="I18" s="148" t="e">
        <f>F18/E18</f>
        <v>#DIV/0!</v>
      </c>
      <c r="K18" s="94">
        <v>42856</v>
      </c>
      <c r="L18" s="96">
        <v>49001535.666666672</v>
      </c>
    </row>
    <row r="19" spans="4:13" ht="15.75" thickBot="1" x14ac:dyDescent="0.3">
      <c r="I19" s="149"/>
      <c r="K19" s="95">
        <v>42887</v>
      </c>
      <c r="L19" s="97">
        <f>Junio2017!T45</f>
        <v>0</v>
      </c>
    </row>
    <row r="20" spans="4:13" ht="15.75" thickBot="1" x14ac:dyDescent="0.3">
      <c r="I20" s="150" t="e">
        <f>AVERAGE(I14:I17)</f>
        <v>#DIV/0!</v>
      </c>
      <c r="K20" s="98" t="s">
        <v>47</v>
      </c>
      <c r="L20" s="99">
        <f>SUM(L7:L19)</f>
        <v>135817974.76666665</v>
      </c>
    </row>
    <row r="21" spans="4:13" x14ac:dyDescent="0.25">
      <c r="I21" s="189">
        <v>2017</v>
      </c>
      <c r="L21" s="144">
        <f>L20-GETPIVOTDATA("Suma de SALDO CXC ",$A$6)</f>
        <v>41368122.099999979</v>
      </c>
    </row>
    <row r="22" spans="4:13" x14ac:dyDescent="0.25">
      <c r="D22" s="152"/>
    </row>
    <row r="23" spans="4:13" x14ac:dyDescent="0.25">
      <c r="D23" s="144"/>
    </row>
    <row r="84" ht="15.75" thickBot="1" x14ac:dyDescent="0.3"/>
    <row r="85" ht="15.75" thickBot="1" x14ac:dyDescent="0.3"/>
    <row r="87" ht="15.75" thickBot="1" x14ac:dyDescent="0.3"/>
    <row r="88" ht="15.75" thickBot="1" x14ac:dyDescent="0.3"/>
    <row r="89" ht="15.75" thickBot="1" x14ac:dyDescent="0.3"/>
    <row r="90" ht="15.75" thickBot="1" x14ac:dyDescent="0.3"/>
    <row r="91" ht="15.75" thickBot="1" x14ac:dyDescent="0.3"/>
    <row r="92" ht="15.75" thickBot="1" x14ac:dyDescent="0.3"/>
    <row r="93" ht="15.75" thickBot="1" x14ac:dyDescent="0.3"/>
    <row r="94" ht="15.75" thickBot="1" x14ac:dyDescent="0.3"/>
    <row r="95" ht="15.75" thickBot="1" x14ac:dyDescent="0.3"/>
    <row r="96" ht="15.75" thickBot="1" x14ac:dyDescent="0.3"/>
    <row r="97" ht="15.75" thickBot="1" x14ac:dyDescent="0.3"/>
    <row r="98" ht="15.75" thickBot="1" x14ac:dyDescent="0.3"/>
    <row r="99" ht="15.75" thickBot="1" x14ac:dyDescent="0.3"/>
    <row r="122" ht="15.75" thickBot="1" x14ac:dyDescent="0.3"/>
    <row r="123" ht="15.75" thickBot="1" x14ac:dyDescent="0.3"/>
    <row r="125" ht="15.75" thickBot="1" x14ac:dyDescent="0.3"/>
    <row r="126" ht="15.75" thickBot="1" x14ac:dyDescent="0.3"/>
    <row r="127" ht="15.75" thickBot="1" x14ac:dyDescent="0.3"/>
    <row r="128" ht="15.75" thickBot="1" x14ac:dyDescent="0.3"/>
    <row r="129" ht="15.75" thickBot="1" x14ac:dyDescent="0.3"/>
    <row r="130" ht="15.75" thickBot="1" x14ac:dyDescent="0.3"/>
    <row r="131" ht="15.75" thickBot="1" x14ac:dyDescent="0.3"/>
    <row r="132" ht="15.75" thickBot="1" x14ac:dyDescent="0.3"/>
    <row r="134" ht="15.75" thickBot="1" x14ac:dyDescent="0.3"/>
    <row r="135" ht="15.75" thickBot="1" x14ac:dyDescent="0.3"/>
    <row r="136" ht="15.75" thickBot="1" x14ac:dyDescent="0.3"/>
    <row r="137" ht="15.75" thickBot="1" x14ac:dyDescent="0.3"/>
    <row r="138" ht="15.75" thickBot="1" x14ac:dyDescent="0.3"/>
    <row r="139" ht="15.75" thickBot="1" x14ac:dyDescent="0.3"/>
    <row r="141" ht="15.75" thickBot="1" x14ac:dyDescent="0.3"/>
    <row r="142" ht="15.75" thickBot="1" x14ac:dyDescent="0.3"/>
    <row r="143" ht="15.75" thickBot="1" x14ac:dyDescent="0.3"/>
    <row r="144" ht="15.75" thickBot="1" x14ac:dyDescent="0.3"/>
    <row r="145" ht="15.75" thickBot="1" x14ac:dyDescent="0.3"/>
    <row r="146" ht="15.75" thickBot="1" x14ac:dyDescent="0.3"/>
    <row r="148" ht="15.75" thickBot="1" x14ac:dyDescent="0.3"/>
    <row r="149" ht="15.75" thickBot="1" x14ac:dyDescent="0.3"/>
    <row r="150" ht="15.75" thickBot="1" x14ac:dyDescent="0.3"/>
    <row r="151" ht="15.75" thickBot="1" x14ac:dyDescent="0.3"/>
    <row r="152" ht="15.75" thickBot="1" x14ac:dyDescent="0.3"/>
    <row r="153" ht="15.75" thickBot="1" x14ac:dyDescent="0.3"/>
    <row r="154" ht="15.75" thickBot="1" x14ac:dyDescent="0.3"/>
    <row r="155" ht="15.75" thickBot="1" x14ac:dyDescent="0.3"/>
    <row r="156" ht="15.75" thickBot="1" x14ac:dyDescent="0.3"/>
    <row r="157" ht="15.75" thickBot="1" x14ac:dyDescent="0.3"/>
    <row r="158" ht="15.75" thickBot="1" x14ac:dyDescent="0.3"/>
    <row r="159" ht="15.75" thickBot="1" x14ac:dyDescent="0.3"/>
    <row r="160" ht="15.75" thickBot="1" x14ac:dyDescent="0.3"/>
    <row r="161" ht="15.75" thickBot="1" x14ac:dyDescent="0.3"/>
    <row r="162" ht="15.75" thickBot="1" x14ac:dyDescent="0.3"/>
    <row r="163" ht="15.75" thickBot="1" x14ac:dyDescent="0.3"/>
    <row r="164" ht="15.75" thickBot="1" x14ac:dyDescent="0.3"/>
    <row r="165" ht="15.75" thickBot="1" x14ac:dyDescent="0.3"/>
    <row r="167" ht="15.75" thickBot="1" x14ac:dyDescent="0.3"/>
    <row r="168" ht="15.75" thickBot="1" x14ac:dyDescent="0.3"/>
    <row r="169" ht="15.75" thickBot="1" x14ac:dyDescent="0.3"/>
    <row r="170" ht="15.75" thickBot="1" x14ac:dyDescent="0.3"/>
    <row r="171" ht="15.75" thickBot="1" x14ac:dyDescent="0.3"/>
    <row r="172" ht="15.75" thickBot="1" x14ac:dyDescent="0.3"/>
    <row r="173" ht="15.75" thickBot="1" x14ac:dyDescent="0.3"/>
    <row r="174" ht="15.75" thickBot="1" x14ac:dyDescent="0.3"/>
    <row r="175" ht="15.75" thickBot="1" x14ac:dyDescent="0.3"/>
    <row r="176" ht="15.75" thickBot="1" x14ac:dyDescent="0.3"/>
    <row r="177" ht="15.75" thickBot="1" x14ac:dyDescent="0.3"/>
    <row r="178" ht="15.75" thickBot="1" x14ac:dyDescent="0.3"/>
    <row r="179" ht="15.75" thickBot="1" x14ac:dyDescent="0.3"/>
    <row r="180" ht="15.75" thickBot="1" x14ac:dyDescent="0.3"/>
    <row r="181" ht="15.75" thickBot="1" x14ac:dyDescent="0.3"/>
    <row r="182" ht="15.75" thickBot="1" x14ac:dyDescent="0.3"/>
    <row r="183" ht="15.75" thickBot="1" x14ac:dyDescent="0.3"/>
    <row r="184" ht="15.75" thickBot="1" x14ac:dyDescent="0.3"/>
    <row r="185" ht="15.75" thickBot="1" x14ac:dyDescent="0.3"/>
    <row r="186" ht="15.75" thickBot="1" x14ac:dyDescent="0.3"/>
    <row r="187" ht="15.75" thickBot="1" x14ac:dyDescent="0.3"/>
    <row r="188" ht="15.75" thickBot="1" x14ac:dyDescent="0.3"/>
    <row r="189" ht="15.75" thickBot="1" x14ac:dyDescent="0.3"/>
    <row r="190" ht="15.75" thickBot="1" x14ac:dyDescent="0.3"/>
    <row r="191" ht="15.75" thickBot="1" x14ac:dyDescent="0.3"/>
    <row r="192" ht="15.75" thickBot="1" x14ac:dyDescent="0.3"/>
    <row r="193" ht="15.75" thickBot="1" x14ac:dyDescent="0.3"/>
    <row r="194" ht="15.75" thickBot="1" x14ac:dyDescent="0.3"/>
    <row r="195" ht="15.75" thickBot="1" x14ac:dyDescent="0.3"/>
    <row r="196" ht="15.75" thickBot="1" x14ac:dyDescent="0.3"/>
    <row r="197" ht="15.75" thickBot="1" x14ac:dyDescent="0.3"/>
    <row r="198" ht="15.75" thickBot="1" x14ac:dyDescent="0.3"/>
    <row r="199" ht="15.75" thickBot="1" x14ac:dyDescent="0.3"/>
    <row r="200" ht="15.75" thickBot="1" x14ac:dyDescent="0.3"/>
    <row r="201" ht="15.75" thickBot="1" x14ac:dyDescent="0.3"/>
    <row r="202" ht="15.75" thickBot="1" x14ac:dyDescent="0.3"/>
    <row r="203" ht="15.75" thickBot="1" x14ac:dyDescent="0.3"/>
    <row r="204" ht="15.75" thickBot="1" x14ac:dyDescent="0.3"/>
    <row r="205" ht="15.75" thickBot="1" x14ac:dyDescent="0.3"/>
    <row r="206" ht="15.75" thickBot="1" x14ac:dyDescent="0.3"/>
    <row r="207" ht="15.75" thickBot="1" x14ac:dyDescent="0.3"/>
    <row r="208" ht="15.75" thickBot="1" x14ac:dyDescent="0.3"/>
    <row r="209" ht="15.75" thickBot="1" x14ac:dyDescent="0.3"/>
    <row r="210" ht="15.75" thickBot="1" x14ac:dyDescent="0.3"/>
    <row r="211" ht="15.75" thickBot="1" x14ac:dyDescent="0.3"/>
    <row r="212" ht="15.75" thickBot="1" x14ac:dyDescent="0.3"/>
    <row r="220" ht="15.75" thickBot="1" x14ac:dyDescent="0.3"/>
    <row r="221" ht="15.75" thickBot="1" x14ac:dyDescent="0.3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N22"/>
  <sheetViews>
    <sheetView tabSelected="1" workbookViewId="0">
      <selection sqref="A1:K22"/>
    </sheetView>
  </sheetViews>
  <sheetFormatPr baseColWidth="10" defaultRowHeight="15" x14ac:dyDescent="0.25"/>
  <cols>
    <col min="3" max="3" width="0" hidden="1" customWidth="1"/>
    <col min="4" max="4" width="13.28515625" customWidth="1"/>
    <col min="5" max="5" width="12.42578125" customWidth="1"/>
    <col min="6" max="6" width="13.28515625" customWidth="1"/>
    <col min="7" max="7" width="17.7109375" customWidth="1"/>
    <col min="8" max="8" width="20" customWidth="1"/>
    <col min="9" max="9" width="15.5703125" customWidth="1"/>
    <col min="10" max="10" width="13.7109375" customWidth="1"/>
    <col min="11" max="11" width="21" customWidth="1"/>
  </cols>
  <sheetData>
    <row r="1" spans="1:14" x14ac:dyDescent="0.25">
      <c r="A1" s="219" t="s">
        <v>48</v>
      </c>
      <c r="B1" s="220" t="s">
        <v>12</v>
      </c>
      <c r="C1" s="220" t="s">
        <v>108</v>
      </c>
      <c r="D1" s="220" t="s">
        <v>13</v>
      </c>
      <c r="E1" s="220" t="s">
        <v>49</v>
      </c>
      <c r="F1" s="220" t="s">
        <v>50</v>
      </c>
      <c r="G1" s="220" t="s">
        <v>62</v>
      </c>
      <c r="H1" s="220" t="s">
        <v>51</v>
      </c>
      <c r="I1" s="220" t="s">
        <v>64</v>
      </c>
      <c r="J1" s="220" t="s">
        <v>52</v>
      </c>
      <c r="K1" s="221" t="s">
        <v>53</v>
      </c>
    </row>
    <row r="2" spans="1:14" x14ac:dyDescent="0.25">
      <c r="A2" s="222">
        <v>42795</v>
      </c>
      <c r="B2" s="223">
        <v>1095</v>
      </c>
      <c r="C2" s="223" t="s">
        <v>120</v>
      </c>
      <c r="D2" s="230">
        <v>8033000</v>
      </c>
      <c r="E2" s="230">
        <v>3293334</v>
      </c>
      <c r="F2" s="224">
        <v>4739666</v>
      </c>
      <c r="G2" s="223">
        <v>1</v>
      </c>
      <c r="H2" s="223" t="s">
        <v>59</v>
      </c>
      <c r="I2" s="223">
        <v>14.65</v>
      </c>
      <c r="J2" s="223"/>
      <c r="K2" s="225">
        <v>42907</v>
      </c>
      <c r="M2" t="s">
        <v>44</v>
      </c>
    </row>
    <row r="3" spans="1:14" x14ac:dyDescent="0.25">
      <c r="A3" s="226">
        <v>42826</v>
      </c>
      <c r="B3" s="227">
        <v>1109</v>
      </c>
      <c r="C3" s="227" t="s">
        <v>131</v>
      </c>
      <c r="D3" s="231">
        <v>2805197</v>
      </c>
      <c r="E3" s="231">
        <v>1402598</v>
      </c>
      <c r="F3" s="228">
        <v>1402599</v>
      </c>
      <c r="G3" s="227">
        <v>1</v>
      </c>
      <c r="H3" s="216" t="s">
        <v>59</v>
      </c>
      <c r="I3" s="227">
        <v>7.21</v>
      </c>
      <c r="J3" s="227"/>
      <c r="K3" s="229">
        <v>42899</v>
      </c>
      <c r="M3" t="s">
        <v>44</v>
      </c>
    </row>
    <row r="4" spans="1:14" x14ac:dyDescent="0.25">
      <c r="A4" s="222">
        <v>42675</v>
      </c>
      <c r="B4" s="223">
        <v>974</v>
      </c>
      <c r="C4" s="223" t="s">
        <v>114</v>
      </c>
      <c r="D4" s="230">
        <v>7669182</v>
      </c>
      <c r="E4" s="230">
        <v>3834591</v>
      </c>
      <c r="F4" s="224">
        <v>3834591</v>
      </c>
      <c r="G4" s="223">
        <v>1</v>
      </c>
      <c r="H4" s="223" t="s">
        <v>59</v>
      </c>
      <c r="I4" s="223">
        <v>15.15</v>
      </c>
      <c r="J4" s="223"/>
      <c r="K4" s="225">
        <v>42913</v>
      </c>
      <c r="L4" t="s">
        <v>163</v>
      </c>
      <c r="M4" t="s">
        <v>44</v>
      </c>
    </row>
    <row r="5" spans="1:14" x14ac:dyDescent="0.25">
      <c r="A5" s="226">
        <v>42826</v>
      </c>
      <c r="B5" s="227">
        <v>1124</v>
      </c>
      <c r="C5" s="227" t="s">
        <v>132</v>
      </c>
      <c r="D5" s="231">
        <v>3499731</v>
      </c>
      <c r="E5" s="231">
        <v>1750000</v>
      </c>
      <c r="F5" s="228">
        <v>1749731</v>
      </c>
      <c r="G5" s="227">
        <v>1</v>
      </c>
      <c r="H5" s="216" t="s">
        <v>59</v>
      </c>
      <c r="I5" s="227">
        <v>9.6300000000000008</v>
      </c>
      <c r="J5" s="227">
        <v>1</v>
      </c>
      <c r="K5" s="229"/>
      <c r="L5" t="s">
        <v>160</v>
      </c>
      <c r="M5" t="s">
        <v>164</v>
      </c>
      <c r="N5" t="s">
        <v>165</v>
      </c>
    </row>
    <row r="6" spans="1:14" hidden="1" x14ac:dyDescent="0.25">
      <c r="A6" s="222">
        <v>42826</v>
      </c>
      <c r="B6" s="223">
        <v>1114</v>
      </c>
      <c r="C6" s="223" t="s">
        <v>136</v>
      </c>
      <c r="D6" s="230">
        <v>4738133</v>
      </c>
      <c r="E6" s="230">
        <v>3158754</v>
      </c>
      <c r="F6" s="224">
        <v>1579379</v>
      </c>
      <c r="G6" s="223">
        <v>1</v>
      </c>
      <c r="H6" s="223" t="s">
        <v>60</v>
      </c>
      <c r="I6" s="223">
        <v>14.25</v>
      </c>
      <c r="J6" s="223"/>
      <c r="K6" s="225" t="s">
        <v>153</v>
      </c>
    </row>
    <row r="7" spans="1:14" x14ac:dyDescent="0.25">
      <c r="A7" s="226">
        <v>42826</v>
      </c>
      <c r="B7" s="227">
        <v>1110</v>
      </c>
      <c r="C7" s="227" t="s">
        <v>132</v>
      </c>
      <c r="D7" s="231">
        <v>2797420</v>
      </c>
      <c r="E7" s="231">
        <v>1400000</v>
      </c>
      <c r="F7" s="228">
        <v>1397420</v>
      </c>
      <c r="G7" s="227">
        <v>1</v>
      </c>
      <c r="H7" s="216" t="s">
        <v>59</v>
      </c>
      <c r="I7" s="227">
        <v>7.03</v>
      </c>
      <c r="J7" s="227"/>
      <c r="K7" s="229">
        <v>42907</v>
      </c>
      <c r="M7" t="s">
        <v>44</v>
      </c>
    </row>
    <row r="8" spans="1:14" hidden="1" x14ac:dyDescent="0.25">
      <c r="A8" s="233">
        <v>42826</v>
      </c>
      <c r="B8" s="234">
        <v>1102</v>
      </c>
      <c r="C8" s="234" t="s">
        <v>127</v>
      </c>
      <c r="D8" s="235">
        <v>2590791</v>
      </c>
      <c r="E8" s="235">
        <v>1300000</v>
      </c>
      <c r="F8" s="236">
        <v>1290791</v>
      </c>
      <c r="G8" s="223">
        <v>1</v>
      </c>
      <c r="H8" s="223" t="s">
        <v>60</v>
      </c>
      <c r="I8" s="223">
        <v>6.88</v>
      </c>
      <c r="J8" s="223"/>
      <c r="K8" s="225"/>
    </row>
    <row r="9" spans="1:14" hidden="1" x14ac:dyDescent="0.25">
      <c r="A9" s="237">
        <v>42826</v>
      </c>
      <c r="B9" s="238">
        <v>1113</v>
      </c>
      <c r="C9" s="238" t="s">
        <v>135</v>
      </c>
      <c r="D9" s="239">
        <v>5532531</v>
      </c>
      <c r="E9" s="239">
        <v>2760000</v>
      </c>
      <c r="F9" s="240">
        <v>2772531</v>
      </c>
      <c r="G9" s="227">
        <v>1</v>
      </c>
      <c r="H9" s="216" t="s">
        <v>60</v>
      </c>
      <c r="I9" s="227">
        <v>11.15</v>
      </c>
      <c r="J9" s="227"/>
      <c r="K9" s="229"/>
      <c r="L9" s="186" t="s">
        <v>161</v>
      </c>
      <c r="M9" s="186"/>
    </row>
    <row r="10" spans="1:14" x14ac:dyDescent="0.25">
      <c r="A10" s="222">
        <v>42826</v>
      </c>
      <c r="B10" s="223">
        <v>1129</v>
      </c>
      <c r="C10" s="223" t="s">
        <v>143</v>
      </c>
      <c r="D10" s="230">
        <v>4000000</v>
      </c>
      <c r="E10" s="230">
        <v>1680000</v>
      </c>
      <c r="F10" s="224">
        <v>2320000</v>
      </c>
      <c r="G10" s="223">
        <v>1</v>
      </c>
      <c r="H10" s="223" t="s">
        <v>59</v>
      </c>
      <c r="I10" s="223">
        <v>7.2</v>
      </c>
      <c r="J10" s="223">
        <v>1</v>
      </c>
      <c r="K10" s="225">
        <v>42906</v>
      </c>
      <c r="M10" t="s">
        <v>44</v>
      </c>
    </row>
    <row r="11" spans="1:14" x14ac:dyDescent="0.25">
      <c r="A11" s="226">
        <v>42856</v>
      </c>
      <c r="B11" s="227">
        <v>1137</v>
      </c>
      <c r="C11" s="227" t="s">
        <v>134</v>
      </c>
      <c r="D11" s="231">
        <v>3100000</v>
      </c>
      <c r="E11" s="231">
        <v>2066666</v>
      </c>
      <c r="F11" s="228">
        <v>1033334</v>
      </c>
      <c r="G11" s="227">
        <v>1</v>
      </c>
      <c r="H11" s="216" t="s">
        <v>59</v>
      </c>
      <c r="I11" s="227">
        <v>8.5</v>
      </c>
      <c r="J11" s="227"/>
      <c r="K11" s="229">
        <v>42905</v>
      </c>
      <c r="M11" t="s">
        <v>44</v>
      </c>
    </row>
    <row r="12" spans="1:14" x14ac:dyDescent="0.25">
      <c r="A12" s="222">
        <v>42856</v>
      </c>
      <c r="B12" s="223">
        <v>1134</v>
      </c>
      <c r="C12" s="223" t="s">
        <v>94</v>
      </c>
      <c r="D12" s="230">
        <v>7127000</v>
      </c>
      <c r="E12" s="230">
        <v>3563500</v>
      </c>
      <c r="F12" s="224">
        <v>3563500</v>
      </c>
      <c r="G12" s="223">
        <v>1</v>
      </c>
      <c r="H12" s="223" t="s">
        <v>59</v>
      </c>
      <c r="I12" s="223">
        <v>19.57</v>
      </c>
      <c r="J12" s="223"/>
      <c r="K12" s="225">
        <v>42913</v>
      </c>
      <c r="M12" t="s">
        <v>44</v>
      </c>
    </row>
    <row r="13" spans="1:14" hidden="1" x14ac:dyDescent="0.25">
      <c r="A13" s="226">
        <v>42826</v>
      </c>
      <c r="B13" s="241">
        <v>1119</v>
      </c>
      <c r="C13" s="227" t="s">
        <v>85</v>
      </c>
      <c r="D13" s="231">
        <v>3132486</v>
      </c>
      <c r="E13" s="231">
        <v>1566234</v>
      </c>
      <c r="F13" s="228">
        <v>1566252</v>
      </c>
      <c r="G13" s="227">
        <v>1</v>
      </c>
      <c r="H13" s="216" t="s">
        <v>60</v>
      </c>
      <c r="I13" s="227">
        <v>7.8250000000000002</v>
      </c>
      <c r="J13" s="227"/>
      <c r="K13" s="229"/>
      <c r="L13" t="s">
        <v>162</v>
      </c>
    </row>
    <row r="14" spans="1:14" x14ac:dyDescent="0.25">
      <c r="A14" s="222">
        <v>42826</v>
      </c>
      <c r="B14" s="223">
        <v>1123</v>
      </c>
      <c r="C14" s="223" t="s">
        <v>140</v>
      </c>
      <c r="D14" s="230">
        <v>3614178</v>
      </c>
      <c r="E14" s="230">
        <v>1807089</v>
      </c>
      <c r="F14" s="224">
        <v>1807089</v>
      </c>
      <c r="G14" s="223">
        <v>1</v>
      </c>
      <c r="H14" s="223" t="s">
        <v>59</v>
      </c>
      <c r="I14" s="242">
        <v>10.8</v>
      </c>
      <c r="J14" s="223"/>
      <c r="K14" s="225">
        <v>42913</v>
      </c>
      <c r="M14" t="s">
        <v>44</v>
      </c>
    </row>
    <row r="15" spans="1:14" x14ac:dyDescent="0.25">
      <c r="A15" s="226">
        <v>42795</v>
      </c>
      <c r="B15" s="227">
        <v>1090</v>
      </c>
      <c r="C15" s="227" t="s">
        <v>123</v>
      </c>
      <c r="D15" s="231">
        <v>7681930</v>
      </c>
      <c r="E15" s="231">
        <v>3840964</v>
      </c>
      <c r="F15" s="228">
        <v>3840966</v>
      </c>
      <c r="G15" s="227">
        <v>1</v>
      </c>
      <c r="H15" s="216" t="s">
        <v>59</v>
      </c>
      <c r="I15" s="227">
        <v>16.760000000000002</v>
      </c>
      <c r="J15" s="227">
        <v>1</v>
      </c>
      <c r="K15" s="229">
        <v>42913</v>
      </c>
      <c r="M15" t="s">
        <v>44</v>
      </c>
    </row>
    <row r="16" spans="1:14" hidden="1" x14ac:dyDescent="0.25">
      <c r="A16" s="222">
        <v>42856</v>
      </c>
      <c r="B16" s="223">
        <v>1132</v>
      </c>
      <c r="C16" s="223" t="s">
        <v>144</v>
      </c>
      <c r="D16" s="230">
        <v>4500000</v>
      </c>
      <c r="E16" s="230">
        <v>1500000</v>
      </c>
      <c r="F16" s="224">
        <v>3000000</v>
      </c>
      <c r="G16" s="223">
        <v>1</v>
      </c>
      <c r="H16" s="223" t="s">
        <v>60</v>
      </c>
      <c r="I16" s="223">
        <v>9.76</v>
      </c>
      <c r="J16" s="223"/>
      <c r="K16" s="225"/>
    </row>
    <row r="17" spans="1:14" hidden="1" x14ac:dyDescent="0.25">
      <c r="A17" s="226">
        <v>42856</v>
      </c>
      <c r="B17" s="227">
        <v>1131</v>
      </c>
      <c r="C17" s="227" t="s">
        <v>91</v>
      </c>
      <c r="D17" s="231">
        <v>4616268</v>
      </c>
      <c r="E17" s="231">
        <v>1538756</v>
      </c>
      <c r="F17" s="228">
        <v>3077512</v>
      </c>
      <c r="G17" s="227">
        <v>1</v>
      </c>
      <c r="H17" s="216" t="s">
        <v>60</v>
      </c>
      <c r="I17" s="227">
        <v>13.93</v>
      </c>
      <c r="J17" s="227"/>
      <c r="K17" s="229"/>
    </row>
    <row r="18" spans="1:14" x14ac:dyDescent="0.25">
      <c r="A18" s="222">
        <v>42856</v>
      </c>
      <c r="B18" s="223">
        <v>1136</v>
      </c>
      <c r="C18" s="223" t="e">
        <v>#N/A</v>
      </c>
      <c r="D18" s="230">
        <v>6693750</v>
      </c>
      <c r="E18" s="230">
        <v>0</v>
      </c>
      <c r="F18" s="224">
        <v>6693750</v>
      </c>
      <c r="G18" s="223">
        <v>1</v>
      </c>
      <c r="H18" s="223" t="s">
        <v>59</v>
      </c>
      <c r="I18" s="242">
        <v>14.1</v>
      </c>
      <c r="J18" s="223"/>
      <c r="K18" s="225">
        <v>42915</v>
      </c>
    </row>
    <row r="19" spans="1:14" x14ac:dyDescent="0.25">
      <c r="A19" s="226">
        <v>42856</v>
      </c>
      <c r="B19" s="227">
        <v>1139</v>
      </c>
      <c r="C19" s="227" t="e">
        <v>#N/A</v>
      </c>
      <c r="D19" s="231">
        <v>3211371</v>
      </c>
      <c r="E19" s="231">
        <v>1605685</v>
      </c>
      <c r="F19" s="228">
        <v>1605686</v>
      </c>
      <c r="G19" s="227">
        <v>1</v>
      </c>
      <c r="H19" s="216" t="s">
        <v>59</v>
      </c>
      <c r="I19" s="227">
        <v>9.07</v>
      </c>
      <c r="J19" s="227"/>
      <c r="K19" s="225">
        <v>42915</v>
      </c>
      <c r="M19" t="s">
        <v>44</v>
      </c>
    </row>
    <row r="20" spans="1:14" x14ac:dyDescent="0.25">
      <c r="A20" s="222">
        <v>42856</v>
      </c>
      <c r="B20" s="223">
        <v>1140</v>
      </c>
      <c r="C20" s="223" t="s">
        <v>146</v>
      </c>
      <c r="D20" s="230">
        <v>1871878</v>
      </c>
      <c r="E20" s="230">
        <v>935939</v>
      </c>
      <c r="F20" s="224">
        <v>935939</v>
      </c>
      <c r="G20" s="223">
        <v>1</v>
      </c>
      <c r="H20" s="223" t="s">
        <v>59</v>
      </c>
      <c r="I20" s="223">
        <v>4.97</v>
      </c>
      <c r="J20" s="223"/>
      <c r="K20" s="225">
        <v>42915</v>
      </c>
      <c r="M20" t="s">
        <v>44</v>
      </c>
    </row>
    <row r="21" spans="1:14" x14ac:dyDescent="0.25">
      <c r="A21" s="215">
        <v>42826</v>
      </c>
      <c r="B21" s="216">
        <v>1122</v>
      </c>
      <c r="C21" s="216" t="s">
        <v>132</v>
      </c>
      <c r="D21" s="232">
        <v>3144874</v>
      </c>
      <c r="E21" s="232">
        <v>524145</v>
      </c>
      <c r="F21" s="218">
        <v>2620729</v>
      </c>
      <c r="G21" s="216">
        <v>1</v>
      </c>
      <c r="H21" s="216" t="s">
        <v>59</v>
      </c>
      <c r="I21" s="216">
        <v>9.02</v>
      </c>
      <c r="J21" s="216">
        <v>1</v>
      </c>
      <c r="K21" s="217">
        <v>42915</v>
      </c>
      <c r="M21" t="s">
        <v>167</v>
      </c>
      <c r="N21" t="s">
        <v>166</v>
      </c>
    </row>
    <row r="22" spans="1:14" x14ac:dyDescent="0.25">
      <c r="F22" s="243">
        <f>SUBTOTAL(9,F2:F21)</f>
        <v>37545000</v>
      </c>
      <c r="I22" s="244">
        <f>SUBTOTAL(9,I2:I21)</f>
        <v>153.66</v>
      </c>
    </row>
  </sheetData>
  <autoFilter ref="A1:L21">
    <filterColumn colId="7">
      <filters>
        <filter val="SI"/>
      </filters>
    </filterColumn>
  </autoFilter>
  <printOptions horizontalCentered="1" verticalCentered="1"/>
  <pageMargins left="0.70866141732283472" right="0.70866141732283472" top="0.74803149606299213" bottom="0.74803149606299213" header="0.31496062992125984" footer="0.31496062992125984"/>
  <pageSetup scale="62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43"/>
  <sheetViews>
    <sheetView topLeftCell="A4" workbookViewId="0">
      <selection activeCell="B9" sqref="B9"/>
    </sheetView>
  </sheetViews>
  <sheetFormatPr baseColWidth="10" defaultRowHeight="15" x14ac:dyDescent="0.25"/>
  <cols>
    <col min="1" max="1" width="14.7109375" customWidth="1"/>
    <col min="2" max="2" width="61.85546875" bestFit="1" customWidth="1"/>
    <col min="3" max="3" width="19.28515625" customWidth="1"/>
    <col min="4" max="4" width="18.42578125" customWidth="1"/>
    <col min="5" max="5" width="19.28515625" customWidth="1"/>
    <col min="6" max="6" width="9.5703125" customWidth="1"/>
    <col min="7" max="7" width="13" bestFit="1" customWidth="1"/>
    <col min="8" max="8" width="12.140625" bestFit="1" customWidth="1"/>
    <col min="9" max="9" width="12.42578125" customWidth="1"/>
    <col min="10" max="10" width="13.28515625" bestFit="1" customWidth="1"/>
  </cols>
  <sheetData>
    <row r="1" spans="2:8" ht="15.75" thickBot="1" x14ac:dyDescent="0.3">
      <c r="B1" s="206" t="s">
        <v>52</v>
      </c>
      <c r="C1" s="210" t="s">
        <v>57</v>
      </c>
    </row>
    <row r="2" spans="2:8" ht="15.75" thickBot="1" x14ac:dyDescent="0.3">
      <c r="B2" s="206" t="s">
        <v>53</v>
      </c>
      <c r="C2" s="210" t="s">
        <v>57</v>
      </c>
    </row>
    <row r="3" spans="2:8" ht="15.75" thickBot="1" x14ac:dyDescent="0.3">
      <c r="B3" s="206" t="s">
        <v>51</v>
      </c>
      <c r="C3" s="210" t="s">
        <v>57</v>
      </c>
    </row>
    <row r="4" spans="2:8" ht="15.75" thickBot="1" x14ac:dyDescent="0.3">
      <c r="B4" s="126" t="s">
        <v>48</v>
      </c>
      <c r="C4" s="139" t="s">
        <v>57</v>
      </c>
    </row>
    <row r="5" spans="2:8" x14ac:dyDescent="0.25">
      <c r="B5" s="206" t="s">
        <v>62</v>
      </c>
      <c r="C5" s="211">
        <v>1</v>
      </c>
    </row>
    <row r="6" spans="2:8" ht="15.75" thickBot="1" x14ac:dyDescent="0.3"/>
    <row r="7" spans="2:8" ht="15.75" thickBot="1" x14ac:dyDescent="0.3">
      <c r="B7" s="206" t="s">
        <v>69</v>
      </c>
      <c r="C7" s="123" t="s">
        <v>55</v>
      </c>
      <c r="D7" s="124" t="s">
        <v>61</v>
      </c>
      <c r="E7" s="133" t="s">
        <v>56</v>
      </c>
      <c r="F7" s="214" t="s">
        <v>58</v>
      </c>
    </row>
    <row r="8" spans="2:8" ht="15.75" thickBot="1" x14ac:dyDescent="0.3">
      <c r="B8" s="212" t="s">
        <v>107</v>
      </c>
      <c r="C8" s="168">
        <v>82869861</v>
      </c>
      <c r="D8" s="168">
        <v>36668389.333333328</v>
      </c>
      <c r="E8" s="169">
        <v>46201471.666666672</v>
      </c>
      <c r="F8" s="170">
        <v>21</v>
      </c>
    </row>
    <row r="9" spans="2:8" ht="15.75" thickBot="1" x14ac:dyDescent="0.3">
      <c r="B9" s="191" t="s">
        <v>100</v>
      </c>
      <c r="C9" s="192">
        <v>90359720</v>
      </c>
      <c r="D9" s="192">
        <v>39528255</v>
      </c>
      <c r="E9" s="193">
        <v>50831465</v>
      </c>
      <c r="F9" s="194">
        <v>20</v>
      </c>
      <c r="G9" s="190">
        <f>E9*0.7</f>
        <v>35582025.5</v>
      </c>
      <c r="H9" s="195">
        <v>0.7</v>
      </c>
    </row>
    <row r="10" spans="2:8" x14ac:dyDescent="0.25">
      <c r="B10" s="196" t="s">
        <v>98</v>
      </c>
      <c r="C10" s="162">
        <v>41388098</v>
      </c>
      <c r="D10" s="162">
        <v>32121725</v>
      </c>
      <c r="E10" s="163">
        <v>9266373</v>
      </c>
      <c r="F10" s="164">
        <v>9</v>
      </c>
    </row>
    <row r="11" spans="2:8" x14ac:dyDescent="0.25">
      <c r="B11" s="196" t="s">
        <v>151</v>
      </c>
      <c r="C11" s="162">
        <v>9339771.4399999995</v>
      </c>
      <c r="D11" s="162">
        <v>6541348</v>
      </c>
      <c r="E11" s="163">
        <v>2798423.44</v>
      </c>
      <c r="F11" s="164">
        <v>3</v>
      </c>
    </row>
    <row r="12" spans="2:8" x14ac:dyDescent="0.25">
      <c r="B12" s="196" t="s">
        <v>99</v>
      </c>
      <c r="C12" s="162">
        <v>500000</v>
      </c>
      <c r="D12" s="162">
        <v>250000</v>
      </c>
      <c r="E12" s="163">
        <v>250000</v>
      </c>
      <c r="F12" s="164">
        <v>1</v>
      </c>
    </row>
    <row r="13" spans="2:8" x14ac:dyDescent="0.25">
      <c r="B13" s="196" t="s">
        <v>104</v>
      </c>
      <c r="C13" s="162">
        <v>9797083</v>
      </c>
      <c r="D13" s="162">
        <v>2466666</v>
      </c>
      <c r="E13" s="163">
        <v>7330417</v>
      </c>
      <c r="F13" s="164">
        <v>2</v>
      </c>
    </row>
    <row r="14" spans="2:8" x14ac:dyDescent="0.25">
      <c r="B14" s="196" t="s">
        <v>106</v>
      </c>
      <c r="C14" s="162">
        <v>2394000</v>
      </c>
      <c r="D14" s="162">
        <v>2383956</v>
      </c>
      <c r="E14" s="163">
        <v>10044</v>
      </c>
      <c r="F14" s="164">
        <v>1</v>
      </c>
    </row>
    <row r="15" spans="2:8" ht="15.75" thickBot="1" x14ac:dyDescent="0.3">
      <c r="B15" s="196" t="s">
        <v>102</v>
      </c>
      <c r="C15" s="162">
        <v>18771418</v>
      </c>
      <c r="D15" s="162">
        <v>8000000</v>
      </c>
      <c r="E15" s="163">
        <v>10771418</v>
      </c>
      <c r="F15" s="164">
        <v>2</v>
      </c>
    </row>
    <row r="16" spans="2:8" ht="15.75" thickBot="1" x14ac:dyDescent="0.3">
      <c r="B16" s="197" t="s">
        <v>105</v>
      </c>
      <c r="C16" s="198">
        <v>1574767</v>
      </c>
      <c r="D16" s="198">
        <v>1049845</v>
      </c>
      <c r="E16" s="199">
        <v>524922</v>
      </c>
      <c r="F16" s="200">
        <v>1</v>
      </c>
      <c r="G16" s="201">
        <f>SUM(E11:E16)</f>
        <v>21685224.439999998</v>
      </c>
      <c r="H16" s="195">
        <v>1</v>
      </c>
    </row>
    <row r="17" spans="2:8" x14ac:dyDescent="0.25">
      <c r="B17" s="207" t="s">
        <v>84</v>
      </c>
      <c r="C17" s="171">
        <v>6901079</v>
      </c>
      <c r="D17" s="171">
        <v>4260432</v>
      </c>
      <c r="E17" s="172">
        <v>2640647</v>
      </c>
      <c r="F17" s="173">
        <v>2</v>
      </c>
    </row>
    <row r="18" spans="2:8" x14ac:dyDescent="0.25">
      <c r="B18" s="208" t="s">
        <v>90</v>
      </c>
      <c r="C18" s="118">
        <v>3130961</v>
      </c>
      <c r="D18" s="118">
        <v>1830581</v>
      </c>
      <c r="E18" s="120">
        <v>1300380</v>
      </c>
      <c r="F18" s="135">
        <v>1</v>
      </c>
    </row>
    <row r="19" spans="2:8" x14ac:dyDescent="0.25">
      <c r="B19" s="208" t="s">
        <v>157</v>
      </c>
      <c r="C19" s="118">
        <v>7885672</v>
      </c>
      <c r="D19" s="118">
        <v>5361285</v>
      </c>
      <c r="E19" s="120">
        <v>2524387</v>
      </c>
      <c r="F19" s="135">
        <v>2</v>
      </c>
    </row>
    <row r="20" spans="2:8" x14ac:dyDescent="0.25">
      <c r="B20" s="208" t="s">
        <v>154</v>
      </c>
      <c r="C20" s="118">
        <v>1453691</v>
      </c>
      <c r="D20" s="118">
        <v>700000</v>
      </c>
      <c r="E20" s="120">
        <v>753691</v>
      </c>
      <c r="F20" s="135">
        <v>1</v>
      </c>
    </row>
    <row r="21" spans="2:8" ht="15.75" thickBot="1" x14ac:dyDescent="0.3">
      <c r="B21" s="209" t="s">
        <v>83</v>
      </c>
      <c r="C21" s="183">
        <v>3013236</v>
      </c>
      <c r="D21" s="183">
        <v>2008825</v>
      </c>
      <c r="E21" s="184">
        <v>1004411</v>
      </c>
      <c r="F21" s="185">
        <v>2</v>
      </c>
    </row>
    <row r="22" spans="2:8" ht="15.75" thickBot="1" x14ac:dyDescent="0.3">
      <c r="B22" s="158" t="s">
        <v>54</v>
      </c>
      <c r="C22" s="130">
        <v>279379357.44</v>
      </c>
      <c r="D22" s="130">
        <v>143171307.33333331</v>
      </c>
      <c r="E22" s="132">
        <v>136208050.10666668</v>
      </c>
      <c r="F22" s="138">
        <v>68</v>
      </c>
      <c r="G22" s="204">
        <f>G9+G16</f>
        <v>57267249.939999998</v>
      </c>
      <c r="H22" s="205" t="s">
        <v>159</v>
      </c>
    </row>
    <row r="23" spans="2:8" ht="15.75" thickBot="1" x14ac:dyDescent="0.3">
      <c r="G23" s="202">
        <f>G22/1.19</f>
        <v>48123739.445378155</v>
      </c>
      <c r="H23" s="203" t="s">
        <v>158</v>
      </c>
    </row>
    <row r="27" spans="2:8" x14ac:dyDescent="0.25">
      <c r="H27" s="187"/>
    </row>
    <row r="33" ht="15.75" thickBot="1" x14ac:dyDescent="0.3"/>
    <row r="35" ht="15.75" thickBot="1" x14ac:dyDescent="0.3"/>
    <row r="37" ht="15.75" thickBot="1" x14ac:dyDescent="0.3"/>
    <row r="39" ht="15.75" thickBot="1" x14ac:dyDescent="0.3"/>
    <row r="42" ht="15.75" thickBot="1" x14ac:dyDescent="0.3"/>
    <row r="43" ht="15.75" thickBot="1" x14ac:dyDescent="0.3"/>
  </sheetData>
  <pageMargins left="0.70866141732283472" right="0.70866141732283472" top="0.74803149606299213" bottom="0.74803149606299213" header="0.31496062992125984" footer="0.31496062992125984"/>
  <pageSetup paperSize="9" scale="80" orientation="landscape" horizontalDpi="0" verticalDpi="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P1758"/>
  <sheetViews>
    <sheetView workbookViewId="0">
      <selection activeCell="D292" sqref="D292"/>
    </sheetView>
  </sheetViews>
  <sheetFormatPr baseColWidth="10" defaultRowHeight="15" x14ac:dyDescent="0.25"/>
  <cols>
    <col min="1" max="1" width="11.42578125" style="91"/>
    <col min="2" max="2" width="11.85546875" style="91" bestFit="1" customWidth="1"/>
    <col min="3" max="3" width="11.42578125" style="91"/>
    <col min="4" max="4" width="81" style="91" bestFit="1" customWidth="1"/>
    <col min="5" max="5" width="81" style="91" customWidth="1"/>
    <col min="6" max="8" width="14.5703125" style="91" bestFit="1" customWidth="1"/>
    <col min="9" max="9" width="18.28515625" style="91" bestFit="1" customWidth="1"/>
    <col min="10" max="10" width="18" style="91" bestFit="1" customWidth="1"/>
    <col min="11" max="11" width="16.42578125" style="91" bestFit="1" customWidth="1"/>
    <col min="12" max="12" width="15" style="91" bestFit="1" customWidth="1"/>
    <col min="13" max="13" width="19" style="91" bestFit="1" customWidth="1"/>
    <col min="14" max="16384" width="11.42578125" style="91"/>
  </cols>
  <sheetData>
    <row r="1" spans="2:15" x14ac:dyDescent="0.25">
      <c r="B1" s="101" t="s">
        <v>48</v>
      </c>
      <c r="C1" s="101" t="s">
        <v>12</v>
      </c>
      <c r="D1" s="101" t="s">
        <v>79</v>
      </c>
      <c r="E1" s="101" t="s">
        <v>108</v>
      </c>
      <c r="F1" s="101" t="s">
        <v>13</v>
      </c>
      <c r="G1" s="101" t="s">
        <v>49</v>
      </c>
      <c r="H1" s="102" t="s">
        <v>50</v>
      </c>
      <c r="I1" s="102" t="s">
        <v>62</v>
      </c>
      <c r="J1" s="102" t="s">
        <v>51</v>
      </c>
      <c r="K1" s="102" t="s">
        <v>64</v>
      </c>
      <c r="L1" s="102" t="s">
        <v>52</v>
      </c>
      <c r="M1" s="102" t="s">
        <v>53</v>
      </c>
    </row>
    <row r="2" spans="2:15" hidden="1" x14ac:dyDescent="0.25">
      <c r="B2" s="110">
        <v>42522</v>
      </c>
      <c r="C2" s="111">
        <v>848</v>
      </c>
      <c r="D2" s="111" t="e">
        <v>#N/A</v>
      </c>
      <c r="E2" s="111" t="e">
        <v>#N/A</v>
      </c>
      <c r="F2" s="112">
        <v>5473000.3999999994</v>
      </c>
      <c r="G2" s="113">
        <v>5473000</v>
      </c>
      <c r="H2" s="114">
        <v>0</v>
      </c>
      <c r="I2" s="114"/>
      <c r="J2" s="115" t="s">
        <v>59</v>
      </c>
      <c r="K2" s="116"/>
      <c r="L2" s="116"/>
      <c r="M2" s="141"/>
    </row>
    <row r="3" spans="2:15" hidden="1" x14ac:dyDescent="0.25">
      <c r="B3" s="110">
        <v>42522</v>
      </c>
      <c r="C3" s="111">
        <v>849</v>
      </c>
      <c r="D3" s="111" t="e">
        <v>#N/A</v>
      </c>
      <c r="E3" s="111" t="e">
        <v>#N/A</v>
      </c>
      <c r="F3" s="112">
        <v>3308000.08</v>
      </c>
      <c r="G3" s="113">
        <v>3308000.08</v>
      </c>
      <c r="H3" s="114">
        <v>0</v>
      </c>
      <c r="I3" s="114"/>
      <c r="J3" s="115" t="s">
        <v>59</v>
      </c>
      <c r="K3" s="116"/>
      <c r="L3" s="116"/>
      <c r="M3" s="141"/>
    </row>
    <row r="4" spans="2:15" hidden="1" x14ac:dyDescent="0.25">
      <c r="B4" s="110">
        <v>42522</v>
      </c>
      <c r="C4" s="111">
        <v>850</v>
      </c>
      <c r="D4" s="111" t="e">
        <v>#N/A</v>
      </c>
      <c r="E4" s="111" t="e">
        <v>#N/A</v>
      </c>
      <c r="F4" s="112">
        <v>3662000</v>
      </c>
      <c r="G4" s="113">
        <v>3662000</v>
      </c>
      <c r="H4" s="114">
        <v>0</v>
      </c>
      <c r="I4" s="114"/>
      <c r="J4" s="115" t="s">
        <v>59</v>
      </c>
      <c r="K4" s="116"/>
      <c r="L4" s="116"/>
      <c r="M4" s="141"/>
    </row>
    <row r="5" spans="2:15" hidden="1" x14ac:dyDescent="0.25">
      <c r="B5" s="110">
        <v>42522</v>
      </c>
      <c r="C5" s="111">
        <v>851</v>
      </c>
      <c r="D5" s="111" t="e">
        <v>#N/A</v>
      </c>
      <c r="E5" s="111" t="e">
        <v>#N/A</v>
      </c>
      <c r="F5" s="112">
        <v>3269304.8499999996</v>
      </c>
      <c r="G5" s="113">
        <v>3269305</v>
      </c>
      <c r="H5" s="114">
        <v>0</v>
      </c>
      <c r="I5" s="114"/>
      <c r="J5" s="115" t="s">
        <v>59</v>
      </c>
      <c r="K5" s="116"/>
      <c r="L5" s="116"/>
      <c r="M5" s="141"/>
    </row>
    <row r="6" spans="2:15" hidden="1" x14ac:dyDescent="0.25">
      <c r="B6" s="110">
        <v>42522</v>
      </c>
      <c r="C6" s="111">
        <v>852</v>
      </c>
      <c r="D6" s="111" t="e">
        <v>#N/A</v>
      </c>
      <c r="E6" s="111" t="e">
        <v>#N/A</v>
      </c>
      <c r="F6" s="112">
        <v>4327048.25</v>
      </c>
      <c r="G6" s="113">
        <v>4327048</v>
      </c>
      <c r="H6" s="114">
        <v>0</v>
      </c>
      <c r="I6" s="114"/>
      <c r="J6" s="115" t="s">
        <v>59</v>
      </c>
      <c r="K6" s="116"/>
      <c r="L6" s="116"/>
      <c r="M6" s="141"/>
    </row>
    <row r="7" spans="2:15" hidden="1" x14ac:dyDescent="0.25">
      <c r="B7" s="110">
        <v>42522</v>
      </c>
      <c r="C7" s="111">
        <v>853</v>
      </c>
      <c r="D7" s="111" t="e">
        <v>#N/A</v>
      </c>
      <c r="E7" s="111" t="e">
        <v>#N/A</v>
      </c>
      <c r="F7" s="112">
        <v>5002413.71</v>
      </c>
      <c r="G7" s="113">
        <v>5002414</v>
      </c>
      <c r="H7" s="114">
        <v>0</v>
      </c>
      <c r="I7" s="114"/>
      <c r="J7" s="115" t="s">
        <v>59</v>
      </c>
      <c r="K7" s="116"/>
      <c r="L7" s="116"/>
      <c r="M7" s="141"/>
    </row>
    <row r="8" spans="2:15" hidden="1" x14ac:dyDescent="0.25">
      <c r="B8" s="110">
        <v>42522</v>
      </c>
      <c r="C8" s="111">
        <v>854</v>
      </c>
      <c r="D8" s="111" t="e">
        <v>#N/A</v>
      </c>
      <c r="E8" s="111" t="e">
        <v>#N/A</v>
      </c>
      <c r="F8" s="112">
        <v>3080937.3699999996</v>
      </c>
      <c r="G8" s="113">
        <v>3080937</v>
      </c>
      <c r="H8" s="114">
        <v>0</v>
      </c>
      <c r="I8" s="114"/>
      <c r="J8" s="115" t="s">
        <v>59</v>
      </c>
      <c r="K8" s="116"/>
      <c r="L8" s="116"/>
      <c r="M8" s="141"/>
    </row>
    <row r="9" spans="2:15" hidden="1" x14ac:dyDescent="0.25">
      <c r="B9" s="110">
        <v>42522</v>
      </c>
      <c r="C9" s="111">
        <v>855</v>
      </c>
      <c r="D9" s="111" t="e">
        <v>#N/A</v>
      </c>
      <c r="E9" s="111" t="e">
        <v>#N/A</v>
      </c>
      <c r="F9" s="112">
        <v>4200826.1399999997</v>
      </c>
      <c r="G9" s="113">
        <v>4200826</v>
      </c>
      <c r="H9" s="114">
        <v>0</v>
      </c>
      <c r="I9" s="114"/>
      <c r="J9" s="115" t="s">
        <v>59</v>
      </c>
      <c r="K9" s="116"/>
      <c r="L9" s="116"/>
      <c r="M9" s="141"/>
    </row>
    <row r="10" spans="2:15" hidden="1" x14ac:dyDescent="0.25">
      <c r="B10" s="110">
        <v>42522</v>
      </c>
      <c r="C10" s="111">
        <v>856</v>
      </c>
      <c r="D10" s="111" t="e">
        <v>#N/A</v>
      </c>
      <c r="E10" s="111" t="e">
        <v>#N/A</v>
      </c>
      <c r="F10" s="112">
        <v>1173460.19</v>
      </c>
      <c r="G10" s="113">
        <v>1173460</v>
      </c>
      <c r="H10" s="114">
        <v>0</v>
      </c>
      <c r="I10" s="114"/>
      <c r="J10" s="115" t="s">
        <v>59</v>
      </c>
      <c r="K10" s="116"/>
      <c r="L10" s="116"/>
      <c r="M10" s="141"/>
    </row>
    <row r="11" spans="2:15" hidden="1" x14ac:dyDescent="0.25">
      <c r="B11" s="110">
        <v>42522</v>
      </c>
      <c r="C11" s="111">
        <v>857</v>
      </c>
      <c r="D11" s="111" t="e">
        <v>#N/A</v>
      </c>
      <c r="E11" s="111" t="e">
        <v>#N/A</v>
      </c>
      <c r="F11" s="112">
        <v>4999999.2</v>
      </c>
      <c r="G11" s="113">
        <v>5000000</v>
      </c>
      <c r="H11" s="114">
        <v>0</v>
      </c>
      <c r="I11" s="114"/>
      <c r="J11" s="115" t="s">
        <v>59</v>
      </c>
      <c r="K11" s="116"/>
      <c r="L11" s="116"/>
      <c r="M11" s="141"/>
    </row>
    <row r="12" spans="2:15" hidden="1" x14ac:dyDescent="0.25">
      <c r="B12" s="110">
        <v>42522</v>
      </c>
      <c r="C12" s="111">
        <v>858</v>
      </c>
      <c r="D12" s="111" t="e">
        <v>#N/A</v>
      </c>
      <c r="E12" s="111" t="e">
        <v>#N/A</v>
      </c>
      <c r="F12" s="112">
        <v>2602782</v>
      </c>
      <c r="G12" s="113">
        <v>2602782</v>
      </c>
      <c r="H12" s="114">
        <v>0</v>
      </c>
      <c r="I12" s="114"/>
      <c r="J12" s="115" t="s">
        <v>59</v>
      </c>
      <c r="K12" s="116"/>
      <c r="L12" s="116"/>
      <c r="M12" s="141"/>
    </row>
    <row r="13" spans="2:15" hidden="1" x14ac:dyDescent="0.25">
      <c r="B13" s="110">
        <v>42522</v>
      </c>
      <c r="C13" s="111">
        <v>859</v>
      </c>
      <c r="D13" s="111" t="e">
        <v>#N/A</v>
      </c>
      <c r="E13" s="111" t="e">
        <v>#N/A</v>
      </c>
      <c r="F13" s="112">
        <v>6072797.29</v>
      </c>
      <c r="G13" s="113">
        <v>6072797</v>
      </c>
      <c r="H13" s="114">
        <v>0</v>
      </c>
      <c r="I13" s="114"/>
      <c r="J13" s="115" t="s">
        <v>59</v>
      </c>
      <c r="K13" s="116"/>
      <c r="L13" s="116">
        <v>1</v>
      </c>
      <c r="M13" s="141"/>
      <c r="N13" s="91" t="s">
        <v>67</v>
      </c>
      <c r="O13" s="91">
        <f>IF(N13="OK",1,0)</f>
        <v>1</v>
      </c>
    </row>
    <row r="14" spans="2:15" hidden="1" x14ac:dyDescent="0.25">
      <c r="B14" s="110">
        <v>42522</v>
      </c>
      <c r="C14" s="111">
        <v>860</v>
      </c>
      <c r="D14" s="111" t="e">
        <v>#N/A</v>
      </c>
      <c r="E14" s="111" t="e">
        <v>#N/A</v>
      </c>
      <c r="F14" s="112">
        <v>1787475.2</v>
      </c>
      <c r="G14" s="113">
        <v>1787475</v>
      </c>
      <c r="H14" s="114">
        <v>0</v>
      </c>
      <c r="I14" s="114"/>
      <c r="J14" s="115" t="s">
        <v>59</v>
      </c>
      <c r="K14" s="116"/>
      <c r="L14" s="116"/>
      <c r="M14" s="141"/>
    </row>
    <row r="15" spans="2:15" hidden="1" x14ac:dyDescent="0.25">
      <c r="B15" s="110">
        <v>42522</v>
      </c>
      <c r="C15" s="111">
        <v>861</v>
      </c>
      <c r="D15" s="111" t="e">
        <v>#N/A</v>
      </c>
      <c r="E15" s="111" t="e">
        <v>#N/A</v>
      </c>
      <c r="F15" s="112">
        <v>3163629.28</v>
      </c>
      <c r="G15" s="113">
        <v>3163629</v>
      </c>
      <c r="H15" s="114">
        <v>0</v>
      </c>
      <c r="I15" s="114"/>
      <c r="J15" s="115" t="s">
        <v>59</v>
      </c>
      <c r="K15" s="116"/>
      <c r="L15" s="116"/>
      <c r="M15" s="141"/>
    </row>
    <row r="16" spans="2:15" hidden="1" x14ac:dyDescent="0.25">
      <c r="B16" s="110">
        <v>42522</v>
      </c>
      <c r="C16" s="111">
        <v>862</v>
      </c>
      <c r="D16" s="111" t="e">
        <v>#N/A</v>
      </c>
      <c r="E16" s="111" t="e">
        <v>#N/A</v>
      </c>
      <c r="F16" s="112">
        <v>5397925.9999999991</v>
      </c>
      <c r="G16" s="113">
        <v>5397926</v>
      </c>
      <c r="H16" s="114">
        <v>0</v>
      </c>
      <c r="I16" s="114"/>
      <c r="J16" s="115" t="s">
        <v>59</v>
      </c>
      <c r="K16" s="116"/>
      <c r="L16" s="116">
        <v>1</v>
      </c>
      <c r="M16" s="141"/>
      <c r="N16" s="91" t="s">
        <v>44</v>
      </c>
      <c r="O16" s="91">
        <f>IF(N16="OK",1,0)</f>
        <v>1</v>
      </c>
    </row>
    <row r="17" spans="2:13" hidden="1" x14ac:dyDescent="0.25">
      <c r="B17" s="110">
        <v>42522</v>
      </c>
      <c r="C17" s="111">
        <v>863</v>
      </c>
      <c r="D17" s="111" t="e">
        <v>#N/A</v>
      </c>
      <c r="E17" s="111" t="e">
        <v>#N/A</v>
      </c>
      <c r="F17" s="112">
        <v>541523</v>
      </c>
      <c r="G17" s="113">
        <v>541523</v>
      </c>
      <c r="H17" s="114">
        <v>0</v>
      </c>
      <c r="I17" s="114"/>
      <c r="J17" s="115" t="s">
        <v>59</v>
      </c>
      <c r="K17" s="116"/>
      <c r="L17" s="116"/>
      <c r="M17" s="141"/>
    </row>
    <row r="18" spans="2:13" hidden="1" x14ac:dyDescent="0.25">
      <c r="B18" s="110">
        <v>42522</v>
      </c>
      <c r="C18" s="111">
        <v>865</v>
      </c>
      <c r="D18" s="111" t="e">
        <v>#N/A</v>
      </c>
      <c r="E18" s="111" t="e">
        <v>#N/A</v>
      </c>
      <c r="F18" s="112">
        <v>3211122.9999999995</v>
      </c>
      <c r="G18" s="113">
        <v>3211123</v>
      </c>
      <c r="H18" s="114">
        <v>0</v>
      </c>
      <c r="I18" s="114"/>
      <c r="J18" s="115" t="s">
        <v>59</v>
      </c>
      <c r="K18" s="116"/>
      <c r="L18" s="116"/>
      <c r="M18" s="141"/>
    </row>
    <row r="19" spans="2:13" hidden="1" x14ac:dyDescent="0.25">
      <c r="B19" s="110">
        <v>42522</v>
      </c>
      <c r="C19" s="111">
        <v>866</v>
      </c>
      <c r="D19" s="157" t="s">
        <v>97</v>
      </c>
      <c r="E19" s="111" t="e">
        <v>#N/A</v>
      </c>
      <c r="F19" s="112">
        <v>1365291.76</v>
      </c>
      <c r="G19" s="113">
        <f>1139000+226292</f>
        <v>1365292</v>
      </c>
      <c r="H19" s="114">
        <v>0</v>
      </c>
      <c r="I19" s="114"/>
      <c r="J19" s="115" t="s">
        <v>59</v>
      </c>
      <c r="K19" s="116"/>
      <c r="L19" s="116"/>
      <c r="M19" s="141"/>
    </row>
    <row r="20" spans="2:13" hidden="1" x14ac:dyDescent="0.25">
      <c r="B20" s="110">
        <v>42522</v>
      </c>
      <c r="C20" s="111">
        <v>867</v>
      </c>
      <c r="D20" s="111" t="e">
        <v>#N/A</v>
      </c>
      <c r="E20" s="111" t="e">
        <v>#N/A</v>
      </c>
      <c r="F20" s="112">
        <v>3242670</v>
      </c>
      <c r="G20" s="113">
        <v>3242670</v>
      </c>
      <c r="H20" s="114">
        <v>0</v>
      </c>
      <c r="I20" s="114"/>
      <c r="J20" s="115" t="s">
        <v>59</v>
      </c>
      <c r="K20" s="116"/>
      <c r="L20" s="116"/>
      <c r="M20" s="141"/>
    </row>
    <row r="21" spans="2:13" hidden="1" x14ac:dyDescent="0.25">
      <c r="B21" s="110">
        <v>42522</v>
      </c>
      <c r="C21" s="111">
        <v>868</v>
      </c>
      <c r="D21" s="157" t="s">
        <v>150</v>
      </c>
      <c r="E21" s="111" t="e">
        <v>#N/A</v>
      </c>
      <c r="F21" s="112">
        <v>3239669.09</v>
      </c>
      <c r="G21" s="113">
        <f>2972446+267223</f>
        <v>3239669</v>
      </c>
      <c r="H21" s="114">
        <v>0</v>
      </c>
      <c r="I21" s="114"/>
      <c r="J21" s="115" t="s">
        <v>59</v>
      </c>
      <c r="K21" s="116"/>
      <c r="L21" s="116"/>
      <c r="M21" s="141"/>
    </row>
    <row r="22" spans="2:13" hidden="1" x14ac:dyDescent="0.25">
      <c r="B22" s="110">
        <v>42522</v>
      </c>
      <c r="C22" s="117">
        <v>869</v>
      </c>
      <c r="D22" s="111" t="e">
        <v>#N/A</v>
      </c>
      <c r="E22" s="111" t="e">
        <v>#N/A</v>
      </c>
      <c r="F22" s="112">
        <v>3398180.6599999997</v>
      </c>
      <c r="G22" s="113">
        <v>3398181</v>
      </c>
      <c r="H22" s="114">
        <v>0</v>
      </c>
      <c r="I22" s="114"/>
      <c r="J22" s="115" t="s">
        <v>59</v>
      </c>
      <c r="K22" s="116"/>
      <c r="L22" s="116"/>
      <c r="M22" s="141"/>
    </row>
    <row r="23" spans="2:13" hidden="1" x14ac:dyDescent="0.25">
      <c r="B23" s="110">
        <v>42522</v>
      </c>
      <c r="C23" s="117">
        <v>870</v>
      </c>
      <c r="D23" s="157" t="s">
        <v>151</v>
      </c>
      <c r="E23" s="111" t="s">
        <v>109</v>
      </c>
      <c r="F23" s="112">
        <v>3200000.44</v>
      </c>
      <c r="G23" s="113">
        <v>1600000</v>
      </c>
      <c r="H23" s="114">
        <f t="shared" ref="H23:H44" si="0">F23-G23</f>
        <v>1600000.44</v>
      </c>
      <c r="I23" s="114">
        <v>1</v>
      </c>
      <c r="J23" s="115" t="s">
        <v>59</v>
      </c>
      <c r="K23" s="116"/>
      <c r="L23" s="116"/>
      <c r="M23" s="141"/>
    </row>
    <row r="24" spans="2:13" hidden="1" x14ac:dyDescent="0.25">
      <c r="B24" s="110">
        <v>42522</v>
      </c>
      <c r="C24" s="117">
        <v>871</v>
      </c>
      <c r="D24" s="111" t="e">
        <v>#N/A</v>
      </c>
      <c r="E24" s="111" t="e">
        <v>#N/A</v>
      </c>
      <c r="F24" s="112">
        <v>3702280.4</v>
      </c>
      <c r="G24" s="113">
        <v>3702280</v>
      </c>
      <c r="H24" s="114">
        <v>0</v>
      </c>
      <c r="I24" s="114"/>
      <c r="J24" s="115" t="s">
        <v>59</v>
      </c>
      <c r="K24" s="116"/>
      <c r="L24" s="116"/>
      <c r="M24" s="141"/>
    </row>
    <row r="25" spans="2:13" hidden="1" x14ac:dyDescent="0.25">
      <c r="B25" s="110">
        <v>42522</v>
      </c>
      <c r="C25" s="117">
        <v>872</v>
      </c>
      <c r="D25" s="111" t="e">
        <v>#N/A</v>
      </c>
      <c r="E25" s="111" t="e">
        <v>#N/A</v>
      </c>
      <c r="F25" s="112">
        <v>3099999.98</v>
      </c>
      <c r="G25" s="113">
        <v>3100000</v>
      </c>
      <c r="H25" s="114">
        <v>0</v>
      </c>
      <c r="I25" s="114"/>
      <c r="J25" s="115" t="s">
        <v>59</v>
      </c>
      <c r="K25" s="116"/>
      <c r="L25" s="116"/>
      <c r="M25" s="141"/>
    </row>
    <row r="26" spans="2:13" hidden="1" x14ac:dyDescent="0.25">
      <c r="B26" s="110">
        <v>42522</v>
      </c>
      <c r="C26" s="117">
        <v>873</v>
      </c>
      <c r="D26" s="111" t="e">
        <v>#N/A</v>
      </c>
      <c r="E26" s="111" t="e">
        <v>#N/A</v>
      </c>
      <c r="F26" s="112">
        <v>3180299.9899999998</v>
      </c>
      <c r="G26" s="113">
        <v>3180300</v>
      </c>
      <c r="H26" s="114">
        <v>0</v>
      </c>
      <c r="I26" s="114"/>
      <c r="J26" s="115" t="s">
        <v>59</v>
      </c>
      <c r="K26" s="116"/>
      <c r="L26" s="116"/>
      <c r="M26" s="141"/>
    </row>
    <row r="27" spans="2:13" hidden="1" x14ac:dyDescent="0.25">
      <c r="B27" s="110">
        <v>42522</v>
      </c>
      <c r="C27" s="117">
        <v>875</v>
      </c>
      <c r="D27" s="111" t="e">
        <v>#N/A</v>
      </c>
      <c r="E27" s="111" t="e">
        <v>#N/A</v>
      </c>
      <c r="F27" s="112">
        <v>2137527.98</v>
      </c>
      <c r="G27" s="113">
        <v>2137528</v>
      </c>
      <c r="H27" s="114">
        <v>0</v>
      </c>
      <c r="I27" s="114"/>
      <c r="J27" s="115" t="s">
        <v>59</v>
      </c>
      <c r="K27" s="116"/>
      <c r="L27" s="116"/>
      <c r="M27" s="141"/>
    </row>
    <row r="28" spans="2:13" hidden="1" x14ac:dyDescent="0.25">
      <c r="B28" s="110">
        <v>42522</v>
      </c>
      <c r="C28" s="117">
        <v>876</v>
      </c>
      <c r="D28" s="111" t="e">
        <v>#N/A</v>
      </c>
      <c r="E28" s="111" t="e">
        <v>#N/A</v>
      </c>
      <c r="F28" s="112">
        <v>2859999.59</v>
      </c>
      <c r="G28" s="113">
        <v>2860000</v>
      </c>
      <c r="H28" s="114">
        <v>0</v>
      </c>
      <c r="I28" s="114"/>
      <c r="J28" s="115" t="s">
        <v>59</v>
      </c>
      <c r="K28" s="116"/>
      <c r="L28" s="116"/>
      <c r="M28" s="141"/>
    </row>
    <row r="29" spans="2:13" hidden="1" x14ac:dyDescent="0.25">
      <c r="B29" s="110">
        <v>42522</v>
      </c>
      <c r="C29" s="117">
        <v>877</v>
      </c>
      <c r="D29" s="111" t="e">
        <v>#N/A</v>
      </c>
      <c r="E29" s="111" t="e">
        <v>#N/A</v>
      </c>
      <c r="F29" s="112">
        <v>5747700</v>
      </c>
      <c r="G29" s="113">
        <v>5747700</v>
      </c>
      <c r="H29" s="114">
        <v>0</v>
      </c>
      <c r="I29" s="114"/>
      <c r="J29" s="115" t="s">
        <v>59</v>
      </c>
      <c r="K29" s="116"/>
      <c r="L29" s="116"/>
      <c r="M29" s="141"/>
    </row>
    <row r="30" spans="2:13" hidden="1" x14ac:dyDescent="0.25">
      <c r="B30" s="110">
        <v>42522</v>
      </c>
      <c r="C30" s="117">
        <v>878</v>
      </c>
      <c r="D30" s="111" t="e">
        <v>#N/A</v>
      </c>
      <c r="E30" s="111" t="e">
        <v>#N/A</v>
      </c>
      <c r="F30" s="112">
        <v>4227484.5199999996</v>
      </c>
      <c r="G30" s="113">
        <v>4227485</v>
      </c>
      <c r="H30" s="114">
        <v>0</v>
      </c>
      <c r="I30" s="114"/>
      <c r="J30" s="115" t="s">
        <v>59</v>
      </c>
      <c r="K30" s="116"/>
      <c r="L30" s="116"/>
      <c r="M30" s="141"/>
    </row>
    <row r="31" spans="2:13" hidden="1" x14ac:dyDescent="0.25">
      <c r="B31" s="110">
        <v>42522</v>
      </c>
      <c r="C31" s="117">
        <v>879</v>
      </c>
      <c r="D31" s="111" t="e">
        <v>#N/A</v>
      </c>
      <c r="E31" s="111" t="e">
        <v>#N/A</v>
      </c>
      <c r="F31" s="112">
        <v>1924776.21</v>
      </c>
      <c r="G31" s="113">
        <v>1924776</v>
      </c>
      <c r="H31" s="114">
        <v>0</v>
      </c>
      <c r="I31" s="114"/>
      <c r="J31" s="115" t="s">
        <v>59</v>
      </c>
      <c r="K31" s="116"/>
      <c r="L31" s="116"/>
      <c r="M31" s="141"/>
    </row>
    <row r="32" spans="2:13" hidden="1" x14ac:dyDescent="0.25">
      <c r="B32" s="110">
        <v>42522</v>
      </c>
      <c r="C32" s="117">
        <v>880</v>
      </c>
      <c r="D32" s="111" t="e">
        <v>#N/A</v>
      </c>
      <c r="E32" s="111" t="e">
        <v>#N/A</v>
      </c>
      <c r="F32" s="112">
        <v>3171319.06</v>
      </c>
      <c r="G32" s="113">
        <v>3171319</v>
      </c>
      <c r="H32" s="114">
        <v>0</v>
      </c>
      <c r="I32" s="114"/>
      <c r="J32" s="115" t="s">
        <v>59</v>
      </c>
      <c r="K32" s="116"/>
      <c r="L32" s="116"/>
      <c r="M32" s="141"/>
    </row>
    <row r="33" spans="2:13" hidden="1" x14ac:dyDescent="0.25">
      <c r="B33" s="110">
        <v>42522</v>
      </c>
      <c r="C33" s="117">
        <v>881</v>
      </c>
      <c r="D33" s="111" t="e">
        <v>#N/A</v>
      </c>
      <c r="E33" s="111" t="e">
        <v>#N/A</v>
      </c>
      <c r="F33" s="112">
        <v>6623085</v>
      </c>
      <c r="G33" s="113">
        <v>6623085</v>
      </c>
      <c r="H33" s="114">
        <f t="shared" si="0"/>
        <v>0</v>
      </c>
      <c r="I33" s="114"/>
      <c r="J33" s="115" t="s">
        <v>59</v>
      </c>
      <c r="K33" s="116">
        <v>9.9</v>
      </c>
      <c r="L33" s="116"/>
      <c r="M33" s="141">
        <v>42748</v>
      </c>
    </row>
    <row r="34" spans="2:13" hidden="1" x14ac:dyDescent="0.25">
      <c r="B34" s="110">
        <v>42522</v>
      </c>
      <c r="C34" s="117">
        <v>882</v>
      </c>
      <c r="D34" s="157" t="s">
        <v>150</v>
      </c>
      <c r="E34" s="111" t="e">
        <v>#N/A</v>
      </c>
      <c r="F34" s="112">
        <v>2111308</v>
      </c>
      <c r="G34" s="113">
        <f>1630221+481087</f>
        <v>2111308</v>
      </c>
      <c r="H34" s="114">
        <f t="shared" si="0"/>
        <v>0</v>
      </c>
      <c r="I34" s="114"/>
      <c r="J34" s="115" t="s">
        <v>59</v>
      </c>
      <c r="K34" s="116"/>
      <c r="L34" s="116"/>
      <c r="M34" s="141"/>
    </row>
    <row r="35" spans="2:13" hidden="1" x14ac:dyDescent="0.25">
      <c r="B35" s="110">
        <v>42522</v>
      </c>
      <c r="C35" s="117">
        <v>883</v>
      </c>
      <c r="D35" s="111" t="e">
        <v>#N/A</v>
      </c>
      <c r="E35" s="111" t="e">
        <v>#N/A</v>
      </c>
      <c r="F35" s="112">
        <v>8035151</v>
      </c>
      <c r="G35" s="113">
        <v>8035151</v>
      </c>
      <c r="H35" s="114">
        <f t="shared" si="0"/>
        <v>0</v>
      </c>
      <c r="I35" s="114"/>
      <c r="J35" s="115" t="s">
        <v>59</v>
      </c>
      <c r="K35" s="116"/>
      <c r="L35" s="116"/>
      <c r="M35" s="141"/>
    </row>
    <row r="36" spans="2:13" hidden="1" x14ac:dyDescent="0.25">
      <c r="B36" s="110">
        <v>42552</v>
      </c>
      <c r="C36" s="117">
        <v>884</v>
      </c>
      <c r="D36" s="111" t="e">
        <v>#N/A</v>
      </c>
      <c r="E36" s="111" t="e">
        <v>#N/A</v>
      </c>
      <c r="F36" s="112">
        <v>5200000</v>
      </c>
      <c r="G36" s="113">
        <v>5200000</v>
      </c>
      <c r="H36" s="114">
        <f t="shared" si="0"/>
        <v>0</v>
      </c>
      <c r="I36" s="114"/>
      <c r="J36" s="115" t="s">
        <v>59</v>
      </c>
      <c r="K36" s="116"/>
      <c r="L36" s="116"/>
      <c r="M36" s="141"/>
    </row>
    <row r="37" spans="2:13" hidden="1" x14ac:dyDescent="0.25">
      <c r="B37" s="110">
        <v>42552</v>
      </c>
      <c r="C37" s="117">
        <v>885</v>
      </c>
      <c r="D37" s="111" t="e">
        <v>#N/A</v>
      </c>
      <c r="E37" s="111" t="e">
        <v>#N/A</v>
      </c>
      <c r="F37" s="112">
        <v>1281425</v>
      </c>
      <c r="G37" s="113">
        <v>1281425</v>
      </c>
      <c r="H37" s="114">
        <f t="shared" si="0"/>
        <v>0</v>
      </c>
      <c r="I37" s="114"/>
      <c r="J37" s="115" t="s">
        <v>59</v>
      </c>
      <c r="K37" s="116"/>
      <c r="L37" s="116"/>
      <c r="M37" s="141"/>
    </row>
    <row r="38" spans="2:13" hidden="1" x14ac:dyDescent="0.25">
      <c r="B38" s="110">
        <v>42552</v>
      </c>
      <c r="C38" s="117">
        <v>886</v>
      </c>
      <c r="D38" s="111" t="e">
        <v>#N/A</v>
      </c>
      <c r="E38" s="111" t="e">
        <v>#N/A</v>
      </c>
      <c r="F38" s="112">
        <v>3194767</v>
      </c>
      <c r="G38" s="113">
        <v>3194767</v>
      </c>
      <c r="H38" s="114">
        <f t="shared" si="0"/>
        <v>0</v>
      </c>
      <c r="I38" s="114"/>
      <c r="J38" s="115" t="s">
        <v>59</v>
      </c>
      <c r="K38" s="116"/>
      <c r="L38" s="116"/>
      <c r="M38" s="141"/>
    </row>
    <row r="39" spans="2:13" hidden="1" x14ac:dyDescent="0.25">
      <c r="B39" s="110">
        <v>42552</v>
      </c>
      <c r="C39" s="117">
        <v>887</v>
      </c>
      <c r="D39" s="111" t="e">
        <v>#N/A</v>
      </c>
      <c r="E39" s="111" t="e">
        <v>#N/A</v>
      </c>
      <c r="F39" s="112">
        <v>2384122</v>
      </c>
      <c r="G39" s="113">
        <v>2384122</v>
      </c>
      <c r="H39" s="114">
        <f t="shared" si="0"/>
        <v>0</v>
      </c>
      <c r="I39" s="114"/>
      <c r="J39" s="115" t="s">
        <v>59</v>
      </c>
      <c r="K39" s="116"/>
      <c r="L39" s="116"/>
      <c r="M39" s="141"/>
    </row>
    <row r="40" spans="2:13" hidden="1" x14ac:dyDescent="0.25">
      <c r="B40" s="110">
        <v>42552</v>
      </c>
      <c r="C40" s="117">
        <v>888</v>
      </c>
      <c r="D40" s="111" t="e">
        <v>#N/A</v>
      </c>
      <c r="E40" s="111" t="e">
        <v>#N/A</v>
      </c>
      <c r="F40" s="112">
        <v>5503676</v>
      </c>
      <c r="G40" s="113">
        <v>5503676</v>
      </c>
      <c r="H40" s="114">
        <f t="shared" si="0"/>
        <v>0</v>
      </c>
      <c r="I40" s="114"/>
      <c r="J40" s="115" t="s">
        <v>59</v>
      </c>
      <c r="K40" s="116"/>
      <c r="L40" s="116"/>
      <c r="M40" s="141"/>
    </row>
    <row r="41" spans="2:13" hidden="1" x14ac:dyDescent="0.25">
      <c r="B41" s="110">
        <v>42552</v>
      </c>
      <c r="C41" s="117">
        <v>889</v>
      </c>
      <c r="D41" s="111" t="e">
        <v>#N/A</v>
      </c>
      <c r="E41" s="111" t="e">
        <v>#N/A</v>
      </c>
      <c r="F41" s="112">
        <v>4720803</v>
      </c>
      <c r="G41" s="113">
        <v>4720803</v>
      </c>
      <c r="H41" s="114">
        <f t="shared" si="0"/>
        <v>0</v>
      </c>
      <c r="I41" s="114"/>
      <c r="J41" s="115" t="s">
        <v>59</v>
      </c>
      <c r="K41" s="116"/>
      <c r="L41" s="116"/>
      <c r="M41" s="141"/>
    </row>
    <row r="42" spans="2:13" hidden="1" x14ac:dyDescent="0.25">
      <c r="B42" s="110">
        <v>42552</v>
      </c>
      <c r="C42" s="117">
        <v>890</v>
      </c>
      <c r="D42" s="111" t="e">
        <v>#N/A</v>
      </c>
      <c r="E42" s="111" t="e">
        <v>#N/A</v>
      </c>
      <c r="F42" s="112">
        <v>5560367</v>
      </c>
      <c r="G42" s="113">
        <v>5560367</v>
      </c>
      <c r="H42" s="114">
        <f t="shared" si="0"/>
        <v>0</v>
      </c>
      <c r="I42" s="114"/>
      <c r="J42" s="115" t="s">
        <v>59</v>
      </c>
      <c r="K42" s="116"/>
      <c r="L42" s="116"/>
      <c r="M42" s="141"/>
    </row>
    <row r="43" spans="2:13" hidden="1" x14ac:dyDescent="0.25">
      <c r="B43" s="110">
        <v>42552</v>
      </c>
      <c r="C43" s="117">
        <v>891</v>
      </c>
      <c r="D43" s="157" t="s">
        <v>100</v>
      </c>
      <c r="E43" s="111" t="e">
        <v>#N/A</v>
      </c>
      <c r="F43" s="112">
        <v>1967789</v>
      </c>
      <c r="G43" s="113">
        <v>1967789</v>
      </c>
      <c r="H43" s="114">
        <f t="shared" si="0"/>
        <v>0</v>
      </c>
      <c r="I43" s="114"/>
      <c r="J43" s="115" t="s">
        <v>59</v>
      </c>
      <c r="K43" s="116"/>
      <c r="L43" s="116"/>
      <c r="M43" s="141">
        <v>42894</v>
      </c>
    </row>
    <row r="44" spans="2:13" hidden="1" x14ac:dyDescent="0.25">
      <c r="B44" s="110">
        <v>42552</v>
      </c>
      <c r="C44" s="117">
        <v>892</v>
      </c>
      <c r="D44" s="111" t="e">
        <v>#N/A</v>
      </c>
      <c r="E44" s="111" t="e">
        <v>#N/A</v>
      </c>
      <c r="F44" s="112">
        <v>2220035</v>
      </c>
      <c r="G44" s="113">
        <v>2220035</v>
      </c>
      <c r="H44" s="114">
        <f t="shared" si="0"/>
        <v>0</v>
      </c>
      <c r="I44" s="114"/>
      <c r="J44" s="115" t="s">
        <v>59</v>
      </c>
      <c r="K44" s="116"/>
      <c r="L44" s="116"/>
      <c r="M44" s="141"/>
    </row>
    <row r="45" spans="2:13" hidden="1" x14ac:dyDescent="0.25">
      <c r="B45" s="110">
        <v>42552</v>
      </c>
      <c r="C45" s="117">
        <v>893</v>
      </c>
      <c r="D45" s="111" t="e">
        <v>#N/A</v>
      </c>
      <c r="E45" s="111" t="e">
        <v>#N/A</v>
      </c>
      <c r="F45" s="112">
        <v>2494427</v>
      </c>
      <c r="G45" s="113">
        <v>2494427</v>
      </c>
      <c r="H45" s="114">
        <f t="shared" ref="H45:H76" si="1">F45-G45</f>
        <v>0</v>
      </c>
      <c r="I45" s="114"/>
      <c r="J45" s="115" t="s">
        <v>59</v>
      </c>
      <c r="K45" s="116"/>
      <c r="L45" s="116"/>
      <c r="M45" s="141"/>
    </row>
    <row r="46" spans="2:13" hidden="1" x14ac:dyDescent="0.25">
      <c r="B46" s="110">
        <v>42552</v>
      </c>
      <c r="C46" s="117">
        <v>894</v>
      </c>
      <c r="D46" s="111" t="e">
        <v>#N/A</v>
      </c>
      <c r="E46" s="111" t="e">
        <v>#N/A</v>
      </c>
      <c r="F46" s="112">
        <v>2637966</v>
      </c>
      <c r="G46" s="113">
        <v>2637966</v>
      </c>
      <c r="H46" s="114">
        <f t="shared" si="1"/>
        <v>0</v>
      </c>
      <c r="I46" s="114"/>
      <c r="J46" s="115" t="s">
        <v>59</v>
      </c>
      <c r="K46" s="116"/>
      <c r="L46" s="116"/>
      <c r="M46" s="141"/>
    </row>
    <row r="47" spans="2:13" hidden="1" x14ac:dyDescent="0.25">
      <c r="B47" s="110">
        <v>42552</v>
      </c>
      <c r="C47" s="117">
        <v>895</v>
      </c>
      <c r="D47" s="111" t="e">
        <v>#N/A</v>
      </c>
      <c r="E47" s="111" t="e">
        <v>#N/A</v>
      </c>
      <c r="F47" s="112">
        <v>3470000</v>
      </c>
      <c r="G47" s="113">
        <v>3470000</v>
      </c>
      <c r="H47" s="114">
        <f t="shared" si="1"/>
        <v>0</v>
      </c>
      <c r="I47" s="114"/>
      <c r="J47" s="115" t="s">
        <v>59</v>
      </c>
      <c r="K47" s="116"/>
      <c r="L47" s="116"/>
      <c r="M47" s="141"/>
    </row>
    <row r="48" spans="2:13" hidden="1" x14ac:dyDescent="0.25">
      <c r="B48" s="110">
        <v>42552</v>
      </c>
      <c r="C48" s="117">
        <v>896</v>
      </c>
      <c r="D48" s="111" t="e">
        <v>#N/A</v>
      </c>
      <c r="E48" s="111" t="e">
        <v>#N/A</v>
      </c>
      <c r="F48" s="112">
        <v>3021000</v>
      </c>
      <c r="G48" s="113">
        <v>3021000</v>
      </c>
      <c r="H48" s="114">
        <f t="shared" si="1"/>
        <v>0</v>
      </c>
      <c r="I48" s="114"/>
      <c r="J48" s="115" t="s">
        <v>59</v>
      </c>
      <c r="K48" s="116"/>
      <c r="L48" s="116"/>
      <c r="M48" s="141"/>
    </row>
    <row r="49" spans="2:15" hidden="1" x14ac:dyDescent="0.25">
      <c r="B49" s="110">
        <v>42552</v>
      </c>
      <c r="C49" s="117">
        <v>897</v>
      </c>
      <c r="D49" s="111" t="e">
        <v>#N/A</v>
      </c>
      <c r="E49" s="111" t="e">
        <v>#N/A</v>
      </c>
      <c r="F49" s="112">
        <v>2734818</v>
      </c>
      <c r="G49" s="113">
        <v>2734818</v>
      </c>
      <c r="H49" s="114">
        <f t="shared" si="1"/>
        <v>0</v>
      </c>
      <c r="I49" s="114"/>
      <c r="J49" s="115" t="s">
        <v>59</v>
      </c>
      <c r="K49" s="116"/>
      <c r="L49" s="116"/>
      <c r="M49" s="141"/>
    </row>
    <row r="50" spans="2:15" hidden="1" x14ac:dyDescent="0.25">
      <c r="B50" s="110">
        <v>42552</v>
      </c>
      <c r="C50" s="117">
        <v>898</v>
      </c>
      <c r="D50" s="111" t="e">
        <v>#N/A</v>
      </c>
      <c r="E50" s="111" t="e">
        <v>#N/A</v>
      </c>
      <c r="F50" s="112">
        <v>9812837</v>
      </c>
      <c r="G50" s="113">
        <v>9812837</v>
      </c>
      <c r="H50" s="114">
        <f t="shared" si="1"/>
        <v>0</v>
      </c>
      <c r="I50" s="114"/>
      <c r="J50" s="115" t="s">
        <v>59</v>
      </c>
      <c r="K50" s="116"/>
      <c r="L50" s="116">
        <v>1</v>
      </c>
      <c r="M50" s="141"/>
      <c r="N50" s="91" t="s">
        <v>44</v>
      </c>
      <c r="O50" s="91">
        <f>IF(N50="OK",1,0)</f>
        <v>1</v>
      </c>
    </row>
    <row r="51" spans="2:15" hidden="1" x14ac:dyDescent="0.25">
      <c r="B51" s="110">
        <v>42552</v>
      </c>
      <c r="C51" s="117">
        <v>899</v>
      </c>
      <c r="D51" s="111" t="e">
        <v>#N/A</v>
      </c>
      <c r="E51" s="111" t="e">
        <v>#N/A</v>
      </c>
      <c r="F51" s="112">
        <v>3902839</v>
      </c>
      <c r="G51" s="113">
        <v>3902839</v>
      </c>
      <c r="H51" s="114">
        <f t="shared" si="1"/>
        <v>0</v>
      </c>
      <c r="I51" s="114"/>
      <c r="J51" s="115" t="s">
        <v>59</v>
      </c>
      <c r="K51" s="116"/>
      <c r="L51" s="116"/>
      <c r="M51" s="141"/>
    </row>
    <row r="52" spans="2:15" hidden="1" x14ac:dyDescent="0.25">
      <c r="B52" s="110">
        <v>42552</v>
      </c>
      <c r="C52" s="117">
        <v>900</v>
      </c>
      <c r="D52" s="111" t="e">
        <v>#N/A</v>
      </c>
      <c r="E52" s="111" t="e">
        <v>#N/A</v>
      </c>
      <c r="F52" s="112">
        <v>3807424</v>
      </c>
      <c r="G52" s="113">
        <v>3807424</v>
      </c>
      <c r="H52" s="114">
        <f t="shared" si="1"/>
        <v>0</v>
      </c>
      <c r="I52" s="114"/>
      <c r="J52" s="115" t="s">
        <v>59</v>
      </c>
      <c r="K52" s="116"/>
      <c r="L52" s="116"/>
      <c r="M52" s="141"/>
    </row>
    <row r="53" spans="2:15" hidden="1" x14ac:dyDescent="0.25">
      <c r="B53" s="110">
        <v>42552</v>
      </c>
      <c r="C53" s="117">
        <v>901</v>
      </c>
      <c r="D53" s="111" t="e">
        <v>#N/A</v>
      </c>
      <c r="E53" s="111" t="e">
        <v>#N/A</v>
      </c>
      <c r="F53" s="112">
        <v>4150000</v>
      </c>
      <c r="G53" s="113">
        <v>4150000</v>
      </c>
      <c r="H53" s="114">
        <f t="shared" si="1"/>
        <v>0</v>
      </c>
      <c r="I53" s="114"/>
      <c r="J53" s="115" t="s">
        <v>59</v>
      </c>
      <c r="K53" s="116"/>
      <c r="L53" s="116"/>
      <c r="M53" s="141"/>
    </row>
    <row r="54" spans="2:15" hidden="1" x14ac:dyDescent="0.25">
      <c r="B54" s="110">
        <v>42552</v>
      </c>
      <c r="C54" s="117">
        <v>902</v>
      </c>
      <c r="D54" s="157" t="s">
        <v>107</v>
      </c>
      <c r="E54" s="111" t="e">
        <v>#N/A</v>
      </c>
      <c r="F54" s="112">
        <v>4900000</v>
      </c>
      <c r="G54" s="113">
        <v>4900000</v>
      </c>
      <c r="H54" s="114">
        <f t="shared" si="1"/>
        <v>0</v>
      </c>
      <c r="I54" s="114"/>
      <c r="J54" s="115" t="s">
        <v>60</v>
      </c>
      <c r="K54" s="116"/>
      <c r="L54" s="116"/>
      <c r="M54" s="141" t="s">
        <v>153</v>
      </c>
    </row>
    <row r="55" spans="2:15" hidden="1" x14ac:dyDescent="0.25">
      <c r="B55" s="110">
        <v>42552</v>
      </c>
      <c r="C55" s="117">
        <v>903</v>
      </c>
      <c r="D55" s="111" t="e">
        <v>#N/A</v>
      </c>
      <c r="E55" s="111" t="e">
        <v>#N/A</v>
      </c>
      <c r="F55" s="112">
        <v>2000384</v>
      </c>
      <c r="G55" s="113">
        <v>2000384</v>
      </c>
      <c r="H55" s="114">
        <f t="shared" si="1"/>
        <v>0</v>
      </c>
      <c r="I55" s="114"/>
      <c r="J55" s="115" t="s">
        <v>59</v>
      </c>
      <c r="K55" s="116"/>
      <c r="L55" s="116"/>
      <c r="M55" s="141"/>
    </row>
    <row r="56" spans="2:15" hidden="1" x14ac:dyDescent="0.25">
      <c r="B56" s="110">
        <v>42583</v>
      </c>
      <c r="C56" s="117">
        <v>904</v>
      </c>
      <c r="D56" s="111" t="e">
        <v>#N/A</v>
      </c>
      <c r="E56" s="111" t="e">
        <v>#N/A</v>
      </c>
      <c r="F56" s="112">
        <v>1932291</v>
      </c>
      <c r="G56" s="113">
        <v>1932291</v>
      </c>
      <c r="H56" s="114">
        <f t="shared" si="1"/>
        <v>0</v>
      </c>
      <c r="I56" s="114"/>
      <c r="J56" s="115" t="s">
        <v>59</v>
      </c>
      <c r="K56" s="116">
        <v>5</v>
      </c>
      <c r="L56" s="116"/>
      <c r="M56" s="141">
        <v>42759</v>
      </c>
    </row>
    <row r="57" spans="2:15" hidden="1" x14ac:dyDescent="0.25">
      <c r="B57" s="110">
        <v>42583</v>
      </c>
      <c r="C57" s="117">
        <v>905</v>
      </c>
      <c r="D57" s="111" t="e">
        <v>#N/A</v>
      </c>
      <c r="E57" s="111" t="e">
        <v>#N/A</v>
      </c>
      <c r="F57" s="112">
        <v>2478895</v>
      </c>
      <c r="G57" s="113">
        <v>2478895</v>
      </c>
      <c r="H57" s="114">
        <f t="shared" si="1"/>
        <v>0</v>
      </c>
      <c r="I57" s="114"/>
      <c r="J57" s="115" t="s">
        <v>59</v>
      </c>
      <c r="K57" s="116"/>
      <c r="L57" s="116"/>
      <c r="M57" s="141"/>
    </row>
    <row r="58" spans="2:15" hidden="1" x14ac:dyDescent="0.25">
      <c r="B58" s="110">
        <v>42583</v>
      </c>
      <c r="C58" s="117">
        <v>906</v>
      </c>
      <c r="D58" s="111" t="e">
        <v>#N/A</v>
      </c>
      <c r="E58" s="111" t="e">
        <v>#N/A</v>
      </c>
      <c r="F58" s="112">
        <v>3180299</v>
      </c>
      <c r="G58" s="113">
        <v>3180299</v>
      </c>
      <c r="H58" s="114">
        <f t="shared" si="1"/>
        <v>0</v>
      </c>
      <c r="I58" s="114"/>
      <c r="J58" s="115" t="s">
        <v>59</v>
      </c>
      <c r="K58" s="116"/>
      <c r="L58" s="116"/>
      <c r="M58" s="141"/>
    </row>
    <row r="59" spans="2:15" hidden="1" x14ac:dyDescent="0.25">
      <c r="B59" s="110">
        <v>42583</v>
      </c>
      <c r="C59" s="117">
        <v>907</v>
      </c>
      <c r="D59" s="157" t="s">
        <v>151</v>
      </c>
      <c r="E59" s="111" t="e">
        <v>#N/A</v>
      </c>
      <c r="F59" s="112">
        <v>3942519</v>
      </c>
      <c r="G59" s="113">
        <v>3768931</v>
      </c>
      <c r="H59" s="114">
        <f t="shared" si="1"/>
        <v>173588</v>
      </c>
      <c r="I59" s="114">
        <v>1</v>
      </c>
      <c r="J59" s="115" t="s">
        <v>59</v>
      </c>
      <c r="K59" s="116"/>
      <c r="L59" s="116"/>
      <c r="M59" s="141"/>
    </row>
    <row r="60" spans="2:15" hidden="1" x14ac:dyDescent="0.25">
      <c r="B60" s="110">
        <v>42583</v>
      </c>
      <c r="C60" s="117">
        <v>908</v>
      </c>
      <c r="D60" s="111" t="s">
        <v>80</v>
      </c>
      <c r="E60" s="111" t="s">
        <v>80</v>
      </c>
      <c r="F60" s="112">
        <v>833000</v>
      </c>
      <c r="G60" s="113">
        <v>833000</v>
      </c>
      <c r="H60" s="114">
        <f t="shared" si="1"/>
        <v>0</v>
      </c>
      <c r="I60" s="114"/>
      <c r="J60" s="115" t="s">
        <v>59</v>
      </c>
      <c r="K60" s="116"/>
      <c r="L60" s="116"/>
      <c r="M60" s="141"/>
    </row>
    <row r="61" spans="2:15" hidden="1" x14ac:dyDescent="0.25">
      <c r="B61" s="110">
        <v>42583</v>
      </c>
      <c r="C61" s="117">
        <v>909</v>
      </c>
      <c r="D61" s="111" t="e">
        <v>#N/A</v>
      </c>
      <c r="E61" s="111" t="e">
        <v>#N/A</v>
      </c>
      <c r="F61" s="112">
        <v>3079455</v>
      </c>
      <c r="G61" s="113">
        <v>3079455</v>
      </c>
      <c r="H61" s="114">
        <f t="shared" si="1"/>
        <v>0</v>
      </c>
      <c r="I61" s="114"/>
      <c r="J61" s="115" t="s">
        <v>59</v>
      </c>
      <c r="K61" s="116"/>
      <c r="L61" s="116"/>
      <c r="M61" s="141"/>
    </row>
    <row r="62" spans="2:15" hidden="1" x14ac:dyDescent="0.25">
      <c r="B62" s="110">
        <v>42583</v>
      </c>
      <c r="C62" s="117">
        <v>910</v>
      </c>
      <c r="D62" s="111" t="e">
        <v>#N/A</v>
      </c>
      <c r="E62" s="111" t="e">
        <v>#N/A</v>
      </c>
      <c r="F62" s="112">
        <v>2261000</v>
      </c>
      <c r="G62" s="113">
        <v>2261000</v>
      </c>
      <c r="H62" s="114">
        <f t="shared" si="1"/>
        <v>0</v>
      </c>
      <c r="I62" s="114"/>
      <c r="J62" s="115" t="s">
        <v>59</v>
      </c>
      <c r="K62" s="116"/>
      <c r="L62" s="116"/>
      <c r="M62" s="141"/>
    </row>
    <row r="63" spans="2:15" hidden="1" x14ac:dyDescent="0.25">
      <c r="B63" s="110">
        <v>42583</v>
      </c>
      <c r="C63" s="117">
        <v>911</v>
      </c>
      <c r="D63" s="111" t="s">
        <v>81</v>
      </c>
      <c r="E63" s="111" t="s">
        <v>81</v>
      </c>
      <c r="F63" s="112">
        <v>3721742.9999999995</v>
      </c>
      <c r="G63" s="113">
        <v>3721743</v>
      </c>
      <c r="H63" s="114">
        <f t="shared" si="1"/>
        <v>0</v>
      </c>
      <c r="I63" s="114"/>
      <c r="J63" s="115" t="s">
        <v>59</v>
      </c>
      <c r="K63" s="116"/>
      <c r="L63" s="116"/>
      <c r="M63" s="141"/>
    </row>
    <row r="64" spans="2:15" hidden="1" x14ac:dyDescent="0.25">
      <c r="B64" s="110">
        <v>42583</v>
      </c>
      <c r="C64" s="117">
        <v>912</v>
      </c>
      <c r="D64" s="111" t="e">
        <v>#N/A</v>
      </c>
      <c r="E64" s="111" t="e">
        <v>#N/A</v>
      </c>
      <c r="F64" s="112">
        <v>7649999</v>
      </c>
      <c r="G64" s="113">
        <v>7649999</v>
      </c>
      <c r="H64" s="114">
        <f t="shared" si="1"/>
        <v>0</v>
      </c>
      <c r="I64" s="114"/>
      <c r="J64" s="115" t="s">
        <v>59</v>
      </c>
      <c r="K64" s="116"/>
      <c r="L64" s="116"/>
      <c r="M64" s="141"/>
    </row>
    <row r="65" spans="2:14" hidden="1" x14ac:dyDescent="0.25">
      <c r="B65" s="110">
        <v>42583</v>
      </c>
      <c r="C65" s="117">
        <v>913</v>
      </c>
      <c r="D65" s="111" t="e">
        <v>#N/A</v>
      </c>
      <c r="E65" s="111" t="e">
        <v>#N/A</v>
      </c>
      <c r="F65" s="112">
        <v>4120028</v>
      </c>
      <c r="G65" s="113">
        <v>4120028</v>
      </c>
      <c r="H65" s="114">
        <f t="shared" si="1"/>
        <v>0</v>
      </c>
      <c r="I65" s="114"/>
      <c r="J65" s="115" t="s">
        <v>59</v>
      </c>
      <c r="K65" s="116"/>
      <c r="L65" s="116"/>
      <c r="M65" s="141"/>
    </row>
    <row r="66" spans="2:14" hidden="1" x14ac:dyDescent="0.25">
      <c r="B66" s="110">
        <v>42583</v>
      </c>
      <c r="C66" s="117">
        <v>914</v>
      </c>
      <c r="D66" s="111" t="e">
        <v>#N/A</v>
      </c>
      <c r="E66" s="111" t="e">
        <v>#N/A</v>
      </c>
      <c r="F66" s="112">
        <v>1350000</v>
      </c>
      <c r="G66" s="113">
        <v>1350000</v>
      </c>
      <c r="H66" s="114">
        <f t="shared" si="1"/>
        <v>0</v>
      </c>
      <c r="I66" s="114"/>
      <c r="J66" s="115" t="s">
        <v>59</v>
      </c>
      <c r="K66" s="116"/>
      <c r="L66" s="116"/>
      <c r="M66" s="141"/>
    </row>
    <row r="67" spans="2:14" hidden="1" x14ac:dyDescent="0.25">
      <c r="B67" s="110">
        <v>42583</v>
      </c>
      <c r="C67" s="117">
        <v>915</v>
      </c>
      <c r="D67" s="111" t="e">
        <v>#N/A</v>
      </c>
      <c r="E67" s="111" t="e">
        <v>#N/A</v>
      </c>
      <c r="F67" s="112">
        <v>3542450</v>
      </c>
      <c r="G67" s="113">
        <v>3542450</v>
      </c>
      <c r="H67" s="114">
        <f t="shared" si="1"/>
        <v>0</v>
      </c>
      <c r="I67" s="114"/>
      <c r="J67" s="115" t="s">
        <v>59</v>
      </c>
      <c r="K67" s="116"/>
      <c r="L67" s="116"/>
      <c r="M67" s="141"/>
    </row>
    <row r="68" spans="2:14" hidden="1" x14ac:dyDescent="0.25">
      <c r="B68" s="110">
        <v>42583</v>
      </c>
      <c r="C68" s="117">
        <v>916</v>
      </c>
      <c r="D68" s="111" t="e">
        <v>#N/A</v>
      </c>
      <c r="E68" s="111" t="e">
        <v>#N/A</v>
      </c>
      <c r="F68" s="112">
        <v>4821279</v>
      </c>
      <c r="G68" s="113">
        <v>4821279</v>
      </c>
      <c r="H68" s="114">
        <f t="shared" si="1"/>
        <v>0</v>
      </c>
      <c r="I68" s="114"/>
      <c r="J68" s="115" t="s">
        <v>59</v>
      </c>
      <c r="K68" s="116"/>
      <c r="L68" s="116"/>
      <c r="M68" s="141"/>
    </row>
    <row r="69" spans="2:14" hidden="1" x14ac:dyDescent="0.25">
      <c r="B69" s="110">
        <v>42583</v>
      </c>
      <c r="C69" s="117">
        <v>917</v>
      </c>
      <c r="D69" s="111" t="e">
        <v>#N/A</v>
      </c>
      <c r="E69" s="111" t="e">
        <v>#N/A</v>
      </c>
      <c r="F69" s="112">
        <v>3025466</v>
      </c>
      <c r="G69" s="113">
        <v>3025466</v>
      </c>
      <c r="H69" s="114">
        <f t="shared" si="1"/>
        <v>0</v>
      </c>
      <c r="I69" s="114"/>
      <c r="J69" s="115" t="s">
        <v>59</v>
      </c>
      <c r="K69" s="116"/>
      <c r="L69" s="116"/>
      <c r="M69" s="141"/>
    </row>
    <row r="70" spans="2:14" hidden="1" x14ac:dyDescent="0.25">
      <c r="B70" s="110">
        <v>42583</v>
      </c>
      <c r="C70" s="117">
        <v>918</v>
      </c>
      <c r="D70" s="111" t="e">
        <v>#N/A</v>
      </c>
      <c r="E70" s="111" t="e">
        <v>#N/A</v>
      </c>
      <c r="F70" s="112">
        <v>2457193</v>
      </c>
      <c r="G70" s="113">
        <v>2457193</v>
      </c>
      <c r="H70" s="114">
        <f t="shared" si="1"/>
        <v>0</v>
      </c>
      <c r="I70" s="114"/>
      <c r="J70" s="115" t="s">
        <v>59</v>
      </c>
      <c r="K70" s="116"/>
      <c r="L70" s="116"/>
      <c r="M70" s="141"/>
    </row>
    <row r="71" spans="2:14" hidden="1" x14ac:dyDescent="0.25">
      <c r="B71" s="110">
        <v>42583</v>
      </c>
      <c r="C71" s="117">
        <v>920</v>
      </c>
      <c r="D71" s="111" t="e">
        <v>#N/A</v>
      </c>
      <c r="E71" s="111" t="e">
        <v>#N/A</v>
      </c>
      <c r="F71" s="112">
        <v>2600000</v>
      </c>
      <c r="G71" s="113">
        <v>2600000</v>
      </c>
      <c r="H71" s="114">
        <f t="shared" si="1"/>
        <v>0</v>
      </c>
      <c r="I71" s="114"/>
      <c r="J71" s="115" t="s">
        <v>59</v>
      </c>
      <c r="K71" s="116"/>
      <c r="L71" s="116"/>
      <c r="M71" s="141"/>
    </row>
    <row r="72" spans="2:14" hidden="1" x14ac:dyDescent="0.25">
      <c r="B72" s="110">
        <v>42583</v>
      </c>
      <c r="C72" s="117">
        <v>922</v>
      </c>
      <c r="D72" s="111" t="e">
        <v>#N/A</v>
      </c>
      <c r="E72" s="111" t="e">
        <v>#N/A</v>
      </c>
      <c r="F72" s="112">
        <v>2508589</v>
      </c>
      <c r="G72" s="113">
        <v>2508589</v>
      </c>
      <c r="H72" s="114">
        <f t="shared" si="1"/>
        <v>0</v>
      </c>
      <c r="I72" s="114"/>
      <c r="J72" s="115" t="s">
        <v>59</v>
      </c>
      <c r="K72" s="116"/>
      <c r="L72" s="116"/>
      <c r="M72" s="141"/>
    </row>
    <row r="73" spans="2:14" hidden="1" x14ac:dyDescent="0.25">
      <c r="B73" s="110">
        <v>42583</v>
      </c>
      <c r="C73" s="117">
        <v>923</v>
      </c>
      <c r="D73" s="111" t="e">
        <v>#N/A</v>
      </c>
      <c r="E73" s="111" t="e">
        <v>#N/A</v>
      </c>
      <c r="F73" s="112">
        <v>2354144</v>
      </c>
      <c r="G73" s="113">
        <v>2354144</v>
      </c>
      <c r="H73" s="114">
        <f t="shared" si="1"/>
        <v>0</v>
      </c>
      <c r="I73" s="114"/>
      <c r="J73" s="115" t="s">
        <v>59</v>
      </c>
      <c r="K73" s="116"/>
      <c r="L73" s="116"/>
      <c r="M73" s="141"/>
    </row>
    <row r="74" spans="2:14" hidden="1" x14ac:dyDescent="0.25">
      <c r="B74" s="110">
        <v>42583</v>
      </c>
      <c r="C74" s="117">
        <v>926</v>
      </c>
      <c r="D74" s="157" t="s">
        <v>98</v>
      </c>
      <c r="E74" s="111" t="s">
        <v>110</v>
      </c>
      <c r="F74" s="112">
        <v>12000000</v>
      </c>
      <c r="G74" s="113">
        <f>6000000+3000000</f>
        <v>9000000</v>
      </c>
      <c r="H74" s="114">
        <f t="shared" si="1"/>
        <v>3000000</v>
      </c>
      <c r="I74" s="114">
        <v>1</v>
      </c>
      <c r="J74" s="115" t="s">
        <v>60</v>
      </c>
      <c r="K74" s="116"/>
      <c r="L74" s="116"/>
      <c r="M74" s="141" t="s">
        <v>78</v>
      </c>
      <c r="N74" s="91" t="s">
        <v>73</v>
      </c>
    </row>
    <row r="75" spans="2:14" hidden="1" x14ac:dyDescent="0.25">
      <c r="B75" s="110">
        <v>42583</v>
      </c>
      <c r="C75" s="117">
        <v>927</v>
      </c>
      <c r="D75" s="111" t="e">
        <v>#N/A</v>
      </c>
      <c r="E75" s="111" t="e">
        <v>#N/A</v>
      </c>
      <c r="F75" s="112">
        <v>7348580</v>
      </c>
      <c r="G75" s="113">
        <v>7348580</v>
      </c>
      <c r="H75" s="114">
        <f t="shared" si="1"/>
        <v>0</v>
      </c>
      <c r="I75" s="114"/>
      <c r="J75" s="115" t="s">
        <v>59</v>
      </c>
      <c r="K75" s="116">
        <v>28.2</v>
      </c>
      <c r="L75" s="116"/>
      <c r="M75" s="141">
        <v>42744</v>
      </c>
    </row>
    <row r="76" spans="2:14" hidden="1" x14ac:dyDescent="0.25">
      <c r="B76" s="110">
        <v>42583</v>
      </c>
      <c r="C76" s="117">
        <v>928</v>
      </c>
      <c r="D76" s="111" t="e">
        <v>#N/A</v>
      </c>
      <c r="E76" s="111" t="e">
        <v>#N/A</v>
      </c>
      <c r="F76" s="112">
        <v>3198818</v>
      </c>
      <c r="G76" s="113">
        <v>3198818</v>
      </c>
      <c r="H76" s="114">
        <f t="shared" si="1"/>
        <v>0</v>
      </c>
      <c r="I76" s="114"/>
      <c r="J76" s="115" t="s">
        <v>59</v>
      </c>
      <c r="K76" s="116">
        <v>28.2</v>
      </c>
      <c r="L76" s="116"/>
      <c r="M76" s="141">
        <v>42744</v>
      </c>
    </row>
    <row r="77" spans="2:14" hidden="1" x14ac:dyDescent="0.25">
      <c r="B77" s="110">
        <v>42583</v>
      </c>
      <c r="C77" s="117">
        <v>929</v>
      </c>
      <c r="D77" s="111" t="e">
        <v>#N/A</v>
      </c>
      <c r="E77" s="111" t="e">
        <v>#N/A</v>
      </c>
      <c r="F77" s="112">
        <v>4383858</v>
      </c>
      <c r="G77" s="113">
        <v>4383858</v>
      </c>
      <c r="H77" s="114">
        <f t="shared" ref="H77:H88" si="2">F77-G77</f>
        <v>0</v>
      </c>
      <c r="I77" s="114"/>
      <c r="J77" s="115" t="s">
        <v>59</v>
      </c>
      <c r="K77" s="116"/>
      <c r="L77" s="116"/>
      <c r="M77" s="141"/>
    </row>
    <row r="78" spans="2:14" hidden="1" x14ac:dyDescent="0.25">
      <c r="B78" s="110">
        <v>42583</v>
      </c>
      <c r="C78" s="117">
        <v>931</v>
      </c>
      <c r="D78" s="111" t="e">
        <v>#N/A</v>
      </c>
      <c r="E78" s="111" t="e">
        <v>#N/A</v>
      </c>
      <c r="F78" s="112">
        <v>3360000</v>
      </c>
      <c r="G78" s="113">
        <v>3360000</v>
      </c>
      <c r="H78" s="114">
        <f t="shared" si="2"/>
        <v>0</v>
      </c>
      <c r="I78" s="114"/>
      <c r="J78" s="115" t="s">
        <v>59</v>
      </c>
      <c r="K78" s="116"/>
      <c r="L78" s="116"/>
      <c r="M78" s="141"/>
    </row>
    <row r="79" spans="2:14" hidden="1" x14ac:dyDescent="0.25">
      <c r="B79" s="110">
        <v>42583</v>
      </c>
      <c r="C79" s="117">
        <v>933</v>
      </c>
      <c r="D79" s="157" t="s">
        <v>98</v>
      </c>
      <c r="E79" s="111" t="s">
        <v>120</v>
      </c>
      <c r="F79" s="112">
        <v>4862752</v>
      </c>
      <c r="G79" s="113">
        <f>729413+1377780+1377780</f>
        <v>3484973</v>
      </c>
      <c r="H79" s="114">
        <f t="shared" si="2"/>
        <v>1377779</v>
      </c>
      <c r="I79" s="114">
        <v>1</v>
      </c>
      <c r="J79" s="115" t="s">
        <v>59</v>
      </c>
      <c r="K79" s="116"/>
      <c r="L79" s="116"/>
      <c r="M79" s="141"/>
    </row>
    <row r="80" spans="2:14" hidden="1" x14ac:dyDescent="0.25">
      <c r="B80" s="110">
        <v>42583</v>
      </c>
      <c r="C80" s="117">
        <v>934</v>
      </c>
      <c r="D80" s="157" t="s">
        <v>98</v>
      </c>
      <c r="E80" s="111" t="s">
        <v>111</v>
      </c>
      <c r="F80" s="112">
        <v>4898805</v>
      </c>
      <c r="G80" s="113">
        <f>3700000+1198805</f>
        <v>4898805</v>
      </c>
      <c r="H80" s="114">
        <v>0</v>
      </c>
      <c r="I80" s="114"/>
      <c r="J80" s="115" t="s">
        <v>59</v>
      </c>
      <c r="K80" s="116">
        <v>14</v>
      </c>
      <c r="L80" s="116"/>
      <c r="M80" s="141">
        <v>42898</v>
      </c>
    </row>
    <row r="81" spans="2:15" hidden="1" x14ac:dyDescent="0.25">
      <c r="B81" s="110">
        <v>42583</v>
      </c>
      <c r="C81" s="117">
        <v>935</v>
      </c>
      <c r="D81" s="111" t="e">
        <v>#N/A</v>
      </c>
      <c r="E81" s="111" t="e">
        <v>#N/A</v>
      </c>
      <c r="F81" s="112">
        <v>4997454</v>
      </c>
      <c r="G81" s="113">
        <v>4997454</v>
      </c>
      <c r="H81" s="114">
        <f t="shared" si="2"/>
        <v>0</v>
      </c>
      <c r="I81" s="114"/>
      <c r="J81" s="115" t="s">
        <v>59</v>
      </c>
      <c r="K81" s="116"/>
      <c r="L81" s="116"/>
      <c r="M81" s="141"/>
    </row>
    <row r="82" spans="2:15" hidden="1" x14ac:dyDescent="0.25">
      <c r="B82" s="110">
        <v>42583</v>
      </c>
      <c r="C82" s="117">
        <v>936</v>
      </c>
      <c r="D82" s="111" t="e">
        <v>#N/A</v>
      </c>
      <c r="E82" s="111" t="e">
        <v>#N/A</v>
      </c>
      <c r="F82" s="112">
        <v>3102864</v>
      </c>
      <c r="G82" s="113">
        <v>3102864</v>
      </c>
      <c r="H82" s="114">
        <f t="shared" si="2"/>
        <v>0</v>
      </c>
      <c r="I82" s="114"/>
      <c r="J82" s="115" t="s">
        <v>59</v>
      </c>
      <c r="K82" s="116"/>
      <c r="L82" s="116"/>
      <c r="M82" s="141"/>
    </row>
    <row r="83" spans="2:15" hidden="1" x14ac:dyDescent="0.25">
      <c r="B83" s="110">
        <v>42583</v>
      </c>
      <c r="C83" s="117">
        <v>937</v>
      </c>
      <c r="D83" s="111" t="e">
        <v>#N/A</v>
      </c>
      <c r="E83" s="111" t="e">
        <v>#N/A</v>
      </c>
      <c r="F83" s="112">
        <v>3258638</v>
      </c>
      <c r="G83" s="113">
        <v>3258638</v>
      </c>
      <c r="H83" s="114">
        <f t="shared" si="2"/>
        <v>0</v>
      </c>
      <c r="I83" s="114"/>
      <c r="J83" s="115" t="s">
        <v>59</v>
      </c>
      <c r="K83" s="116">
        <v>7.83</v>
      </c>
      <c r="L83" s="116"/>
      <c r="M83" s="141">
        <v>42744</v>
      </c>
    </row>
    <row r="84" spans="2:15" hidden="1" x14ac:dyDescent="0.25">
      <c r="B84" s="110">
        <v>42583</v>
      </c>
      <c r="C84" s="117">
        <v>938</v>
      </c>
      <c r="D84" s="111" t="e">
        <v>#N/A</v>
      </c>
      <c r="E84" s="111" t="e">
        <v>#N/A</v>
      </c>
      <c r="F84" s="112">
        <v>2575635</v>
      </c>
      <c r="G84" s="113">
        <v>2575635</v>
      </c>
      <c r="H84" s="114">
        <f t="shared" si="2"/>
        <v>0</v>
      </c>
      <c r="I84" s="114"/>
      <c r="J84" s="115" t="s">
        <v>59</v>
      </c>
      <c r="K84" s="116">
        <v>4.3</v>
      </c>
      <c r="L84" s="116"/>
      <c r="M84" s="141">
        <v>42738</v>
      </c>
    </row>
    <row r="85" spans="2:15" hidden="1" x14ac:dyDescent="0.25">
      <c r="B85" s="110">
        <v>42583</v>
      </c>
      <c r="C85" s="117">
        <v>939</v>
      </c>
      <c r="D85" s="157" t="s">
        <v>151</v>
      </c>
      <c r="E85" s="111" t="e">
        <v>#N/A</v>
      </c>
      <c r="F85" s="112">
        <v>2197252</v>
      </c>
      <c r="G85" s="113">
        <v>1172417</v>
      </c>
      <c r="H85" s="114">
        <f t="shared" si="2"/>
        <v>1024835</v>
      </c>
      <c r="I85" s="114">
        <v>1</v>
      </c>
      <c r="J85" s="115" t="s">
        <v>59</v>
      </c>
      <c r="K85" s="116"/>
      <c r="L85" s="116"/>
      <c r="M85" s="141"/>
    </row>
    <row r="86" spans="2:15" hidden="1" x14ac:dyDescent="0.25">
      <c r="B86" s="110">
        <v>42583</v>
      </c>
      <c r="C86" s="117">
        <v>940</v>
      </c>
      <c r="D86" s="111" t="e">
        <v>#N/A</v>
      </c>
      <c r="E86" s="111" t="e">
        <v>#N/A</v>
      </c>
      <c r="F86" s="112">
        <v>1309477</v>
      </c>
      <c r="G86" s="113">
        <v>1309477</v>
      </c>
      <c r="H86" s="114">
        <f t="shared" si="2"/>
        <v>0</v>
      </c>
      <c r="I86" s="114"/>
      <c r="J86" s="115" t="s">
        <v>59</v>
      </c>
      <c r="K86" s="116"/>
      <c r="L86" s="116"/>
      <c r="M86" s="141"/>
    </row>
    <row r="87" spans="2:15" hidden="1" x14ac:dyDescent="0.25">
      <c r="B87" s="110">
        <v>42583</v>
      </c>
      <c r="C87" s="117">
        <v>941</v>
      </c>
      <c r="D87" s="111" t="e">
        <v>#N/A</v>
      </c>
      <c r="E87" s="111" t="e">
        <v>#N/A</v>
      </c>
      <c r="F87" s="112">
        <v>1748455</v>
      </c>
      <c r="G87" s="113">
        <v>1748455</v>
      </c>
      <c r="H87" s="114">
        <f t="shared" si="2"/>
        <v>0</v>
      </c>
      <c r="I87" s="114"/>
      <c r="J87" s="115" t="s">
        <v>59</v>
      </c>
      <c r="K87" s="116"/>
      <c r="L87" s="116"/>
      <c r="M87" s="141"/>
    </row>
    <row r="88" spans="2:15" hidden="1" x14ac:dyDescent="0.25">
      <c r="B88" s="110">
        <v>42583</v>
      </c>
      <c r="C88" s="117">
        <v>943</v>
      </c>
      <c r="D88" s="157" t="s">
        <v>151</v>
      </c>
      <c r="E88" s="111" t="e">
        <v>#N/A</v>
      </c>
      <c r="F88" s="112">
        <v>305000</v>
      </c>
      <c r="G88" s="113">
        <v>305000</v>
      </c>
      <c r="H88" s="114">
        <f t="shared" si="2"/>
        <v>0</v>
      </c>
      <c r="I88" s="114"/>
      <c r="J88" s="115" t="s">
        <v>59</v>
      </c>
      <c r="K88" s="116"/>
      <c r="L88" s="116"/>
      <c r="M88" s="141"/>
    </row>
    <row r="89" spans="2:15" hidden="1" x14ac:dyDescent="0.25">
      <c r="B89" s="110">
        <v>42614</v>
      </c>
      <c r="C89" s="117">
        <v>944</v>
      </c>
      <c r="D89" s="111" t="e">
        <v>#N/A</v>
      </c>
      <c r="E89" s="111" t="e">
        <v>#N/A</v>
      </c>
      <c r="F89" s="112">
        <v>3000000</v>
      </c>
      <c r="G89" s="113">
        <v>3000000</v>
      </c>
      <c r="H89" s="114">
        <v>0</v>
      </c>
      <c r="I89" s="114"/>
      <c r="J89" s="115" t="s">
        <v>59</v>
      </c>
      <c r="K89" s="116"/>
      <c r="L89" s="116"/>
      <c r="M89" s="141"/>
    </row>
    <row r="90" spans="2:15" hidden="1" x14ac:dyDescent="0.25">
      <c r="B90" s="110">
        <v>42614</v>
      </c>
      <c r="C90" s="117">
        <v>945</v>
      </c>
      <c r="D90" s="111" t="e">
        <v>#N/A</v>
      </c>
      <c r="E90" s="111" t="e">
        <v>#N/A</v>
      </c>
      <c r="F90" s="112">
        <v>5439154.0000000009</v>
      </c>
      <c r="G90" s="113">
        <v>5439156</v>
      </c>
      <c r="H90" s="114">
        <v>0</v>
      </c>
      <c r="I90" s="114"/>
      <c r="J90" s="115" t="s">
        <v>59</v>
      </c>
      <c r="K90" s="116">
        <v>13.8</v>
      </c>
      <c r="L90" s="116"/>
      <c r="M90" s="141">
        <v>42766</v>
      </c>
    </row>
    <row r="91" spans="2:15" hidden="1" x14ac:dyDescent="0.25">
      <c r="B91" s="110">
        <v>42614</v>
      </c>
      <c r="C91" s="117">
        <v>948</v>
      </c>
      <c r="D91" s="111" t="e">
        <v>#N/A</v>
      </c>
      <c r="E91" s="111" t="e">
        <v>#N/A</v>
      </c>
      <c r="F91" s="112">
        <v>3578482</v>
      </c>
      <c r="G91" s="113">
        <v>3578482</v>
      </c>
      <c r="H91" s="114">
        <f t="shared" ref="H91:H120" si="3">F91-G91</f>
        <v>0</v>
      </c>
      <c r="I91" s="114"/>
      <c r="J91" s="115" t="s">
        <v>59</v>
      </c>
      <c r="K91" s="116"/>
      <c r="L91" s="116"/>
      <c r="M91" s="141"/>
    </row>
    <row r="92" spans="2:15" hidden="1" x14ac:dyDescent="0.25">
      <c r="B92" s="110">
        <v>42614</v>
      </c>
      <c r="C92" s="117">
        <v>949</v>
      </c>
      <c r="D92" s="111" t="e">
        <v>#N/A</v>
      </c>
      <c r="E92" s="111" t="e">
        <v>#N/A</v>
      </c>
      <c r="F92" s="112">
        <v>1464219</v>
      </c>
      <c r="G92" s="113">
        <v>1464219</v>
      </c>
      <c r="H92" s="114">
        <f t="shared" si="3"/>
        <v>0</v>
      </c>
      <c r="I92" s="114"/>
      <c r="J92" s="115" t="s">
        <v>59</v>
      </c>
      <c r="K92" s="116"/>
      <c r="L92" s="116"/>
      <c r="M92" s="141"/>
    </row>
    <row r="93" spans="2:15" hidden="1" x14ac:dyDescent="0.25">
      <c r="B93" s="110">
        <v>42614</v>
      </c>
      <c r="C93" s="117">
        <v>950</v>
      </c>
      <c r="D93" s="157" t="s">
        <v>100</v>
      </c>
      <c r="E93" s="111" t="e">
        <v>#N/A</v>
      </c>
      <c r="F93" s="112">
        <v>4100855</v>
      </c>
      <c r="G93" s="113">
        <v>4100855</v>
      </c>
      <c r="H93" s="114">
        <f t="shared" si="3"/>
        <v>0</v>
      </c>
      <c r="I93" s="114"/>
      <c r="J93" s="115" t="s">
        <v>59</v>
      </c>
      <c r="K93" s="116"/>
      <c r="L93" s="116">
        <v>1</v>
      </c>
      <c r="M93" s="141">
        <v>42891</v>
      </c>
      <c r="N93" s="91" t="s">
        <v>44</v>
      </c>
      <c r="O93" s="91">
        <f>IF(N93="OK",1,0)</f>
        <v>1</v>
      </c>
    </row>
    <row r="94" spans="2:15" hidden="1" x14ac:dyDescent="0.25">
      <c r="B94" s="110">
        <v>42614</v>
      </c>
      <c r="C94" s="117">
        <v>951</v>
      </c>
      <c r="D94" s="111" t="e">
        <v>#N/A</v>
      </c>
      <c r="E94" s="111" t="e">
        <v>#N/A</v>
      </c>
      <c r="F94" s="112">
        <v>3199855</v>
      </c>
      <c r="G94" s="113">
        <v>3199855</v>
      </c>
      <c r="H94" s="114">
        <f t="shared" si="3"/>
        <v>0</v>
      </c>
      <c r="I94" s="114"/>
      <c r="J94" s="115" t="s">
        <v>59</v>
      </c>
      <c r="K94" s="116">
        <v>7.9</v>
      </c>
      <c r="L94" s="116"/>
      <c r="M94" s="141">
        <v>42755</v>
      </c>
    </row>
    <row r="95" spans="2:15" hidden="1" x14ac:dyDescent="0.25">
      <c r="B95" s="110">
        <v>42614</v>
      </c>
      <c r="C95" s="117">
        <v>952</v>
      </c>
      <c r="D95" s="111" t="s">
        <v>82</v>
      </c>
      <c r="E95" s="111" t="s">
        <v>82</v>
      </c>
      <c r="F95" s="112">
        <v>3201719</v>
      </c>
      <c r="G95" s="113">
        <f>1500000+1701719</f>
        <v>3201719</v>
      </c>
      <c r="H95" s="114">
        <f t="shared" si="3"/>
        <v>0</v>
      </c>
      <c r="I95" s="114"/>
      <c r="J95" s="115" t="s">
        <v>59</v>
      </c>
      <c r="K95" s="116"/>
      <c r="L95" s="116">
        <v>1</v>
      </c>
      <c r="M95" s="141"/>
      <c r="N95" s="91" t="s">
        <v>44</v>
      </c>
      <c r="O95" s="91">
        <f>IF(N95="OK",1,0)</f>
        <v>1</v>
      </c>
    </row>
    <row r="96" spans="2:15" hidden="1" x14ac:dyDescent="0.25">
      <c r="B96" s="110">
        <v>42614</v>
      </c>
      <c r="C96" s="117">
        <v>953</v>
      </c>
      <c r="D96" s="111" t="e">
        <v>#N/A</v>
      </c>
      <c r="E96" s="111" t="e">
        <v>#N/A</v>
      </c>
      <c r="F96" s="112">
        <v>3198032</v>
      </c>
      <c r="G96" s="113">
        <v>3198032</v>
      </c>
      <c r="H96" s="114">
        <f t="shared" si="3"/>
        <v>0</v>
      </c>
      <c r="I96" s="114"/>
      <c r="J96" s="115" t="s">
        <v>59</v>
      </c>
      <c r="K96" s="116"/>
      <c r="L96" s="116"/>
      <c r="M96" s="141"/>
    </row>
    <row r="97" spans="2:15" hidden="1" x14ac:dyDescent="0.25">
      <c r="B97" s="110">
        <v>42614</v>
      </c>
      <c r="C97" s="117">
        <v>954</v>
      </c>
      <c r="D97" s="111" t="e">
        <v>#N/A</v>
      </c>
      <c r="E97" s="111" t="e">
        <v>#N/A</v>
      </c>
      <c r="F97" s="112">
        <v>3198032</v>
      </c>
      <c r="G97" s="113">
        <v>3198032</v>
      </c>
      <c r="H97" s="114">
        <f t="shared" si="3"/>
        <v>0</v>
      </c>
      <c r="I97" s="114"/>
      <c r="J97" s="115" t="s">
        <v>59</v>
      </c>
      <c r="K97" s="116"/>
      <c r="L97" s="116"/>
      <c r="M97" s="141"/>
    </row>
    <row r="98" spans="2:15" hidden="1" x14ac:dyDescent="0.25">
      <c r="B98" s="110">
        <v>42614</v>
      </c>
      <c r="C98" s="117">
        <v>955</v>
      </c>
      <c r="D98" s="111" t="e">
        <v>#N/A</v>
      </c>
      <c r="E98" s="111" t="e">
        <v>#N/A</v>
      </c>
      <c r="F98" s="112">
        <v>5654218</v>
      </c>
      <c r="G98" s="113">
        <v>5654218</v>
      </c>
      <c r="H98" s="114">
        <f t="shared" si="3"/>
        <v>0</v>
      </c>
      <c r="I98" s="114"/>
      <c r="J98" s="115" t="s">
        <v>59</v>
      </c>
      <c r="K98" s="116">
        <v>13</v>
      </c>
      <c r="L98" s="116"/>
      <c r="M98" s="141">
        <v>42748</v>
      </c>
    </row>
    <row r="99" spans="2:15" hidden="1" x14ac:dyDescent="0.25">
      <c r="B99" s="110">
        <v>42614</v>
      </c>
      <c r="C99" s="117">
        <v>956</v>
      </c>
      <c r="D99" s="111" t="e">
        <v>#N/A</v>
      </c>
      <c r="E99" s="111" t="e">
        <v>#N/A</v>
      </c>
      <c r="F99" s="112">
        <v>2071874</v>
      </c>
      <c r="G99" s="113">
        <v>2071874</v>
      </c>
      <c r="H99" s="114">
        <f t="shared" si="3"/>
        <v>0</v>
      </c>
      <c r="I99" s="114"/>
      <c r="J99" s="115" t="s">
        <v>59</v>
      </c>
      <c r="K99" s="116"/>
      <c r="L99" s="116"/>
      <c r="M99" s="141"/>
    </row>
    <row r="100" spans="2:15" hidden="1" x14ac:dyDescent="0.25">
      <c r="B100" s="110">
        <v>42614</v>
      </c>
      <c r="C100" s="117">
        <v>957</v>
      </c>
      <c r="D100" s="157" t="s">
        <v>157</v>
      </c>
      <c r="E100" s="111" t="s">
        <v>112</v>
      </c>
      <c r="F100" s="112">
        <v>4820844</v>
      </c>
      <c r="G100" s="113">
        <v>4025000</v>
      </c>
      <c r="H100" s="114">
        <f t="shared" si="3"/>
        <v>795844</v>
      </c>
      <c r="I100" s="114">
        <v>1</v>
      </c>
      <c r="J100" s="115" t="s">
        <v>59</v>
      </c>
      <c r="K100" s="116"/>
      <c r="L100" s="116"/>
      <c r="M100" s="141"/>
    </row>
    <row r="101" spans="2:15" hidden="1" x14ac:dyDescent="0.25">
      <c r="B101" s="110">
        <v>42614</v>
      </c>
      <c r="C101" s="117">
        <v>959</v>
      </c>
      <c r="D101" s="111" t="e">
        <v>#N/A</v>
      </c>
      <c r="E101" s="111" t="e">
        <v>#N/A</v>
      </c>
      <c r="F101" s="112">
        <v>5977748</v>
      </c>
      <c r="G101" s="113">
        <v>5977748</v>
      </c>
      <c r="H101" s="114">
        <f t="shared" si="3"/>
        <v>0</v>
      </c>
      <c r="I101" s="114"/>
      <c r="J101" s="115" t="s">
        <v>59</v>
      </c>
      <c r="K101" s="116"/>
      <c r="L101" s="116"/>
      <c r="M101" s="141"/>
    </row>
    <row r="102" spans="2:15" hidden="1" x14ac:dyDescent="0.25">
      <c r="B102" s="110">
        <v>42614</v>
      </c>
      <c r="C102" s="117">
        <v>960</v>
      </c>
      <c r="D102" s="111" t="e">
        <v>#N/A</v>
      </c>
      <c r="E102" s="111" t="e">
        <v>#N/A</v>
      </c>
      <c r="F102" s="112">
        <v>3198032</v>
      </c>
      <c r="G102" s="113">
        <v>3198032</v>
      </c>
      <c r="H102" s="114">
        <f t="shared" si="3"/>
        <v>0</v>
      </c>
      <c r="I102" s="114"/>
      <c r="J102" s="115" t="s">
        <v>59</v>
      </c>
      <c r="K102" s="116"/>
      <c r="L102" s="116"/>
      <c r="M102" s="141"/>
    </row>
    <row r="103" spans="2:15" hidden="1" x14ac:dyDescent="0.25">
      <c r="B103" s="110">
        <v>42614</v>
      </c>
      <c r="C103" s="117">
        <v>961</v>
      </c>
      <c r="D103" s="111" t="e">
        <v>#N/A</v>
      </c>
      <c r="E103" s="111" t="e">
        <v>#N/A</v>
      </c>
      <c r="F103" s="112">
        <v>3242670</v>
      </c>
      <c r="G103" s="113">
        <v>3242670</v>
      </c>
      <c r="H103" s="114">
        <f t="shared" si="3"/>
        <v>0</v>
      </c>
      <c r="I103" s="114"/>
      <c r="J103" s="115" t="s">
        <v>59</v>
      </c>
      <c r="K103" s="116"/>
      <c r="L103" s="116"/>
      <c r="M103" s="141"/>
    </row>
    <row r="104" spans="2:15" hidden="1" x14ac:dyDescent="0.25">
      <c r="B104" s="110">
        <v>42614</v>
      </c>
      <c r="C104" s="117">
        <v>962</v>
      </c>
      <c r="D104" s="111" t="e">
        <v>#N/A</v>
      </c>
      <c r="E104" s="111" t="e">
        <v>#N/A</v>
      </c>
      <c r="F104" s="112">
        <v>5476976</v>
      </c>
      <c r="G104" s="113">
        <v>5476976</v>
      </c>
      <c r="H104" s="114">
        <f t="shared" si="3"/>
        <v>0</v>
      </c>
      <c r="I104" s="114"/>
      <c r="J104" s="115" t="s">
        <v>59</v>
      </c>
      <c r="K104" s="116"/>
      <c r="L104" s="116"/>
      <c r="M104" s="141"/>
    </row>
    <row r="105" spans="2:15" hidden="1" x14ac:dyDescent="0.25">
      <c r="B105" s="110">
        <v>42614</v>
      </c>
      <c r="C105" s="117">
        <v>963</v>
      </c>
      <c r="D105" s="111" t="e">
        <v>#N/A</v>
      </c>
      <c r="E105" s="111" t="e">
        <v>#N/A</v>
      </c>
      <c r="F105" s="112">
        <v>3316409</v>
      </c>
      <c r="G105" s="113">
        <v>3316409</v>
      </c>
      <c r="H105" s="114">
        <f t="shared" si="3"/>
        <v>0</v>
      </c>
      <c r="I105" s="114"/>
      <c r="J105" s="115" t="s">
        <v>59</v>
      </c>
      <c r="K105" s="116"/>
      <c r="L105" s="116"/>
      <c r="M105" s="141"/>
    </row>
    <row r="106" spans="2:15" hidden="1" x14ac:dyDescent="0.25">
      <c r="B106" s="110">
        <v>42614</v>
      </c>
      <c r="C106" s="117">
        <v>965</v>
      </c>
      <c r="D106" s="111" t="e">
        <v>#N/A</v>
      </c>
      <c r="E106" s="111" t="e">
        <v>#N/A</v>
      </c>
      <c r="F106" s="112">
        <v>2600000</v>
      </c>
      <c r="G106" s="113">
        <v>2600000</v>
      </c>
      <c r="H106" s="114">
        <f t="shared" si="3"/>
        <v>0</v>
      </c>
      <c r="I106" s="114"/>
      <c r="J106" s="115" t="s">
        <v>59</v>
      </c>
      <c r="K106" s="116"/>
      <c r="L106" s="116"/>
      <c r="M106" s="141"/>
    </row>
    <row r="107" spans="2:15" hidden="1" x14ac:dyDescent="0.25">
      <c r="B107" s="110">
        <v>42614</v>
      </c>
      <c r="C107" s="117">
        <v>966</v>
      </c>
      <c r="D107" s="111" t="e">
        <v>#N/A</v>
      </c>
      <c r="E107" s="111" t="e">
        <v>#N/A</v>
      </c>
      <c r="F107" s="112">
        <v>12085035</v>
      </c>
      <c r="G107" s="113">
        <v>12085035</v>
      </c>
      <c r="H107" s="114">
        <f t="shared" si="3"/>
        <v>0</v>
      </c>
      <c r="I107" s="114"/>
      <c r="J107" s="115" t="s">
        <v>59</v>
      </c>
      <c r="K107" s="116"/>
      <c r="L107" s="116"/>
      <c r="M107" s="141"/>
    </row>
    <row r="108" spans="2:15" hidden="1" x14ac:dyDescent="0.25">
      <c r="B108" s="110">
        <v>42614</v>
      </c>
      <c r="C108" s="117">
        <v>967</v>
      </c>
      <c r="D108" s="157" t="s">
        <v>100</v>
      </c>
      <c r="E108" s="111" t="e">
        <v>#N/A</v>
      </c>
      <c r="F108" s="112">
        <v>9012547</v>
      </c>
      <c r="G108" s="113">
        <v>9012547</v>
      </c>
      <c r="H108" s="114">
        <f t="shared" si="3"/>
        <v>0</v>
      </c>
      <c r="I108" s="114"/>
      <c r="J108" s="115" t="s">
        <v>59</v>
      </c>
      <c r="K108" s="116">
        <v>15.8</v>
      </c>
      <c r="L108" s="116">
        <v>1</v>
      </c>
      <c r="M108" s="141">
        <v>42891</v>
      </c>
      <c r="N108" s="91" t="s">
        <v>44</v>
      </c>
      <c r="O108" s="91">
        <f>IF(N108="OK",1,0)</f>
        <v>1</v>
      </c>
    </row>
    <row r="109" spans="2:15" hidden="1" x14ac:dyDescent="0.25">
      <c r="B109" s="110">
        <v>42644</v>
      </c>
      <c r="C109" s="117">
        <v>969</v>
      </c>
      <c r="D109" s="157" t="s">
        <v>83</v>
      </c>
      <c r="E109" s="111" t="s">
        <v>83</v>
      </c>
      <c r="F109" s="112">
        <v>2124649</v>
      </c>
      <c r="G109" s="113">
        <v>1416433</v>
      </c>
      <c r="H109" s="114">
        <f t="shared" si="3"/>
        <v>708216</v>
      </c>
      <c r="I109" s="114">
        <v>1</v>
      </c>
      <c r="J109" s="115" t="s">
        <v>59</v>
      </c>
      <c r="K109" s="116"/>
      <c r="L109" s="116"/>
      <c r="M109" s="141"/>
    </row>
    <row r="110" spans="2:15" hidden="1" x14ac:dyDescent="0.25">
      <c r="B110" s="110">
        <v>42644</v>
      </c>
      <c r="C110" s="117">
        <v>970</v>
      </c>
      <c r="D110" s="157" t="s">
        <v>157</v>
      </c>
      <c r="E110" s="111" t="s">
        <v>113</v>
      </c>
      <c r="F110" s="112">
        <v>3064828</v>
      </c>
      <c r="G110" s="113">
        <v>1336285</v>
      </c>
      <c r="H110" s="114">
        <f t="shared" si="3"/>
        <v>1728543</v>
      </c>
      <c r="I110" s="114">
        <v>1</v>
      </c>
      <c r="J110" s="115" t="s">
        <v>59</v>
      </c>
      <c r="K110" s="116"/>
      <c r="L110" s="116"/>
      <c r="M110" s="141"/>
    </row>
    <row r="111" spans="2:15" hidden="1" x14ac:dyDescent="0.25">
      <c r="B111" s="110">
        <v>42644</v>
      </c>
      <c r="C111" s="117">
        <v>971</v>
      </c>
      <c r="D111" s="157" t="s">
        <v>83</v>
      </c>
      <c r="E111" s="111" t="s">
        <v>83</v>
      </c>
      <c r="F111" s="112">
        <v>888587</v>
      </c>
      <c r="G111" s="113">
        <v>592392</v>
      </c>
      <c r="H111" s="114">
        <f t="shared" si="3"/>
        <v>296195</v>
      </c>
      <c r="I111" s="114">
        <v>1</v>
      </c>
      <c r="J111" s="115" t="s">
        <v>59</v>
      </c>
      <c r="K111" s="116"/>
      <c r="L111" s="116"/>
      <c r="M111" s="141"/>
    </row>
    <row r="112" spans="2:15" hidden="1" x14ac:dyDescent="0.25">
      <c r="B112" s="110">
        <v>42644</v>
      </c>
      <c r="C112" s="117">
        <v>972</v>
      </c>
      <c r="D112" s="111" t="e">
        <v>#N/A</v>
      </c>
      <c r="E112" s="111" t="e">
        <v>#N/A</v>
      </c>
      <c r="F112" s="112">
        <v>13685000</v>
      </c>
      <c r="G112" s="113">
        <v>13685000</v>
      </c>
      <c r="H112" s="114">
        <f t="shared" si="3"/>
        <v>0</v>
      </c>
      <c r="I112" s="114"/>
      <c r="J112" s="115" t="s">
        <v>59</v>
      </c>
      <c r="K112" s="116">
        <v>36.6</v>
      </c>
      <c r="L112" s="116"/>
      <c r="M112" s="141">
        <v>42752</v>
      </c>
    </row>
    <row r="113" spans="2:16" hidden="1" x14ac:dyDescent="0.25">
      <c r="B113" s="110">
        <v>42644</v>
      </c>
      <c r="C113" s="117">
        <v>973</v>
      </c>
      <c r="D113" s="111" t="e">
        <v>#N/A</v>
      </c>
      <c r="E113" s="111" t="e">
        <v>#N/A</v>
      </c>
      <c r="F113" s="112">
        <v>5439154</v>
      </c>
      <c r="G113" s="113">
        <v>5439154</v>
      </c>
      <c r="H113" s="114">
        <f t="shared" si="3"/>
        <v>0</v>
      </c>
      <c r="I113" s="114"/>
      <c r="J113" s="115" t="s">
        <v>59</v>
      </c>
      <c r="K113" s="116"/>
      <c r="L113" s="116"/>
      <c r="M113" s="141"/>
    </row>
    <row r="114" spans="2:16" hidden="1" x14ac:dyDescent="0.25">
      <c r="B114" s="110">
        <v>42644</v>
      </c>
      <c r="C114" s="117">
        <v>975</v>
      </c>
      <c r="D114" s="111" t="e">
        <v>#N/A</v>
      </c>
      <c r="E114" s="111" t="e">
        <v>#N/A</v>
      </c>
      <c r="F114" s="112">
        <v>4287917</v>
      </c>
      <c r="G114" s="113">
        <v>4287917</v>
      </c>
      <c r="H114" s="114">
        <f t="shared" si="3"/>
        <v>0</v>
      </c>
      <c r="I114" s="114"/>
      <c r="J114" s="115" t="s">
        <v>59</v>
      </c>
      <c r="K114" s="116">
        <v>8.5</v>
      </c>
      <c r="L114" s="116"/>
      <c r="M114" s="141">
        <v>42767</v>
      </c>
    </row>
    <row r="115" spans="2:16" hidden="1" x14ac:dyDescent="0.25">
      <c r="B115" s="110">
        <v>42644</v>
      </c>
      <c r="C115" s="117">
        <v>976</v>
      </c>
      <c r="D115" s="111" t="e">
        <v>#N/A</v>
      </c>
      <c r="E115" s="111" t="e">
        <v>#N/A</v>
      </c>
      <c r="F115" s="112">
        <v>1950000</v>
      </c>
      <c r="G115" s="113">
        <v>1950000</v>
      </c>
      <c r="H115" s="114">
        <f t="shared" si="3"/>
        <v>0</v>
      </c>
      <c r="I115" s="114"/>
      <c r="J115" s="115" t="s">
        <v>59</v>
      </c>
      <c r="K115" s="116"/>
      <c r="L115" s="116"/>
      <c r="M115" s="141"/>
    </row>
    <row r="116" spans="2:16" hidden="1" x14ac:dyDescent="0.25">
      <c r="B116" s="110">
        <v>42644</v>
      </c>
      <c r="C116" s="117">
        <v>978</v>
      </c>
      <c r="D116" s="111" t="e">
        <v>#N/A</v>
      </c>
      <c r="E116" s="111" t="e">
        <v>#N/A</v>
      </c>
      <c r="F116" s="112">
        <v>999955</v>
      </c>
      <c r="G116" s="113">
        <v>999955</v>
      </c>
      <c r="H116" s="114">
        <f t="shared" si="3"/>
        <v>0</v>
      </c>
      <c r="I116" s="114"/>
      <c r="J116" s="115" t="s">
        <v>59</v>
      </c>
      <c r="K116" s="116"/>
      <c r="L116" s="116"/>
      <c r="M116" s="141"/>
    </row>
    <row r="117" spans="2:16" hidden="1" x14ac:dyDescent="0.25">
      <c r="B117" s="110">
        <v>42644</v>
      </c>
      <c r="C117" s="117">
        <v>979</v>
      </c>
      <c r="D117" s="111" t="e">
        <v>#N/A</v>
      </c>
      <c r="E117" s="111" t="e">
        <v>#N/A</v>
      </c>
      <c r="F117" s="112">
        <v>1972890</v>
      </c>
      <c r="G117" s="113">
        <v>1972890</v>
      </c>
      <c r="H117" s="114">
        <f t="shared" si="3"/>
        <v>0</v>
      </c>
      <c r="I117" s="114"/>
      <c r="J117" s="115" t="s">
        <v>59</v>
      </c>
      <c r="K117" s="116"/>
      <c r="L117" s="116"/>
      <c r="M117" s="141"/>
    </row>
    <row r="118" spans="2:16" hidden="1" x14ac:dyDescent="0.25">
      <c r="B118" s="110">
        <v>42644</v>
      </c>
      <c r="C118" s="117">
        <v>980</v>
      </c>
      <c r="D118" s="111" t="e">
        <v>#N/A</v>
      </c>
      <c r="E118" s="111" t="e">
        <v>#N/A</v>
      </c>
      <c r="F118" s="112">
        <v>3120779</v>
      </c>
      <c r="G118" s="113">
        <v>3120779</v>
      </c>
      <c r="H118" s="114">
        <f t="shared" si="3"/>
        <v>0</v>
      </c>
      <c r="I118" s="114"/>
      <c r="J118" s="115" t="s">
        <v>59</v>
      </c>
      <c r="K118" s="116"/>
      <c r="L118" s="116"/>
      <c r="M118" s="141"/>
    </row>
    <row r="119" spans="2:16" hidden="1" x14ac:dyDescent="0.25">
      <c r="B119" s="110">
        <v>42644</v>
      </c>
      <c r="C119" s="117">
        <v>981</v>
      </c>
      <c r="D119" s="111" t="e">
        <v>#N/A</v>
      </c>
      <c r="E119" s="111" t="e">
        <v>#N/A</v>
      </c>
      <c r="F119" s="112">
        <v>1464219</v>
      </c>
      <c r="G119" s="113">
        <v>1464219</v>
      </c>
      <c r="H119" s="114">
        <f t="shared" si="3"/>
        <v>0</v>
      </c>
      <c r="I119" s="114"/>
      <c r="J119" s="115" t="s">
        <v>59</v>
      </c>
      <c r="K119" s="116"/>
      <c r="L119" s="116"/>
      <c r="M119" s="141"/>
    </row>
    <row r="120" spans="2:16" hidden="1" x14ac:dyDescent="0.25">
      <c r="B120" s="110">
        <v>42644</v>
      </c>
      <c r="C120" s="117">
        <v>982</v>
      </c>
      <c r="D120" s="111" t="e">
        <v>#N/A</v>
      </c>
      <c r="E120" s="111" t="e">
        <v>#N/A</v>
      </c>
      <c r="F120" s="112">
        <v>3198821</v>
      </c>
      <c r="G120" s="113">
        <v>3198821</v>
      </c>
      <c r="H120" s="114">
        <f t="shared" si="3"/>
        <v>0</v>
      </c>
      <c r="I120" s="114"/>
      <c r="J120" s="115" t="s">
        <v>59</v>
      </c>
      <c r="K120" s="116"/>
      <c r="L120" s="116"/>
      <c r="M120" s="141"/>
    </row>
    <row r="121" spans="2:16" hidden="1" x14ac:dyDescent="0.25">
      <c r="B121" s="110">
        <v>42644</v>
      </c>
      <c r="C121" s="117">
        <v>983</v>
      </c>
      <c r="D121" s="111" t="e">
        <v>#N/A</v>
      </c>
      <c r="E121" s="111" t="e">
        <v>#N/A</v>
      </c>
      <c r="F121" s="112">
        <v>2679023.1999999997</v>
      </c>
      <c r="G121" s="113">
        <v>2679023</v>
      </c>
      <c r="H121" s="114">
        <v>0</v>
      </c>
      <c r="I121" s="114"/>
      <c r="J121" s="115" t="s">
        <v>59</v>
      </c>
      <c r="K121" s="116"/>
      <c r="L121" s="116">
        <v>1</v>
      </c>
      <c r="M121" s="141"/>
      <c r="N121" s="91" t="s">
        <v>44</v>
      </c>
      <c r="O121" s="91">
        <f>IF(N121="OK",1,0)</f>
        <v>1</v>
      </c>
    </row>
    <row r="122" spans="2:16" hidden="1" x14ac:dyDescent="0.25">
      <c r="B122" s="110">
        <v>42644</v>
      </c>
      <c r="C122" s="117">
        <v>985</v>
      </c>
      <c r="D122" s="111" t="e">
        <v>#N/A</v>
      </c>
      <c r="E122" s="111" t="e">
        <v>#N/A</v>
      </c>
      <c r="F122" s="112">
        <v>2521602</v>
      </c>
      <c r="G122" s="113">
        <v>2521602</v>
      </c>
      <c r="H122" s="114">
        <f>F122-G122</f>
        <v>0</v>
      </c>
      <c r="I122" s="114"/>
      <c r="J122" s="115" t="s">
        <v>59</v>
      </c>
      <c r="K122" s="116"/>
      <c r="L122" s="116"/>
      <c r="M122" s="141"/>
    </row>
    <row r="123" spans="2:16" hidden="1" x14ac:dyDescent="0.25">
      <c r="B123" s="110">
        <v>42644</v>
      </c>
      <c r="C123" s="117">
        <v>986</v>
      </c>
      <c r="D123" s="111" t="e">
        <v>#N/A</v>
      </c>
      <c r="E123" s="111" t="e">
        <v>#N/A</v>
      </c>
      <c r="F123" s="112">
        <v>5134206</v>
      </c>
      <c r="G123" s="113">
        <v>5134206</v>
      </c>
      <c r="H123" s="114">
        <f>F123-G123</f>
        <v>0</v>
      </c>
      <c r="I123" s="114"/>
      <c r="J123" s="115" t="s">
        <v>59</v>
      </c>
      <c r="K123" s="116"/>
      <c r="L123" s="116"/>
      <c r="M123" s="141"/>
    </row>
    <row r="124" spans="2:16" hidden="1" x14ac:dyDescent="0.25">
      <c r="B124" s="110">
        <v>42644</v>
      </c>
      <c r="C124" s="117">
        <v>987</v>
      </c>
      <c r="D124" s="111" t="e">
        <v>#N/A</v>
      </c>
      <c r="E124" s="111" t="e">
        <v>#N/A</v>
      </c>
      <c r="F124" s="112">
        <v>1438762</v>
      </c>
      <c r="G124" s="113">
        <v>1438762</v>
      </c>
      <c r="H124" s="114">
        <f>F124-G124</f>
        <v>0</v>
      </c>
      <c r="I124" s="114"/>
      <c r="J124" s="115" t="s">
        <v>59</v>
      </c>
      <c r="K124" s="116">
        <v>3.2</v>
      </c>
      <c r="L124" s="116"/>
      <c r="M124" s="141">
        <v>42740</v>
      </c>
    </row>
    <row r="125" spans="2:16" hidden="1" x14ac:dyDescent="0.25">
      <c r="B125" s="110">
        <v>42644</v>
      </c>
      <c r="C125" s="117">
        <v>988</v>
      </c>
      <c r="D125" s="111" t="e">
        <v>#N/A</v>
      </c>
      <c r="E125" s="111" t="e">
        <v>#N/A</v>
      </c>
      <c r="F125" s="112">
        <v>1395650</v>
      </c>
      <c r="G125" s="113">
        <v>1395649</v>
      </c>
      <c r="H125" s="114">
        <v>0</v>
      </c>
      <c r="I125" s="114"/>
      <c r="J125" s="115" t="s">
        <v>59</v>
      </c>
      <c r="K125" s="116">
        <v>2.6</v>
      </c>
      <c r="L125" s="116"/>
      <c r="M125" s="141">
        <v>42739</v>
      </c>
    </row>
    <row r="126" spans="2:16" hidden="1" x14ac:dyDescent="0.25">
      <c r="B126" s="110">
        <v>42644</v>
      </c>
      <c r="C126" s="117">
        <v>989</v>
      </c>
      <c r="D126" s="111" t="e">
        <v>#N/A</v>
      </c>
      <c r="E126" s="111" t="e">
        <v>#N/A</v>
      </c>
      <c r="F126" s="112">
        <v>2193090</v>
      </c>
      <c r="G126" s="113">
        <v>2193090</v>
      </c>
      <c r="H126" s="114">
        <f t="shared" ref="H126:H157" si="4">F126-G126</f>
        <v>0</v>
      </c>
      <c r="I126" s="114"/>
      <c r="J126" s="115" t="s">
        <v>59</v>
      </c>
      <c r="K126" s="116"/>
      <c r="L126" s="116"/>
      <c r="M126" s="141"/>
    </row>
    <row r="127" spans="2:16" hidden="1" x14ac:dyDescent="0.25">
      <c r="B127" s="110">
        <v>42644</v>
      </c>
      <c r="C127" s="117">
        <v>990</v>
      </c>
      <c r="D127" s="157" t="s">
        <v>84</v>
      </c>
      <c r="E127" s="111" t="s">
        <v>84</v>
      </c>
      <c r="F127" s="112">
        <v>3767396</v>
      </c>
      <c r="G127" s="113">
        <v>2130216</v>
      </c>
      <c r="H127" s="114">
        <f t="shared" si="4"/>
        <v>1637180</v>
      </c>
      <c r="I127" s="114">
        <v>1</v>
      </c>
      <c r="J127" s="115" t="s">
        <v>59</v>
      </c>
      <c r="K127" s="116"/>
      <c r="L127" s="116">
        <v>1</v>
      </c>
      <c r="M127" s="141">
        <v>42856</v>
      </c>
      <c r="N127" s="91" t="s">
        <v>44</v>
      </c>
      <c r="O127" s="91">
        <f>IF(N127="OK",1,0)</f>
        <v>1</v>
      </c>
      <c r="P127" s="91">
        <f>IF(O127=1,H127,0)</f>
        <v>1637180</v>
      </c>
    </row>
    <row r="128" spans="2:16" hidden="1" x14ac:dyDescent="0.25">
      <c r="B128" s="110">
        <v>42644</v>
      </c>
      <c r="C128" s="117">
        <v>991</v>
      </c>
      <c r="D128" s="157" t="s">
        <v>84</v>
      </c>
      <c r="E128" s="111" t="s">
        <v>84</v>
      </c>
      <c r="F128" s="112">
        <v>3133683</v>
      </c>
      <c r="G128" s="113">
        <v>2130216</v>
      </c>
      <c r="H128" s="114">
        <f t="shared" si="4"/>
        <v>1003467</v>
      </c>
      <c r="I128" s="114">
        <v>1</v>
      </c>
      <c r="J128" s="115" t="s">
        <v>59</v>
      </c>
      <c r="K128" s="116"/>
      <c r="L128" s="116">
        <v>1</v>
      </c>
      <c r="M128" s="141">
        <v>42856</v>
      </c>
      <c r="N128" s="91" t="s">
        <v>44</v>
      </c>
      <c r="O128" s="91">
        <f>IF(N128="OK",1,0)</f>
        <v>1</v>
      </c>
      <c r="P128" s="91">
        <f>IF(O128=1,H128,0)</f>
        <v>1003467</v>
      </c>
    </row>
    <row r="129" spans="2:13" x14ac:dyDescent="0.25">
      <c r="B129" s="110">
        <v>42675</v>
      </c>
      <c r="C129" s="117">
        <v>974</v>
      </c>
      <c r="D129" s="157" t="s">
        <v>100</v>
      </c>
      <c r="E129" s="111" t="s">
        <v>114</v>
      </c>
      <c r="F129" s="112">
        <v>7669182</v>
      </c>
      <c r="G129" s="113">
        <v>3834591</v>
      </c>
      <c r="H129" s="114">
        <f t="shared" si="4"/>
        <v>3834591</v>
      </c>
      <c r="I129" s="114">
        <v>1</v>
      </c>
      <c r="J129" s="115" t="s">
        <v>60</v>
      </c>
      <c r="K129" s="116">
        <v>15.15</v>
      </c>
      <c r="L129" s="116"/>
      <c r="M129" s="141">
        <v>42900</v>
      </c>
    </row>
    <row r="130" spans="2:13" hidden="1" x14ac:dyDescent="0.25">
      <c r="B130" s="110">
        <v>42675</v>
      </c>
      <c r="C130" s="117">
        <v>984</v>
      </c>
      <c r="D130" s="111" t="e">
        <v>#N/A</v>
      </c>
      <c r="E130" s="111" t="e">
        <v>#N/A</v>
      </c>
      <c r="F130" s="112">
        <v>1144466</v>
      </c>
      <c r="G130" s="113">
        <v>1144466</v>
      </c>
      <c r="H130" s="114">
        <f t="shared" si="4"/>
        <v>0</v>
      </c>
      <c r="I130" s="114"/>
      <c r="J130" s="115" t="s">
        <v>59</v>
      </c>
      <c r="K130" s="116"/>
      <c r="L130" s="116"/>
      <c r="M130" s="141"/>
    </row>
    <row r="131" spans="2:13" hidden="1" x14ac:dyDescent="0.25">
      <c r="B131" s="110">
        <v>42675</v>
      </c>
      <c r="C131" s="117">
        <v>992</v>
      </c>
      <c r="D131" s="111" t="e">
        <v>#N/A</v>
      </c>
      <c r="E131" s="111" t="e">
        <v>#N/A</v>
      </c>
      <c r="F131" s="112">
        <v>5810433</v>
      </c>
      <c r="G131" s="113">
        <v>5810433</v>
      </c>
      <c r="H131" s="114">
        <f t="shared" si="4"/>
        <v>0</v>
      </c>
      <c r="I131" s="114"/>
      <c r="J131" s="115" t="s">
        <v>59</v>
      </c>
      <c r="K131" s="116"/>
      <c r="L131" s="116"/>
      <c r="M131" s="141"/>
    </row>
    <row r="132" spans="2:13" hidden="1" x14ac:dyDescent="0.25">
      <c r="B132" s="110">
        <v>42675</v>
      </c>
      <c r="C132" s="117">
        <v>993</v>
      </c>
      <c r="D132" s="111" t="e">
        <v>#N/A</v>
      </c>
      <c r="E132" s="111" t="e">
        <v>#N/A</v>
      </c>
      <c r="F132" s="112">
        <v>1345650</v>
      </c>
      <c r="G132" s="113">
        <v>1345650</v>
      </c>
      <c r="H132" s="114">
        <f t="shared" si="4"/>
        <v>0</v>
      </c>
      <c r="I132" s="114"/>
      <c r="J132" s="115" t="s">
        <v>59</v>
      </c>
      <c r="K132" s="116"/>
      <c r="L132" s="116"/>
      <c r="M132" s="141"/>
    </row>
    <row r="133" spans="2:13" hidden="1" x14ac:dyDescent="0.25">
      <c r="B133" s="110">
        <v>42675</v>
      </c>
      <c r="C133" s="117">
        <v>994</v>
      </c>
      <c r="D133" s="157" t="s">
        <v>152</v>
      </c>
      <c r="E133" s="111" t="e">
        <v>#N/A</v>
      </c>
      <c r="F133" s="112">
        <v>2602155</v>
      </c>
      <c r="G133" s="113">
        <f>2168102+434053</f>
        <v>2602155</v>
      </c>
      <c r="H133" s="114">
        <f t="shared" si="4"/>
        <v>0</v>
      </c>
      <c r="I133" s="114"/>
      <c r="J133" s="115" t="s">
        <v>59</v>
      </c>
      <c r="K133" s="116"/>
      <c r="L133" s="116"/>
      <c r="M133" s="141"/>
    </row>
    <row r="134" spans="2:13" hidden="1" x14ac:dyDescent="0.25">
      <c r="B134" s="110">
        <v>42675</v>
      </c>
      <c r="C134" s="117">
        <v>995</v>
      </c>
      <c r="D134" s="111" t="e">
        <v>#N/A</v>
      </c>
      <c r="E134" s="111" t="e">
        <v>#N/A</v>
      </c>
      <c r="F134" s="112">
        <v>2892074</v>
      </c>
      <c r="G134" s="113">
        <v>2892074</v>
      </c>
      <c r="H134" s="114">
        <f t="shared" si="4"/>
        <v>0</v>
      </c>
      <c r="I134" s="114"/>
      <c r="J134" s="115" t="s">
        <v>59</v>
      </c>
      <c r="K134" s="116">
        <v>4.5999999999999996</v>
      </c>
      <c r="L134" s="116"/>
      <c r="M134" s="141">
        <v>42747</v>
      </c>
    </row>
    <row r="135" spans="2:13" hidden="1" x14ac:dyDescent="0.25">
      <c r="B135" s="110">
        <v>42675</v>
      </c>
      <c r="C135" s="117">
        <v>996</v>
      </c>
      <c r="D135" s="111" t="e">
        <v>#N/A</v>
      </c>
      <c r="E135" s="111" t="e">
        <v>#N/A</v>
      </c>
      <c r="F135" s="112">
        <v>3598963</v>
      </c>
      <c r="G135" s="113">
        <v>3598963</v>
      </c>
      <c r="H135" s="114">
        <f t="shared" si="4"/>
        <v>0</v>
      </c>
      <c r="I135" s="114"/>
      <c r="J135" s="115" t="s">
        <v>59</v>
      </c>
      <c r="K135" s="116">
        <v>8.6</v>
      </c>
      <c r="L135" s="116"/>
      <c r="M135" s="141">
        <v>42751</v>
      </c>
    </row>
    <row r="136" spans="2:13" hidden="1" x14ac:dyDescent="0.25">
      <c r="B136" s="110">
        <v>42675</v>
      </c>
      <c r="C136" s="117">
        <v>997</v>
      </c>
      <c r="D136" s="111" t="e">
        <v>#N/A</v>
      </c>
      <c r="E136" s="111" t="e">
        <v>#N/A</v>
      </c>
      <c r="F136" s="112">
        <v>4265436</v>
      </c>
      <c r="G136" s="113">
        <v>4265436</v>
      </c>
      <c r="H136" s="114">
        <f t="shared" si="4"/>
        <v>0</v>
      </c>
      <c r="I136" s="114"/>
      <c r="J136" s="115" t="s">
        <v>59</v>
      </c>
      <c r="K136" s="116"/>
      <c r="L136" s="116"/>
      <c r="M136" s="141"/>
    </row>
    <row r="137" spans="2:13" hidden="1" x14ac:dyDescent="0.25">
      <c r="B137" s="110">
        <v>42675</v>
      </c>
      <c r="C137" s="117">
        <v>998</v>
      </c>
      <c r="D137" s="111" t="e">
        <v>#N/A</v>
      </c>
      <c r="E137" s="111" t="e">
        <v>#N/A</v>
      </c>
      <c r="F137" s="112">
        <v>920000</v>
      </c>
      <c r="G137" s="113">
        <v>920000</v>
      </c>
      <c r="H137" s="114">
        <f t="shared" si="4"/>
        <v>0</v>
      </c>
      <c r="I137" s="114"/>
      <c r="J137" s="115" t="s">
        <v>59</v>
      </c>
      <c r="K137" s="116"/>
      <c r="L137" s="116"/>
      <c r="M137" s="141"/>
    </row>
    <row r="138" spans="2:13" hidden="1" x14ac:dyDescent="0.25">
      <c r="B138" s="110">
        <v>42675</v>
      </c>
      <c r="C138" s="117">
        <v>999</v>
      </c>
      <c r="D138" s="111" t="e">
        <v>#N/A</v>
      </c>
      <c r="E138" s="111" t="e">
        <v>#N/A</v>
      </c>
      <c r="F138" s="112">
        <v>3694186</v>
      </c>
      <c r="G138" s="113">
        <v>3694186</v>
      </c>
      <c r="H138" s="114">
        <f t="shared" si="4"/>
        <v>0</v>
      </c>
      <c r="I138" s="114"/>
      <c r="J138" s="115" t="s">
        <v>59</v>
      </c>
      <c r="K138" s="116">
        <v>9.5</v>
      </c>
      <c r="L138" s="116"/>
      <c r="M138" s="141">
        <v>42748</v>
      </c>
    </row>
    <row r="139" spans="2:13" hidden="1" x14ac:dyDescent="0.25">
      <c r="B139" s="110">
        <v>42675</v>
      </c>
      <c r="C139" s="117">
        <v>1000</v>
      </c>
      <c r="D139" s="111" t="e">
        <v>#N/A</v>
      </c>
      <c r="E139" s="111" t="e">
        <v>#N/A</v>
      </c>
      <c r="F139" s="112">
        <v>14447350</v>
      </c>
      <c r="G139" s="113">
        <v>14447350</v>
      </c>
      <c r="H139" s="114">
        <f t="shared" si="4"/>
        <v>0</v>
      </c>
      <c r="I139" s="114"/>
      <c r="J139" s="115" t="s">
        <v>59</v>
      </c>
      <c r="K139" s="116"/>
      <c r="L139" s="116"/>
      <c r="M139" s="141"/>
    </row>
    <row r="140" spans="2:13" hidden="1" x14ac:dyDescent="0.25">
      <c r="B140" s="110">
        <v>42675</v>
      </c>
      <c r="C140" s="117">
        <v>1002</v>
      </c>
      <c r="D140" s="157" t="s">
        <v>97</v>
      </c>
      <c r="E140" s="111" t="e">
        <v>#N/A</v>
      </c>
      <c r="F140" s="112">
        <v>2308758</v>
      </c>
      <c r="G140" s="113">
        <f>2022504+286254</f>
        <v>2308758</v>
      </c>
      <c r="H140" s="114">
        <f t="shared" si="4"/>
        <v>0</v>
      </c>
      <c r="I140" s="114"/>
      <c r="J140" s="115" t="s">
        <v>59</v>
      </c>
      <c r="K140" s="116">
        <v>5.056</v>
      </c>
      <c r="L140" s="116"/>
      <c r="M140" s="141">
        <v>42745</v>
      </c>
    </row>
    <row r="141" spans="2:13" hidden="1" x14ac:dyDescent="0.25">
      <c r="B141" s="110">
        <v>42675</v>
      </c>
      <c r="C141" s="117">
        <v>1005</v>
      </c>
      <c r="D141" s="111" t="e">
        <v>#N/A</v>
      </c>
      <c r="E141" s="111" t="e">
        <v>#N/A</v>
      </c>
      <c r="F141" s="112">
        <v>2500000</v>
      </c>
      <c r="G141" s="113">
        <v>2500000</v>
      </c>
      <c r="H141" s="114">
        <f t="shared" si="4"/>
        <v>0</v>
      </c>
      <c r="I141" s="114"/>
      <c r="J141" s="115" t="s">
        <v>59</v>
      </c>
      <c r="K141" s="116">
        <v>5</v>
      </c>
      <c r="L141" s="116"/>
      <c r="M141" s="141">
        <v>42828</v>
      </c>
    </row>
    <row r="142" spans="2:13" hidden="1" x14ac:dyDescent="0.25">
      <c r="B142" s="110">
        <v>42675</v>
      </c>
      <c r="C142" s="117">
        <v>1006</v>
      </c>
      <c r="D142" s="111" t="e">
        <v>#N/A</v>
      </c>
      <c r="E142" s="111" t="e">
        <v>#N/A</v>
      </c>
      <c r="F142" s="112">
        <v>6587388</v>
      </c>
      <c r="G142" s="113">
        <v>6587388</v>
      </c>
      <c r="H142" s="114">
        <f t="shared" si="4"/>
        <v>0</v>
      </c>
      <c r="I142" s="114"/>
      <c r="J142" s="115" t="s">
        <v>59</v>
      </c>
      <c r="K142" s="116">
        <v>13</v>
      </c>
      <c r="L142" s="116"/>
      <c r="M142" s="141">
        <v>42753</v>
      </c>
    </row>
    <row r="143" spans="2:13" hidden="1" x14ac:dyDescent="0.25">
      <c r="B143" s="110">
        <v>42675</v>
      </c>
      <c r="C143" s="117">
        <v>1008</v>
      </c>
      <c r="D143" s="111" t="e">
        <v>#N/A</v>
      </c>
      <c r="E143" s="111" t="e">
        <v>#N/A</v>
      </c>
      <c r="F143" s="112">
        <v>3798999</v>
      </c>
      <c r="G143" s="113">
        <v>3798999</v>
      </c>
      <c r="H143" s="114">
        <f t="shared" si="4"/>
        <v>0</v>
      </c>
      <c r="I143" s="114"/>
      <c r="J143" s="115" t="s">
        <v>59</v>
      </c>
      <c r="K143" s="116">
        <v>8.6</v>
      </c>
      <c r="L143" s="116"/>
      <c r="M143" s="141">
        <v>42740</v>
      </c>
    </row>
    <row r="144" spans="2:13" hidden="1" x14ac:dyDescent="0.25">
      <c r="B144" s="110">
        <v>42675</v>
      </c>
      <c r="C144" s="117">
        <v>1009</v>
      </c>
      <c r="D144" s="111" t="s">
        <v>85</v>
      </c>
      <c r="E144" s="111" t="s">
        <v>85</v>
      </c>
      <c r="F144" s="112">
        <v>3400000</v>
      </c>
      <c r="G144" s="113">
        <v>3400000</v>
      </c>
      <c r="H144" s="114">
        <f t="shared" si="4"/>
        <v>0</v>
      </c>
      <c r="I144" s="114"/>
      <c r="J144" s="115" t="s">
        <v>59</v>
      </c>
      <c r="K144" s="116">
        <v>5.194</v>
      </c>
      <c r="L144" s="116"/>
      <c r="M144" s="141">
        <v>42739</v>
      </c>
    </row>
    <row r="145" spans="2:16" hidden="1" x14ac:dyDescent="0.25">
      <c r="B145" s="110">
        <v>42675</v>
      </c>
      <c r="C145" s="117">
        <v>1010</v>
      </c>
      <c r="D145" s="111" t="e">
        <v>#N/A</v>
      </c>
      <c r="E145" s="111" t="e">
        <v>#N/A</v>
      </c>
      <c r="F145" s="112">
        <v>2423185</v>
      </c>
      <c r="G145" s="113">
        <v>2423185</v>
      </c>
      <c r="H145" s="114">
        <f t="shared" si="4"/>
        <v>0</v>
      </c>
      <c r="I145" s="114"/>
      <c r="J145" s="115" t="s">
        <v>59</v>
      </c>
      <c r="K145" s="116">
        <v>5.6</v>
      </c>
      <c r="L145" s="116"/>
      <c r="M145" s="141">
        <v>42741</v>
      </c>
    </row>
    <row r="146" spans="2:16" hidden="1" x14ac:dyDescent="0.25">
      <c r="B146" s="110">
        <v>42675</v>
      </c>
      <c r="C146" s="117">
        <v>1011</v>
      </c>
      <c r="D146" s="111" t="e">
        <v>#N/A</v>
      </c>
      <c r="E146" s="111" t="e">
        <v>#N/A</v>
      </c>
      <c r="F146" s="112">
        <v>2792430</v>
      </c>
      <c r="G146" s="113">
        <v>2792430</v>
      </c>
      <c r="H146" s="114">
        <f t="shared" si="4"/>
        <v>0</v>
      </c>
      <c r="I146" s="114"/>
      <c r="J146" s="115" t="s">
        <v>59</v>
      </c>
      <c r="K146" s="116">
        <v>6.8</v>
      </c>
      <c r="L146" s="116"/>
      <c r="M146" s="141">
        <v>42741</v>
      </c>
    </row>
    <row r="147" spans="2:16" hidden="1" x14ac:dyDescent="0.25">
      <c r="B147" s="110">
        <v>42675</v>
      </c>
      <c r="C147" s="117">
        <v>1013</v>
      </c>
      <c r="D147" s="111" t="e">
        <v>#N/A</v>
      </c>
      <c r="E147" s="111" t="e">
        <v>#N/A</v>
      </c>
      <c r="F147" s="112">
        <v>3800000</v>
      </c>
      <c r="G147" s="113">
        <v>3800000</v>
      </c>
      <c r="H147" s="114">
        <f t="shared" si="4"/>
        <v>0</v>
      </c>
      <c r="I147" s="114"/>
      <c r="J147" s="115" t="s">
        <v>59</v>
      </c>
      <c r="K147" s="116"/>
      <c r="L147" s="116"/>
      <c r="M147" s="141"/>
    </row>
    <row r="148" spans="2:16" hidden="1" x14ac:dyDescent="0.25">
      <c r="B148" s="110">
        <v>42675</v>
      </c>
      <c r="C148" s="117">
        <v>1015</v>
      </c>
      <c r="D148" s="111" t="e">
        <v>#N/A</v>
      </c>
      <c r="E148" s="111" t="e">
        <v>#N/A</v>
      </c>
      <c r="F148" s="112">
        <v>2000000</v>
      </c>
      <c r="G148" s="113">
        <v>2000000</v>
      </c>
      <c r="H148" s="114">
        <f t="shared" si="4"/>
        <v>0</v>
      </c>
      <c r="I148" s="114"/>
      <c r="J148" s="115" t="s">
        <v>59</v>
      </c>
      <c r="K148" s="116"/>
      <c r="L148" s="116"/>
      <c r="M148" s="141"/>
    </row>
    <row r="149" spans="2:16" hidden="1" x14ac:dyDescent="0.25">
      <c r="B149" s="110">
        <v>42675</v>
      </c>
      <c r="C149" s="117">
        <v>1016</v>
      </c>
      <c r="D149" s="111" t="e">
        <v>#N/A</v>
      </c>
      <c r="E149" s="111" t="e">
        <v>#N/A</v>
      </c>
      <c r="F149" s="112">
        <v>1604407</v>
      </c>
      <c r="G149" s="113">
        <v>1604407</v>
      </c>
      <c r="H149" s="114">
        <f t="shared" si="4"/>
        <v>0</v>
      </c>
      <c r="I149" s="114"/>
      <c r="J149" s="115" t="s">
        <v>59</v>
      </c>
      <c r="K149" s="116"/>
      <c r="L149" s="116"/>
      <c r="M149" s="141"/>
    </row>
    <row r="150" spans="2:16" hidden="1" x14ac:dyDescent="0.25">
      <c r="B150" s="110">
        <v>42705</v>
      </c>
      <c r="C150" s="117">
        <v>1007</v>
      </c>
      <c r="D150" s="157" t="s">
        <v>101</v>
      </c>
      <c r="E150" s="111" t="e">
        <v>#N/A</v>
      </c>
      <c r="F150" s="159">
        <v>518176</v>
      </c>
      <c r="G150" s="160">
        <v>518176</v>
      </c>
      <c r="H150" s="161">
        <f t="shared" si="4"/>
        <v>0</v>
      </c>
      <c r="I150" s="114"/>
      <c r="J150" s="115" t="s">
        <v>59</v>
      </c>
      <c r="K150" s="116"/>
      <c r="L150" s="116"/>
      <c r="M150" s="141"/>
    </row>
    <row r="151" spans="2:16" hidden="1" x14ac:dyDescent="0.25">
      <c r="B151" s="110">
        <v>42705</v>
      </c>
      <c r="C151" s="117">
        <v>1012</v>
      </c>
      <c r="D151" s="111" t="s">
        <v>86</v>
      </c>
      <c r="E151" s="111" t="s">
        <v>86</v>
      </c>
      <c r="F151" s="112">
        <v>2102342</v>
      </c>
      <c r="G151" s="113">
        <v>2102342</v>
      </c>
      <c r="H151" s="114">
        <f t="shared" si="4"/>
        <v>0</v>
      </c>
      <c r="I151" s="114"/>
      <c r="J151" s="115" t="s">
        <v>59</v>
      </c>
      <c r="K151" s="116"/>
      <c r="L151" s="116"/>
      <c r="M151" s="141"/>
    </row>
    <row r="152" spans="2:16" hidden="1" x14ac:dyDescent="0.25">
      <c r="B152" s="110">
        <v>42705</v>
      </c>
      <c r="C152" s="117">
        <v>1018</v>
      </c>
      <c r="D152" s="111" t="e">
        <v>#N/A</v>
      </c>
      <c r="E152" s="111" t="e">
        <v>#N/A</v>
      </c>
      <c r="F152" s="112">
        <v>450000</v>
      </c>
      <c r="G152" s="113">
        <v>450000</v>
      </c>
      <c r="H152" s="114">
        <f t="shared" si="4"/>
        <v>0</v>
      </c>
      <c r="I152" s="114"/>
      <c r="J152" s="115" t="s">
        <v>59</v>
      </c>
      <c r="K152" s="116"/>
      <c r="L152" s="116"/>
      <c r="M152" s="141"/>
    </row>
    <row r="153" spans="2:16" hidden="1" x14ac:dyDescent="0.25">
      <c r="B153" s="110">
        <v>42705</v>
      </c>
      <c r="C153" s="117">
        <v>1019</v>
      </c>
      <c r="D153" s="111" t="e">
        <v>#N/A</v>
      </c>
      <c r="E153" s="111" t="e">
        <v>#N/A</v>
      </c>
      <c r="F153" s="112">
        <v>4562611</v>
      </c>
      <c r="G153" s="113">
        <v>4562611</v>
      </c>
      <c r="H153" s="114">
        <f t="shared" si="4"/>
        <v>0</v>
      </c>
      <c r="I153" s="114"/>
      <c r="J153" s="115" t="s">
        <v>59</v>
      </c>
      <c r="K153" s="116">
        <v>10</v>
      </c>
      <c r="L153" s="116"/>
      <c r="M153" s="141">
        <v>42779</v>
      </c>
    </row>
    <row r="154" spans="2:16" hidden="1" x14ac:dyDescent="0.25">
      <c r="B154" s="110">
        <v>42705</v>
      </c>
      <c r="C154" s="117">
        <v>1020</v>
      </c>
      <c r="D154" s="111" t="e">
        <v>#N/A</v>
      </c>
      <c r="E154" s="111" t="e">
        <v>#N/A</v>
      </c>
      <c r="F154" s="112">
        <v>1500000</v>
      </c>
      <c r="G154" s="113">
        <v>1500000</v>
      </c>
      <c r="H154" s="114">
        <f t="shared" si="4"/>
        <v>0</v>
      </c>
      <c r="I154" s="114"/>
      <c r="J154" s="115" t="s">
        <v>59</v>
      </c>
      <c r="K154" s="116">
        <v>9</v>
      </c>
      <c r="L154" s="116"/>
      <c r="M154" s="141">
        <v>42776</v>
      </c>
    </row>
    <row r="155" spans="2:16" hidden="1" x14ac:dyDescent="0.25">
      <c r="B155" s="110">
        <v>42705</v>
      </c>
      <c r="C155" s="117">
        <v>1021</v>
      </c>
      <c r="D155" s="111" t="e">
        <v>#N/A</v>
      </c>
      <c r="E155" s="111" t="e">
        <v>#N/A</v>
      </c>
      <c r="F155" s="112">
        <v>1650833</v>
      </c>
      <c r="G155" s="113">
        <v>1650833</v>
      </c>
      <c r="H155" s="114">
        <f t="shared" si="4"/>
        <v>0</v>
      </c>
      <c r="I155" s="114"/>
      <c r="J155" s="115" t="s">
        <v>59</v>
      </c>
      <c r="K155" s="116">
        <v>5.4</v>
      </c>
      <c r="L155" s="116"/>
      <c r="M155" s="141">
        <v>42752</v>
      </c>
    </row>
    <row r="156" spans="2:16" hidden="1" x14ac:dyDescent="0.25">
      <c r="B156" s="110">
        <v>42705</v>
      </c>
      <c r="C156" s="117">
        <v>1022</v>
      </c>
      <c r="D156" s="111" t="e">
        <v>#N/A</v>
      </c>
      <c r="E156" s="111" t="e">
        <v>#N/A</v>
      </c>
      <c r="F156" s="112">
        <v>3600000</v>
      </c>
      <c r="G156" s="113">
        <v>3600000</v>
      </c>
      <c r="H156" s="114">
        <f t="shared" si="4"/>
        <v>0</v>
      </c>
      <c r="I156" s="114"/>
      <c r="J156" s="115" t="s">
        <v>59</v>
      </c>
      <c r="K156" s="116">
        <v>9.01</v>
      </c>
      <c r="L156" s="116"/>
      <c r="M156" s="141">
        <v>42759</v>
      </c>
    </row>
    <row r="157" spans="2:16" hidden="1" x14ac:dyDescent="0.25">
      <c r="B157" s="110">
        <v>42705</v>
      </c>
      <c r="C157" s="117">
        <v>1023</v>
      </c>
      <c r="D157" s="111" t="e">
        <v>#N/A</v>
      </c>
      <c r="E157" s="111" t="e">
        <v>#N/A</v>
      </c>
      <c r="F157" s="112">
        <v>2340000</v>
      </c>
      <c r="G157" s="113">
        <v>2340000</v>
      </c>
      <c r="H157" s="114">
        <f t="shared" si="4"/>
        <v>0</v>
      </c>
      <c r="I157" s="114"/>
      <c r="J157" s="115" t="s">
        <v>59</v>
      </c>
      <c r="K157" s="116"/>
      <c r="L157" s="116"/>
      <c r="M157" s="141">
        <v>42767</v>
      </c>
    </row>
    <row r="158" spans="2:16" hidden="1" x14ac:dyDescent="0.25">
      <c r="B158" s="110">
        <v>42705</v>
      </c>
      <c r="C158" s="117">
        <v>1024</v>
      </c>
      <c r="D158" s="111" t="e">
        <v>#N/A</v>
      </c>
      <c r="E158" s="111" t="e">
        <v>#N/A</v>
      </c>
      <c r="F158" s="112">
        <v>262000</v>
      </c>
      <c r="G158" s="113">
        <v>262000</v>
      </c>
      <c r="H158" s="114">
        <f t="shared" ref="H158:H189" si="5">F158-G158</f>
        <v>0</v>
      </c>
      <c r="I158" s="114"/>
      <c r="J158" s="115" t="s">
        <v>59</v>
      </c>
      <c r="K158" s="116"/>
      <c r="L158" s="116">
        <v>1</v>
      </c>
      <c r="M158" s="141"/>
    </row>
    <row r="159" spans="2:16" hidden="1" x14ac:dyDescent="0.25">
      <c r="B159" s="110">
        <v>42705</v>
      </c>
      <c r="C159" s="117">
        <v>1025</v>
      </c>
      <c r="D159" s="111" t="e">
        <v>#N/A</v>
      </c>
      <c r="E159" s="111" t="e">
        <v>#N/A</v>
      </c>
      <c r="F159" s="112">
        <v>2999435</v>
      </c>
      <c r="G159" s="113">
        <v>2999435</v>
      </c>
      <c r="H159" s="114">
        <f t="shared" si="5"/>
        <v>0</v>
      </c>
      <c r="I159" s="114"/>
      <c r="J159" s="115" t="s">
        <v>59</v>
      </c>
      <c r="K159" s="116">
        <v>6.5</v>
      </c>
      <c r="L159" s="116"/>
      <c r="M159" s="141">
        <v>42779</v>
      </c>
    </row>
    <row r="160" spans="2:16" hidden="1" x14ac:dyDescent="0.25">
      <c r="B160" s="110">
        <v>42705</v>
      </c>
      <c r="C160" s="117">
        <v>1026</v>
      </c>
      <c r="D160" s="157" t="s">
        <v>102</v>
      </c>
      <c r="E160" s="111" t="s">
        <v>115</v>
      </c>
      <c r="F160" s="112">
        <v>15642848</v>
      </c>
      <c r="G160" s="113">
        <v>8000000</v>
      </c>
      <c r="H160" s="114">
        <f t="shared" si="5"/>
        <v>7642848</v>
      </c>
      <c r="I160" s="114">
        <v>1</v>
      </c>
      <c r="J160" s="115" t="s">
        <v>59</v>
      </c>
      <c r="K160" s="116">
        <v>14.2</v>
      </c>
      <c r="L160" s="116">
        <v>1</v>
      </c>
      <c r="M160" s="141">
        <v>42870</v>
      </c>
      <c r="N160" s="91" t="s">
        <v>67</v>
      </c>
      <c r="O160" s="91">
        <f>IF(N160="OK",1,0)</f>
        <v>1</v>
      </c>
      <c r="P160" s="91">
        <f>IF(O160=1,H160,0)</f>
        <v>7642848</v>
      </c>
    </row>
    <row r="161" spans="2:16" hidden="1" x14ac:dyDescent="0.25">
      <c r="B161" s="110">
        <v>42705</v>
      </c>
      <c r="C161" s="117">
        <v>1027</v>
      </c>
      <c r="D161" s="111" t="e">
        <v>#N/A</v>
      </c>
      <c r="E161" s="111" t="e">
        <v>#N/A</v>
      </c>
      <c r="F161" s="112">
        <v>1748480</v>
      </c>
      <c r="G161" s="113">
        <v>1748480</v>
      </c>
      <c r="H161" s="114">
        <f t="shared" si="5"/>
        <v>0</v>
      </c>
      <c r="I161" s="114"/>
      <c r="J161" s="115" t="s">
        <v>59</v>
      </c>
      <c r="K161" s="116">
        <v>3.9</v>
      </c>
      <c r="L161" s="116"/>
      <c r="M161" s="141">
        <v>42758</v>
      </c>
    </row>
    <row r="162" spans="2:16" hidden="1" x14ac:dyDescent="0.25">
      <c r="B162" s="110">
        <v>42705</v>
      </c>
      <c r="C162" s="117">
        <v>1028</v>
      </c>
      <c r="D162" s="111" t="e">
        <v>#N/A</v>
      </c>
      <c r="E162" s="111" t="e">
        <v>#N/A</v>
      </c>
      <c r="F162" s="112">
        <v>4641000</v>
      </c>
      <c r="G162" s="113">
        <v>4641000</v>
      </c>
      <c r="H162" s="114">
        <f t="shared" si="5"/>
        <v>0</v>
      </c>
      <c r="I162" s="114"/>
      <c r="J162" s="115" t="s">
        <v>59</v>
      </c>
      <c r="K162" s="116"/>
      <c r="L162" s="116"/>
      <c r="M162" s="141">
        <v>42832</v>
      </c>
    </row>
    <row r="163" spans="2:16" hidden="1" x14ac:dyDescent="0.25">
      <c r="B163" s="110">
        <v>42705</v>
      </c>
      <c r="C163" s="117">
        <v>1029</v>
      </c>
      <c r="D163" s="111" t="e">
        <v>#N/A</v>
      </c>
      <c r="E163" s="111" t="e">
        <v>#N/A</v>
      </c>
      <c r="F163" s="112">
        <v>1867411</v>
      </c>
      <c r="G163" s="113">
        <v>1867411</v>
      </c>
      <c r="H163" s="114">
        <f t="shared" si="5"/>
        <v>0</v>
      </c>
      <c r="I163" s="114"/>
      <c r="J163" s="115" t="s">
        <v>59</v>
      </c>
      <c r="K163" s="116">
        <v>4.05</v>
      </c>
      <c r="L163" s="116"/>
      <c r="M163" s="141">
        <v>42753</v>
      </c>
    </row>
    <row r="164" spans="2:16" hidden="1" x14ac:dyDescent="0.25">
      <c r="B164" s="110">
        <v>42705</v>
      </c>
      <c r="C164" s="117">
        <v>1030</v>
      </c>
      <c r="D164" s="111" t="e">
        <v>#N/A</v>
      </c>
      <c r="E164" s="111" t="e">
        <v>#N/A</v>
      </c>
      <c r="F164" s="112">
        <v>4000000</v>
      </c>
      <c r="G164" s="113">
        <v>4000000</v>
      </c>
      <c r="H164" s="114">
        <f t="shared" si="5"/>
        <v>0</v>
      </c>
      <c r="I164" s="114"/>
      <c r="J164" s="115" t="s">
        <v>59</v>
      </c>
      <c r="K164" s="116"/>
      <c r="L164" s="116"/>
      <c r="M164" s="141">
        <v>42767</v>
      </c>
    </row>
    <row r="165" spans="2:16" hidden="1" x14ac:dyDescent="0.25">
      <c r="B165" s="110">
        <v>42705</v>
      </c>
      <c r="C165" s="117">
        <v>1031</v>
      </c>
      <c r="D165" s="111" t="e">
        <v>#N/A</v>
      </c>
      <c r="E165" s="111" t="e">
        <v>#N/A</v>
      </c>
      <c r="F165" s="112">
        <v>5320190</v>
      </c>
      <c r="G165" s="113">
        <v>5320190</v>
      </c>
      <c r="H165" s="114">
        <f t="shared" si="5"/>
        <v>0</v>
      </c>
      <c r="I165" s="114"/>
      <c r="J165" s="115" t="s">
        <v>59</v>
      </c>
      <c r="K165" s="116"/>
      <c r="L165" s="116"/>
      <c r="M165" s="141">
        <v>42814</v>
      </c>
    </row>
    <row r="166" spans="2:16" hidden="1" x14ac:dyDescent="0.25">
      <c r="B166" s="110">
        <v>42736</v>
      </c>
      <c r="C166" s="117">
        <v>1032</v>
      </c>
      <c r="D166" s="111" t="e">
        <v>#N/A</v>
      </c>
      <c r="E166" s="111" t="e">
        <v>#N/A</v>
      </c>
      <c r="F166" s="112">
        <v>1904000</v>
      </c>
      <c r="G166" s="113">
        <v>1904000</v>
      </c>
      <c r="H166" s="114">
        <f t="shared" si="5"/>
        <v>0</v>
      </c>
      <c r="I166" s="114"/>
      <c r="J166" s="115" t="s">
        <v>59</v>
      </c>
      <c r="K166" s="116">
        <v>10.4</v>
      </c>
      <c r="L166" s="116"/>
      <c r="M166" s="141"/>
    </row>
    <row r="167" spans="2:16" hidden="1" x14ac:dyDescent="0.25">
      <c r="B167" s="110">
        <v>42736</v>
      </c>
      <c r="C167" s="117">
        <v>1033</v>
      </c>
      <c r="D167" s="111" t="e">
        <v>#N/A</v>
      </c>
      <c r="E167" s="111" t="e">
        <v>#N/A</v>
      </c>
      <c r="F167" s="112">
        <v>1415974</v>
      </c>
      <c r="G167" s="113">
        <v>1415974</v>
      </c>
      <c r="H167" s="114">
        <f t="shared" si="5"/>
        <v>0</v>
      </c>
      <c r="I167" s="114"/>
      <c r="J167" s="115" t="s">
        <v>59</v>
      </c>
      <c r="K167" s="116">
        <v>2.8</v>
      </c>
      <c r="L167" s="116"/>
      <c r="M167" s="141">
        <v>42767</v>
      </c>
    </row>
    <row r="168" spans="2:16" hidden="1" x14ac:dyDescent="0.25">
      <c r="B168" s="110">
        <v>42736</v>
      </c>
      <c r="C168" s="117">
        <v>1034</v>
      </c>
      <c r="D168" s="157" t="s">
        <v>98</v>
      </c>
      <c r="E168" s="111" t="s">
        <v>85</v>
      </c>
      <c r="F168" s="112">
        <v>1971384</v>
      </c>
      <c r="G168" s="113">
        <f>1314256+328564</f>
        <v>1642820</v>
      </c>
      <c r="H168" s="114">
        <f t="shared" si="5"/>
        <v>328564</v>
      </c>
      <c r="I168" s="114">
        <v>1</v>
      </c>
      <c r="J168" s="115" t="s">
        <v>59</v>
      </c>
      <c r="K168" s="116">
        <v>3.7</v>
      </c>
      <c r="L168" s="116">
        <v>1</v>
      </c>
      <c r="M168" s="141">
        <v>42811</v>
      </c>
      <c r="O168" s="91">
        <f>IF(N168="OK",1,0)</f>
        <v>0</v>
      </c>
      <c r="P168" s="91">
        <f>IF(O168=1,H168,0)</f>
        <v>0</v>
      </c>
    </row>
    <row r="169" spans="2:16" hidden="1" x14ac:dyDescent="0.25">
      <c r="B169" s="110">
        <v>42736</v>
      </c>
      <c r="C169" s="117">
        <v>1035</v>
      </c>
      <c r="D169" s="111" t="e">
        <v>#N/A</v>
      </c>
      <c r="E169" s="111" t="e">
        <v>#N/A</v>
      </c>
      <c r="F169" s="112">
        <v>3345333</v>
      </c>
      <c r="G169" s="113">
        <v>3345333</v>
      </c>
      <c r="H169" s="114">
        <f t="shared" si="5"/>
        <v>0</v>
      </c>
      <c r="I169" s="114"/>
      <c r="J169" s="115" t="s">
        <v>59</v>
      </c>
      <c r="K169" s="116">
        <v>13.8</v>
      </c>
      <c r="L169" s="116">
        <v>1</v>
      </c>
      <c r="M169" s="141"/>
      <c r="N169" s="91" t="s">
        <v>67</v>
      </c>
      <c r="O169" s="91">
        <f>IF(N169="OK",1,0)</f>
        <v>1</v>
      </c>
      <c r="P169" s="91">
        <f>IF(O169=1,H169,0)</f>
        <v>0</v>
      </c>
    </row>
    <row r="170" spans="2:16" hidden="1" x14ac:dyDescent="0.25">
      <c r="B170" s="110">
        <v>42736</v>
      </c>
      <c r="C170" s="117">
        <v>1036</v>
      </c>
      <c r="D170" s="111" t="e">
        <v>#N/A</v>
      </c>
      <c r="E170" s="111" t="e">
        <v>#N/A</v>
      </c>
      <c r="F170" s="112">
        <v>1807879</v>
      </c>
      <c r="G170" s="113">
        <v>1807879</v>
      </c>
      <c r="H170" s="114">
        <f t="shared" si="5"/>
        <v>0</v>
      </c>
      <c r="I170" s="114"/>
      <c r="J170" s="115" t="s">
        <v>59</v>
      </c>
      <c r="K170" s="116">
        <v>3.79</v>
      </c>
      <c r="L170" s="116"/>
      <c r="M170" s="141">
        <v>42787</v>
      </c>
    </row>
    <row r="171" spans="2:16" hidden="1" x14ac:dyDescent="0.25">
      <c r="B171" s="110">
        <v>42736</v>
      </c>
      <c r="C171" s="117">
        <v>1038</v>
      </c>
      <c r="D171" s="157" t="s">
        <v>99</v>
      </c>
      <c r="E171" s="111" t="s">
        <v>116</v>
      </c>
      <c r="F171" s="112">
        <v>500000</v>
      </c>
      <c r="G171" s="113">
        <v>250000</v>
      </c>
      <c r="H171" s="114">
        <f t="shared" si="5"/>
        <v>250000</v>
      </c>
      <c r="I171" s="114">
        <v>1</v>
      </c>
      <c r="J171" s="115" t="s">
        <v>59</v>
      </c>
      <c r="K171" s="116">
        <v>2.6</v>
      </c>
      <c r="L171" s="116"/>
      <c r="M171" s="141"/>
    </row>
    <row r="172" spans="2:16" hidden="1" x14ac:dyDescent="0.25">
      <c r="B172" s="110">
        <v>42736</v>
      </c>
      <c r="C172" s="117">
        <v>1039</v>
      </c>
      <c r="D172" s="111" t="e">
        <v>#N/A</v>
      </c>
      <c r="E172" s="111" t="e">
        <v>#N/A</v>
      </c>
      <c r="F172" s="112">
        <v>1000000</v>
      </c>
      <c r="G172" s="113">
        <v>1000000</v>
      </c>
      <c r="H172" s="114">
        <f t="shared" si="5"/>
        <v>0</v>
      </c>
      <c r="I172" s="114"/>
      <c r="J172" s="115" t="s">
        <v>59</v>
      </c>
      <c r="K172" s="116">
        <v>0</v>
      </c>
      <c r="L172" s="116"/>
      <c r="M172" s="141"/>
    </row>
    <row r="173" spans="2:16" hidden="1" x14ac:dyDescent="0.25">
      <c r="B173" s="110">
        <v>42736</v>
      </c>
      <c r="C173" s="117">
        <v>1040</v>
      </c>
      <c r="D173" s="111" t="e">
        <v>#N/A</v>
      </c>
      <c r="E173" s="111" t="e">
        <v>#N/A</v>
      </c>
      <c r="F173" s="112">
        <v>1900319</v>
      </c>
      <c r="G173" s="113">
        <v>1900319</v>
      </c>
      <c r="H173" s="114">
        <f t="shared" si="5"/>
        <v>0</v>
      </c>
      <c r="I173" s="114"/>
      <c r="J173" s="115" t="s">
        <v>59</v>
      </c>
      <c r="K173" s="116">
        <v>5</v>
      </c>
      <c r="L173" s="116">
        <v>1</v>
      </c>
      <c r="M173" s="141">
        <v>42795</v>
      </c>
      <c r="N173" s="91" t="s">
        <v>67</v>
      </c>
      <c r="O173" s="91">
        <f>IF(N173="OK",1,0)</f>
        <v>1</v>
      </c>
      <c r="P173" s="91">
        <f>IF(O173=1,H173,0)</f>
        <v>0</v>
      </c>
    </row>
    <row r="174" spans="2:16" hidden="1" x14ac:dyDescent="0.25">
      <c r="B174" s="110">
        <v>42736</v>
      </c>
      <c r="C174" s="117">
        <v>1041</v>
      </c>
      <c r="D174" s="111" t="e">
        <v>#N/A</v>
      </c>
      <c r="E174" s="111" t="e">
        <v>#N/A</v>
      </c>
      <c r="F174" s="112">
        <v>7569221</v>
      </c>
      <c r="G174" s="113">
        <v>7569221</v>
      </c>
      <c r="H174" s="114">
        <f t="shared" si="5"/>
        <v>0</v>
      </c>
      <c r="I174" s="114"/>
      <c r="J174" s="115" t="s">
        <v>59</v>
      </c>
      <c r="K174" s="116">
        <v>10.199999999999999</v>
      </c>
      <c r="L174" s="116"/>
      <c r="M174" s="141">
        <v>42796</v>
      </c>
    </row>
    <row r="175" spans="2:16" hidden="1" x14ac:dyDescent="0.25">
      <c r="B175" s="110">
        <v>42736</v>
      </c>
      <c r="C175" s="117">
        <v>1042</v>
      </c>
      <c r="D175" s="111" t="e">
        <v>#N/A</v>
      </c>
      <c r="E175" s="111" t="e">
        <v>#N/A</v>
      </c>
      <c r="F175" s="112">
        <v>2760000</v>
      </c>
      <c r="G175" s="113">
        <v>2760000</v>
      </c>
      <c r="H175" s="114">
        <f t="shared" si="5"/>
        <v>0</v>
      </c>
      <c r="I175" s="114"/>
      <c r="J175" s="115" t="s">
        <v>59</v>
      </c>
      <c r="K175" s="116">
        <v>6.4</v>
      </c>
      <c r="L175" s="116"/>
      <c r="M175" s="141">
        <v>42780</v>
      </c>
    </row>
    <row r="176" spans="2:16" hidden="1" x14ac:dyDescent="0.25">
      <c r="B176" s="110">
        <v>42736</v>
      </c>
      <c r="C176" s="117">
        <v>1043</v>
      </c>
      <c r="D176" s="111" t="e">
        <v>#N/A</v>
      </c>
      <c r="E176" s="111" t="e">
        <v>#N/A</v>
      </c>
      <c r="F176" s="112">
        <v>3500000</v>
      </c>
      <c r="G176" s="113">
        <v>3500000</v>
      </c>
      <c r="H176" s="114">
        <f t="shared" si="5"/>
        <v>0</v>
      </c>
      <c r="I176" s="114"/>
      <c r="J176" s="115" t="s">
        <v>59</v>
      </c>
      <c r="K176" s="116">
        <v>10</v>
      </c>
      <c r="L176" s="116"/>
      <c r="M176" s="141">
        <v>42789</v>
      </c>
    </row>
    <row r="177" spans="2:16" hidden="1" x14ac:dyDescent="0.25">
      <c r="B177" s="110">
        <v>42736</v>
      </c>
      <c r="C177" s="117">
        <v>1044</v>
      </c>
      <c r="D177" s="111" t="e">
        <v>#N/A</v>
      </c>
      <c r="E177" s="111" t="e">
        <v>#N/A</v>
      </c>
      <c r="F177" s="112">
        <v>4829448</v>
      </c>
      <c r="G177" s="113">
        <v>4829448</v>
      </c>
      <c r="H177" s="114">
        <f t="shared" si="5"/>
        <v>0</v>
      </c>
      <c r="I177" s="114"/>
      <c r="J177" s="115" t="s">
        <v>59</v>
      </c>
      <c r="K177" s="116">
        <v>8.84</v>
      </c>
      <c r="L177" s="116"/>
      <c r="M177" s="141">
        <v>42824</v>
      </c>
    </row>
    <row r="178" spans="2:16" hidden="1" x14ac:dyDescent="0.25">
      <c r="B178" s="110">
        <v>42736</v>
      </c>
      <c r="C178" s="117">
        <v>1045</v>
      </c>
      <c r="D178" s="111" t="s">
        <v>87</v>
      </c>
      <c r="E178" s="111" t="s">
        <v>87</v>
      </c>
      <c r="F178" s="112">
        <v>8900000</v>
      </c>
      <c r="G178" s="113">
        <v>8900000</v>
      </c>
      <c r="H178" s="114">
        <f t="shared" si="5"/>
        <v>0</v>
      </c>
      <c r="I178" s="114"/>
      <c r="J178" s="115" t="s">
        <v>59</v>
      </c>
      <c r="K178" s="116">
        <v>11.6</v>
      </c>
      <c r="L178" s="116">
        <v>1</v>
      </c>
      <c r="M178" s="141">
        <v>42789</v>
      </c>
      <c r="N178" s="91" t="s">
        <v>44</v>
      </c>
      <c r="O178" s="91">
        <f>IF(N178="OK",1,0)</f>
        <v>1</v>
      </c>
      <c r="P178" s="91">
        <f>IF(O178=1,H178,0)</f>
        <v>0</v>
      </c>
    </row>
    <row r="179" spans="2:16" hidden="1" x14ac:dyDescent="0.25">
      <c r="B179" s="110">
        <v>42736</v>
      </c>
      <c r="C179" s="117">
        <v>1046</v>
      </c>
      <c r="D179" s="111" t="e">
        <v>#N/A</v>
      </c>
      <c r="E179" s="111" t="e">
        <v>#N/A</v>
      </c>
      <c r="F179" s="112">
        <v>2373440</v>
      </c>
      <c r="G179" s="113">
        <v>2373440</v>
      </c>
      <c r="H179" s="114">
        <f t="shared" si="5"/>
        <v>0</v>
      </c>
      <c r="I179" s="114"/>
      <c r="J179" s="115" t="s">
        <v>59</v>
      </c>
      <c r="K179" s="116">
        <v>7</v>
      </c>
      <c r="L179" s="116"/>
      <c r="M179" s="141">
        <v>42811</v>
      </c>
    </row>
    <row r="180" spans="2:16" hidden="1" x14ac:dyDescent="0.25">
      <c r="B180" s="110">
        <v>42736</v>
      </c>
      <c r="C180" s="117">
        <v>1047</v>
      </c>
      <c r="D180" s="111" t="e">
        <v>#N/A</v>
      </c>
      <c r="E180" s="111" t="e">
        <v>#N/A</v>
      </c>
      <c r="F180" s="112">
        <v>4400000</v>
      </c>
      <c r="G180" s="113">
        <v>4400000</v>
      </c>
      <c r="H180" s="114">
        <f t="shared" si="5"/>
        <v>0</v>
      </c>
      <c r="I180" s="114"/>
      <c r="J180" s="115" t="s">
        <v>59</v>
      </c>
      <c r="K180" s="116">
        <v>9.27</v>
      </c>
      <c r="L180" s="116"/>
      <c r="M180" s="141">
        <v>42808</v>
      </c>
    </row>
    <row r="181" spans="2:16" hidden="1" x14ac:dyDescent="0.25">
      <c r="B181" s="110">
        <v>42736</v>
      </c>
      <c r="C181" s="117">
        <v>1048</v>
      </c>
      <c r="D181" s="111" t="e">
        <v>#N/A</v>
      </c>
      <c r="E181" s="111" t="e">
        <v>#N/A</v>
      </c>
      <c r="F181" s="112">
        <v>4480000</v>
      </c>
      <c r="G181" s="113">
        <v>4480000</v>
      </c>
      <c r="H181" s="114">
        <f t="shared" si="5"/>
        <v>0</v>
      </c>
      <c r="I181" s="114"/>
      <c r="J181" s="115" t="s">
        <v>59</v>
      </c>
      <c r="K181" s="116">
        <v>11.88</v>
      </c>
      <c r="L181" s="116">
        <v>1</v>
      </c>
      <c r="M181" s="141">
        <v>42808</v>
      </c>
      <c r="N181" s="91" t="s">
        <v>67</v>
      </c>
      <c r="O181" s="91">
        <f>IF(N181="OK",1,0)</f>
        <v>1</v>
      </c>
      <c r="P181" s="91">
        <f>IF(O181=1,H181,0)</f>
        <v>0</v>
      </c>
    </row>
    <row r="182" spans="2:16" hidden="1" x14ac:dyDescent="0.25">
      <c r="B182" s="110">
        <v>42736</v>
      </c>
      <c r="C182" s="117">
        <v>1049</v>
      </c>
      <c r="D182" s="111" t="e">
        <v>#N/A</v>
      </c>
      <c r="E182" s="111" t="e">
        <v>#N/A</v>
      </c>
      <c r="F182" s="112">
        <v>4000000</v>
      </c>
      <c r="G182" s="113">
        <v>4000000</v>
      </c>
      <c r="H182" s="114">
        <f t="shared" si="5"/>
        <v>0</v>
      </c>
      <c r="I182" s="114"/>
      <c r="J182" s="115" t="s">
        <v>59</v>
      </c>
      <c r="K182" s="116">
        <v>11.35</v>
      </c>
      <c r="L182" s="116"/>
      <c r="M182" s="141">
        <v>42818</v>
      </c>
    </row>
    <row r="183" spans="2:16" hidden="1" x14ac:dyDescent="0.25">
      <c r="B183" s="110">
        <v>42736</v>
      </c>
      <c r="C183" s="117">
        <v>1050</v>
      </c>
      <c r="D183" s="111" t="s">
        <v>88</v>
      </c>
      <c r="E183" s="111" t="s">
        <v>88</v>
      </c>
      <c r="F183" s="112">
        <v>6500000</v>
      </c>
      <c r="G183" s="113">
        <v>6500000</v>
      </c>
      <c r="H183" s="114">
        <f t="shared" si="5"/>
        <v>0</v>
      </c>
      <c r="I183" s="114"/>
      <c r="J183" s="115" t="s">
        <v>59</v>
      </c>
      <c r="K183" s="116">
        <v>17.71</v>
      </c>
      <c r="L183" s="116"/>
      <c r="M183" s="141">
        <v>42803</v>
      </c>
    </row>
    <row r="184" spans="2:16" hidden="1" x14ac:dyDescent="0.25">
      <c r="B184" s="110">
        <v>42736</v>
      </c>
      <c r="C184" s="117">
        <v>1051</v>
      </c>
      <c r="D184" s="157" t="s">
        <v>107</v>
      </c>
      <c r="E184" s="111" t="s">
        <v>117</v>
      </c>
      <c r="F184" s="112">
        <v>4780389</v>
      </c>
      <c r="G184" s="113">
        <v>1434115</v>
      </c>
      <c r="H184" s="114">
        <f t="shared" si="5"/>
        <v>3346274</v>
      </c>
      <c r="I184" s="114">
        <v>1</v>
      </c>
      <c r="J184" s="115" t="s">
        <v>60</v>
      </c>
      <c r="K184" s="116">
        <v>12.81</v>
      </c>
      <c r="L184" s="116"/>
      <c r="M184" s="141" t="s">
        <v>78</v>
      </c>
    </row>
    <row r="185" spans="2:16" hidden="1" x14ac:dyDescent="0.25">
      <c r="B185" s="110">
        <v>42736</v>
      </c>
      <c r="C185" s="117">
        <v>1052</v>
      </c>
      <c r="D185" s="157" t="s">
        <v>107</v>
      </c>
      <c r="E185" s="111" t="s">
        <v>117</v>
      </c>
      <c r="F185" s="112">
        <v>5019793</v>
      </c>
      <c r="G185" s="113">
        <v>1505947</v>
      </c>
      <c r="H185" s="114">
        <f t="shared" si="5"/>
        <v>3513846</v>
      </c>
      <c r="I185" s="114">
        <v>1</v>
      </c>
      <c r="J185" s="115" t="s">
        <v>60</v>
      </c>
      <c r="K185" s="116">
        <v>13.45</v>
      </c>
      <c r="L185" s="116"/>
      <c r="M185" s="141" t="s">
        <v>78</v>
      </c>
    </row>
    <row r="186" spans="2:16" hidden="1" x14ac:dyDescent="0.25">
      <c r="B186" s="110">
        <v>42767</v>
      </c>
      <c r="C186" s="117">
        <v>1053</v>
      </c>
      <c r="D186" s="111" t="e">
        <v>#N/A</v>
      </c>
      <c r="E186" s="111" t="e">
        <v>#N/A</v>
      </c>
      <c r="F186" s="112">
        <v>3403180</v>
      </c>
      <c r="G186" s="113">
        <v>3403180</v>
      </c>
      <c r="H186" s="114">
        <f t="shared" si="5"/>
        <v>0</v>
      </c>
      <c r="I186" s="114"/>
      <c r="J186" s="115" t="s">
        <v>59</v>
      </c>
      <c r="K186" s="116">
        <v>9.8000000000000007</v>
      </c>
      <c r="L186" s="116"/>
      <c r="M186" s="141">
        <v>42803</v>
      </c>
    </row>
    <row r="187" spans="2:16" hidden="1" x14ac:dyDescent="0.25">
      <c r="B187" s="110">
        <v>42767</v>
      </c>
      <c r="C187" s="117">
        <v>1054</v>
      </c>
      <c r="D187" s="111" t="e">
        <v>#N/A</v>
      </c>
      <c r="E187" s="111" t="e">
        <v>#N/A</v>
      </c>
      <c r="F187" s="112">
        <v>2670066</v>
      </c>
      <c r="G187" s="113">
        <v>2670066</v>
      </c>
      <c r="H187" s="114">
        <f t="shared" si="5"/>
        <v>0</v>
      </c>
      <c r="I187" s="114"/>
      <c r="J187" s="115" t="s">
        <v>59</v>
      </c>
      <c r="K187" s="116">
        <v>7.2</v>
      </c>
      <c r="L187" s="116"/>
      <c r="M187" s="141">
        <v>42808</v>
      </c>
    </row>
    <row r="188" spans="2:16" hidden="1" x14ac:dyDescent="0.25">
      <c r="B188" s="110">
        <v>42767</v>
      </c>
      <c r="C188" s="117">
        <v>1055</v>
      </c>
      <c r="D188" s="111" t="s">
        <v>85</v>
      </c>
      <c r="E188" s="111" t="s">
        <v>85</v>
      </c>
      <c r="F188" s="112">
        <v>3053289</v>
      </c>
      <c r="G188" s="113">
        <v>3124776</v>
      </c>
      <c r="H188" s="114">
        <f t="shared" si="5"/>
        <v>-71487</v>
      </c>
      <c r="I188" s="114"/>
      <c r="J188" s="115" t="s">
        <v>59</v>
      </c>
      <c r="K188" s="116">
        <v>7.8</v>
      </c>
      <c r="L188" s="116"/>
      <c r="M188" s="141">
        <v>42816</v>
      </c>
    </row>
    <row r="189" spans="2:16" hidden="1" x14ac:dyDescent="0.25">
      <c r="B189" s="110">
        <v>42767</v>
      </c>
      <c r="C189" s="117">
        <v>1056</v>
      </c>
      <c r="D189" s="111" t="e">
        <v>#N/A</v>
      </c>
      <c r="E189" s="111" t="e">
        <v>#N/A</v>
      </c>
      <c r="F189" s="112">
        <v>1879901</v>
      </c>
      <c r="G189" s="113">
        <v>1879901</v>
      </c>
      <c r="H189" s="114">
        <f t="shared" si="5"/>
        <v>0</v>
      </c>
      <c r="I189" s="114"/>
      <c r="J189" s="115" t="s">
        <v>59</v>
      </c>
      <c r="K189" s="116">
        <v>3.3</v>
      </c>
      <c r="L189" s="116"/>
      <c r="M189" s="141">
        <v>42815</v>
      </c>
    </row>
    <row r="190" spans="2:16" hidden="1" x14ac:dyDescent="0.25">
      <c r="B190" s="110">
        <v>42767</v>
      </c>
      <c r="C190" s="117">
        <v>1057</v>
      </c>
      <c r="D190" s="157" t="s">
        <v>102</v>
      </c>
      <c r="E190" s="111" t="s">
        <v>118</v>
      </c>
      <c r="F190" s="112">
        <v>3128570</v>
      </c>
      <c r="G190" s="113">
        <v>0</v>
      </c>
      <c r="H190" s="114">
        <f t="shared" ref="H190:H221" si="6">F190-G190</f>
        <v>3128570</v>
      </c>
      <c r="I190" s="114">
        <v>1</v>
      </c>
      <c r="J190" s="115" t="s">
        <v>59</v>
      </c>
      <c r="K190" s="116">
        <v>0</v>
      </c>
      <c r="L190" s="116">
        <v>1</v>
      </c>
      <c r="M190" s="141">
        <v>42871</v>
      </c>
      <c r="N190" s="91" t="s">
        <v>67</v>
      </c>
      <c r="O190" s="91">
        <f>IF(N190="OK",1,0)</f>
        <v>1</v>
      </c>
      <c r="P190" s="91">
        <f>IF(O190=1,H190,0)</f>
        <v>3128570</v>
      </c>
    </row>
    <row r="191" spans="2:16" hidden="1" x14ac:dyDescent="0.25">
      <c r="B191" s="110">
        <v>42767</v>
      </c>
      <c r="C191" s="117">
        <v>1058</v>
      </c>
      <c r="D191" s="111" t="e">
        <v>#N/A</v>
      </c>
      <c r="E191" s="111" t="e">
        <v>#N/A</v>
      </c>
      <c r="F191" s="112">
        <v>2750000</v>
      </c>
      <c r="G191" s="113">
        <v>2750000</v>
      </c>
      <c r="H191" s="114">
        <f t="shared" si="6"/>
        <v>0</v>
      </c>
      <c r="I191" s="114"/>
      <c r="J191" s="115" t="s">
        <v>59</v>
      </c>
      <c r="K191" s="116">
        <v>7.13</v>
      </c>
      <c r="L191" s="116">
        <v>1</v>
      </c>
      <c r="M191" s="141">
        <v>42809</v>
      </c>
      <c r="N191" s="91" t="s">
        <v>44</v>
      </c>
      <c r="O191" s="91">
        <f>IF(N191="OK",1,0)</f>
        <v>1</v>
      </c>
      <c r="P191" s="91">
        <f>IF(O191=1,H191,0)</f>
        <v>0</v>
      </c>
    </row>
    <row r="192" spans="2:16" hidden="1" x14ac:dyDescent="0.25">
      <c r="B192" s="110">
        <v>42767</v>
      </c>
      <c r="C192" s="117">
        <v>1059</v>
      </c>
      <c r="D192" s="157" t="s">
        <v>103</v>
      </c>
      <c r="E192" s="111" t="s">
        <v>119</v>
      </c>
      <c r="F192" s="112">
        <v>8900000</v>
      </c>
      <c r="G192" s="113">
        <f>7416666+1483334</f>
        <v>8900000</v>
      </c>
      <c r="H192" s="114">
        <f t="shared" si="6"/>
        <v>0</v>
      </c>
      <c r="I192" s="114"/>
      <c r="J192" s="115" t="s">
        <v>59</v>
      </c>
      <c r="K192" s="116">
        <v>24</v>
      </c>
      <c r="L192" s="116">
        <v>1</v>
      </c>
      <c r="M192" s="141">
        <v>42831</v>
      </c>
      <c r="O192" s="91">
        <f>IF(N192="OK",1,0)</f>
        <v>0</v>
      </c>
      <c r="P192" s="91">
        <f>IF(O192=1,H192,0)</f>
        <v>0</v>
      </c>
    </row>
    <row r="193" spans="2:16" hidden="1" x14ac:dyDescent="0.25">
      <c r="B193" s="110">
        <v>42767</v>
      </c>
      <c r="C193" s="117">
        <v>1060</v>
      </c>
      <c r="D193" s="111" t="e">
        <v>#N/A</v>
      </c>
      <c r="E193" s="111" t="e">
        <v>#N/A</v>
      </c>
      <c r="F193" s="112">
        <v>2500000</v>
      </c>
      <c r="G193" s="113">
        <v>2500000</v>
      </c>
      <c r="H193" s="114">
        <f t="shared" si="6"/>
        <v>0</v>
      </c>
      <c r="I193" s="114"/>
      <c r="J193" s="115" t="s">
        <v>59</v>
      </c>
      <c r="K193" s="116">
        <v>6.92</v>
      </c>
      <c r="L193" s="116"/>
      <c r="M193" s="141">
        <v>42815</v>
      </c>
    </row>
    <row r="194" spans="2:16" hidden="1" x14ac:dyDescent="0.25">
      <c r="B194" s="110">
        <v>42767</v>
      </c>
      <c r="C194" s="117">
        <v>1061</v>
      </c>
      <c r="D194" s="157" t="s">
        <v>98</v>
      </c>
      <c r="E194" s="111" t="s">
        <v>120</v>
      </c>
      <c r="F194" s="112">
        <v>3592960</v>
      </c>
      <c r="G194" s="113">
        <v>2397653</v>
      </c>
      <c r="H194" s="114">
        <f t="shared" si="6"/>
        <v>1195307</v>
      </c>
      <c r="I194" s="114">
        <v>1</v>
      </c>
      <c r="J194" s="115" t="s">
        <v>59</v>
      </c>
      <c r="K194" s="116">
        <v>10.5</v>
      </c>
      <c r="L194" s="116">
        <v>1</v>
      </c>
      <c r="M194" s="141">
        <v>42849</v>
      </c>
      <c r="O194" s="91">
        <f>IF(N194="OK",1,0)</f>
        <v>0</v>
      </c>
      <c r="P194" s="91">
        <f>IF(O194=1,H194,0)</f>
        <v>0</v>
      </c>
    </row>
    <row r="195" spans="2:16" hidden="1" x14ac:dyDescent="0.25">
      <c r="B195" s="110">
        <v>42767</v>
      </c>
      <c r="C195" s="117">
        <v>1062</v>
      </c>
      <c r="D195" s="111" t="e">
        <v>#N/A</v>
      </c>
      <c r="E195" s="111" t="e">
        <v>#N/A</v>
      </c>
      <c r="F195" s="112">
        <v>882890</v>
      </c>
      <c r="G195" s="113">
        <v>882890</v>
      </c>
      <c r="H195" s="114">
        <f t="shared" si="6"/>
        <v>0</v>
      </c>
      <c r="I195" s="114"/>
      <c r="J195" s="115" t="s">
        <v>59</v>
      </c>
      <c r="K195" s="116">
        <v>1.4</v>
      </c>
      <c r="L195" s="116"/>
      <c r="M195" s="141">
        <v>42824</v>
      </c>
    </row>
    <row r="196" spans="2:16" hidden="1" x14ac:dyDescent="0.25">
      <c r="B196" s="110">
        <v>42767</v>
      </c>
      <c r="C196" s="117">
        <v>1063</v>
      </c>
      <c r="D196" s="111" t="s">
        <v>89</v>
      </c>
      <c r="E196" s="111" t="s">
        <v>89</v>
      </c>
      <c r="F196" s="112">
        <v>4074592</v>
      </c>
      <c r="G196" s="113">
        <v>4074592</v>
      </c>
      <c r="H196" s="114">
        <f t="shared" si="6"/>
        <v>0</v>
      </c>
      <c r="I196" s="114"/>
      <c r="J196" s="115" t="s">
        <v>59</v>
      </c>
      <c r="K196" s="116">
        <v>10.1</v>
      </c>
      <c r="L196" s="116"/>
      <c r="M196" s="141">
        <v>42837</v>
      </c>
    </row>
    <row r="197" spans="2:16" hidden="1" x14ac:dyDescent="0.25">
      <c r="B197" s="110">
        <v>42767</v>
      </c>
      <c r="C197" s="117">
        <v>1064</v>
      </c>
      <c r="D197" s="111" t="e">
        <v>#N/A</v>
      </c>
      <c r="E197" s="111" t="e">
        <v>#N/A</v>
      </c>
      <c r="F197" s="112">
        <v>3788119</v>
      </c>
      <c r="G197" s="113">
        <v>3788119</v>
      </c>
      <c r="H197" s="114">
        <f t="shared" si="6"/>
        <v>0</v>
      </c>
      <c r="I197" s="114"/>
      <c r="J197" s="115" t="s">
        <v>59</v>
      </c>
      <c r="K197" s="116">
        <v>6.85</v>
      </c>
      <c r="L197" s="116"/>
      <c r="M197" s="141">
        <v>42817</v>
      </c>
    </row>
    <row r="198" spans="2:16" hidden="1" x14ac:dyDescent="0.25">
      <c r="B198" s="110">
        <v>42767</v>
      </c>
      <c r="C198" s="117">
        <v>1065</v>
      </c>
      <c r="D198" s="111" t="e">
        <v>#N/A</v>
      </c>
      <c r="E198" s="111" t="e">
        <v>#N/A</v>
      </c>
      <c r="F198" s="112">
        <v>3515524</v>
      </c>
      <c r="G198" s="113">
        <v>3515524</v>
      </c>
      <c r="H198" s="114">
        <f t="shared" si="6"/>
        <v>0</v>
      </c>
      <c r="I198" s="114"/>
      <c r="J198" s="115" t="s">
        <v>59</v>
      </c>
      <c r="K198" s="116">
        <v>8.9</v>
      </c>
      <c r="L198" s="116"/>
      <c r="M198" s="141">
        <v>42816</v>
      </c>
    </row>
    <row r="199" spans="2:16" hidden="1" x14ac:dyDescent="0.25">
      <c r="B199" s="110">
        <v>42767</v>
      </c>
      <c r="C199" s="117">
        <v>1066</v>
      </c>
      <c r="D199" s="111" t="e">
        <v>#N/A</v>
      </c>
      <c r="E199" s="111" t="e">
        <v>#N/A</v>
      </c>
      <c r="F199" s="112">
        <v>2680000</v>
      </c>
      <c r="G199" s="113">
        <v>2680000</v>
      </c>
      <c r="H199" s="114">
        <f t="shared" si="6"/>
        <v>0</v>
      </c>
      <c r="I199" s="114"/>
      <c r="J199" s="115" t="s">
        <v>59</v>
      </c>
      <c r="K199" s="116">
        <v>6.63</v>
      </c>
      <c r="L199" s="116">
        <v>1</v>
      </c>
      <c r="M199" s="141">
        <v>42861</v>
      </c>
      <c r="N199" s="91" t="s">
        <v>67</v>
      </c>
      <c r="O199" s="91">
        <f>IF(N199="OK",1,0)</f>
        <v>1</v>
      </c>
      <c r="P199" s="91">
        <f>IF(O199=1,H199,0)</f>
        <v>0</v>
      </c>
    </row>
    <row r="200" spans="2:16" hidden="1" x14ac:dyDescent="0.25">
      <c r="B200" s="110">
        <v>42767</v>
      </c>
      <c r="C200" s="117">
        <v>1067</v>
      </c>
      <c r="D200" s="157" t="s">
        <v>90</v>
      </c>
      <c r="E200" s="111" t="s">
        <v>90</v>
      </c>
      <c r="F200" s="112">
        <v>3130961</v>
      </c>
      <c r="G200" s="113">
        <v>1830581</v>
      </c>
      <c r="H200" s="114">
        <f t="shared" si="6"/>
        <v>1300380</v>
      </c>
      <c r="I200" s="114">
        <v>1</v>
      </c>
      <c r="J200" s="115" t="s">
        <v>59</v>
      </c>
      <c r="K200" s="116">
        <v>7.8</v>
      </c>
      <c r="L200" s="116"/>
      <c r="M200" s="141">
        <v>42824</v>
      </c>
    </row>
    <row r="201" spans="2:16" hidden="1" x14ac:dyDescent="0.25">
      <c r="B201" s="110">
        <v>42767</v>
      </c>
      <c r="C201" s="117">
        <v>1069</v>
      </c>
      <c r="D201" s="157" t="s">
        <v>98</v>
      </c>
      <c r="E201" s="111" t="s">
        <v>91</v>
      </c>
      <c r="F201" s="112">
        <v>4000000</v>
      </c>
      <c r="G201" s="113">
        <f>3600000+200000</f>
        <v>3800000</v>
      </c>
      <c r="H201" s="114">
        <f t="shared" si="6"/>
        <v>200000</v>
      </c>
      <c r="I201" s="114">
        <v>1</v>
      </c>
      <c r="J201" s="115" t="s">
        <v>59</v>
      </c>
      <c r="K201" s="116">
        <v>10.96</v>
      </c>
      <c r="L201" s="116"/>
      <c r="M201" s="141">
        <v>42838</v>
      </c>
    </row>
    <row r="202" spans="2:16" hidden="1" x14ac:dyDescent="0.25">
      <c r="B202" s="110">
        <v>42767</v>
      </c>
      <c r="C202" s="117">
        <v>1070</v>
      </c>
      <c r="D202" s="111" t="s">
        <v>88</v>
      </c>
      <c r="E202" s="111" t="s">
        <v>88</v>
      </c>
      <c r="F202" s="112">
        <v>2480744</v>
      </c>
      <c r="G202" s="113">
        <v>2480744</v>
      </c>
      <c r="H202" s="114">
        <f t="shared" si="6"/>
        <v>0</v>
      </c>
      <c r="I202" s="114"/>
      <c r="J202" s="115" t="s">
        <v>59</v>
      </c>
      <c r="K202" s="116">
        <v>6</v>
      </c>
      <c r="L202" s="116"/>
      <c r="M202" s="141">
        <v>42838</v>
      </c>
    </row>
    <row r="203" spans="2:16" hidden="1" x14ac:dyDescent="0.25">
      <c r="B203" s="110">
        <v>42767</v>
      </c>
      <c r="C203" s="117">
        <v>1071</v>
      </c>
      <c r="D203" s="111" t="e">
        <v>#N/A</v>
      </c>
      <c r="E203" s="111" t="e">
        <v>#N/A</v>
      </c>
      <c r="F203" s="112">
        <v>3217929</v>
      </c>
      <c r="G203" s="113">
        <f>1607035+1610894</f>
        <v>3217929</v>
      </c>
      <c r="H203" s="114">
        <f t="shared" si="6"/>
        <v>0</v>
      </c>
      <c r="I203" s="114"/>
      <c r="J203" s="115" t="s">
        <v>59</v>
      </c>
      <c r="K203" s="116">
        <v>8.09</v>
      </c>
      <c r="L203" s="116"/>
      <c r="M203" s="141">
        <v>42846</v>
      </c>
    </row>
    <row r="204" spans="2:16" hidden="1" x14ac:dyDescent="0.25">
      <c r="B204" s="110">
        <v>42767</v>
      </c>
      <c r="C204" s="117">
        <v>1072</v>
      </c>
      <c r="D204" s="157" t="s">
        <v>154</v>
      </c>
      <c r="E204" s="111" t="s">
        <v>92</v>
      </c>
      <c r="F204" s="112">
        <v>1453691</v>
      </c>
      <c r="G204" s="113">
        <v>700000</v>
      </c>
      <c r="H204" s="114">
        <f t="shared" si="6"/>
        <v>753691</v>
      </c>
      <c r="I204" s="114">
        <v>1</v>
      </c>
      <c r="J204" s="115" t="s">
        <v>59</v>
      </c>
      <c r="K204" s="116">
        <v>3.1</v>
      </c>
      <c r="L204" s="116"/>
      <c r="M204" s="141">
        <v>42835</v>
      </c>
    </row>
    <row r="205" spans="2:16" hidden="1" x14ac:dyDescent="0.25">
      <c r="B205" s="110">
        <v>42767</v>
      </c>
      <c r="C205" s="117">
        <v>1073</v>
      </c>
      <c r="D205" s="111" t="e">
        <v>#N/A</v>
      </c>
      <c r="E205" s="111" t="e">
        <v>#N/A</v>
      </c>
      <c r="F205" s="112">
        <v>2795700</v>
      </c>
      <c r="G205" s="113">
        <v>2795700</v>
      </c>
      <c r="H205" s="114">
        <f t="shared" si="6"/>
        <v>0</v>
      </c>
      <c r="I205" s="114"/>
      <c r="J205" s="115" t="s">
        <v>59</v>
      </c>
      <c r="K205" s="116">
        <v>7.5</v>
      </c>
      <c r="L205" s="116"/>
      <c r="M205" s="141">
        <v>42831</v>
      </c>
    </row>
    <row r="206" spans="2:16" hidden="1" x14ac:dyDescent="0.25">
      <c r="B206" s="110">
        <v>42767</v>
      </c>
      <c r="C206" s="117">
        <v>1074</v>
      </c>
      <c r="D206" s="111" t="e">
        <v>#N/A</v>
      </c>
      <c r="E206" s="111" t="e">
        <v>#N/A</v>
      </c>
      <c r="F206" s="112">
        <v>1805850</v>
      </c>
      <c r="G206" s="113">
        <v>1805850</v>
      </c>
      <c r="H206" s="114">
        <f t="shared" si="6"/>
        <v>0</v>
      </c>
      <c r="I206" s="114"/>
      <c r="J206" s="115" t="s">
        <v>59</v>
      </c>
      <c r="K206" s="116">
        <v>4.28</v>
      </c>
      <c r="L206" s="116">
        <v>1</v>
      </c>
      <c r="M206" s="141">
        <v>42863</v>
      </c>
      <c r="N206" s="91" t="s">
        <v>67</v>
      </c>
      <c r="O206" s="91">
        <f>IF(N206="OK",1,0)</f>
        <v>1</v>
      </c>
      <c r="P206" s="91">
        <f>IF(O206=1,H206,0)</f>
        <v>0</v>
      </c>
    </row>
    <row r="207" spans="2:16" hidden="1" x14ac:dyDescent="0.25">
      <c r="B207" s="110">
        <v>42795</v>
      </c>
      <c r="C207" s="117">
        <v>1075</v>
      </c>
      <c r="D207" s="157" t="s">
        <v>98</v>
      </c>
      <c r="E207" s="111" t="s">
        <v>119</v>
      </c>
      <c r="F207" s="112">
        <v>2012191</v>
      </c>
      <c r="G207" s="113">
        <f>1408534+201219</f>
        <v>1609753</v>
      </c>
      <c r="H207" s="114">
        <f t="shared" si="6"/>
        <v>402438</v>
      </c>
      <c r="I207" s="114">
        <v>1</v>
      </c>
      <c r="J207" s="115" t="s">
        <v>59</v>
      </c>
      <c r="K207" s="116">
        <v>4.72</v>
      </c>
      <c r="L207" s="116">
        <v>1</v>
      </c>
      <c r="M207" s="141">
        <v>42838</v>
      </c>
      <c r="O207" s="91">
        <f>IF(N207="OK",1,0)</f>
        <v>0</v>
      </c>
      <c r="P207" s="91">
        <f>IF(O207=1,H207,0)</f>
        <v>0</v>
      </c>
    </row>
    <row r="208" spans="2:16" hidden="1" x14ac:dyDescent="0.25">
      <c r="B208" s="110">
        <v>42795</v>
      </c>
      <c r="C208" s="117">
        <v>1076</v>
      </c>
      <c r="D208" s="111" t="e">
        <v>#N/A</v>
      </c>
      <c r="E208" s="111" t="e">
        <v>#N/A</v>
      </c>
      <c r="F208" s="112">
        <v>3298960</v>
      </c>
      <c r="G208" s="113">
        <v>3298960</v>
      </c>
      <c r="H208" s="114">
        <f t="shared" si="6"/>
        <v>0</v>
      </c>
      <c r="I208" s="114"/>
      <c r="J208" s="115" t="s">
        <v>59</v>
      </c>
      <c r="K208" s="116">
        <v>7.83</v>
      </c>
      <c r="L208" s="116">
        <v>1</v>
      </c>
      <c r="M208" s="141">
        <v>42863</v>
      </c>
      <c r="N208" s="91" t="s">
        <v>67</v>
      </c>
      <c r="O208" s="91">
        <f>IF(N208="OK",1,0)</f>
        <v>1</v>
      </c>
      <c r="P208" s="91">
        <f>IF(O208=1,H208,0)</f>
        <v>0</v>
      </c>
    </row>
    <row r="209" spans="2:16" hidden="1" x14ac:dyDescent="0.25">
      <c r="B209" s="110">
        <v>42795</v>
      </c>
      <c r="C209" s="117">
        <v>1077</v>
      </c>
      <c r="D209" s="111" t="e">
        <v>#N/A</v>
      </c>
      <c r="E209" s="111" t="e">
        <v>#N/A</v>
      </c>
      <c r="F209" s="112">
        <v>4900000</v>
      </c>
      <c r="G209" s="113">
        <f>2450000+2450000</f>
        <v>4900000</v>
      </c>
      <c r="H209" s="114">
        <f t="shared" si="6"/>
        <v>0</v>
      </c>
      <c r="I209" s="114"/>
      <c r="J209" s="115" t="s">
        <v>59</v>
      </c>
      <c r="K209" s="116">
        <v>13.86</v>
      </c>
      <c r="L209" s="116"/>
      <c r="M209" s="141">
        <v>42878</v>
      </c>
      <c r="N209" s="91" t="s">
        <v>67</v>
      </c>
    </row>
    <row r="210" spans="2:16" hidden="1" x14ac:dyDescent="0.25">
      <c r="B210" s="110">
        <v>42795</v>
      </c>
      <c r="C210" s="117">
        <v>1078</v>
      </c>
      <c r="D210" s="111" t="s">
        <v>91</v>
      </c>
      <c r="E210" s="111" t="s">
        <v>91</v>
      </c>
      <c r="F210" s="112">
        <v>4562944</v>
      </c>
      <c r="G210" s="113">
        <v>4562944</v>
      </c>
      <c r="H210" s="114">
        <f t="shared" si="6"/>
        <v>0</v>
      </c>
      <c r="I210" s="114"/>
      <c r="J210" s="115" t="s">
        <v>59</v>
      </c>
      <c r="K210" s="116">
        <v>10.199999999999999</v>
      </c>
      <c r="L210" s="116">
        <v>1</v>
      </c>
      <c r="M210" s="141">
        <v>42852</v>
      </c>
      <c r="N210" s="91" t="s">
        <v>67</v>
      </c>
      <c r="O210" s="91">
        <f>IF(N210="OK",1,0)</f>
        <v>1</v>
      </c>
      <c r="P210" s="91">
        <f>IF(O210=1,H210,0)</f>
        <v>0</v>
      </c>
    </row>
    <row r="211" spans="2:16" hidden="1" x14ac:dyDescent="0.25">
      <c r="B211" s="110">
        <v>42795</v>
      </c>
      <c r="C211" s="117">
        <v>1081</v>
      </c>
      <c r="D211" s="157" t="s">
        <v>98</v>
      </c>
      <c r="E211" s="111" t="s">
        <v>93</v>
      </c>
      <c r="F211" s="112">
        <v>2920000</v>
      </c>
      <c r="G211" s="113">
        <f>1950000+490000</f>
        <v>2440000</v>
      </c>
      <c r="H211" s="114">
        <f t="shared" si="6"/>
        <v>480000</v>
      </c>
      <c r="I211" s="114">
        <v>1</v>
      </c>
      <c r="J211" s="115" t="s">
        <v>59</v>
      </c>
      <c r="K211" s="116">
        <v>7.69</v>
      </c>
      <c r="L211" s="116"/>
      <c r="M211" s="141">
        <v>42843</v>
      </c>
    </row>
    <row r="212" spans="2:16" hidden="1" x14ac:dyDescent="0.25">
      <c r="B212" s="110">
        <v>42795</v>
      </c>
      <c r="C212" s="117">
        <v>1082</v>
      </c>
      <c r="D212" s="157" t="s">
        <v>107</v>
      </c>
      <c r="E212" s="111" t="s">
        <v>121</v>
      </c>
      <c r="F212" s="112">
        <v>4376797</v>
      </c>
      <c r="G212" s="113">
        <v>2188000</v>
      </c>
      <c r="H212" s="114">
        <f t="shared" si="6"/>
        <v>2188797</v>
      </c>
      <c r="I212" s="114">
        <v>1</v>
      </c>
      <c r="J212" s="115" t="s">
        <v>60</v>
      </c>
      <c r="K212" s="116">
        <v>9.9700000000000006</v>
      </c>
      <c r="L212" s="116"/>
      <c r="M212" s="141">
        <v>42938</v>
      </c>
      <c r="N212" s="91" t="s">
        <v>68</v>
      </c>
    </row>
    <row r="213" spans="2:16" hidden="1" x14ac:dyDescent="0.25">
      <c r="B213" s="110">
        <v>42795</v>
      </c>
      <c r="C213" s="117">
        <v>1083</v>
      </c>
      <c r="D213" s="111" t="e">
        <v>#N/A</v>
      </c>
      <c r="E213" s="111" t="e">
        <v>#N/A</v>
      </c>
      <c r="F213" s="112">
        <v>3800000</v>
      </c>
      <c r="G213" s="113">
        <v>3800000</v>
      </c>
      <c r="H213" s="114">
        <f t="shared" si="6"/>
        <v>0</v>
      </c>
      <c r="I213" s="114"/>
      <c r="J213" s="115" t="s">
        <v>59</v>
      </c>
      <c r="K213" s="116">
        <v>10.130000000000001</v>
      </c>
      <c r="L213" s="116"/>
      <c r="M213" s="141">
        <v>42859</v>
      </c>
      <c r="N213" s="91" t="s">
        <v>67</v>
      </c>
    </row>
    <row r="214" spans="2:16" hidden="1" x14ac:dyDescent="0.25">
      <c r="B214" s="110">
        <v>42795</v>
      </c>
      <c r="C214" s="117">
        <v>1084</v>
      </c>
      <c r="D214" s="157" t="s">
        <v>100</v>
      </c>
      <c r="E214" s="111" t="s">
        <v>110</v>
      </c>
      <c r="F214" s="112">
        <v>5286663</v>
      </c>
      <c r="G214" s="113">
        <f>2600000+2000000+686663</f>
        <v>5286663</v>
      </c>
      <c r="H214" s="114">
        <f t="shared" si="6"/>
        <v>0</v>
      </c>
      <c r="I214" s="114"/>
      <c r="J214" s="115" t="s">
        <v>59</v>
      </c>
      <c r="K214" s="116">
        <v>15.4</v>
      </c>
      <c r="L214" s="116">
        <v>1</v>
      </c>
      <c r="M214" s="141">
        <v>42889</v>
      </c>
      <c r="N214" s="91" t="s">
        <v>44</v>
      </c>
      <c r="O214" s="91">
        <f>IF(N214="OK",1,0)</f>
        <v>1</v>
      </c>
      <c r="P214" s="91">
        <f>IF(O214=1,H214,0)</f>
        <v>0</v>
      </c>
    </row>
    <row r="215" spans="2:16" hidden="1" x14ac:dyDescent="0.25">
      <c r="B215" s="110">
        <v>42795</v>
      </c>
      <c r="C215" s="117">
        <v>1085</v>
      </c>
      <c r="D215" s="111" t="e">
        <v>#N/A</v>
      </c>
      <c r="E215" s="111" t="e">
        <v>#N/A</v>
      </c>
      <c r="F215" s="112">
        <v>4380000</v>
      </c>
      <c r="G215" s="113">
        <v>4380000</v>
      </c>
      <c r="H215" s="114">
        <f t="shared" si="6"/>
        <v>0</v>
      </c>
      <c r="I215" s="114"/>
      <c r="J215" s="115" t="s">
        <v>59</v>
      </c>
      <c r="K215" s="116">
        <v>11.88</v>
      </c>
      <c r="L215" s="116"/>
      <c r="M215" s="141">
        <v>42846</v>
      </c>
    </row>
    <row r="216" spans="2:16" hidden="1" x14ac:dyDescent="0.25">
      <c r="B216" s="110">
        <v>42795</v>
      </c>
      <c r="C216" s="117">
        <v>1086</v>
      </c>
      <c r="D216" s="111" t="e">
        <v>#N/A</v>
      </c>
      <c r="E216" s="111" t="e">
        <v>#N/A</v>
      </c>
      <c r="F216" s="112">
        <v>1284463</v>
      </c>
      <c r="G216" s="113">
        <v>1284463</v>
      </c>
      <c r="H216" s="114">
        <f t="shared" si="6"/>
        <v>0</v>
      </c>
      <c r="I216" s="114"/>
      <c r="J216" s="115" t="s">
        <v>59</v>
      </c>
      <c r="K216" s="116">
        <v>3.33</v>
      </c>
      <c r="L216" s="116"/>
      <c r="M216" s="141">
        <v>42843</v>
      </c>
    </row>
    <row r="217" spans="2:16" hidden="1" x14ac:dyDescent="0.25">
      <c r="B217" s="110">
        <v>42795</v>
      </c>
      <c r="C217" s="117">
        <v>1087</v>
      </c>
      <c r="D217" s="157" t="s">
        <v>106</v>
      </c>
      <c r="E217" s="111" t="s">
        <v>122</v>
      </c>
      <c r="F217" s="112">
        <v>2394000</v>
      </c>
      <c r="G217" s="113">
        <v>2383956</v>
      </c>
      <c r="H217" s="114">
        <f t="shared" si="6"/>
        <v>10044</v>
      </c>
      <c r="I217" s="114">
        <v>1</v>
      </c>
      <c r="J217" s="115" t="s">
        <v>59</v>
      </c>
      <c r="K217" s="116">
        <v>5.85</v>
      </c>
      <c r="L217" s="116">
        <v>1</v>
      </c>
      <c r="M217" s="141">
        <v>42874</v>
      </c>
      <c r="N217" s="91" t="s">
        <v>67</v>
      </c>
      <c r="O217" s="91">
        <f>IF(N217="OK",1,0)</f>
        <v>1</v>
      </c>
      <c r="P217" s="91">
        <f>IF(O217=1,H217,0)</f>
        <v>10044</v>
      </c>
    </row>
    <row r="218" spans="2:16" hidden="1" x14ac:dyDescent="0.25">
      <c r="B218" s="110">
        <v>42795</v>
      </c>
      <c r="C218" s="117">
        <v>1088</v>
      </c>
      <c r="D218" s="111" t="s">
        <v>94</v>
      </c>
      <c r="E218" s="111" t="s">
        <v>94</v>
      </c>
      <c r="F218" s="112">
        <v>4044000</v>
      </c>
      <c r="G218" s="113">
        <v>4044000</v>
      </c>
      <c r="H218" s="114">
        <f t="shared" si="6"/>
        <v>0</v>
      </c>
      <c r="I218" s="114"/>
      <c r="J218" s="115" t="s">
        <v>59</v>
      </c>
      <c r="K218" s="116">
        <v>11.5</v>
      </c>
      <c r="L218" s="116">
        <v>1</v>
      </c>
      <c r="M218" s="141">
        <v>42852</v>
      </c>
      <c r="N218" s="91" t="s">
        <v>44</v>
      </c>
      <c r="O218" s="91">
        <f>IF(N218="OK",1,0)</f>
        <v>1</v>
      </c>
      <c r="P218" s="91">
        <f>IF(O218=1,H218,0)</f>
        <v>0</v>
      </c>
    </row>
    <row r="219" spans="2:16" hidden="1" x14ac:dyDescent="0.25">
      <c r="B219" s="110">
        <v>42795</v>
      </c>
      <c r="C219" s="117">
        <v>1089</v>
      </c>
      <c r="D219" s="111" t="s">
        <v>94</v>
      </c>
      <c r="E219" s="111" t="s">
        <v>94</v>
      </c>
      <c r="F219" s="112">
        <v>2687655</v>
      </c>
      <c r="G219" s="113">
        <v>2687655</v>
      </c>
      <c r="H219" s="114">
        <f t="shared" si="6"/>
        <v>0</v>
      </c>
      <c r="I219" s="114"/>
      <c r="J219" s="115" t="s">
        <v>59</v>
      </c>
      <c r="K219" s="116">
        <v>6.5</v>
      </c>
      <c r="L219" s="116">
        <v>1</v>
      </c>
      <c r="M219" s="141">
        <v>42852</v>
      </c>
      <c r="N219" s="91" t="s">
        <v>44</v>
      </c>
      <c r="O219" s="91">
        <f>IF(N219="OK",1,0)</f>
        <v>1</v>
      </c>
      <c r="P219" s="91">
        <f>IF(O219=1,H219,0)</f>
        <v>0</v>
      </c>
    </row>
    <row r="220" spans="2:16" x14ac:dyDescent="0.25">
      <c r="B220" s="110">
        <v>42795</v>
      </c>
      <c r="C220" s="117">
        <v>1090</v>
      </c>
      <c r="D220" s="157" t="s">
        <v>100</v>
      </c>
      <c r="E220" s="111" t="s">
        <v>123</v>
      </c>
      <c r="F220" s="112">
        <v>7681930</v>
      </c>
      <c r="G220" s="113">
        <v>3840964</v>
      </c>
      <c r="H220" s="114">
        <f t="shared" si="6"/>
        <v>3840966</v>
      </c>
      <c r="I220" s="114">
        <v>1</v>
      </c>
      <c r="J220" s="115" t="s">
        <v>60</v>
      </c>
      <c r="K220" s="116">
        <v>16.760000000000002</v>
      </c>
      <c r="L220" s="116">
        <v>1</v>
      </c>
      <c r="M220" s="141">
        <v>42908</v>
      </c>
      <c r="N220" s="91" t="s">
        <v>77</v>
      </c>
    </row>
    <row r="221" spans="2:16" hidden="1" x14ac:dyDescent="0.25">
      <c r="B221" s="110">
        <v>42795</v>
      </c>
      <c r="C221" s="117">
        <v>1091</v>
      </c>
      <c r="D221" s="111" t="s">
        <v>95</v>
      </c>
      <c r="E221" s="111" t="s">
        <v>95</v>
      </c>
      <c r="F221" s="112">
        <v>3640000</v>
      </c>
      <c r="G221" s="113">
        <v>3640000</v>
      </c>
      <c r="H221" s="114">
        <f t="shared" si="6"/>
        <v>0</v>
      </c>
      <c r="I221" s="114"/>
      <c r="J221" s="115" t="s">
        <v>59</v>
      </c>
      <c r="K221" s="116">
        <v>10.3</v>
      </c>
      <c r="L221" s="116"/>
      <c r="M221" s="141">
        <v>42865</v>
      </c>
      <c r="N221" s="91" t="s">
        <v>67</v>
      </c>
    </row>
    <row r="222" spans="2:16" hidden="1" x14ac:dyDescent="0.25">
      <c r="B222" s="110">
        <v>42795</v>
      </c>
      <c r="C222" s="117">
        <v>1092</v>
      </c>
      <c r="D222" s="157" t="s">
        <v>107</v>
      </c>
      <c r="E222" s="111" t="s">
        <v>124</v>
      </c>
      <c r="F222" s="112">
        <v>9850473</v>
      </c>
      <c r="G222" s="113">
        <v>6600000</v>
      </c>
      <c r="H222" s="114">
        <f>F222-G222</f>
        <v>3250473</v>
      </c>
      <c r="I222" s="114">
        <v>1</v>
      </c>
      <c r="J222" s="115" t="s">
        <v>60</v>
      </c>
      <c r="K222" s="116">
        <v>26.69</v>
      </c>
      <c r="L222" s="116"/>
      <c r="M222" s="141">
        <v>42971</v>
      </c>
    </row>
    <row r="223" spans="2:16" hidden="1" x14ac:dyDescent="0.25">
      <c r="B223" s="110">
        <v>42795</v>
      </c>
      <c r="C223" s="117">
        <v>1093</v>
      </c>
      <c r="D223" s="157" t="s">
        <v>100</v>
      </c>
      <c r="E223" s="111" t="s">
        <v>93</v>
      </c>
      <c r="F223" s="112">
        <v>2000000</v>
      </c>
      <c r="G223" s="113">
        <f>1000000+1000000</f>
        <v>2000000</v>
      </c>
      <c r="H223" s="114">
        <f>F223-G223</f>
        <v>0</v>
      </c>
      <c r="I223" s="114"/>
      <c r="J223" s="115" t="s">
        <v>59</v>
      </c>
      <c r="K223" s="116">
        <v>5.9</v>
      </c>
      <c r="L223" s="116"/>
      <c r="M223" s="141">
        <v>42888</v>
      </c>
    </row>
    <row r="224" spans="2:16" hidden="1" x14ac:dyDescent="0.25">
      <c r="B224" s="110">
        <v>42795</v>
      </c>
      <c r="C224" s="117">
        <v>1094</v>
      </c>
      <c r="D224" s="157" t="s">
        <v>98</v>
      </c>
      <c r="E224" s="111" t="s">
        <v>93</v>
      </c>
      <c r="F224" s="112">
        <v>3192526</v>
      </c>
      <c r="G224" s="113">
        <f>2128350+1064175</f>
        <v>3192525</v>
      </c>
      <c r="H224" s="114">
        <v>0</v>
      </c>
      <c r="I224" s="114"/>
      <c r="J224" s="115" t="s">
        <v>59</v>
      </c>
      <c r="K224" s="116">
        <v>8.35</v>
      </c>
      <c r="L224" s="116"/>
      <c r="M224" s="141">
        <v>42866</v>
      </c>
      <c r="N224" s="91" t="s">
        <v>67</v>
      </c>
    </row>
    <row r="225" spans="2:16" x14ac:dyDescent="0.25">
      <c r="B225" s="110">
        <v>42795</v>
      </c>
      <c r="C225" s="117">
        <v>1095</v>
      </c>
      <c r="D225" s="157" t="s">
        <v>100</v>
      </c>
      <c r="E225" s="111" t="s">
        <v>120</v>
      </c>
      <c r="F225" s="112">
        <v>8033000</v>
      </c>
      <c r="G225" s="113">
        <f>2195556+1097778</f>
        <v>3293334</v>
      </c>
      <c r="H225" s="114">
        <f t="shared" ref="H225:H248" si="7">F225-G225</f>
        <v>4739666</v>
      </c>
      <c r="I225" s="114">
        <v>1</v>
      </c>
      <c r="J225" s="115" t="s">
        <v>60</v>
      </c>
      <c r="K225" s="116">
        <v>14.65</v>
      </c>
      <c r="L225" s="116"/>
      <c r="M225" s="141">
        <v>42898</v>
      </c>
    </row>
    <row r="226" spans="2:16" hidden="1" x14ac:dyDescent="0.25">
      <c r="B226" s="110">
        <v>42795</v>
      </c>
      <c r="C226" s="117">
        <v>1096</v>
      </c>
      <c r="D226" s="111" t="s">
        <v>85</v>
      </c>
      <c r="E226" s="111" t="s">
        <v>85</v>
      </c>
      <c r="F226" s="112">
        <v>4200000</v>
      </c>
      <c r="G226" s="113">
        <v>4200000</v>
      </c>
      <c r="H226" s="114">
        <f t="shared" si="7"/>
        <v>0</v>
      </c>
      <c r="I226" s="114"/>
      <c r="J226" s="115" t="s">
        <v>59</v>
      </c>
      <c r="K226" s="116">
        <v>11.6</v>
      </c>
      <c r="L226" s="116"/>
      <c r="M226" s="141">
        <v>42857</v>
      </c>
      <c r="N226" s="91" t="s">
        <v>67</v>
      </c>
    </row>
    <row r="227" spans="2:16" hidden="1" x14ac:dyDescent="0.25">
      <c r="B227" s="110">
        <v>42795</v>
      </c>
      <c r="C227" s="117">
        <v>1097</v>
      </c>
      <c r="D227" s="111" t="s">
        <v>96</v>
      </c>
      <c r="E227" s="111" t="s">
        <v>96</v>
      </c>
      <c r="F227" s="112">
        <v>3743770</v>
      </c>
      <c r="G227" s="113">
        <f>3369393+374377</f>
        <v>3743770</v>
      </c>
      <c r="H227" s="114">
        <f t="shared" si="7"/>
        <v>0</v>
      </c>
      <c r="I227" s="114"/>
      <c r="J227" s="115" t="s">
        <v>59</v>
      </c>
      <c r="K227" s="116">
        <v>9.35</v>
      </c>
      <c r="L227" s="116"/>
      <c r="M227" s="141">
        <v>42857</v>
      </c>
      <c r="N227" s="91" t="s">
        <v>67</v>
      </c>
    </row>
    <row r="228" spans="2:16" hidden="1" x14ac:dyDescent="0.25">
      <c r="B228" s="110">
        <v>42795</v>
      </c>
      <c r="C228" s="117">
        <v>1098</v>
      </c>
      <c r="D228" s="157" t="s">
        <v>100</v>
      </c>
      <c r="E228" s="111" t="e">
        <v>#N/A</v>
      </c>
      <c r="F228" s="112">
        <v>2710520</v>
      </c>
      <c r="G228" s="113">
        <v>2710520</v>
      </c>
      <c r="H228" s="114">
        <f t="shared" si="7"/>
        <v>0</v>
      </c>
      <c r="I228" s="114"/>
      <c r="J228" s="115" t="s">
        <v>59</v>
      </c>
      <c r="K228" s="116">
        <v>6.51</v>
      </c>
      <c r="L228" s="116"/>
      <c r="M228" s="141">
        <v>42898</v>
      </c>
    </row>
    <row r="229" spans="2:16" hidden="1" x14ac:dyDescent="0.25">
      <c r="B229" s="110">
        <v>42795</v>
      </c>
      <c r="C229" s="117">
        <v>1099</v>
      </c>
      <c r="D229" s="157" t="s">
        <v>99</v>
      </c>
      <c r="E229" s="111" t="s">
        <v>125</v>
      </c>
      <c r="F229" s="112">
        <v>3798000</v>
      </c>
      <c r="G229" s="113">
        <f>1899000+1899000</f>
        <v>3798000</v>
      </c>
      <c r="H229" s="114">
        <f t="shared" si="7"/>
        <v>0</v>
      </c>
      <c r="I229" s="114"/>
      <c r="J229" s="115" t="s">
        <v>59</v>
      </c>
      <c r="K229" s="116">
        <v>9.59</v>
      </c>
      <c r="L229" s="116"/>
      <c r="M229" s="141">
        <v>42888</v>
      </c>
    </row>
    <row r="230" spans="2:16" hidden="1" x14ac:dyDescent="0.25">
      <c r="B230" s="110">
        <v>42795</v>
      </c>
      <c r="C230" s="117">
        <v>1100</v>
      </c>
      <c r="D230" s="157" t="s">
        <v>104</v>
      </c>
      <c r="E230" s="111" t="s">
        <v>126</v>
      </c>
      <c r="F230" s="112">
        <v>3997083</v>
      </c>
      <c r="G230" s="113">
        <f>1000000+500000</f>
        <v>1500000</v>
      </c>
      <c r="H230" s="156">
        <f t="shared" si="7"/>
        <v>2497083</v>
      </c>
      <c r="I230" s="114">
        <v>1</v>
      </c>
      <c r="J230" s="115" t="s">
        <v>59</v>
      </c>
      <c r="K230" s="116">
        <v>9.77</v>
      </c>
      <c r="L230" s="116"/>
      <c r="M230" s="141">
        <v>42885</v>
      </c>
      <c r="N230" s="91" t="s">
        <v>67</v>
      </c>
    </row>
    <row r="231" spans="2:16" hidden="1" x14ac:dyDescent="0.25">
      <c r="B231" s="110">
        <v>42826</v>
      </c>
      <c r="C231" s="117">
        <v>1101</v>
      </c>
      <c r="D231" s="157" t="s">
        <v>99</v>
      </c>
      <c r="E231" s="111" t="s">
        <v>93</v>
      </c>
      <c r="F231" s="112">
        <v>1672718</v>
      </c>
      <c r="G231" s="113">
        <f>1115144+557574</f>
        <v>1672718</v>
      </c>
      <c r="H231" s="114">
        <f t="shared" si="7"/>
        <v>0</v>
      </c>
      <c r="I231" s="114"/>
      <c r="J231" s="115" t="s">
        <v>59</v>
      </c>
      <c r="K231" s="116">
        <v>4.55</v>
      </c>
      <c r="L231" s="116"/>
      <c r="M231" s="141">
        <v>42889</v>
      </c>
      <c r="N231" s="91" t="s">
        <v>67</v>
      </c>
    </row>
    <row r="232" spans="2:16" x14ac:dyDescent="0.25">
      <c r="B232" s="110">
        <v>42826</v>
      </c>
      <c r="C232" s="117">
        <v>1102</v>
      </c>
      <c r="D232" s="157" t="s">
        <v>100</v>
      </c>
      <c r="E232" s="111" t="s">
        <v>127</v>
      </c>
      <c r="F232" s="112">
        <v>2590791</v>
      </c>
      <c r="G232" s="113">
        <v>1300000</v>
      </c>
      <c r="H232" s="114">
        <f t="shared" si="7"/>
        <v>1290791</v>
      </c>
      <c r="I232" s="114">
        <v>1</v>
      </c>
      <c r="J232" s="115" t="s">
        <v>60</v>
      </c>
      <c r="K232" s="116">
        <v>6.88</v>
      </c>
      <c r="L232" s="116"/>
      <c r="M232" s="141">
        <v>42901</v>
      </c>
    </row>
    <row r="233" spans="2:16" hidden="1" x14ac:dyDescent="0.25">
      <c r="B233" s="110">
        <v>42826</v>
      </c>
      <c r="C233" s="117">
        <v>1103</v>
      </c>
      <c r="D233" s="157" t="s">
        <v>100</v>
      </c>
      <c r="E233" s="111" t="s">
        <v>128</v>
      </c>
      <c r="F233" s="112">
        <v>5236000</v>
      </c>
      <c r="G233" s="113">
        <f>3490666+1745334</f>
        <v>5236000</v>
      </c>
      <c r="H233" s="114">
        <f t="shared" si="7"/>
        <v>0</v>
      </c>
      <c r="I233" s="114"/>
      <c r="J233" s="115" t="s">
        <v>59</v>
      </c>
      <c r="K233" s="116">
        <v>14.6</v>
      </c>
      <c r="L233" s="116"/>
      <c r="M233" s="141">
        <v>42894</v>
      </c>
    </row>
    <row r="234" spans="2:16" hidden="1" x14ac:dyDescent="0.25">
      <c r="B234" s="110">
        <v>42826</v>
      </c>
      <c r="C234" s="117">
        <v>1104</v>
      </c>
      <c r="D234" s="157" t="s">
        <v>100</v>
      </c>
      <c r="E234" s="111" t="s">
        <v>119</v>
      </c>
      <c r="F234" s="112">
        <v>3698875</v>
      </c>
      <c r="G234" s="113">
        <f>1849438+1849437</f>
        <v>3698875</v>
      </c>
      <c r="H234" s="114">
        <f t="shared" si="7"/>
        <v>0</v>
      </c>
      <c r="I234" s="114"/>
      <c r="J234" s="115" t="s">
        <v>59</v>
      </c>
      <c r="K234" s="116">
        <v>8.2799999999999994</v>
      </c>
      <c r="L234" s="116">
        <v>1</v>
      </c>
      <c r="M234" s="141">
        <v>42896</v>
      </c>
      <c r="N234" s="91" t="s">
        <v>76</v>
      </c>
      <c r="O234" s="91">
        <f>IF(N234="OK",1,0)</f>
        <v>0</v>
      </c>
      <c r="P234" s="91">
        <f>IF(O234=1,H234,0)</f>
        <v>0</v>
      </c>
    </row>
    <row r="235" spans="2:16" hidden="1" x14ac:dyDescent="0.25">
      <c r="B235" s="110">
        <v>42826</v>
      </c>
      <c r="C235" s="117">
        <v>1105</v>
      </c>
      <c r="D235" s="157" t="s">
        <v>98</v>
      </c>
      <c r="E235" s="111" t="s">
        <v>129</v>
      </c>
      <c r="F235" s="112">
        <v>611591</v>
      </c>
      <c r="G235" s="113">
        <f>305796+305795</f>
        <v>611591</v>
      </c>
      <c r="H235" s="114">
        <f t="shared" si="7"/>
        <v>0</v>
      </c>
      <c r="I235" s="114"/>
      <c r="J235" s="115" t="s">
        <v>59</v>
      </c>
      <c r="K235" s="116">
        <v>1.1599999999999999</v>
      </c>
      <c r="L235" s="116"/>
      <c r="M235" s="141">
        <v>42879</v>
      </c>
      <c r="N235" s="91" t="s">
        <v>67</v>
      </c>
    </row>
    <row r="236" spans="2:16" hidden="1" x14ac:dyDescent="0.25">
      <c r="B236" s="110">
        <v>42826</v>
      </c>
      <c r="C236" s="117">
        <v>1106</v>
      </c>
      <c r="D236" s="157" t="s">
        <v>98</v>
      </c>
      <c r="E236" s="111" t="s">
        <v>130</v>
      </c>
      <c r="F236" s="112">
        <v>5448352</v>
      </c>
      <c r="G236" s="113">
        <f>4000000+448352</f>
        <v>4448352</v>
      </c>
      <c r="H236" s="114">
        <f t="shared" si="7"/>
        <v>1000000</v>
      </c>
      <c r="I236" s="114">
        <v>1</v>
      </c>
      <c r="J236" s="115" t="s">
        <v>59</v>
      </c>
      <c r="K236" s="116">
        <v>14.29</v>
      </c>
      <c r="L236" s="116"/>
      <c r="M236" s="141">
        <v>42895</v>
      </c>
    </row>
    <row r="237" spans="2:16" hidden="1" x14ac:dyDescent="0.25">
      <c r="B237" s="110">
        <v>42826</v>
      </c>
      <c r="C237" s="117">
        <v>1107</v>
      </c>
      <c r="D237" s="111" t="e">
        <v>#N/A</v>
      </c>
      <c r="E237" s="111" t="e">
        <v>#N/A</v>
      </c>
      <c r="F237" s="112">
        <v>351050</v>
      </c>
      <c r="G237" s="113">
        <v>351050</v>
      </c>
      <c r="H237" s="114">
        <f t="shared" si="7"/>
        <v>0</v>
      </c>
      <c r="I237" s="114"/>
      <c r="J237" s="115" t="s">
        <v>59</v>
      </c>
      <c r="K237" s="116">
        <v>9.59</v>
      </c>
      <c r="L237" s="116"/>
      <c r="M237" s="141">
        <v>42851</v>
      </c>
    </row>
    <row r="238" spans="2:16" hidden="1" x14ac:dyDescent="0.25">
      <c r="B238" s="110">
        <v>42826</v>
      </c>
      <c r="C238" s="117">
        <v>1108</v>
      </c>
      <c r="D238" s="157" t="s">
        <v>98</v>
      </c>
      <c r="E238" s="111" t="s">
        <v>120</v>
      </c>
      <c r="F238" s="112">
        <v>3091228</v>
      </c>
      <c r="G238" s="113">
        <f>1545614+772807+772807</f>
        <v>3091228</v>
      </c>
      <c r="H238" s="114">
        <f t="shared" si="7"/>
        <v>0</v>
      </c>
      <c r="I238" s="114"/>
      <c r="J238" s="115" t="s">
        <v>59</v>
      </c>
      <c r="K238" s="116">
        <v>8.3699999999999992</v>
      </c>
      <c r="L238" s="116">
        <v>1</v>
      </c>
      <c r="M238" s="141">
        <v>42900</v>
      </c>
      <c r="N238" s="91" t="s">
        <v>74</v>
      </c>
      <c r="O238" s="91">
        <f>IF(N238="OK",1,0)</f>
        <v>0</v>
      </c>
      <c r="P238" s="91">
        <f>IF(O238=1,H238,0)</f>
        <v>0</v>
      </c>
    </row>
    <row r="239" spans="2:16" hidden="1" x14ac:dyDescent="0.25">
      <c r="B239" s="110">
        <v>42826</v>
      </c>
      <c r="C239" s="117">
        <v>1109</v>
      </c>
      <c r="D239" s="157" t="s">
        <v>100</v>
      </c>
      <c r="E239" s="111" t="s">
        <v>131</v>
      </c>
      <c r="F239" s="112">
        <v>2805197</v>
      </c>
      <c r="G239" s="113">
        <v>1402598</v>
      </c>
      <c r="H239" s="114">
        <f t="shared" si="7"/>
        <v>1402599</v>
      </c>
      <c r="I239" s="114">
        <v>1</v>
      </c>
      <c r="J239" s="115" t="s">
        <v>59</v>
      </c>
      <c r="K239" s="116">
        <v>7.21</v>
      </c>
      <c r="L239" s="116"/>
      <c r="M239" s="141">
        <v>42899</v>
      </c>
    </row>
    <row r="240" spans="2:16" hidden="1" x14ac:dyDescent="0.25">
      <c r="B240" s="110">
        <v>42826</v>
      </c>
      <c r="C240" s="117">
        <v>1110</v>
      </c>
      <c r="D240" s="157" t="s">
        <v>100</v>
      </c>
      <c r="E240" s="111" t="s">
        <v>132</v>
      </c>
      <c r="F240" s="112">
        <v>2797420</v>
      </c>
      <c r="G240" s="113">
        <v>1400000</v>
      </c>
      <c r="H240" s="114">
        <f t="shared" si="7"/>
        <v>1397420</v>
      </c>
      <c r="I240" s="114">
        <v>1</v>
      </c>
      <c r="J240" s="115" t="s">
        <v>59</v>
      </c>
      <c r="K240" s="116">
        <v>7.03</v>
      </c>
      <c r="L240" s="116"/>
      <c r="M240" s="141">
        <v>42901</v>
      </c>
    </row>
    <row r="241" spans="2:16" hidden="1" x14ac:dyDescent="0.25">
      <c r="B241" s="110">
        <v>42826</v>
      </c>
      <c r="C241" s="117">
        <v>1111</v>
      </c>
      <c r="D241" s="157" t="s">
        <v>98</v>
      </c>
      <c r="E241" s="111" t="s">
        <v>133</v>
      </c>
      <c r="F241" s="112">
        <v>1931721</v>
      </c>
      <c r="G241" s="113">
        <f>1601721+330000</f>
        <v>1931721</v>
      </c>
      <c r="H241" s="114">
        <f t="shared" si="7"/>
        <v>0</v>
      </c>
      <c r="I241" s="114"/>
      <c r="J241" s="115" t="s">
        <v>59</v>
      </c>
      <c r="K241" s="116">
        <v>4.55</v>
      </c>
      <c r="L241" s="116">
        <v>1</v>
      </c>
      <c r="M241" s="141">
        <v>42901</v>
      </c>
      <c r="N241" s="91" t="s">
        <v>155</v>
      </c>
    </row>
    <row r="242" spans="2:16" hidden="1" x14ac:dyDescent="0.25">
      <c r="B242" s="110">
        <v>42826</v>
      </c>
      <c r="C242" s="117">
        <v>1112</v>
      </c>
      <c r="D242" s="157" t="s">
        <v>98</v>
      </c>
      <c r="E242" s="111" t="s">
        <v>134</v>
      </c>
      <c r="F242" s="112">
        <v>2640417</v>
      </c>
      <c r="G242" s="113">
        <f>1400000+1240417</f>
        <v>2640417</v>
      </c>
      <c r="H242" s="114">
        <f t="shared" si="7"/>
        <v>0</v>
      </c>
      <c r="I242" s="114"/>
      <c r="J242" s="115" t="s">
        <v>59</v>
      </c>
      <c r="K242" s="116">
        <v>5.81</v>
      </c>
      <c r="L242" s="116"/>
      <c r="M242" s="141">
        <v>42894</v>
      </c>
    </row>
    <row r="243" spans="2:16" x14ac:dyDescent="0.25">
      <c r="B243" s="110">
        <v>42826</v>
      </c>
      <c r="C243" s="117">
        <v>1113</v>
      </c>
      <c r="D243" s="157" t="s">
        <v>100</v>
      </c>
      <c r="E243" s="111" t="s">
        <v>135</v>
      </c>
      <c r="F243" s="112">
        <v>5532531</v>
      </c>
      <c r="G243" s="113">
        <v>2760000</v>
      </c>
      <c r="H243" s="114">
        <f t="shared" si="7"/>
        <v>2772531</v>
      </c>
      <c r="I243" s="114">
        <v>1</v>
      </c>
      <c r="J243" s="115" t="s">
        <v>60</v>
      </c>
      <c r="K243" s="116">
        <v>11.15</v>
      </c>
      <c r="L243" s="116"/>
      <c r="M243" s="141">
        <v>42902</v>
      </c>
    </row>
    <row r="244" spans="2:16" x14ac:dyDescent="0.25">
      <c r="B244" s="110">
        <v>42826</v>
      </c>
      <c r="C244" s="117">
        <v>1114</v>
      </c>
      <c r="D244" s="157" t="s">
        <v>100</v>
      </c>
      <c r="E244" s="111" t="s">
        <v>136</v>
      </c>
      <c r="F244" s="112">
        <v>4738133</v>
      </c>
      <c r="G244" s="113">
        <f>1579377+1579377</f>
        <v>3158754</v>
      </c>
      <c r="H244" s="114">
        <f t="shared" si="7"/>
        <v>1579379</v>
      </c>
      <c r="I244" s="114">
        <v>1</v>
      </c>
      <c r="J244" s="115" t="s">
        <v>60</v>
      </c>
      <c r="K244" s="116">
        <v>14.25</v>
      </c>
      <c r="L244" s="116"/>
      <c r="M244" s="141">
        <v>42901</v>
      </c>
    </row>
    <row r="245" spans="2:16" hidden="1" x14ac:dyDescent="0.25">
      <c r="B245" s="110">
        <v>42826</v>
      </c>
      <c r="C245" s="117">
        <v>1115</v>
      </c>
      <c r="D245" s="157" t="s">
        <v>104</v>
      </c>
      <c r="E245" s="111" t="s">
        <v>119</v>
      </c>
      <c r="F245" s="112">
        <v>5800000</v>
      </c>
      <c r="G245" s="113">
        <v>966666</v>
      </c>
      <c r="H245" s="114">
        <f t="shared" si="7"/>
        <v>4833334</v>
      </c>
      <c r="I245" s="114">
        <v>1</v>
      </c>
      <c r="J245" s="115" t="s">
        <v>59</v>
      </c>
      <c r="K245" s="116">
        <v>15.46</v>
      </c>
      <c r="L245" s="116">
        <v>1</v>
      </c>
      <c r="M245" s="141">
        <v>42895</v>
      </c>
      <c r="N245" s="91" t="s">
        <v>44</v>
      </c>
      <c r="O245" s="91">
        <f>IF(N245="OK",1,0)</f>
        <v>1</v>
      </c>
      <c r="P245" s="91">
        <f>IF(O245=1,H245,0)</f>
        <v>4833334</v>
      </c>
    </row>
    <row r="246" spans="2:16" hidden="1" x14ac:dyDescent="0.25">
      <c r="B246" s="110">
        <v>42826</v>
      </c>
      <c r="C246" s="117">
        <v>1116</v>
      </c>
      <c r="D246" s="157" t="s">
        <v>98</v>
      </c>
      <c r="E246" s="111" t="s">
        <v>119</v>
      </c>
      <c r="F246" s="112">
        <v>8976229</v>
      </c>
      <c r="G246" s="113">
        <f>4103393+4872836</f>
        <v>8976229</v>
      </c>
      <c r="H246" s="114">
        <f t="shared" si="7"/>
        <v>0</v>
      </c>
      <c r="I246" s="114"/>
      <c r="J246" s="115" t="s">
        <v>59</v>
      </c>
      <c r="K246" s="116">
        <v>23.55</v>
      </c>
      <c r="L246" s="116">
        <v>1</v>
      </c>
      <c r="M246" s="141">
        <v>42886</v>
      </c>
      <c r="N246" s="91" t="s">
        <v>44</v>
      </c>
      <c r="O246" s="91">
        <f>IF(N246="OK",1,0)</f>
        <v>1</v>
      </c>
      <c r="P246" s="91">
        <f>IF(O246=1,H246,0)</f>
        <v>0</v>
      </c>
    </row>
    <row r="247" spans="2:16" hidden="1" x14ac:dyDescent="0.25">
      <c r="B247" s="110">
        <v>42826</v>
      </c>
      <c r="C247" s="117">
        <v>1117</v>
      </c>
      <c r="D247" s="157" t="s">
        <v>98</v>
      </c>
      <c r="E247" s="111" t="s">
        <v>137</v>
      </c>
      <c r="F247" s="112">
        <v>4580459</v>
      </c>
      <c r="G247" s="113">
        <f>2091730+1206444</f>
        <v>3298174</v>
      </c>
      <c r="H247" s="114">
        <f t="shared" si="7"/>
        <v>1282285</v>
      </c>
      <c r="I247" s="114">
        <v>1</v>
      </c>
      <c r="J247" s="115" t="s">
        <v>59</v>
      </c>
      <c r="K247" s="116">
        <v>11</v>
      </c>
      <c r="L247" s="116"/>
      <c r="M247" s="141">
        <v>42894</v>
      </c>
    </row>
    <row r="248" spans="2:16" hidden="1" x14ac:dyDescent="0.25">
      <c r="B248" s="110">
        <v>42826</v>
      </c>
      <c r="C248" s="117">
        <v>1118</v>
      </c>
      <c r="D248" s="157" t="s">
        <v>99</v>
      </c>
      <c r="E248" s="111" t="s">
        <v>93</v>
      </c>
      <c r="F248" s="112">
        <v>3272773</v>
      </c>
      <c r="G248" s="113">
        <f>1636387+1636386</f>
        <v>3272773</v>
      </c>
      <c r="H248" s="114">
        <f t="shared" si="7"/>
        <v>0</v>
      </c>
      <c r="I248" s="114"/>
      <c r="J248" s="115" t="s">
        <v>59</v>
      </c>
      <c r="K248" s="116">
        <v>8.3800000000000008</v>
      </c>
      <c r="L248" s="116">
        <v>1</v>
      </c>
      <c r="M248" s="141">
        <v>42892</v>
      </c>
      <c r="N248" s="91" t="s">
        <v>44</v>
      </c>
      <c r="O248" s="91">
        <f>IF(N248="OK",1,0)</f>
        <v>1</v>
      </c>
      <c r="P248" s="91">
        <f>IF(O248=1,H248,0)</f>
        <v>0</v>
      </c>
    </row>
    <row r="249" spans="2:16" x14ac:dyDescent="0.25">
      <c r="B249" s="110">
        <v>42826</v>
      </c>
      <c r="C249" s="117">
        <v>1119</v>
      </c>
      <c r="D249" s="157" t="s">
        <v>100</v>
      </c>
      <c r="E249" s="111" t="s">
        <v>85</v>
      </c>
      <c r="F249" s="112">
        <v>3132486</v>
      </c>
      <c r="G249" s="113">
        <v>1566234</v>
      </c>
      <c r="H249" s="114">
        <f t="shared" ref="H249:H258" si="8">F249-G249</f>
        <v>1566252</v>
      </c>
      <c r="I249" s="114">
        <v>1</v>
      </c>
      <c r="J249" s="115" t="s">
        <v>60</v>
      </c>
      <c r="K249" s="116">
        <v>7.8250000000000002</v>
      </c>
      <c r="L249" s="116"/>
      <c r="M249" s="141">
        <v>42905</v>
      </c>
    </row>
    <row r="250" spans="2:16" hidden="1" x14ac:dyDescent="0.25">
      <c r="B250" s="110">
        <v>42826</v>
      </c>
      <c r="C250" s="117">
        <v>1120</v>
      </c>
      <c r="D250" s="157" t="s">
        <v>98</v>
      </c>
      <c r="E250" s="111" t="s">
        <v>138</v>
      </c>
      <c r="F250" s="112">
        <v>1908400</v>
      </c>
      <c r="G250" s="113">
        <f>954199+954201</f>
        <v>1908400</v>
      </c>
      <c r="H250" s="114">
        <f t="shared" si="8"/>
        <v>0</v>
      </c>
      <c r="I250" s="114"/>
      <c r="J250" s="115" t="s">
        <v>59</v>
      </c>
      <c r="K250" s="116">
        <v>5.27</v>
      </c>
      <c r="L250" s="116"/>
      <c r="M250" s="141">
        <v>42892</v>
      </c>
    </row>
    <row r="251" spans="2:16" hidden="1" x14ac:dyDescent="0.25">
      <c r="B251" s="110">
        <v>42826</v>
      </c>
      <c r="C251" s="117">
        <v>1121</v>
      </c>
      <c r="D251" s="157" t="s">
        <v>105</v>
      </c>
      <c r="E251" s="111" t="s">
        <v>139</v>
      </c>
      <c r="F251" s="112">
        <v>1574767</v>
      </c>
      <c r="G251" s="113">
        <v>1049845</v>
      </c>
      <c r="H251" s="114">
        <f t="shared" si="8"/>
        <v>524922</v>
      </c>
      <c r="I251" s="114">
        <v>1</v>
      </c>
      <c r="J251" s="115" t="s">
        <v>59</v>
      </c>
      <c r="K251" s="116">
        <v>4.3499999999999996</v>
      </c>
      <c r="L251" s="116"/>
      <c r="M251" s="141">
        <v>42888</v>
      </c>
    </row>
    <row r="252" spans="2:16" x14ac:dyDescent="0.25">
      <c r="B252" s="110">
        <v>42826</v>
      </c>
      <c r="C252" s="117">
        <v>1122</v>
      </c>
      <c r="D252" s="157" t="s">
        <v>100</v>
      </c>
      <c r="E252" s="111" t="s">
        <v>132</v>
      </c>
      <c r="F252" s="112">
        <v>3144874</v>
      </c>
      <c r="G252" s="113">
        <v>524145</v>
      </c>
      <c r="H252" s="114">
        <f t="shared" si="8"/>
        <v>2620729</v>
      </c>
      <c r="I252" s="114">
        <v>1</v>
      </c>
      <c r="J252" s="115" t="s">
        <v>60</v>
      </c>
      <c r="K252" s="116">
        <v>9.02</v>
      </c>
      <c r="L252" s="116">
        <v>1</v>
      </c>
      <c r="M252" s="141">
        <v>42915</v>
      </c>
    </row>
    <row r="253" spans="2:16" x14ac:dyDescent="0.25">
      <c r="B253" s="110">
        <v>42826</v>
      </c>
      <c r="C253" s="117">
        <v>1123</v>
      </c>
      <c r="D253" s="157" t="s">
        <v>100</v>
      </c>
      <c r="E253" s="111" t="s">
        <v>140</v>
      </c>
      <c r="F253" s="112">
        <v>3614178</v>
      </c>
      <c r="G253" s="113">
        <v>1807089</v>
      </c>
      <c r="H253" s="114">
        <f t="shared" si="8"/>
        <v>1807089</v>
      </c>
      <c r="I253" s="114">
        <v>1</v>
      </c>
      <c r="J253" s="115" t="s">
        <v>60</v>
      </c>
      <c r="K253" s="116">
        <v>10.8</v>
      </c>
      <c r="L253" s="116"/>
      <c r="M253" s="141">
        <v>42906</v>
      </c>
    </row>
    <row r="254" spans="2:16" hidden="1" x14ac:dyDescent="0.25">
      <c r="B254" s="110">
        <v>42826</v>
      </c>
      <c r="C254" s="117">
        <v>1124</v>
      </c>
      <c r="D254" s="157" t="s">
        <v>100</v>
      </c>
      <c r="E254" s="111" t="s">
        <v>132</v>
      </c>
      <c r="F254" s="112">
        <v>3499731</v>
      </c>
      <c r="G254" s="113">
        <v>1750000</v>
      </c>
      <c r="H254" s="114">
        <f t="shared" si="8"/>
        <v>1749731</v>
      </c>
      <c r="I254" s="114">
        <v>1</v>
      </c>
      <c r="J254" s="115" t="s">
        <v>59</v>
      </c>
      <c r="K254" s="116">
        <v>9.6300000000000008</v>
      </c>
      <c r="L254" s="116">
        <v>1</v>
      </c>
      <c r="M254" s="141">
        <v>42901</v>
      </c>
      <c r="N254" s="91" t="s">
        <v>156</v>
      </c>
    </row>
    <row r="255" spans="2:16" hidden="1" x14ac:dyDescent="0.25">
      <c r="B255" s="110">
        <v>42826</v>
      </c>
      <c r="C255" s="117">
        <v>1125</v>
      </c>
      <c r="D255" s="157" t="s">
        <v>98</v>
      </c>
      <c r="E255" s="111" t="s">
        <v>132</v>
      </c>
      <c r="F255" s="112">
        <v>4477332</v>
      </c>
      <c r="G255" s="113">
        <f>2045637+2431695</f>
        <v>4477332</v>
      </c>
      <c r="H255" s="114">
        <f t="shared" si="8"/>
        <v>0</v>
      </c>
      <c r="I255" s="114"/>
      <c r="J255" s="115" t="s">
        <v>59</v>
      </c>
      <c r="K255" s="116">
        <v>11.16</v>
      </c>
      <c r="L255" s="116"/>
      <c r="M255" s="141">
        <v>42898</v>
      </c>
    </row>
    <row r="256" spans="2:16" x14ac:dyDescent="0.25">
      <c r="B256" s="110">
        <v>42826</v>
      </c>
      <c r="C256" s="117">
        <v>1126</v>
      </c>
      <c r="D256" s="157" t="s">
        <v>100</v>
      </c>
      <c r="E256" s="111" t="s">
        <v>141</v>
      </c>
      <c r="F256" s="112">
        <v>3455315</v>
      </c>
      <c r="G256" s="113">
        <f>1727658+1727657</f>
        <v>3455315</v>
      </c>
      <c r="H256" s="114">
        <f t="shared" si="8"/>
        <v>0</v>
      </c>
      <c r="I256" s="114"/>
      <c r="J256" s="115" t="s">
        <v>60</v>
      </c>
      <c r="K256" s="116">
        <v>10.5</v>
      </c>
      <c r="L256" s="116"/>
      <c r="M256" s="141">
        <v>42902</v>
      </c>
    </row>
    <row r="257" spans="2:16" hidden="1" x14ac:dyDescent="0.25">
      <c r="B257" s="110">
        <v>42826</v>
      </c>
      <c r="C257" s="117">
        <v>1127</v>
      </c>
      <c r="D257" s="157" t="e">
        <v>#N/A</v>
      </c>
      <c r="E257" s="111" t="e">
        <v>#N/A</v>
      </c>
      <c r="F257" s="112"/>
      <c r="G257" s="113"/>
      <c r="H257" s="114"/>
      <c r="I257" s="114"/>
      <c r="J257" s="115" t="s">
        <v>59</v>
      </c>
      <c r="K257" s="116">
        <v>16.5</v>
      </c>
      <c r="L257" s="116"/>
      <c r="M257" s="141">
        <v>42873</v>
      </c>
    </row>
    <row r="258" spans="2:16" x14ac:dyDescent="0.25">
      <c r="B258" s="110">
        <v>42826</v>
      </c>
      <c r="C258" s="117">
        <v>1128</v>
      </c>
      <c r="D258" s="157" t="s">
        <v>100</v>
      </c>
      <c r="E258" s="111" t="s">
        <v>142</v>
      </c>
      <c r="F258" s="112">
        <v>1948942</v>
      </c>
      <c r="G258" s="113">
        <v>1948942</v>
      </c>
      <c r="H258" s="114">
        <f t="shared" si="8"/>
        <v>0</v>
      </c>
      <c r="I258" s="114"/>
      <c r="J258" s="115" t="s">
        <v>60</v>
      </c>
      <c r="K258" s="116">
        <v>4.82</v>
      </c>
      <c r="L258" s="116"/>
      <c r="M258" s="141">
        <v>42908</v>
      </c>
    </row>
    <row r="259" spans="2:16" x14ac:dyDescent="0.25">
      <c r="B259" s="110">
        <v>42826</v>
      </c>
      <c r="C259" s="117">
        <v>1129</v>
      </c>
      <c r="D259" s="157" t="s">
        <v>100</v>
      </c>
      <c r="E259" s="111" t="s">
        <v>143</v>
      </c>
      <c r="F259" s="112">
        <v>4000000</v>
      </c>
      <c r="G259" s="113">
        <v>1680000</v>
      </c>
      <c r="H259" s="114">
        <f t="shared" ref="H259:H287" si="9">F259-G259</f>
        <v>2320000</v>
      </c>
      <c r="I259" s="114">
        <v>1</v>
      </c>
      <c r="J259" s="115" t="s">
        <v>60</v>
      </c>
      <c r="K259" s="116">
        <v>7.2</v>
      </c>
      <c r="L259" s="116">
        <v>1</v>
      </c>
      <c r="M259" s="141">
        <v>42903</v>
      </c>
    </row>
    <row r="260" spans="2:16" x14ac:dyDescent="0.25">
      <c r="B260" s="110">
        <v>42856</v>
      </c>
      <c r="C260" s="117">
        <v>1130</v>
      </c>
      <c r="D260" s="157" t="s">
        <v>100</v>
      </c>
      <c r="E260" s="111" t="s">
        <v>134</v>
      </c>
      <c r="F260" s="112">
        <v>4176932</v>
      </c>
      <c r="G260" s="113">
        <v>4176932</v>
      </c>
      <c r="H260" s="114">
        <f t="shared" si="9"/>
        <v>0</v>
      </c>
      <c r="I260" s="114"/>
      <c r="J260" s="115" t="s">
        <v>60</v>
      </c>
      <c r="K260" s="116">
        <v>12.72</v>
      </c>
      <c r="L260" s="116"/>
      <c r="M260" s="141">
        <v>42909</v>
      </c>
      <c r="O260" s="140">
        <f>VLOOKUP(C260,'May2017 '!C9:J36,8,0)</f>
        <v>4176932</v>
      </c>
      <c r="P260" s="91">
        <f>IF(O260=G260,1,0)</f>
        <v>1</v>
      </c>
    </row>
    <row r="261" spans="2:16" x14ac:dyDescent="0.25">
      <c r="B261" s="110">
        <v>42856</v>
      </c>
      <c r="C261" s="117">
        <v>1131</v>
      </c>
      <c r="D261" s="157" t="s">
        <v>100</v>
      </c>
      <c r="E261" s="111" t="s">
        <v>91</v>
      </c>
      <c r="F261" s="112">
        <v>4616268</v>
      </c>
      <c r="G261" s="113">
        <v>1538756</v>
      </c>
      <c r="H261" s="114">
        <f t="shared" si="9"/>
        <v>3077512</v>
      </c>
      <c r="I261" s="114">
        <v>1</v>
      </c>
      <c r="J261" s="115" t="s">
        <v>60</v>
      </c>
      <c r="K261" s="116">
        <v>13.93</v>
      </c>
      <c r="L261" s="116"/>
      <c r="M261" s="141">
        <v>42909</v>
      </c>
      <c r="N261" s="140"/>
      <c r="O261" s="140">
        <f>VLOOKUP(C261,'May2017 '!C10:J37,8,0)</f>
        <v>1538756</v>
      </c>
      <c r="P261" s="91">
        <f t="shared" ref="P261:P288" si="10">IF(O261=G261,1,0)</f>
        <v>1</v>
      </c>
    </row>
    <row r="262" spans="2:16" x14ac:dyDescent="0.25">
      <c r="B262" s="110">
        <v>42856</v>
      </c>
      <c r="C262" s="117">
        <v>1132</v>
      </c>
      <c r="D262" s="157" t="s">
        <v>100</v>
      </c>
      <c r="E262" s="111" t="s">
        <v>144</v>
      </c>
      <c r="F262" s="112">
        <v>4500000</v>
      </c>
      <c r="G262" s="113">
        <f>750000+750000</f>
        <v>1500000</v>
      </c>
      <c r="H262" s="114">
        <f t="shared" si="9"/>
        <v>3000000</v>
      </c>
      <c r="I262" s="114">
        <v>1</v>
      </c>
      <c r="J262" s="115" t="s">
        <v>60</v>
      </c>
      <c r="K262" s="116">
        <v>9.76</v>
      </c>
      <c r="L262" s="116"/>
      <c r="M262" s="141">
        <v>42909</v>
      </c>
      <c r="N262" s="140"/>
      <c r="O262" s="140">
        <f>VLOOKUP(C262,'May2017 '!C11:J38,8,0)</f>
        <v>1500000</v>
      </c>
      <c r="P262" s="91">
        <f t="shared" si="10"/>
        <v>1</v>
      </c>
    </row>
    <row r="263" spans="2:16" hidden="1" x14ac:dyDescent="0.25">
      <c r="B263" s="110">
        <v>42856</v>
      </c>
      <c r="C263" s="117">
        <v>1133</v>
      </c>
      <c r="D263" s="157" t="s">
        <v>107</v>
      </c>
      <c r="E263" s="111" t="s">
        <v>145</v>
      </c>
      <c r="F263" s="112">
        <v>2697482</v>
      </c>
      <c r="G263" s="113">
        <v>1348741</v>
      </c>
      <c r="H263" s="114">
        <f t="shared" si="9"/>
        <v>1348741</v>
      </c>
      <c r="I263" s="114">
        <v>1</v>
      </c>
      <c r="J263" s="115" t="s">
        <v>60</v>
      </c>
      <c r="K263" s="116">
        <v>4.91</v>
      </c>
      <c r="L263" s="116"/>
      <c r="M263" s="141" t="s">
        <v>78</v>
      </c>
      <c r="N263" s="140"/>
      <c r="O263" s="140">
        <f>VLOOKUP(C263,'May2017 '!C12:J39,8,0)</f>
        <v>1348741</v>
      </c>
      <c r="P263" s="91">
        <f t="shared" si="10"/>
        <v>1</v>
      </c>
    </row>
    <row r="264" spans="2:16" x14ac:dyDescent="0.25">
      <c r="B264" s="110">
        <v>42856</v>
      </c>
      <c r="C264" s="117">
        <v>1134</v>
      </c>
      <c r="D264" s="157" t="s">
        <v>100</v>
      </c>
      <c r="E264" s="111" t="s">
        <v>94</v>
      </c>
      <c r="F264" s="112">
        <v>7127000</v>
      </c>
      <c r="G264" s="113">
        <v>3563500</v>
      </c>
      <c r="H264" s="114">
        <f t="shared" si="9"/>
        <v>3563500</v>
      </c>
      <c r="I264" s="114">
        <v>1</v>
      </c>
      <c r="J264" s="115" t="s">
        <v>60</v>
      </c>
      <c r="K264" s="116">
        <v>19.57</v>
      </c>
      <c r="L264" s="116"/>
      <c r="M264" s="155">
        <v>42905</v>
      </c>
      <c r="N264" s="140"/>
      <c r="O264" s="140">
        <f>VLOOKUP(C264,'May2017 '!C13:J40,8,0)</f>
        <v>3563500</v>
      </c>
      <c r="P264" s="91">
        <f t="shared" si="10"/>
        <v>1</v>
      </c>
    </row>
    <row r="265" spans="2:16" hidden="1" x14ac:dyDescent="0.25">
      <c r="B265" s="110">
        <v>42856</v>
      </c>
      <c r="C265" s="117">
        <v>1135</v>
      </c>
      <c r="D265" s="157" t="s">
        <v>107</v>
      </c>
      <c r="E265" s="111" t="s">
        <v>145</v>
      </c>
      <c r="F265" s="112">
        <v>1280450</v>
      </c>
      <c r="G265" s="113">
        <v>600000</v>
      </c>
      <c r="H265" s="114">
        <f t="shared" si="9"/>
        <v>680450</v>
      </c>
      <c r="I265" s="114">
        <v>1</v>
      </c>
      <c r="J265" s="115" t="s">
        <v>60</v>
      </c>
      <c r="K265" s="116">
        <v>3.22</v>
      </c>
      <c r="L265" s="116"/>
      <c r="M265" s="141" t="s">
        <v>78</v>
      </c>
      <c r="N265" s="140"/>
      <c r="O265" s="140">
        <f>VLOOKUP(C265,'May2017 '!C14:J41,8,0)</f>
        <v>600000</v>
      </c>
      <c r="P265" s="91">
        <f t="shared" si="10"/>
        <v>1</v>
      </c>
    </row>
    <row r="266" spans="2:16" x14ac:dyDescent="0.25">
      <c r="B266" s="110">
        <v>42856</v>
      </c>
      <c r="C266" s="117">
        <v>1136</v>
      </c>
      <c r="D266" s="157" t="s">
        <v>100</v>
      </c>
      <c r="E266" s="111" t="e">
        <v>#N/A</v>
      </c>
      <c r="F266" s="112">
        <v>6693750</v>
      </c>
      <c r="G266" s="113">
        <v>0</v>
      </c>
      <c r="H266" s="114">
        <f t="shared" si="9"/>
        <v>6693750</v>
      </c>
      <c r="I266" s="114">
        <v>1</v>
      </c>
      <c r="J266" s="115" t="s">
        <v>60</v>
      </c>
      <c r="K266" s="116">
        <v>0</v>
      </c>
      <c r="L266" s="116"/>
      <c r="M266" s="141">
        <v>42912</v>
      </c>
      <c r="N266" s="140"/>
      <c r="O266" s="140">
        <f>VLOOKUP(C266,'May2017 '!C15:J42,8,0)</f>
        <v>0</v>
      </c>
      <c r="P266" s="91">
        <f t="shared" si="10"/>
        <v>1</v>
      </c>
    </row>
    <row r="267" spans="2:16" hidden="1" x14ac:dyDescent="0.25">
      <c r="B267" s="110">
        <v>42856</v>
      </c>
      <c r="C267" s="117">
        <v>1137</v>
      </c>
      <c r="D267" s="157" t="s">
        <v>100</v>
      </c>
      <c r="E267" s="111" t="s">
        <v>134</v>
      </c>
      <c r="F267" s="112">
        <v>3100000</v>
      </c>
      <c r="G267" s="113">
        <f>1033333+1033333</f>
        <v>2066666</v>
      </c>
      <c r="H267" s="114">
        <f t="shared" si="9"/>
        <v>1033334</v>
      </c>
      <c r="I267" s="114">
        <v>1</v>
      </c>
      <c r="J267" s="115" t="s">
        <v>59</v>
      </c>
      <c r="K267" s="116">
        <v>8.5</v>
      </c>
      <c r="L267" s="116"/>
      <c r="M267" s="141">
        <v>42905</v>
      </c>
      <c r="N267" s="140"/>
      <c r="O267" s="140">
        <f>VLOOKUP(C267,'May2017 '!C16:J43,8,0)</f>
        <v>2066666</v>
      </c>
      <c r="P267" s="91">
        <f t="shared" si="10"/>
        <v>1</v>
      </c>
    </row>
    <row r="268" spans="2:16" hidden="1" x14ac:dyDescent="0.25">
      <c r="B268" s="110">
        <v>42856</v>
      </c>
      <c r="C268" s="117">
        <v>1138</v>
      </c>
      <c r="D268" s="157" t="s">
        <v>107</v>
      </c>
      <c r="E268" s="111" t="s">
        <v>95</v>
      </c>
      <c r="F268" s="112">
        <v>3072648</v>
      </c>
      <c r="G268" s="113">
        <v>3072648</v>
      </c>
      <c r="H268" s="114">
        <f t="shared" si="9"/>
        <v>0</v>
      </c>
      <c r="I268" s="114"/>
      <c r="J268" s="115" t="s">
        <v>60</v>
      </c>
      <c r="K268" s="116">
        <v>8.08</v>
      </c>
      <c r="L268" s="116"/>
      <c r="M268" s="141" t="s">
        <v>78</v>
      </c>
      <c r="N268" s="140"/>
      <c r="O268" s="140">
        <f>VLOOKUP(C268,'May2017 '!C17:J44,8,0)</f>
        <v>3072648</v>
      </c>
      <c r="P268" s="91">
        <f t="shared" si="10"/>
        <v>1</v>
      </c>
    </row>
    <row r="269" spans="2:16" x14ac:dyDescent="0.25">
      <c r="B269" s="110">
        <v>42856</v>
      </c>
      <c r="C269" s="117">
        <v>1139</v>
      </c>
      <c r="D269" s="157" t="s">
        <v>100</v>
      </c>
      <c r="E269" s="111" t="e">
        <v>#N/A</v>
      </c>
      <c r="F269" s="112">
        <v>3211371</v>
      </c>
      <c r="G269" s="113">
        <v>1605685</v>
      </c>
      <c r="H269" s="114">
        <f t="shared" si="9"/>
        <v>1605686</v>
      </c>
      <c r="I269" s="114">
        <v>1</v>
      </c>
      <c r="J269" s="115" t="s">
        <v>60</v>
      </c>
      <c r="K269" s="116">
        <v>9.07</v>
      </c>
      <c r="L269" s="116"/>
      <c r="M269" s="141">
        <v>42914</v>
      </c>
      <c r="N269" s="140"/>
      <c r="O269" s="140">
        <f>VLOOKUP(C269,'May2017 '!C18:J45,8,0)</f>
        <v>1605685</v>
      </c>
      <c r="P269" s="91">
        <f t="shared" si="10"/>
        <v>1</v>
      </c>
    </row>
    <row r="270" spans="2:16" x14ac:dyDescent="0.25">
      <c r="B270" s="110">
        <v>42856</v>
      </c>
      <c r="C270" s="117">
        <v>1140</v>
      </c>
      <c r="D270" s="157" t="s">
        <v>100</v>
      </c>
      <c r="E270" s="111" t="s">
        <v>146</v>
      </c>
      <c r="F270" s="112">
        <v>1871878</v>
      </c>
      <c r="G270" s="113">
        <v>935939</v>
      </c>
      <c r="H270" s="114">
        <f t="shared" si="9"/>
        <v>935939</v>
      </c>
      <c r="I270" s="114">
        <v>1</v>
      </c>
      <c r="J270" s="115" t="s">
        <v>60</v>
      </c>
      <c r="K270" s="116">
        <v>4.97</v>
      </c>
      <c r="L270" s="116"/>
      <c r="M270" s="141">
        <v>42915</v>
      </c>
      <c r="N270" s="140"/>
      <c r="O270" s="140">
        <f>VLOOKUP(C270,'May2017 '!C19:J46,8,0)</f>
        <v>935939</v>
      </c>
      <c r="P270" s="91">
        <f t="shared" si="10"/>
        <v>1</v>
      </c>
    </row>
    <row r="271" spans="2:16" hidden="1" x14ac:dyDescent="0.25">
      <c r="B271" s="110">
        <v>42856</v>
      </c>
      <c r="C271" s="117">
        <v>1141</v>
      </c>
      <c r="D271" s="157" t="s">
        <v>107</v>
      </c>
      <c r="E271" s="111" t="s">
        <v>147</v>
      </c>
      <c r="F271" s="112">
        <v>1820000</v>
      </c>
      <c r="G271" s="113">
        <v>303333.33333333331</v>
      </c>
      <c r="H271" s="114">
        <f t="shared" si="9"/>
        <v>1516666.6666666667</v>
      </c>
      <c r="I271" s="114">
        <v>1</v>
      </c>
      <c r="J271" s="115" t="s">
        <v>60</v>
      </c>
      <c r="K271" s="116">
        <v>4.7699999999999996</v>
      </c>
      <c r="L271" s="116"/>
      <c r="M271" s="141" t="s">
        <v>78</v>
      </c>
      <c r="N271" s="140"/>
      <c r="O271" s="140">
        <f>VLOOKUP(C271,'May2017 '!C20:J47,8,0)</f>
        <v>303333.33333333331</v>
      </c>
      <c r="P271" s="91">
        <f t="shared" si="10"/>
        <v>1</v>
      </c>
    </row>
    <row r="272" spans="2:16" hidden="1" x14ac:dyDescent="0.25">
      <c r="B272" s="110">
        <v>42856</v>
      </c>
      <c r="C272" s="117">
        <v>1142</v>
      </c>
      <c r="D272" s="157" t="s">
        <v>107</v>
      </c>
      <c r="E272" s="111" t="s">
        <v>148</v>
      </c>
      <c r="F272" s="112">
        <v>5654606</v>
      </c>
      <c r="G272" s="113">
        <v>2827303</v>
      </c>
      <c r="H272" s="114">
        <f t="shared" si="9"/>
        <v>2827303</v>
      </c>
      <c r="I272" s="114">
        <v>1</v>
      </c>
      <c r="J272" s="115" t="s">
        <v>60</v>
      </c>
      <c r="K272" s="116">
        <v>12.28</v>
      </c>
      <c r="L272" s="116"/>
      <c r="M272" s="141" t="s">
        <v>78</v>
      </c>
      <c r="N272" s="140" t="s">
        <v>71</v>
      </c>
      <c r="O272" s="140">
        <f>VLOOKUP(C272,'May2017 '!C21:J48,8,0)</f>
        <v>2827303</v>
      </c>
      <c r="P272" s="91">
        <f t="shared" si="10"/>
        <v>1</v>
      </c>
    </row>
    <row r="273" spans="2:16" hidden="1" x14ac:dyDescent="0.25">
      <c r="B273" s="110">
        <v>42856</v>
      </c>
      <c r="C273" s="117">
        <v>1143</v>
      </c>
      <c r="D273" s="157" t="s">
        <v>107</v>
      </c>
      <c r="E273" s="111" t="s">
        <v>91</v>
      </c>
      <c r="F273" s="112">
        <v>13311340</v>
      </c>
      <c r="G273" s="113">
        <v>6655670</v>
      </c>
      <c r="H273" s="114">
        <f t="shared" si="9"/>
        <v>6655670</v>
      </c>
      <c r="I273" s="114">
        <v>1</v>
      </c>
      <c r="J273" s="115" t="s">
        <v>60</v>
      </c>
      <c r="K273" s="116">
        <v>0</v>
      </c>
      <c r="L273" s="116"/>
      <c r="M273" s="141" t="s">
        <v>78</v>
      </c>
      <c r="N273" s="140" t="s">
        <v>71</v>
      </c>
      <c r="O273" s="140">
        <f>VLOOKUP(C273,'May2017 '!C22:J49,8,0)</f>
        <v>6655670</v>
      </c>
      <c r="P273" s="91">
        <f t="shared" si="10"/>
        <v>1</v>
      </c>
    </row>
    <row r="274" spans="2:16" hidden="1" x14ac:dyDescent="0.25">
      <c r="B274" s="110">
        <v>42856</v>
      </c>
      <c r="C274" s="117">
        <v>1144</v>
      </c>
      <c r="D274" s="157" t="s">
        <v>107</v>
      </c>
      <c r="E274" s="111" t="s">
        <v>94</v>
      </c>
      <c r="F274" s="112">
        <v>1864768</v>
      </c>
      <c r="G274" s="113">
        <v>1080000</v>
      </c>
      <c r="H274" s="114">
        <f t="shared" si="9"/>
        <v>784768</v>
      </c>
      <c r="I274" s="114">
        <v>1</v>
      </c>
      <c r="J274" s="115" t="s">
        <v>60</v>
      </c>
      <c r="K274" s="116">
        <v>6.02</v>
      </c>
      <c r="L274" s="116"/>
      <c r="M274" s="141" t="s">
        <v>78</v>
      </c>
      <c r="N274" s="140"/>
      <c r="O274" s="140">
        <f>VLOOKUP(C274,'May2017 '!C23:J50,8,0)</f>
        <v>1080000</v>
      </c>
      <c r="P274" s="91">
        <f t="shared" si="10"/>
        <v>1</v>
      </c>
    </row>
    <row r="275" spans="2:16" hidden="1" x14ac:dyDescent="0.25">
      <c r="B275" s="110">
        <v>42856</v>
      </c>
      <c r="C275" s="117">
        <v>1145</v>
      </c>
      <c r="D275" s="157" t="s">
        <v>107</v>
      </c>
      <c r="E275" s="111" t="s">
        <v>91</v>
      </c>
      <c r="F275" s="112">
        <v>3887854</v>
      </c>
      <c r="G275" s="113">
        <v>1700000</v>
      </c>
      <c r="H275" s="114">
        <f t="shared" si="9"/>
        <v>2187854</v>
      </c>
      <c r="I275" s="114">
        <v>1</v>
      </c>
      <c r="J275" s="115" t="s">
        <v>60</v>
      </c>
      <c r="K275" s="116">
        <v>10.1</v>
      </c>
      <c r="L275" s="116"/>
      <c r="M275" s="141" t="s">
        <v>78</v>
      </c>
      <c r="N275" s="140"/>
      <c r="O275" s="140">
        <f>VLOOKUP(C275,'May2017 '!C24:J51,8,0)</f>
        <v>1700000</v>
      </c>
      <c r="P275" s="91">
        <f t="shared" si="10"/>
        <v>1</v>
      </c>
    </row>
    <row r="276" spans="2:16" hidden="1" x14ac:dyDescent="0.25">
      <c r="B276" s="110">
        <v>42856</v>
      </c>
      <c r="C276" s="117">
        <v>1146</v>
      </c>
      <c r="D276" s="157" t="s">
        <v>107</v>
      </c>
      <c r="E276" s="111" t="s">
        <v>149</v>
      </c>
      <c r="F276" s="112">
        <v>3542774</v>
      </c>
      <c r="G276" s="113">
        <v>3542774</v>
      </c>
      <c r="H276" s="114">
        <f t="shared" si="9"/>
        <v>0</v>
      </c>
      <c r="I276" s="114"/>
      <c r="J276" s="115" t="s">
        <v>60</v>
      </c>
      <c r="K276" s="116">
        <v>9.67</v>
      </c>
      <c r="L276" s="116"/>
      <c r="M276" s="141" t="s">
        <v>78</v>
      </c>
      <c r="N276" s="140"/>
      <c r="O276" s="140">
        <f>VLOOKUP(C276,'May2017 '!C25:J52,8,0)</f>
        <v>3542774</v>
      </c>
      <c r="P276" s="91">
        <f t="shared" si="10"/>
        <v>1</v>
      </c>
    </row>
    <row r="277" spans="2:16" hidden="1" x14ac:dyDescent="0.25">
      <c r="B277" s="110">
        <v>42856</v>
      </c>
      <c r="C277" s="117">
        <v>1147</v>
      </c>
      <c r="D277" s="157" t="s">
        <v>107</v>
      </c>
      <c r="E277" s="111" t="s">
        <v>97</v>
      </c>
      <c r="F277" s="112">
        <v>1804498</v>
      </c>
      <c r="G277" s="113">
        <v>0</v>
      </c>
      <c r="H277" s="114">
        <f t="shared" si="9"/>
        <v>1804498</v>
      </c>
      <c r="I277" s="114">
        <v>1</v>
      </c>
      <c r="J277" s="115" t="s">
        <v>60</v>
      </c>
      <c r="K277" s="116">
        <v>5.2</v>
      </c>
      <c r="L277" s="116"/>
      <c r="M277" s="141" t="s">
        <v>78</v>
      </c>
      <c r="N277" s="140"/>
      <c r="O277" s="140">
        <f>VLOOKUP(C277,'May2017 '!C26:J53,8,0)</f>
        <v>0</v>
      </c>
      <c r="P277" s="91">
        <f t="shared" si="10"/>
        <v>1</v>
      </c>
    </row>
    <row r="278" spans="2:16" hidden="1" x14ac:dyDescent="0.25">
      <c r="B278" s="110">
        <v>42856</v>
      </c>
      <c r="C278" s="117">
        <v>1148</v>
      </c>
      <c r="D278" s="157" t="s">
        <v>107</v>
      </c>
      <c r="E278" s="111" t="s">
        <v>97</v>
      </c>
      <c r="F278" s="112">
        <v>1800458</v>
      </c>
      <c r="G278" s="113">
        <v>0</v>
      </c>
      <c r="H278" s="114">
        <f t="shared" si="9"/>
        <v>1800458</v>
      </c>
      <c r="I278" s="114">
        <v>1</v>
      </c>
      <c r="J278" s="115" t="s">
        <v>60</v>
      </c>
      <c r="K278" s="116">
        <v>5.18</v>
      </c>
      <c r="L278" s="116"/>
      <c r="M278" s="141" t="s">
        <v>78</v>
      </c>
      <c r="N278" s="140"/>
      <c r="O278" s="140">
        <f>VLOOKUP(C278,'May2017 '!C27:J54,8,0)</f>
        <v>0</v>
      </c>
      <c r="P278" s="91">
        <f t="shared" si="10"/>
        <v>1</v>
      </c>
    </row>
    <row r="279" spans="2:16" hidden="1" x14ac:dyDescent="0.25">
      <c r="B279" s="110">
        <v>42856</v>
      </c>
      <c r="C279" s="117">
        <v>1149</v>
      </c>
      <c r="D279" s="157" t="s">
        <v>107</v>
      </c>
      <c r="E279" s="111" t="s">
        <v>97</v>
      </c>
      <c r="F279" s="112">
        <v>1080326</v>
      </c>
      <c r="G279" s="113">
        <v>0</v>
      </c>
      <c r="H279" s="114">
        <f t="shared" si="9"/>
        <v>1080326</v>
      </c>
      <c r="I279" s="114">
        <v>1</v>
      </c>
      <c r="J279" s="115" t="s">
        <v>60</v>
      </c>
      <c r="K279" s="116">
        <v>5.18</v>
      </c>
      <c r="L279" s="116"/>
      <c r="M279" s="141" t="s">
        <v>78</v>
      </c>
      <c r="N279" s="140"/>
      <c r="O279" s="140">
        <f>VLOOKUP(C279,'May2017 '!C28:J55,8,0)</f>
        <v>0</v>
      </c>
      <c r="P279" s="91">
        <f t="shared" si="10"/>
        <v>1</v>
      </c>
    </row>
    <row r="280" spans="2:16" hidden="1" x14ac:dyDescent="0.25">
      <c r="B280" s="110">
        <v>42856</v>
      </c>
      <c r="C280" s="117">
        <v>1150</v>
      </c>
      <c r="D280" s="157" t="s">
        <v>107</v>
      </c>
      <c r="E280" s="111" t="s">
        <v>97</v>
      </c>
      <c r="F280" s="112">
        <v>3256980</v>
      </c>
      <c r="G280" s="113">
        <v>1630000</v>
      </c>
      <c r="H280" s="114">
        <f t="shared" si="9"/>
        <v>1626980</v>
      </c>
      <c r="I280" s="114">
        <v>1</v>
      </c>
      <c r="J280" s="115" t="s">
        <v>60</v>
      </c>
      <c r="K280" s="116">
        <v>8.9</v>
      </c>
      <c r="L280" s="116"/>
      <c r="M280" s="141" t="s">
        <v>78</v>
      </c>
      <c r="N280" s="140"/>
      <c r="O280" s="140">
        <f>VLOOKUP(C280,'May2017 '!C29:J56,8,0)</f>
        <v>1630000</v>
      </c>
      <c r="P280" s="91">
        <f t="shared" si="10"/>
        <v>1</v>
      </c>
    </row>
    <row r="281" spans="2:16" hidden="1" x14ac:dyDescent="0.25">
      <c r="B281" s="110">
        <v>42856</v>
      </c>
      <c r="C281" s="117">
        <v>1151</v>
      </c>
      <c r="D281" s="157" t="s">
        <v>107</v>
      </c>
      <c r="E281" s="111" t="s">
        <v>97</v>
      </c>
      <c r="F281" s="112">
        <v>1394855</v>
      </c>
      <c r="G281" s="113">
        <v>700000</v>
      </c>
      <c r="H281" s="114">
        <f t="shared" si="9"/>
        <v>694855</v>
      </c>
      <c r="I281" s="114">
        <v>1</v>
      </c>
      <c r="J281" s="115" t="s">
        <v>60</v>
      </c>
      <c r="K281" s="116">
        <v>3.77</v>
      </c>
      <c r="L281" s="116"/>
      <c r="M281" s="141" t="s">
        <v>78</v>
      </c>
      <c r="N281" s="140"/>
      <c r="O281" s="140">
        <f>VLOOKUP(C281,'May2017 '!C30:J57,8,0)</f>
        <v>700000</v>
      </c>
      <c r="P281" s="91">
        <f t="shared" si="10"/>
        <v>1</v>
      </c>
    </row>
    <row r="282" spans="2:16" hidden="1" x14ac:dyDescent="0.25">
      <c r="B282" s="110">
        <v>42856</v>
      </c>
      <c r="C282" s="117">
        <v>1152</v>
      </c>
      <c r="D282" s="157" t="s">
        <v>107</v>
      </c>
      <c r="E282" s="111" t="e">
        <v>#N/A</v>
      </c>
      <c r="F282" s="112">
        <v>3876676</v>
      </c>
      <c r="G282" s="113">
        <v>3876676</v>
      </c>
      <c r="H282" s="114">
        <f t="shared" si="9"/>
        <v>0</v>
      </c>
      <c r="I282" s="114"/>
      <c r="J282" s="115" t="s">
        <v>60</v>
      </c>
      <c r="K282" s="116">
        <v>5.34</v>
      </c>
      <c r="L282" s="116"/>
      <c r="M282" s="141" t="s">
        <v>78</v>
      </c>
      <c r="N282" s="140"/>
      <c r="O282" s="140">
        <f>VLOOKUP(C282,'May2017 '!C31:J58,8,0)</f>
        <v>3876676</v>
      </c>
      <c r="P282" s="91">
        <f t="shared" si="10"/>
        <v>1</v>
      </c>
    </row>
    <row r="283" spans="2:16" hidden="1" x14ac:dyDescent="0.25">
      <c r="B283" s="110">
        <v>42887</v>
      </c>
      <c r="C283" s="117">
        <v>1153</v>
      </c>
      <c r="D283" s="157" t="s">
        <v>107</v>
      </c>
      <c r="E283" s="111" t="e">
        <v>#N/A</v>
      </c>
      <c r="F283" s="112">
        <v>2798231</v>
      </c>
      <c r="G283" s="113"/>
      <c r="H283" s="114">
        <f t="shared" si="9"/>
        <v>2798231</v>
      </c>
      <c r="I283" s="114">
        <v>1</v>
      </c>
      <c r="J283" s="115" t="s">
        <v>60</v>
      </c>
      <c r="K283" s="116">
        <v>31.62</v>
      </c>
      <c r="L283" s="116"/>
      <c r="M283" s="141" t="s">
        <v>78</v>
      </c>
      <c r="N283" s="140"/>
      <c r="O283" s="140" t="e">
        <f>VLOOKUP(C283,'May2017 '!C32:J59,8,0)</f>
        <v>#N/A</v>
      </c>
      <c r="P283" s="91" t="e">
        <f t="shared" si="10"/>
        <v>#N/A</v>
      </c>
    </row>
    <row r="284" spans="2:16" hidden="1" x14ac:dyDescent="0.25">
      <c r="B284" s="110">
        <v>42856</v>
      </c>
      <c r="C284" s="117">
        <v>1154</v>
      </c>
      <c r="D284" s="157" t="s">
        <v>107</v>
      </c>
      <c r="E284" s="111" t="s">
        <v>97</v>
      </c>
      <c r="F284" s="112">
        <v>4104000</v>
      </c>
      <c r="G284" s="113">
        <v>2052000</v>
      </c>
      <c r="H284" s="114">
        <f t="shared" si="9"/>
        <v>2052000</v>
      </c>
      <c r="I284" s="114">
        <v>1</v>
      </c>
      <c r="J284" s="115" t="s">
        <v>60</v>
      </c>
      <c r="K284" s="116">
        <v>9.93</v>
      </c>
      <c r="L284" s="116"/>
      <c r="M284" s="141" t="s">
        <v>78</v>
      </c>
      <c r="N284" s="140"/>
      <c r="O284" s="140">
        <f>VLOOKUP(C284,'May2017 '!C32:J60,8,0)</f>
        <v>2052000</v>
      </c>
      <c r="P284" s="91">
        <f t="shared" si="10"/>
        <v>1</v>
      </c>
    </row>
    <row r="285" spans="2:16" hidden="1" x14ac:dyDescent="0.25">
      <c r="B285" s="110">
        <v>42856</v>
      </c>
      <c r="C285" s="117">
        <v>1155</v>
      </c>
      <c r="D285" s="157" t="s">
        <v>107</v>
      </c>
      <c r="E285" s="111" t="e">
        <v>#N/A</v>
      </c>
      <c r="F285" s="112">
        <v>4702706</v>
      </c>
      <c r="G285" s="113">
        <v>4702706</v>
      </c>
      <c r="H285" s="114">
        <f t="shared" si="9"/>
        <v>0</v>
      </c>
      <c r="I285" s="114"/>
      <c r="J285" s="115" t="s">
        <v>60</v>
      </c>
      <c r="K285" s="116">
        <v>9.69</v>
      </c>
      <c r="L285" s="116"/>
      <c r="M285" s="141" t="s">
        <v>78</v>
      </c>
      <c r="N285" s="140"/>
      <c r="O285" s="140">
        <f>VLOOKUP(C285,'May2017 '!C33:J61,8,0)</f>
        <v>4702706</v>
      </c>
      <c r="P285" s="91">
        <f t="shared" si="10"/>
        <v>1</v>
      </c>
    </row>
    <row r="286" spans="2:16" hidden="1" x14ac:dyDescent="0.25">
      <c r="B286" s="110">
        <v>42856</v>
      </c>
      <c r="C286" s="117">
        <v>1156</v>
      </c>
      <c r="D286" s="157" t="s">
        <v>107</v>
      </c>
      <c r="E286" s="111" t="s">
        <v>97</v>
      </c>
      <c r="F286" s="112">
        <v>2618610</v>
      </c>
      <c r="G286" s="113">
        <v>1309305</v>
      </c>
      <c r="H286" s="114">
        <f t="shared" si="9"/>
        <v>1309305</v>
      </c>
      <c r="I286" s="114">
        <v>1</v>
      </c>
      <c r="J286" s="115" t="s">
        <v>60</v>
      </c>
      <c r="K286" s="116">
        <v>7.22</v>
      </c>
      <c r="L286" s="116"/>
      <c r="M286" s="141" t="s">
        <v>78</v>
      </c>
      <c r="N286" s="140"/>
      <c r="O286" s="140">
        <f>VLOOKUP(C286,'May2017 '!C34:J62,8,0)</f>
        <v>1309305</v>
      </c>
      <c r="P286" s="91">
        <f t="shared" si="10"/>
        <v>1</v>
      </c>
    </row>
    <row r="287" spans="2:16" hidden="1" x14ac:dyDescent="0.25">
      <c r="B287" s="110">
        <v>42856</v>
      </c>
      <c r="C287" s="117">
        <v>1157</v>
      </c>
      <c r="D287" s="157" t="s">
        <v>107</v>
      </c>
      <c r="E287" s="111" t="s">
        <v>116</v>
      </c>
      <c r="F287" s="112">
        <v>3943879</v>
      </c>
      <c r="G287" s="113">
        <v>1971939</v>
      </c>
      <c r="H287" s="114">
        <f t="shared" si="9"/>
        <v>1971940</v>
      </c>
      <c r="I287" s="114">
        <v>1</v>
      </c>
      <c r="J287" s="115" t="s">
        <v>60</v>
      </c>
      <c r="K287" s="116">
        <v>10.14</v>
      </c>
      <c r="L287" s="116"/>
      <c r="M287" s="141" t="s">
        <v>78</v>
      </c>
      <c r="N287" s="140"/>
      <c r="O287" s="140">
        <f>VLOOKUP(C287,'May2017 '!C35:J63,8,0)</f>
        <v>1971939</v>
      </c>
      <c r="P287" s="91">
        <f t="shared" si="10"/>
        <v>1</v>
      </c>
    </row>
    <row r="288" spans="2:16" hidden="1" x14ac:dyDescent="0.25">
      <c r="B288" s="110">
        <v>42887</v>
      </c>
      <c r="C288" s="117">
        <v>1158</v>
      </c>
      <c r="D288" s="157" t="s">
        <v>107</v>
      </c>
      <c r="E288" s="111" t="s">
        <v>110</v>
      </c>
      <c r="F288" s="112">
        <v>5524072</v>
      </c>
      <c r="G288" s="113">
        <v>2762036</v>
      </c>
      <c r="H288" s="114">
        <f>F288-G288</f>
        <v>2762036</v>
      </c>
      <c r="I288" s="114">
        <v>1</v>
      </c>
      <c r="J288" s="115" t="s">
        <v>60</v>
      </c>
      <c r="K288" s="116"/>
      <c r="L288" s="116"/>
      <c r="M288" s="141" t="s">
        <v>78</v>
      </c>
      <c r="N288" s="140"/>
      <c r="O288" s="140" t="e">
        <f>VLOOKUP(C288,'May2017 '!C36:J64,8,0)</f>
        <v>#N/A</v>
      </c>
      <c r="P288" s="91" t="e">
        <f t="shared" si="10"/>
        <v>#N/A</v>
      </c>
    </row>
    <row r="289" spans="6:16" hidden="1" x14ac:dyDescent="0.25">
      <c r="M289" s="142"/>
      <c r="N289" s="140">
        <f>SUM(N260:N288)</f>
        <v>0</v>
      </c>
    </row>
    <row r="290" spans="6:16" hidden="1" x14ac:dyDescent="0.25">
      <c r="F290" s="151">
        <f>SUBTOTAL(9,F54:F288)</f>
        <v>87738561</v>
      </c>
      <c r="G290" s="151">
        <f>SUBTOTAL(9,G54:G288)</f>
        <v>42490180</v>
      </c>
      <c r="H290" s="151">
        <f>SUBTOTAL(9,H80:H270)</f>
        <v>45248381</v>
      </c>
      <c r="K290" s="91">
        <f>SUBTOTAL(9,K43:K289)</f>
        <v>199.02499999999998</v>
      </c>
      <c r="M290" s="142"/>
      <c r="O290" s="91">
        <f>SUBTOTAL(9,O127:O248)</f>
        <v>0</v>
      </c>
      <c r="P290" s="91">
        <f>SUBTOTAL(9,P13:P248)</f>
        <v>0</v>
      </c>
    </row>
    <row r="291" spans="6:16" hidden="1" x14ac:dyDescent="0.25">
      <c r="F291" s="213">
        <f>F290/1.19</f>
        <v>73729883.193277314</v>
      </c>
      <c r="M291" s="142"/>
    </row>
    <row r="292" spans="6:16" x14ac:dyDescent="0.25">
      <c r="F292" s="188"/>
      <c r="K292" s="91">
        <f>SUBTOTAL(9,K43:K270)</f>
        <v>199.02499999999998</v>
      </c>
      <c r="M292" s="142"/>
    </row>
    <row r="293" spans="6:16" x14ac:dyDescent="0.25">
      <c r="M293" s="142"/>
    </row>
    <row r="294" spans="6:16" x14ac:dyDescent="0.25">
      <c r="M294" s="142"/>
    </row>
    <row r="295" spans="6:16" x14ac:dyDescent="0.25">
      <c r="M295" s="142"/>
    </row>
    <row r="296" spans="6:16" x14ac:dyDescent="0.25">
      <c r="M296" s="142"/>
    </row>
    <row r="297" spans="6:16" x14ac:dyDescent="0.25">
      <c r="M297" s="142"/>
    </row>
    <row r="298" spans="6:16" x14ac:dyDescent="0.25">
      <c r="M298" s="142"/>
    </row>
    <row r="299" spans="6:16" x14ac:dyDescent="0.25">
      <c r="M299" s="142"/>
    </row>
    <row r="300" spans="6:16" x14ac:dyDescent="0.25">
      <c r="M300" s="142"/>
    </row>
    <row r="301" spans="6:16" x14ac:dyDescent="0.25">
      <c r="M301" s="142"/>
    </row>
    <row r="302" spans="6:16" x14ac:dyDescent="0.25">
      <c r="M302" s="142"/>
    </row>
    <row r="303" spans="6:16" x14ac:dyDescent="0.25">
      <c r="M303" s="142"/>
    </row>
    <row r="304" spans="6:16" x14ac:dyDescent="0.25">
      <c r="M304" s="142"/>
    </row>
    <row r="305" spans="13:13" x14ac:dyDescent="0.25">
      <c r="M305" s="142"/>
    </row>
    <row r="306" spans="13:13" x14ac:dyDescent="0.25">
      <c r="M306" s="142"/>
    </row>
    <row r="307" spans="13:13" x14ac:dyDescent="0.25">
      <c r="M307" s="142"/>
    </row>
    <row r="308" spans="13:13" x14ac:dyDescent="0.25">
      <c r="M308" s="142"/>
    </row>
    <row r="309" spans="13:13" x14ac:dyDescent="0.25">
      <c r="M309" s="142"/>
    </row>
    <row r="310" spans="13:13" x14ac:dyDescent="0.25">
      <c r="M310" s="142"/>
    </row>
    <row r="311" spans="13:13" x14ac:dyDescent="0.25">
      <c r="M311" s="142"/>
    </row>
    <row r="312" spans="13:13" x14ac:dyDescent="0.25">
      <c r="M312" s="142"/>
    </row>
    <row r="313" spans="13:13" x14ac:dyDescent="0.25">
      <c r="M313" s="142"/>
    </row>
    <row r="314" spans="13:13" x14ac:dyDescent="0.25">
      <c r="M314" s="142"/>
    </row>
    <row r="315" spans="13:13" x14ac:dyDescent="0.25">
      <c r="M315" s="142"/>
    </row>
    <row r="316" spans="13:13" x14ac:dyDescent="0.25">
      <c r="M316" s="142"/>
    </row>
    <row r="317" spans="13:13" x14ac:dyDescent="0.25">
      <c r="M317" s="142"/>
    </row>
    <row r="318" spans="13:13" x14ac:dyDescent="0.25">
      <c r="M318" s="142"/>
    </row>
    <row r="319" spans="13:13" x14ac:dyDescent="0.25">
      <c r="M319" s="142"/>
    </row>
    <row r="320" spans="13:13" x14ac:dyDescent="0.25">
      <c r="M320" s="142"/>
    </row>
    <row r="321" spans="13:13" x14ac:dyDescent="0.25">
      <c r="M321" s="142"/>
    </row>
    <row r="322" spans="13:13" x14ac:dyDescent="0.25">
      <c r="M322" s="142"/>
    </row>
    <row r="323" spans="13:13" x14ac:dyDescent="0.25">
      <c r="M323" s="142"/>
    </row>
    <row r="324" spans="13:13" x14ac:dyDescent="0.25">
      <c r="M324" s="142"/>
    </row>
    <row r="325" spans="13:13" x14ac:dyDescent="0.25">
      <c r="M325" s="142"/>
    </row>
    <row r="326" spans="13:13" x14ac:dyDescent="0.25">
      <c r="M326" s="142"/>
    </row>
    <row r="327" spans="13:13" x14ac:dyDescent="0.25">
      <c r="M327" s="142"/>
    </row>
    <row r="328" spans="13:13" x14ac:dyDescent="0.25">
      <c r="M328" s="142"/>
    </row>
    <row r="329" spans="13:13" x14ac:dyDescent="0.25">
      <c r="M329" s="142"/>
    </row>
    <row r="330" spans="13:13" x14ac:dyDescent="0.25">
      <c r="M330" s="142"/>
    </row>
    <row r="331" spans="13:13" x14ac:dyDescent="0.25">
      <c r="M331" s="142"/>
    </row>
    <row r="332" spans="13:13" x14ac:dyDescent="0.25">
      <c r="M332" s="142"/>
    </row>
    <row r="333" spans="13:13" x14ac:dyDescent="0.25">
      <c r="M333" s="142"/>
    </row>
    <row r="334" spans="13:13" x14ac:dyDescent="0.25">
      <c r="M334" s="142"/>
    </row>
    <row r="335" spans="13:13" x14ac:dyDescent="0.25">
      <c r="M335" s="142"/>
    </row>
    <row r="336" spans="13:13" x14ac:dyDescent="0.25">
      <c r="M336" s="142"/>
    </row>
    <row r="337" spans="13:13" x14ac:dyDescent="0.25">
      <c r="M337" s="142"/>
    </row>
    <row r="338" spans="13:13" x14ac:dyDescent="0.25">
      <c r="M338" s="142"/>
    </row>
    <row r="339" spans="13:13" x14ac:dyDescent="0.25">
      <c r="M339" s="142"/>
    </row>
    <row r="340" spans="13:13" x14ac:dyDescent="0.25">
      <c r="M340" s="142"/>
    </row>
    <row r="341" spans="13:13" x14ac:dyDescent="0.25">
      <c r="M341" s="142"/>
    </row>
    <row r="342" spans="13:13" x14ac:dyDescent="0.25">
      <c r="M342" s="142"/>
    </row>
    <row r="343" spans="13:13" x14ac:dyDescent="0.25">
      <c r="M343" s="142"/>
    </row>
    <row r="344" spans="13:13" x14ac:dyDescent="0.25">
      <c r="M344" s="142"/>
    </row>
    <row r="345" spans="13:13" x14ac:dyDescent="0.25">
      <c r="M345" s="142"/>
    </row>
    <row r="346" spans="13:13" x14ac:dyDescent="0.25">
      <c r="M346" s="142"/>
    </row>
    <row r="347" spans="13:13" x14ac:dyDescent="0.25">
      <c r="M347" s="142"/>
    </row>
    <row r="348" spans="13:13" x14ac:dyDescent="0.25">
      <c r="M348" s="142"/>
    </row>
    <row r="349" spans="13:13" x14ac:dyDescent="0.25">
      <c r="M349" s="142"/>
    </row>
    <row r="350" spans="13:13" x14ac:dyDescent="0.25">
      <c r="M350" s="142"/>
    </row>
    <row r="351" spans="13:13" x14ac:dyDescent="0.25">
      <c r="M351" s="142"/>
    </row>
    <row r="352" spans="13:13" x14ac:dyDescent="0.25">
      <c r="M352" s="142"/>
    </row>
    <row r="353" spans="13:13" x14ac:dyDescent="0.25">
      <c r="M353" s="142"/>
    </row>
    <row r="354" spans="13:13" x14ac:dyDescent="0.25">
      <c r="M354" s="142"/>
    </row>
    <row r="355" spans="13:13" x14ac:dyDescent="0.25">
      <c r="M355" s="142"/>
    </row>
    <row r="356" spans="13:13" x14ac:dyDescent="0.25">
      <c r="M356" s="142"/>
    </row>
    <row r="357" spans="13:13" x14ac:dyDescent="0.25">
      <c r="M357" s="142"/>
    </row>
    <row r="358" spans="13:13" x14ac:dyDescent="0.25">
      <c r="M358" s="142"/>
    </row>
    <row r="359" spans="13:13" x14ac:dyDescent="0.25">
      <c r="M359" s="142"/>
    </row>
    <row r="360" spans="13:13" x14ac:dyDescent="0.25">
      <c r="M360" s="142"/>
    </row>
    <row r="361" spans="13:13" x14ac:dyDescent="0.25">
      <c r="M361" s="142"/>
    </row>
    <row r="362" spans="13:13" x14ac:dyDescent="0.25">
      <c r="M362" s="142"/>
    </row>
    <row r="363" spans="13:13" x14ac:dyDescent="0.25">
      <c r="M363" s="142"/>
    </row>
    <row r="364" spans="13:13" x14ac:dyDescent="0.25">
      <c r="M364" s="142"/>
    </row>
    <row r="365" spans="13:13" x14ac:dyDescent="0.25">
      <c r="M365" s="142"/>
    </row>
    <row r="366" spans="13:13" x14ac:dyDescent="0.25">
      <c r="M366" s="142"/>
    </row>
    <row r="367" spans="13:13" x14ac:dyDescent="0.25">
      <c r="M367" s="142"/>
    </row>
    <row r="368" spans="13:13" x14ac:dyDescent="0.25">
      <c r="M368" s="142"/>
    </row>
    <row r="369" spans="13:13" x14ac:dyDescent="0.25">
      <c r="M369" s="142"/>
    </row>
    <row r="370" spans="13:13" x14ac:dyDescent="0.25">
      <c r="M370" s="142"/>
    </row>
    <row r="371" spans="13:13" x14ac:dyDescent="0.25">
      <c r="M371" s="142"/>
    </row>
    <row r="372" spans="13:13" x14ac:dyDescent="0.25">
      <c r="M372" s="142"/>
    </row>
    <row r="373" spans="13:13" x14ac:dyDescent="0.25">
      <c r="M373" s="142"/>
    </row>
    <row r="374" spans="13:13" x14ac:dyDescent="0.25">
      <c r="M374" s="142"/>
    </row>
    <row r="375" spans="13:13" x14ac:dyDescent="0.25">
      <c r="M375" s="142"/>
    </row>
    <row r="376" spans="13:13" x14ac:dyDescent="0.25">
      <c r="M376" s="142"/>
    </row>
    <row r="377" spans="13:13" x14ac:dyDescent="0.25">
      <c r="M377" s="142"/>
    </row>
    <row r="378" spans="13:13" x14ac:dyDescent="0.25">
      <c r="M378" s="142"/>
    </row>
    <row r="379" spans="13:13" x14ac:dyDescent="0.25">
      <c r="M379" s="142"/>
    </row>
    <row r="380" spans="13:13" x14ac:dyDescent="0.25">
      <c r="M380" s="142"/>
    </row>
    <row r="381" spans="13:13" x14ac:dyDescent="0.25">
      <c r="M381" s="142"/>
    </row>
    <row r="382" spans="13:13" x14ac:dyDescent="0.25">
      <c r="M382" s="142"/>
    </row>
    <row r="383" spans="13:13" x14ac:dyDescent="0.25">
      <c r="M383" s="142"/>
    </row>
    <row r="384" spans="13:13" x14ac:dyDescent="0.25">
      <c r="M384" s="142"/>
    </row>
    <row r="385" spans="13:13" x14ac:dyDescent="0.25">
      <c r="M385" s="142"/>
    </row>
    <row r="386" spans="13:13" x14ac:dyDescent="0.25">
      <c r="M386" s="142"/>
    </row>
    <row r="387" spans="13:13" x14ac:dyDescent="0.25">
      <c r="M387" s="142"/>
    </row>
    <row r="388" spans="13:13" x14ac:dyDescent="0.25">
      <c r="M388" s="142"/>
    </row>
    <row r="389" spans="13:13" x14ac:dyDescent="0.25">
      <c r="M389" s="142"/>
    </row>
    <row r="390" spans="13:13" x14ac:dyDescent="0.25">
      <c r="M390" s="142"/>
    </row>
    <row r="391" spans="13:13" x14ac:dyDescent="0.25">
      <c r="M391" s="142"/>
    </row>
    <row r="392" spans="13:13" x14ac:dyDescent="0.25">
      <c r="M392" s="142"/>
    </row>
    <row r="393" spans="13:13" x14ac:dyDescent="0.25">
      <c r="M393" s="142"/>
    </row>
    <row r="394" spans="13:13" x14ac:dyDescent="0.25">
      <c r="M394" s="142"/>
    </row>
    <row r="395" spans="13:13" x14ac:dyDescent="0.25">
      <c r="M395" s="142"/>
    </row>
    <row r="396" spans="13:13" x14ac:dyDescent="0.25">
      <c r="M396" s="142"/>
    </row>
    <row r="397" spans="13:13" x14ac:dyDescent="0.25">
      <c r="M397" s="142"/>
    </row>
    <row r="398" spans="13:13" x14ac:dyDescent="0.25">
      <c r="M398" s="142"/>
    </row>
    <row r="399" spans="13:13" x14ac:dyDescent="0.25">
      <c r="M399" s="142"/>
    </row>
    <row r="400" spans="13:13" x14ac:dyDescent="0.25">
      <c r="M400" s="142"/>
    </row>
    <row r="401" spans="13:13" x14ac:dyDescent="0.25">
      <c r="M401" s="142"/>
    </row>
    <row r="402" spans="13:13" x14ac:dyDescent="0.25">
      <c r="M402" s="142"/>
    </row>
    <row r="403" spans="13:13" x14ac:dyDescent="0.25">
      <c r="M403" s="142"/>
    </row>
    <row r="404" spans="13:13" x14ac:dyDescent="0.25">
      <c r="M404" s="142"/>
    </row>
    <row r="405" spans="13:13" x14ac:dyDescent="0.25">
      <c r="M405" s="142"/>
    </row>
    <row r="406" spans="13:13" x14ac:dyDescent="0.25">
      <c r="M406" s="142"/>
    </row>
    <row r="407" spans="13:13" x14ac:dyDescent="0.25">
      <c r="M407" s="142"/>
    </row>
    <row r="408" spans="13:13" x14ac:dyDescent="0.25">
      <c r="M408" s="142"/>
    </row>
    <row r="409" spans="13:13" x14ac:dyDescent="0.25">
      <c r="M409" s="142"/>
    </row>
    <row r="410" spans="13:13" x14ac:dyDescent="0.25">
      <c r="M410" s="142"/>
    </row>
    <row r="411" spans="13:13" x14ac:dyDescent="0.25">
      <c r="M411" s="142"/>
    </row>
    <row r="412" spans="13:13" x14ac:dyDescent="0.25">
      <c r="M412" s="142"/>
    </row>
    <row r="413" spans="13:13" x14ac:dyDescent="0.25">
      <c r="M413" s="142"/>
    </row>
    <row r="414" spans="13:13" x14ac:dyDescent="0.25">
      <c r="M414" s="142"/>
    </row>
    <row r="415" spans="13:13" x14ac:dyDescent="0.25">
      <c r="M415" s="142"/>
    </row>
    <row r="416" spans="13:13" x14ac:dyDescent="0.25">
      <c r="M416" s="142"/>
    </row>
    <row r="417" spans="13:13" x14ac:dyDescent="0.25">
      <c r="M417" s="142"/>
    </row>
    <row r="418" spans="13:13" x14ac:dyDescent="0.25">
      <c r="M418" s="142"/>
    </row>
    <row r="419" spans="13:13" x14ac:dyDescent="0.25">
      <c r="M419" s="142"/>
    </row>
    <row r="420" spans="13:13" x14ac:dyDescent="0.25">
      <c r="M420" s="142"/>
    </row>
    <row r="421" spans="13:13" x14ac:dyDescent="0.25">
      <c r="M421" s="142"/>
    </row>
    <row r="422" spans="13:13" x14ac:dyDescent="0.25">
      <c r="M422" s="142"/>
    </row>
    <row r="423" spans="13:13" x14ac:dyDescent="0.25">
      <c r="M423" s="142"/>
    </row>
    <row r="424" spans="13:13" x14ac:dyDescent="0.25">
      <c r="M424" s="142"/>
    </row>
    <row r="425" spans="13:13" x14ac:dyDescent="0.25">
      <c r="M425" s="142"/>
    </row>
    <row r="426" spans="13:13" x14ac:dyDescent="0.25">
      <c r="M426" s="142"/>
    </row>
    <row r="427" spans="13:13" x14ac:dyDescent="0.25">
      <c r="M427" s="142"/>
    </row>
    <row r="428" spans="13:13" x14ac:dyDescent="0.25">
      <c r="M428" s="142"/>
    </row>
    <row r="429" spans="13:13" x14ac:dyDescent="0.25">
      <c r="M429" s="142"/>
    </row>
    <row r="430" spans="13:13" x14ac:dyDescent="0.25">
      <c r="M430" s="142"/>
    </row>
    <row r="431" spans="13:13" x14ac:dyDescent="0.25">
      <c r="M431" s="142"/>
    </row>
    <row r="432" spans="13:13" x14ac:dyDescent="0.25">
      <c r="M432" s="142"/>
    </row>
    <row r="433" spans="13:13" x14ac:dyDescent="0.25">
      <c r="M433" s="142"/>
    </row>
    <row r="434" spans="13:13" x14ac:dyDescent="0.25">
      <c r="M434" s="142"/>
    </row>
    <row r="435" spans="13:13" x14ac:dyDescent="0.25">
      <c r="M435" s="142"/>
    </row>
    <row r="436" spans="13:13" x14ac:dyDescent="0.25">
      <c r="M436" s="142"/>
    </row>
    <row r="437" spans="13:13" x14ac:dyDescent="0.25">
      <c r="M437" s="142"/>
    </row>
    <row r="438" spans="13:13" x14ac:dyDescent="0.25">
      <c r="M438" s="142"/>
    </row>
    <row r="439" spans="13:13" x14ac:dyDescent="0.25">
      <c r="M439" s="142"/>
    </row>
    <row r="440" spans="13:13" x14ac:dyDescent="0.25">
      <c r="M440" s="142"/>
    </row>
    <row r="441" spans="13:13" x14ac:dyDescent="0.25">
      <c r="M441" s="142"/>
    </row>
    <row r="442" spans="13:13" x14ac:dyDescent="0.25">
      <c r="M442" s="142"/>
    </row>
    <row r="443" spans="13:13" x14ac:dyDescent="0.25">
      <c r="M443" s="142"/>
    </row>
    <row r="444" spans="13:13" x14ac:dyDescent="0.25">
      <c r="M444" s="142"/>
    </row>
    <row r="445" spans="13:13" x14ac:dyDescent="0.25">
      <c r="M445" s="142"/>
    </row>
    <row r="446" spans="13:13" x14ac:dyDescent="0.25">
      <c r="M446" s="142"/>
    </row>
    <row r="447" spans="13:13" x14ac:dyDescent="0.25">
      <c r="M447" s="142"/>
    </row>
    <row r="448" spans="13:13" x14ac:dyDescent="0.25">
      <c r="M448" s="142"/>
    </row>
    <row r="449" spans="13:13" x14ac:dyDescent="0.25">
      <c r="M449" s="142"/>
    </row>
    <row r="450" spans="13:13" x14ac:dyDescent="0.25">
      <c r="M450" s="142"/>
    </row>
    <row r="451" spans="13:13" x14ac:dyDescent="0.25">
      <c r="M451" s="142"/>
    </row>
    <row r="452" spans="13:13" x14ac:dyDescent="0.25">
      <c r="M452" s="142"/>
    </row>
    <row r="453" spans="13:13" x14ac:dyDescent="0.25">
      <c r="M453" s="142"/>
    </row>
    <row r="454" spans="13:13" x14ac:dyDescent="0.25">
      <c r="M454" s="142"/>
    </row>
    <row r="455" spans="13:13" x14ac:dyDescent="0.25">
      <c r="M455" s="142"/>
    </row>
    <row r="456" spans="13:13" x14ac:dyDescent="0.25">
      <c r="M456" s="142"/>
    </row>
    <row r="457" spans="13:13" x14ac:dyDescent="0.25">
      <c r="M457" s="142"/>
    </row>
    <row r="458" spans="13:13" x14ac:dyDescent="0.25">
      <c r="M458" s="142"/>
    </row>
    <row r="459" spans="13:13" x14ac:dyDescent="0.25">
      <c r="M459" s="142"/>
    </row>
    <row r="460" spans="13:13" x14ac:dyDescent="0.25">
      <c r="M460" s="142"/>
    </row>
    <row r="461" spans="13:13" x14ac:dyDescent="0.25">
      <c r="M461" s="142"/>
    </row>
    <row r="462" spans="13:13" x14ac:dyDescent="0.25">
      <c r="M462" s="142"/>
    </row>
    <row r="463" spans="13:13" x14ac:dyDescent="0.25">
      <c r="M463" s="142"/>
    </row>
    <row r="464" spans="13:13" x14ac:dyDescent="0.25">
      <c r="M464" s="142"/>
    </row>
    <row r="465" spans="13:13" x14ac:dyDescent="0.25">
      <c r="M465" s="142"/>
    </row>
    <row r="466" spans="13:13" x14ac:dyDescent="0.25">
      <c r="M466" s="142"/>
    </row>
    <row r="467" spans="13:13" x14ac:dyDescent="0.25">
      <c r="M467" s="142"/>
    </row>
    <row r="468" spans="13:13" x14ac:dyDescent="0.25">
      <c r="M468" s="142"/>
    </row>
    <row r="469" spans="13:13" x14ac:dyDescent="0.25">
      <c r="M469" s="142"/>
    </row>
    <row r="470" spans="13:13" x14ac:dyDescent="0.25">
      <c r="M470" s="142"/>
    </row>
    <row r="471" spans="13:13" x14ac:dyDescent="0.25">
      <c r="M471" s="142"/>
    </row>
    <row r="472" spans="13:13" x14ac:dyDescent="0.25">
      <c r="M472" s="142"/>
    </row>
    <row r="473" spans="13:13" x14ac:dyDescent="0.25">
      <c r="M473" s="142"/>
    </row>
    <row r="474" spans="13:13" x14ac:dyDescent="0.25">
      <c r="M474" s="142"/>
    </row>
    <row r="475" spans="13:13" x14ac:dyDescent="0.25">
      <c r="M475" s="142"/>
    </row>
    <row r="476" spans="13:13" x14ac:dyDescent="0.25">
      <c r="M476" s="142"/>
    </row>
    <row r="477" spans="13:13" x14ac:dyDescent="0.25">
      <c r="M477" s="142"/>
    </row>
    <row r="478" spans="13:13" x14ac:dyDescent="0.25">
      <c r="M478" s="142"/>
    </row>
    <row r="479" spans="13:13" x14ac:dyDescent="0.25">
      <c r="M479" s="142"/>
    </row>
    <row r="480" spans="13:13" x14ac:dyDescent="0.25">
      <c r="M480" s="142"/>
    </row>
    <row r="481" spans="13:13" x14ac:dyDescent="0.25">
      <c r="M481" s="142"/>
    </row>
    <row r="482" spans="13:13" x14ac:dyDescent="0.25">
      <c r="M482" s="142"/>
    </row>
    <row r="483" spans="13:13" x14ac:dyDescent="0.25">
      <c r="M483" s="142"/>
    </row>
    <row r="484" spans="13:13" x14ac:dyDescent="0.25">
      <c r="M484" s="142"/>
    </row>
    <row r="485" spans="13:13" x14ac:dyDescent="0.25">
      <c r="M485" s="142"/>
    </row>
    <row r="486" spans="13:13" x14ac:dyDescent="0.25">
      <c r="M486" s="142"/>
    </row>
    <row r="487" spans="13:13" x14ac:dyDescent="0.25">
      <c r="M487" s="142"/>
    </row>
    <row r="488" spans="13:13" x14ac:dyDescent="0.25">
      <c r="M488" s="142"/>
    </row>
    <row r="489" spans="13:13" x14ac:dyDescent="0.25">
      <c r="M489" s="142"/>
    </row>
    <row r="490" spans="13:13" x14ac:dyDescent="0.25">
      <c r="M490" s="142"/>
    </row>
    <row r="491" spans="13:13" x14ac:dyDescent="0.25">
      <c r="M491" s="142"/>
    </row>
    <row r="492" spans="13:13" x14ac:dyDescent="0.25">
      <c r="M492" s="142"/>
    </row>
    <row r="493" spans="13:13" x14ac:dyDescent="0.25">
      <c r="M493" s="142"/>
    </row>
    <row r="494" spans="13:13" x14ac:dyDescent="0.25">
      <c r="M494" s="142"/>
    </row>
    <row r="495" spans="13:13" x14ac:dyDescent="0.25">
      <c r="M495" s="142"/>
    </row>
    <row r="496" spans="13:13" x14ac:dyDescent="0.25">
      <c r="M496" s="142"/>
    </row>
    <row r="497" spans="13:13" x14ac:dyDescent="0.25">
      <c r="M497" s="142"/>
    </row>
    <row r="498" spans="13:13" x14ac:dyDescent="0.25">
      <c r="M498" s="142"/>
    </row>
    <row r="499" spans="13:13" x14ac:dyDescent="0.25">
      <c r="M499" s="142"/>
    </row>
    <row r="500" spans="13:13" x14ac:dyDescent="0.25">
      <c r="M500" s="142"/>
    </row>
    <row r="501" spans="13:13" x14ac:dyDescent="0.25">
      <c r="M501" s="142"/>
    </row>
    <row r="502" spans="13:13" x14ac:dyDescent="0.25">
      <c r="M502" s="142"/>
    </row>
    <row r="503" spans="13:13" x14ac:dyDescent="0.25">
      <c r="M503" s="142"/>
    </row>
    <row r="504" spans="13:13" x14ac:dyDescent="0.25">
      <c r="M504" s="142"/>
    </row>
    <row r="505" spans="13:13" x14ac:dyDescent="0.25">
      <c r="M505" s="142"/>
    </row>
    <row r="506" spans="13:13" x14ac:dyDescent="0.25">
      <c r="M506" s="142"/>
    </row>
    <row r="507" spans="13:13" x14ac:dyDescent="0.25">
      <c r="M507" s="142"/>
    </row>
    <row r="508" spans="13:13" x14ac:dyDescent="0.25">
      <c r="M508" s="142"/>
    </row>
    <row r="509" spans="13:13" x14ac:dyDescent="0.25">
      <c r="M509" s="142"/>
    </row>
    <row r="510" spans="13:13" x14ac:dyDescent="0.25">
      <c r="M510" s="142"/>
    </row>
    <row r="511" spans="13:13" x14ac:dyDescent="0.25">
      <c r="M511" s="142"/>
    </row>
    <row r="512" spans="13:13" x14ac:dyDescent="0.25">
      <c r="M512" s="142"/>
    </row>
    <row r="513" spans="13:13" x14ac:dyDescent="0.25">
      <c r="M513" s="142"/>
    </row>
    <row r="514" spans="13:13" x14ac:dyDescent="0.25">
      <c r="M514" s="142"/>
    </row>
    <row r="515" spans="13:13" x14ac:dyDescent="0.25">
      <c r="M515" s="142"/>
    </row>
    <row r="516" spans="13:13" x14ac:dyDescent="0.25">
      <c r="M516" s="142"/>
    </row>
    <row r="517" spans="13:13" x14ac:dyDescent="0.25">
      <c r="M517" s="142"/>
    </row>
    <row r="518" spans="13:13" x14ac:dyDescent="0.25">
      <c r="M518" s="142"/>
    </row>
    <row r="519" spans="13:13" x14ac:dyDescent="0.25">
      <c r="M519" s="142"/>
    </row>
    <row r="520" spans="13:13" x14ac:dyDescent="0.25">
      <c r="M520" s="142"/>
    </row>
    <row r="521" spans="13:13" x14ac:dyDescent="0.25">
      <c r="M521" s="142"/>
    </row>
    <row r="522" spans="13:13" x14ac:dyDescent="0.25">
      <c r="M522" s="142"/>
    </row>
    <row r="523" spans="13:13" x14ac:dyDescent="0.25">
      <c r="M523" s="142"/>
    </row>
    <row r="524" spans="13:13" x14ac:dyDescent="0.25">
      <c r="M524" s="142"/>
    </row>
    <row r="525" spans="13:13" x14ac:dyDescent="0.25">
      <c r="M525" s="142"/>
    </row>
    <row r="526" spans="13:13" x14ac:dyDescent="0.25">
      <c r="M526" s="142"/>
    </row>
    <row r="527" spans="13:13" x14ac:dyDescent="0.25">
      <c r="M527" s="142"/>
    </row>
    <row r="528" spans="13:13" x14ac:dyDescent="0.25">
      <c r="M528" s="142"/>
    </row>
    <row r="529" spans="13:13" x14ac:dyDescent="0.25">
      <c r="M529" s="142"/>
    </row>
    <row r="530" spans="13:13" x14ac:dyDescent="0.25">
      <c r="M530" s="142"/>
    </row>
    <row r="531" spans="13:13" x14ac:dyDescent="0.25">
      <c r="M531" s="142"/>
    </row>
    <row r="532" spans="13:13" x14ac:dyDescent="0.25">
      <c r="M532" s="142"/>
    </row>
    <row r="533" spans="13:13" x14ac:dyDescent="0.25">
      <c r="M533" s="142"/>
    </row>
    <row r="534" spans="13:13" x14ac:dyDescent="0.25">
      <c r="M534" s="142"/>
    </row>
    <row r="535" spans="13:13" x14ac:dyDescent="0.25">
      <c r="M535" s="142"/>
    </row>
    <row r="536" spans="13:13" x14ac:dyDescent="0.25">
      <c r="M536" s="142"/>
    </row>
    <row r="537" spans="13:13" x14ac:dyDescent="0.25">
      <c r="M537" s="142"/>
    </row>
    <row r="538" spans="13:13" x14ac:dyDescent="0.25">
      <c r="M538" s="142"/>
    </row>
    <row r="539" spans="13:13" x14ac:dyDescent="0.25">
      <c r="M539" s="142"/>
    </row>
    <row r="540" spans="13:13" x14ac:dyDescent="0.25">
      <c r="M540" s="142"/>
    </row>
    <row r="541" spans="13:13" x14ac:dyDescent="0.25">
      <c r="M541" s="142"/>
    </row>
    <row r="542" spans="13:13" x14ac:dyDescent="0.25">
      <c r="M542" s="142"/>
    </row>
    <row r="543" spans="13:13" x14ac:dyDescent="0.25">
      <c r="M543" s="142"/>
    </row>
    <row r="544" spans="13:13" x14ac:dyDescent="0.25">
      <c r="M544" s="142"/>
    </row>
    <row r="545" spans="13:13" x14ac:dyDescent="0.25">
      <c r="M545" s="142"/>
    </row>
    <row r="546" spans="13:13" x14ac:dyDescent="0.25">
      <c r="M546" s="142"/>
    </row>
    <row r="547" spans="13:13" x14ac:dyDescent="0.25">
      <c r="M547" s="142"/>
    </row>
    <row r="548" spans="13:13" x14ac:dyDescent="0.25">
      <c r="M548" s="142"/>
    </row>
    <row r="549" spans="13:13" x14ac:dyDescent="0.25">
      <c r="M549" s="142"/>
    </row>
    <row r="550" spans="13:13" x14ac:dyDescent="0.25">
      <c r="M550" s="142"/>
    </row>
    <row r="551" spans="13:13" x14ac:dyDescent="0.25">
      <c r="M551" s="142"/>
    </row>
    <row r="552" spans="13:13" x14ac:dyDescent="0.25">
      <c r="M552" s="142"/>
    </row>
    <row r="553" spans="13:13" x14ac:dyDescent="0.25">
      <c r="M553" s="142"/>
    </row>
    <row r="554" spans="13:13" x14ac:dyDescent="0.25">
      <c r="M554" s="142"/>
    </row>
    <row r="555" spans="13:13" x14ac:dyDescent="0.25">
      <c r="M555" s="142"/>
    </row>
    <row r="556" spans="13:13" x14ac:dyDescent="0.25">
      <c r="M556" s="142"/>
    </row>
    <row r="557" spans="13:13" x14ac:dyDescent="0.25">
      <c r="M557" s="142"/>
    </row>
    <row r="558" spans="13:13" x14ac:dyDescent="0.25">
      <c r="M558" s="142"/>
    </row>
    <row r="559" spans="13:13" x14ac:dyDescent="0.25">
      <c r="M559" s="142"/>
    </row>
    <row r="560" spans="13:13" x14ac:dyDescent="0.25">
      <c r="M560" s="142"/>
    </row>
    <row r="561" spans="13:13" x14ac:dyDescent="0.25">
      <c r="M561" s="142"/>
    </row>
    <row r="562" spans="13:13" x14ac:dyDescent="0.25">
      <c r="M562" s="142"/>
    </row>
    <row r="563" spans="13:13" x14ac:dyDescent="0.25">
      <c r="M563" s="142"/>
    </row>
    <row r="564" spans="13:13" x14ac:dyDescent="0.25">
      <c r="M564" s="142"/>
    </row>
    <row r="565" spans="13:13" x14ac:dyDescent="0.25">
      <c r="M565" s="142"/>
    </row>
    <row r="566" spans="13:13" x14ac:dyDescent="0.25">
      <c r="M566" s="142"/>
    </row>
    <row r="567" spans="13:13" x14ac:dyDescent="0.25">
      <c r="M567" s="142"/>
    </row>
    <row r="568" spans="13:13" x14ac:dyDescent="0.25">
      <c r="M568" s="142"/>
    </row>
    <row r="569" spans="13:13" x14ac:dyDescent="0.25">
      <c r="M569" s="142"/>
    </row>
    <row r="570" spans="13:13" x14ac:dyDescent="0.25">
      <c r="M570" s="142"/>
    </row>
    <row r="571" spans="13:13" x14ac:dyDescent="0.25">
      <c r="M571" s="142"/>
    </row>
    <row r="572" spans="13:13" x14ac:dyDescent="0.25">
      <c r="M572" s="142"/>
    </row>
    <row r="573" spans="13:13" x14ac:dyDescent="0.25">
      <c r="M573" s="142"/>
    </row>
    <row r="574" spans="13:13" x14ac:dyDescent="0.25">
      <c r="M574" s="142"/>
    </row>
    <row r="575" spans="13:13" x14ac:dyDescent="0.25">
      <c r="M575" s="142"/>
    </row>
    <row r="576" spans="13:13" x14ac:dyDescent="0.25">
      <c r="M576" s="142"/>
    </row>
    <row r="577" spans="13:13" x14ac:dyDescent="0.25">
      <c r="M577" s="142"/>
    </row>
    <row r="578" spans="13:13" x14ac:dyDescent="0.25">
      <c r="M578" s="142"/>
    </row>
    <row r="579" spans="13:13" x14ac:dyDescent="0.25">
      <c r="M579" s="142"/>
    </row>
    <row r="580" spans="13:13" x14ac:dyDescent="0.25">
      <c r="M580" s="142"/>
    </row>
    <row r="581" spans="13:13" x14ac:dyDescent="0.25">
      <c r="M581" s="142"/>
    </row>
    <row r="582" spans="13:13" x14ac:dyDescent="0.25">
      <c r="M582" s="142"/>
    </row>
    <row r="583" spans="13:13" x14ac:dyDescent="0.25">
      <c r="M583" s="142"/>
    </row>
    <row r="584" spans="13:13" x14ac:dyDescent="0.25">
      <c r="M584" s="142"/>
    </row>
    <row r="585" spans="13:13" x14ac:dyDescent="0.25">
      <c r="M585" s="142"/>
    </row>
    <row r="586" spans="13:13" x14ac:dyDescent="0.25">
      <c r="M586" s="142"/>
    </row>
    <row r="587" spans="13:13" x14ac:dyDescent="0.25">
      <c r="M587" s="142"/>
    </row>
    <row r="588" spans="13:13" x14ac:dyDescent="0.25">
      <c r="M588" s="142"/>
    </row>
    <row r="589" spans="13:13" x14ac:dyDescent="0.25">
      <c r="M589" s="142"/>
    </row>
    <row r="590" spans="13:13" x14ac:dyDescent="0.25">
      <c r="M590" s="142"/>
    </row>
    <row r="591" spans="13:13" x14ac:dyDescent="0.25">
      <c r="M591" s="142"/>
    </row>
    <row r="592" spans="13:13" x14ac:dyDescent="0.25">
      <c r="M592" s="142"/>
    </row>
    <row r="593" spans="13:13" x14ac:dyDescent="0.25">
      <c r="M593" s="142"/>
    </row>
    <row r="594" spans="13:13" x14ac:dyDescent="0.25">
      <c r="M594" s="142"/>
    </row>
    <row r="595" spans="13:13" x14ac:dyDescent="0.25">
      <c r="M595" s="142"/>
    </row>
    <row r="596" spans="13:13" x14ac:dyDescent="0.25">
      <c r="M596" s="142"/>
    </row>
    <row r="597" spans="13:13" x14ac:dyDescent="0.25">
      <c r="M597" s="142"/>
    </row>
    <row r="598" spans="13:13" x14ac:dyDescent="0.25">
      <c r="M598" s="142"/>
    </row>
    <row r="599" spans="13:13" x14ac:dyDescent="0.25">
      <c r="M599" s="142"/>
    </row>
    <row r="600" spans="13:13" x14ac:dyDescent="0.25">
      <c r="M600" s="142"/>
    </row>
    <row r="601" spans="13:13" x14ac:dyDescent="0.25">
      <c r="M601" s="142"/>
    </row>
    <row r="602" spans="13:13" x14ac:dyDescent="0.25">
      <c r="M602" s="142"/>
    </row>
    <row r="603" spans="13:13" x14ac:dyDescent="0.25">
      <c r="M603" s="142"/>
    </row>
    <row r="604" spans="13:13" x14ac:dyDescent="0.25">
      <c r="M604" s="142"/>
    </row>
    <row r="605" spans="13:13" x14ac:dyDescent="0.25">
      <c r="M605" s="142"/>
    </row>
    <row r="606" spans="13:13" x14ac:dyDescent="0.25">
      <c r="M606" s="142"/>
    </row>
    <row r="607" spans="13:13" x14ac:dyDescent="0.25">
      <c r="M607" s="142"/>
    </row>
    <row r="608" spans="13:13" x14ac:dyDescent="0.25">
      <c r="M608" s="142"/>
    </row>
    <row r="609" spans="13:13" x14ac:dyDescent="0.25">
      <c r="M609" s="142"/>
    </row>
    <row r="610" spans="13:13" x14ac:dyDescent="0.25">
      <c r="M610" s="142"/>
    </row>
    <row r="611" spans="13:13" x14ac:dyDescent="0.25">
      <c r="M611" s="142"/>
    </row>
    <row r="612" spans="13:13" x14ac:dyDescent="0.25">
      <c r="M612" s="142"/>
    </row>
    <row r="613" spans="13:13" x14ac:dyDescent="0.25">
      <c r="M613" s="142"/>
    </row>
    <row r="614" spans="13:13" x14ac:dyDescent="0.25">
      <c r="M614" s="142"/>
    </row>
    <row r="615" spans="13:13" x14ac:dyDescent="0.25">
      <c r="M615" s="142"/>
    </row>
    <row r="616" spans="13:13" x14ac:dyDescent="0.25">
      <c r="M616" s="142"/>
    </row>
    <row r="617" spans="13:13" x14ac:dyDescent="0.25">
      <c r="M617" s="142"/>
    </row>
    <row r="618" spans="13:13" x14ac:dyDescent="0.25">
      <c r="M618" s="142"/>
    </row>
    <row r="619" spans="13:13" x14ac:dyDescent="0.25">
      <c r="M619" s="142"/>
    </row>
    <row r="620" spans="13:13" x14ac:dyDescent="0.25">
      <c r="M620" s="142"/>
    </row>
    <row r="621" spans="13:13" x14ac:dyDescent="0.25">
      <c r="M621" s="142"/>
    </row>
    <row r="622" spans="13:13" x14ac:dyDescent="0.25">
      <c r="M622" s="142"/>
    </row>
    <row r="623" spans="13:13" x14ac:dyDescent="0.25">
      <c r="M623" s="142"/>
    </row>
    <row r="624" spans="13:13" x14ac:dyDescent="0.25">
      <c r="M624" s="142"/>
    </row>
    <row r="625" spans="13:13" x14ac:dyDescent="0.25">
      <c r="M625" s="142"/>
    </row>
    <row r="626" spans="13:13" x14ac:dyDescent="0.25">
      <c r="M626" s="142"/>
    </row>
    <row r="627" spans="13:13" x14ac:dyDescent="0.25">
      <c r="M627" s="142"/>
    </row>
    <row r="628" spans="13:13" x14ac:dyDescent="0.25">
      <c r="M628" s="142"/>
    </row>
    <row r="629" spans="13:13" x14ac:dyDescent="0.25">
      <c r="M629" s="142"/>
    </row>
    <row r="630" spans="13:13" x14ac:dyDescent="0.25">
      <c r="M630" s="142"/>
    </row>
    <row r="631" spans="13:13" x14ac:dyDescent="0.25">
      <c r="M631" s="142"/>
    </row>
    <row r="632" spans="13:13" x14ac:dyDescent="0.25">
      <c r="M632" s="142"/>
    </row>
    <row r="633" spans="13:13" x14ac:dyDescent="0.25">
      <c r="M633" s="142"/>
    </row>
    <row r="634" spans="13:13" x14ac:dyDescent="0.25">
      <c r="M634" s="142"/>
    </row>
    <row r="635" spans="13:13" x14ac:dyDescent="0.25">
      <c r="M635" s="142"/>
    </row>
    <row r="636" spans="13:13" x14ac:dyDescent="0.25">
      <c r="M636" s="142"/>
    </row>
    <row r="637" spans="13:13" x14ac:dyDescent="0.25">
      <c r="M637" s="142"/>
    </row>
    <row r="638" spans="13:13" x14ac:dyDescent="0.25">
      <c r="M638" s="142"/>
    </row>
    <row r="639" spans="13:13" x14ac:dyDescent="0.25">
      <c r="M639" s="142"/>
    </row>
    <row r="640" spans="13:13" x14ac:dyDescent="0.25">
      <c r="M640" s="142"/>
    </row>
    <row r="641" spans="13:13" x14ac:dyDescent="0.25">
      <c r="M641" s="142"/>
    </row>
    <row r="642" spans="13:13" x14ac:dyDescent="0.25">
      <c r="M642" s="142"/>
    </row>
    <row r="643" spans="13:13" x14ac:dyDescent="0.25">
      <c r="M643" s="142"/>
    </row>
    <row r="644" spans="13:13" x14ac:dyDescent="0.25">
      <c r="M644" s="142"/>
    </row>
    <row r="645" spans="13:13" x14ac:dyDescent="0.25">
      <c r="M645" s="142"/>
    </row>
    <row r="646" spans="13:13" x14ac:dyDescent="0.25">
      <c r="M646" s="142"/>
    </row>
    <row r="647" spans="13:13" x14ac:dyDescent="0.25">
      <c r="M647" s="142"/>
    </row>
    <row r="648" spans="13:13" x14ac:dyDescent="0.25">
      <c r="M648" s="142"/>
    </row>
    <row r="649" spans="13:13" x14ac:dyDescent="0.25">
      <c r="M649" s="142"/>
    </row>
    <row r="650" spans="13:13" x14ac:dyDescent="0.25">
      <c r="M650" s="142"/>
    </row>
    <row r="651" spans="13:13" x14ac:dyDescent="0.25">
      <c r="M651" s="142"/>
    </row>
    <row r="652" spans="13:13" x14ac:dyDescent="0.25">
      <c r="M652" s="142"/>
    </row>
    <row r="653" spans="13:13" x14ac:dyDescent="0.25">
      <c r="M653" s="142"/>
    </row>
    <row r="654" spans="13:13" x14ac:dyDescent="0.25">
      <c r="M654" s="142"/>
    </row>
    <row r="655" spans="13:13" x14ac:dyDescent="0.25">
      <c r="M655" s="142"/>
    </row>
    <row r="656" spans="13:13" x14ac:dyDescent="0.25">
      <c r="M656" s="142"/>
    </row>
    <row r="657" spans="13:13" x14ac:dyDescent="0.25">
      <c r="M657" s="142"/>
    </row>
    <row r="658" spans="13:13" x14ac:dyDescent="0.25">
      <c r="M658" s="142"/>
    </row>
    <row r="659" spans="13:13" x14ac:dyDescent="0.25">
      <c r="M659" s="142"/>
    </row>
    <row r="660" spans="13:13" x14ac:dyDescent="0.25">
      <c r="M660" s="142"/>
    </row>
    <row r="661" spans="13:13" x14ac:dyDescent="0.25">
      <c r="M661" s="142"/>
    </row>
    <row r="662" spans="13:13" x14ac:dyDescent="0.25">
      <c r="M662" s="142"/>
    </row>
    <row r="663" spans="13:13" x14ac:dyDescent="0.25">
      <c r="M663" s="142"/>
    </row>
    <row r="664" spans="13:13" x14ac:dyDescent="0.25">
      <c r="M664" s="142"/>
    </row>
    <row r="665" spans="13:13" x14ac:dyDescent="0.25">
      <c r="M665" s="142"/>
    </row>
    <row r="666" spans="13:13" x14ac:dyDescent="0.25">
      <c r="M666" s="142"/>
    </row>
    <row r="667" spans="13:13" x14ac:dyDescent="0.25">
      <c r="M667" s="142"/>
    </row>
    <row r="668" spans="13:13" x14ac:dyDescent="0.25">
      <c r="M668" s="142"/>
    </row>
    <row r="669" spans="13:13" x14ac:dyDescent="0.25">
      <c r="M669" s="142"/>
    </row>
    <row r="670" spans="13:13" x14ac:dyDescent="0.25">
      <c r="M670" s="142"/>
    </row>
    <row r="671" spans="13:13" x14ac:dyDescent="0.25">
      <c r="M671" s="142"/>
    </row>
    <row r="672" spans="13:13" x14ac:dyDescent="0.25">
      <c r="M672" s="142"/>
    </row>
    <row r="673" spans="13:13" x14ac:dyDescent="0.25">
      <c r="M673" s="142"/>
    </row>
    <row r="674" spans="13:13" x14ac:dyDescent="0.25">
      <c r="M674" s="142"/>
    </row>
    <row r="675" spans="13:13" x14ac:dyDescent="0.25">
      <c r="M675" s="142"/>
    </row>
    <row r="676" spans="13:13" x14ac:dyDescent="0.25">
      <c r="M676" s="142"/>
    </row>
    <row r="677" spans="13:13" x14ac:dyDescent="0.25">
      <c r="M677" s="142"/>
    </row>
    <row r="678" spans="13:13" x14ac:dyDescent="0.25">
      <c r="M678" s="142"/>
    </row>
    <row r="679" spans="13:13" x14ac:dyDescent="0.25">
      <c r="M679" s="142"/>
    </row>
    <row r="680" spans="13:13" x14ac:dyDescent="0.25">
      <c r="M680" s="142"/>
    </row>
    <row r="681" spans="13:13" x14ac:dyDescent="0.25">
      <c r="M681" s="142"/>
    </row>
    <row r="682" spans="13:13" x14ac:dyDescent="0.25">
      <c r="M682" s="142"/>
    </row>
    <row r="683" spans="13:13" x14ac:dyDescent="0.25">
      <c r="M683" s="142"/>
    </row>
    <row r="684" spans="13:13" x14ac:dyDescent="0.25">
      <c r="M684" s="142"/>
    </row>
    <row r="685" spans="13:13" x14ac:dyDescent="0.25">
      <c r="M685" s="142"/>
    </row>
    <row r="686" spans="13:13" x14ac:dyDescent="0.25">
      <c r="M686" s="142"/>
    </row>
    <row r="687" spans="13:13" x14ac:dyDescent="0.25">
      <c r="M687" s="142"/>
    </row>
    <row r="688" spans="13:13" x14ac:dyDescent="0.25">
      <c r="M688" s="142"/>
    </row>
    <row r="689" spans="13:13" x14ac:dyDescent="0.25">
      <c r="M689" s="142"/>
    </row>
    <row r="690" spans="13:13" x14ac:dyDescent="0.25">
      <c r="M690" s="142"/>
    </row>
    <row r="691" spans="13:13" x14ac:dyDescent="0.25">
      <c r="M691" s="142"/>
    </row>
    <row r="692" spans="13:13" x14ac:dyDescent="0.25">
      <c r="M692" s="142"/>
    </row>
    <row r="693" spans="13:13" x14ac:dyDescent="0.25">
      <c r="M693" s="142"/>
    </row>
    <row r="694" spans="13:13" x14ac:dyDescent="0.25">
      <c r="M694" s="142"/>
    </row>
    <row r="695" spans="13:13" x14ac:dyDescent="0.25">
      <c r="M695" s="142"/>
    </row>
    <row r="696" spans="13:13" x14ac:dyDescent="0.25">
      <c r="M696" s="142"/>
    </row>
    <row r="697" spans="13:13" x14ac:dyDescent="0.25">
      <c r="M697" s="142"/>
    </row>
    <row r="698" spans="13:13" x14ac:dyDescent="0.25">
      <c r="M698" s="142"/>
    </row>
    <row r="699" spans="13:13" x14ac:dyDescent="0.25">
      <c r="M699" s="142"/>
    </row>
    <row r="700" spans="13:13" x14ac:dyDescent="0.25">
      <c r="M700" s="142"/>
    </row>
    <row r="701" spans="13:13" x14ac:dyDescent="0.25">
      <c r="M701" s="142"/>
    </row>
    <row r="702" spans="13:13" x14ac:dyDescent="0.25">
      <c r="M702" s="142"/>
    </row>
    <row r="703" spans="13:13" x14ac:dyDescent="0.25">
      <c r="M703" s="142"/>
    </row>
    <row r="704" spans="13:13" x14ac:dyDescent="0.25">
      <c r="M704" s="142"/>
    </row>
    <row r="705" spans="13:13" x14ac:dyDescent="0.25">
      <c r="M705" s="142"/>
    </row>
    <row r="706" spans="13:13" x14ac:dyDescent="0.25">
      <c r="M706" s="142"/>
    </row>
    <row r="707" spans="13:13" x14ac:dyDescent="0.25">
      <c r="M707" s="142"/>
    </row>
    <row r="708" spans="13:13" x14ac:dyDescent="0.25">
      <c r="M708" s="142"/>
    </row>
    <row r="709" spans="13:13" x14ac:dyDescent="0.25">
      <c r="M709" s="142"/>
    </row>
    <row r="710" spans="13:13" x14ac:dyDescent="0.25">
      <c r="M710" s="142"/>
    </row>
    <row r="711" spans="13:13" x14ac:dyDescent="0.25">
      <c r="M711" s="142"/>
    </row>
    <row r="712" spans="13:13" x14ac:dyDescent="0.25">
      <c r="M712" s="142"/>
    </row>
    <row r="713" spans="13:13" x14ac:dyDescent="0.25">
      <c r="M713" s="142"/>
    </row>
    <row r="714" spans="13:13" x14ac:dyDescent="0.25">
      <c r="M714" s="142"/>
    </row>
    <row r="715" spans="13:13" x14ac:dyDescent="0.25">
      <c r="M715" s="142"/>
    </row>
    <row r="716" spans="13:13" x14ac:dyDescent="0.25">
      <c r="M716" s="142"/>
    </row>
    <row r="717" spans="13:13" x14ac:dyDescent="0.25">
      <c r="M717" s="142"/>
    </row>
    <row r="718" spans="13:13" x14ac:dyDescent="0.25">
      <c r="M718" s="142"/>
    </row>
    <row r="719" spans="13:13" x14ac:dyDescent="0.25">
      <c r="M719" s="142"/>
    </row>
    <row r="720" spans="13:13" x14ac:dyDescent="0.25">
      <c r="M720" s="142"/>
    </row>
    <row r="721" spans="13:13" x14ac:dyDescent="0.25">
      <c r="M721" s="142"/>
    </row>
    <row r="722" spans="13:13" x14ac:dyDescent="0.25">
      <c r="M722" s="142"/>
    </row>
    <row r="723" spans="13:13" x14ac:dyDescent="0.25">
      <c r="M723" s="142"/>
    </row>
    <row r="724" spans="13:13" x14ac:dyDescent="0.25">
      <c r="M724" s="142"/>
    </row>
    <row r="725" spans="13:13" x14ac:dyDescent="0.25">
      <c r="M725" s="142"/>
    </row>
    <row r="726" spans="13:13" x14ac:dyDescent="0.25">
      <c r="M726" s="142"/>
    </row>
    <row r="727" spans="13:13" x14ac:dyDescent="0.25">
      <c r="M727" s="142"/>
    </row>
    <row r="728" spans="13:13" x14ac:dyDescent="0.25">
      <c r="M728" s="142"/>
    </row>
    <row r="729" spans="13:13" x14ac:dyDescent="0.25">
      <c r="M729" s="142"/>
    </row>
    <row r="730" spans="13:13" x14ac:dyDescent="0.25">
      <c r="M730" s="142"/>
    </row>
    <row r="731" spans="13:13" x14ac:dyDescent="0.25">
      <c r="M731" s="142"/>
    </row>
    <row r="732" spans="13:13" x14ac:dyDescent="0.25">
      <c r="M732" s="142"/>
    </row>
    <row r="733" spans="13:13" x14ac:dyDescent="0.25">
      <c r="M733" s="142"/>
    </row>
    <row r="734" spans="13:13" x14ac:dyDescent="0.25">
      <c r="M734" s="142"/>
    </row>
    <row r="735" spans="13:13" x14ac:dyDescent="0.25">
      <c r="M735" s="142"/>
    </row>
    <row r="736" spans="13:13" x14ac:dyDescent="0.25">
      <c r="M736" s="142"/>
    </row>
    <row r="737" spans="13:13" x14ac:dyDescent="0.25">
      <c r="M737" s="142"/>
    </row>
    <row r="738" spans="13:13" x14ac:dyDescent="0.25">
      <c r="M738" s="142"/>
    </row>
    <row r="739" spans="13:13" x14ac:dyDescent="0.25">
      <c r="M739" s="142"/>
    </row>
    <row r="740" spans="13:13" x14ac:dyDescent="0.25">
      <c r="M740" s="142"/>
    </row>
    <row r="741" spans="13:13" x14ac:dyDescent="0.25">
      <c r="M741" s="142"/>
    </row>
    <row r="742" spans="13:13" x14ac:dyDescent="0.25">
      <c r="M742" s="142"/>
    </row>
    <row r="743" spans="13:13" x14ac:dyDescent="0.25">
      <c r="M743" s="142"/>
    </row>
    <row r="744" spans="13:13" x14ac:dyDescent="0.25">
      <c r="M744" s="142"/>
    </row>
    <row r="745" spans="13:13" x14ac:dyDescent="0.25">
      <c r="M745" s="142"/>
    </row>
    <row r="746" spans="13:13" x14ac:dyDescent="0.25">
      <c r="M746" s="142"/>
    </row>
    <row r="747" spans="13:13" x14ac:dyDescent="0.25">
      <c r="M747" s="142"/>
    </row>
    <row r="748" spans="13:13" x14ac:dyDescent="0.25">
      <c r="M748" s="142"/>
    </row>
    <row r="749" spans="13:13" x14ac:dyDescent="0.25">
      <c r="M749" s="142"/>
    </row>
    <row r="750" spans="13:13" x14ac:dyDescent="0.25">
      <c r="M750" s="142"/>
    </row>
    <row r="751" spans="13:13" x14ac:dyDescent="0.25">
      <c r="M751" s="142"/>
    </row>
    <row r="752" spans="13:13" x14ac:dyDescent="0.25">
      <c r="M752" s="142"/>
    </row>
    <row r="753" spans="13:13" x14ac:dyDescent="0.25">
      <c r="M753" s="142"/>
    </row>
    <row r="754" spans="13:13" x14ac:dyDescent="0.25">
      <c r="M754" s="142"/>
    </row>
    <row r="755" spans="13:13" x14ac:dyDescent="0.25">
      <c r="M755" s="142"/>
    </row>
    <row r="756" spans="13:13" x14ac:dyDescent="0.25">
      <c r="M756" s="142"/>
    </row>
    <row r="757" spans="13:13" x14ac:dyDescent="0.25">
      <c r="M757" s="142"/>
    </row>
    <row r="758" spans="13:13" x14ac:dyDescent="0.25">
      <c r="M758" s="142"/>
    </row>
    <row r="759" spans="13:13" x14ac:dyDescent="0.25">
      <c r="M759" s="142"/>
    </row>
    <row r="760" spans="13:13" x14ac:dyDescent="0.25">
      <c r="M760" s="142"/>
    </row>
    <row r="761" spans="13:13" x14ac:dyDescent="0.25">
      <c r="M761" s="142"/>
    </row>
    <row r="762" spans="13:13" x14ac:dyDescent="0.25">
      <c r="M762" s="142"/>
    </row>
    <row r="763" spans="13:13" x14ac:dyDescent="0.25">
      <c r="M763" s="142"/>
    </row>
    <row r="764" spans="13:13" x14ac:dyDescent="0.25">
      <c r="M764" s="142"/>
    </row>
    <row r="765" spans="13:13" x14ac:dyDescent="0.25">
      <c r="M765" s="142"/>
    </row>
    <row r="766" spans="13:13" x14ac:dyDescent="0.25">
      <c r="M766" s="142"/>
    </row>
    <row r="767" spans="13:13" x14ac:dyDescent="0.25">
      <c r="M767" s="142"/>
    </row>
    <row r="768" spans="13:13" x14ac:dyDescent="0.25">
      <c r="M768" s="142"/>
    </row>
    <row r="769" spans="13:13" x14ac:dyDescent="0.25">
      <c r="M769" s="142"/>
    </row>
    <row r="770" spans="13:13" x14ac:dyDescent="0.25">
      <c r="M770" s="142"/>
    </row>
    <row r="771" spans="13:13" x14ac:dyDescent="0.25">
      <c r="M771" s="142"/>
    </row>
    <row r="772" spans="13:13" x14ac:dyDescent="0.25">
      <c r="M772" s="142"/>
    </row>
    <row r="773" spans="13:13" x14ac:dyDescent="0.25">
      <c r="M773" s="142"/>
    </row>
    <row r="774" spans="13:13" x14ac:dyDescent="0.25">
      <c r="M774" s="142"/>
    </row>
    <row r="775" spans="13:13" x14ac:dyDescent="0.25">
      <c r="M775" s="142"/>
    </row>
    <row r="776" spans="13:13" x14ac:dyDescent="0.25">
      <c r="M776" s="142"/>
    </row>
    <row r="777" spans="13:13" x14ac:dyDescent="0.25">
      <c r="M777" s="142"/>
    </row>
    <row r="778" spans="13:13" x14ac:dyDescent="0.25">
      <c r="M778" s="142"/>
    </row>
    <row r="779" spans="13:13" x14ac:dyDescent="0.25">
      <c r="M779" s="142"/>
    </row>
    <row r="780" spans="13:13" x14ac:dyDescent="0.25">
      <c r="M780" s="142"/>
    </row>
    <row r="781" spans="13:13" x14ac:dyDescent="0.25">
      <c r="M781" s="142"/>
    </row>
    <row r="782" spans="13:13" x14ac:dyDescent="0.25">
      <c r="M782" s="142"/>
    </row>
    <row r="783" spans="13:13" x14ac:dyDescent="0.25">
      <c r="M783" s="142"/>
    </row>
    <row r="784" spans="13:13" x14ac:dyDescent="0.25">
      <c r="M784" s="142"/>
    </row>
    <row r="785" spans="13:13" x14ac:dyDescent="0.25">
      <c r="M785" s="142"/>
    </row>
    <row r="786" spans="13:13" x14ac:dyDescent="0.25">
      <c r="M786" s="142"/>
    </row>
    <row r="787" spans="13:13" x14ac:dyDescent="0.25">
      <c r="M787" s="142"/>
    </row>
    <row r="788" spans="13:13" x14ac:dyDescent="0.25">
      <c r="M788" s="142"/>
    </row>
    <row r="789" spans="13:13" x14ac:dyDescent="0.25">
      <c r="M789" s="142"/>
    </row>
    <row r="790" spans="13:13" x14ac:dyDescent="0.25">
      <c r="M790" s="142"/>
    </row>
    <row r="791" spans="13:13" x14ac:dyDescent="0.25">
      <c r="M791" s="142"/>
    </row>
    <row r="792" spans="13:13" x14ac:dyDescent="0.25">
      <c r="M792" s="142"/>
    </row>
    <row r="793" spans="13:13" x14ac:dyDescent="0.25">
      <c r="M793" s="142"/>
    </row>
    <row r="794" spans="13:13" x14ac:dyDescent="0.25">
      <c r="M794" s="142"/>
    </row>
    <row r="795" spans="13:13" x14ac:dyDescent="0.25">
      <c r="M795" s="142"/>
    </row>
    <row r="796" spans="13:13" x14ac:dyDescent="0.25">
      <c r="M796" s="142"/>
    </row>
    <row r="797" spans="13:13" x14ac:dyDescent="0.25">
      <c r="M797" s="142"/>
    </row>
    <row r="798" spans="13:13" x14ac:dyDescent="0.25">
      <c r="M798" s="142"/>
    </row>
    <row r="799" spans="13:13" x14ac:dyDescent="0.25">
      <c r="M799" s="142"/>
    </row>
    <row r="800" spans="13:13" x14ac:dyDescent="0.25">
      <c r="M800" s="142"/>
    </row>
    <row r="801" spans="13:13" x14ac:dyDescent="0.25">
      <c r="M801" s="142"/>
    </row>
    <row r="802" spans="13:13" x14ac:dyDescent="0.25">
      <c r="M802" s="142"/>
    </row>
    <row r="803" spans="13:13" x14ac:dyDescent="0.25">
      <c r="M803" s="142"/>
    </row>
    <row r="804" spans="13:13" x14ac:dyDescent="0.25">
      <c r="M804" s="142"/>
    </row>
    <row r="805" spans="13:13" x14ac:dyDescent="0.25">
      <c r="M805" s="142"/>
    </row>
    <row r="806" spans="13:13" x14ac:dyDescent="0.25">
      <c r="M806" s="142"/>
    </row>
    <row r="807" spans="13:13" x14ac:dyDescent="0.25">
      <c r="M807" s="142"/>
    </row>
    <row r="808" spans="13:13" x14ac:dyDescent="0.25">
      <c r="M808" s="142"/>
    </row>
    <row r="809" spans="13:13" x14ac:dyDescent="0.25">
      <c r="M809" s="142"/>
    </row>
    <row r="810" spans="13:13" x14ac:dyDescent="0.25">
      <c r="M810" s="142"/>
    </row>
    <row r="811" spans="13:13" x14ac:dyDescent="0.25">
      <c r="M811" s="142"/>
    </row>
    <row r="812" spans="13:13" x14ac:dyDescent="0.25">
      <c r="M812" s="142"/>
    </row>
    <row r="813" spans="13:13" x14ac:dyDescent="0.25">
      <c r="M813" s="142"/>
    </row>
    <row r="814" spans="13:13" x14ac:dyDescent="0.25">
      <c r="M814" s="142"/>
    </row>
    <row r="815" spans="13:13" x14ac:dyDescent="0.25">
      <c r="M815" s="142"/>
    </row>
    <row r="816" spans="13:13" x14ac:dyDescent="0.25">
      <c r="M816" s="142"/>
    </row>
    <row r="817" spans="13:13" x14ac:dyDescent="0.25">
      <c r="M817" s="142"/>
    </row>
    <row r="818" spans="13:13" x14ac:dyDescent="0.25">
      <c r="M818" s="142"/>
    </row>
    <row r="819" spans="13:13" x14ac:dyDescent="0.25">
      <c r="M819" s="142"/>
    </row>
    <row r="820" spans="13:13" x14ac:dyDescent="0.25">
      <c r="M820" s="142"/>
    </row>
    <row r="821" spans="13:13" x14ac:dyDescent="0.25">
      <c r="M821" s="142"/>
    </row>
    <row r="822" spans="13:13" x14ac:dyDescent="0.25">
      <c r="M822" s="142"/>
    </row>
    <row r="823" spans="13:13" x14ac:dyDescent="0.25">
      <c r="M823" s="142"/>
    </row>
    <row r="824" spans="13:13" x14ac:dyDescent="0.25">
      <c r="M824" s="142"/>
    </row>
    <row r="825" spans="13:13" x14ac:dyDescent="0.25">
      <c r="M825" s="142"/>
    </row>
    <row r="826" spans="13:13" x14ac:dyDescent="0.25">
      <c r="M826" s="142"/>
    </row>
    <row r="827" spans="13:13" x14ac:dyDescent="0.25">
      <c r="M827" s="142"/>
    </row>
    <row r="828" spans="13:13" x14ac:dyDescent="0.25">
      <c r="M828" s="142"/>
    </row>
    <row r="829" spans="13:13" x14ac:dyDescent="0.25">
      <c r="M829" s="142"/>
    </row>
    <row r="830" spans="13:13" x14ac:dyDescent="0.25">
      <c r="M830" s="142"/>
    </row>
    <row r="831" spans="13:13" x14ac:dyDescent="0.25">
      <c r="M831" s="142"/>
    </row>
    <row r="832" spans="13:13" x14ac:dyDescent="0.25">
      <c r="M832" s="142"/>
    </row>
    <row r="833" spans="13:13" x14ac:dyDescent="0.25">
      <c r="M833" s="142"/>
    </row>
    <row r="834" spans="13:13" x14ac:dyDescent="0.25">
      <c r="M834" s="142"/>
    </row>
    <row r="835" spans="13:13" x14ac:dyDescent="0.25">
      <c r="M835" s="142"/>
    </row>
    <row r="836" spans="13:13" x14ac:dyDescent="0.25">
      <c r="M836" s="142"/>
    </row>
    <row r="837" spans="13:13" x14ac:dyDescent="0.25">
      <c r="M837" s="142"/>
    </row>
    <row r="838" spans="13:13" x14ac:dyDescent="0.25">
      <c r="M838" s="142"/>
    </row>
    <row r="839" spans="13:13" x14ac:dyDescent="0.25">
      <c r="M839" s="142"/>
    </row>
    <row r="840" spans="13:13" x14ac:dyDescent="0.25">
      <c r="M840" s="142"/>
    </row>
    <row r="841" spans="13:13" x14ac:dyDescent="0.25">
      <c r="M841" s="142"/>
    </row>
    <row r="842" spans="13:13" x14ac:dyDescent="0.25">
      <c r="M842" s="142"/>
    </row>
    <row r="843" spans="13:13" x14ac:dyDescent="0.25">
      <c r="M843" s="142"/>
    </row>
    <row r="844" spans="13:13" x14ac:dyDescent="0.25">
      <c r="M844" s="142"/>
    </row>
    <row r="845" spans="13:13" x14ac:dyDescent="0.25">
      <c r="M845" s="142"/>
    </row>
    <row r="846" spans="13:13" x14ac:dyDescent="0.25">
      <c r="M846" s="142"/>
    </row>
    <row r="847" spans="13:13" x14ac:dyDescent="0.25">
      <c r="M847" s="142"/>
    </row>
    <row r="848" spans="13:13" x14ac:dyDescent="0.25">
      <c r="M848" s="142"/>
    </row>
    <row r="849" spans="13:13" x14ac:dyDescent="0.25">
      <c r="M849" s="142"/>
    </row>
    <row r="850" spans="13:13" x14ac:dyDescent="0.25">
      <c r="M850" s="142"/>
    </row>
    <row r="851" spans="13:13" x14ac:dyDescent="0.25">
      <c r="M851" s="142"/>
    </row>
    <row r="852" spans="13:13" x14ac:dyDescent="0.25">
      <c r="M852" s="142"/>
    </row>
    <row r="853" spans="13:13" x14ac:dyDescent="0.25">
      <c r="M853" s="142"/>
    </row>
    <row r="854" spans="13:13" x14ac:dyDescent="0.25">
      <c r="M854" s="142"/>
    </row>
    <row r="855" spans="13:13" x14ac:dyDescent="0.25">
      <c r="M855" s="142"/>
    </row>
    <row r="856" spans="13:13" x14ac:dyDescent="0.25">
      <c r="M856" s="142"/>
    </row>
    <row r="857" spans="13:13" x14ac:dyDescent="0.25">
      <c r="M857" s="142"/>
    </row>
    <row r="858" spans="13:13" x14ac:dyDescent="0.25">
      <c r="M858" s="142"/>
    </row>
    <row r="859" spans="13:13" x14ac:dyDescent="0.25">
      <c r="M859" s="142"/>
    </row>
    <row r="860" spans="13:13" x14ac:dyDescent="0.25">
      <c r="M860" s="142"/>
    </row>
    <row r="861" spans="13:13" x14ac:dyDescent="0.25">
      <c r="M861" s="142"/>
    </row>
    <row r="862" spans="13:13" x14ac:dyDescent="0.25">
      <c r="M862" s="142"/>
    </row>
    <row r="863" spans="13:13" x14ac:dyDescent="0.25">
      <c r="M863" s="142"/>
    </row>
    <row r="864" spans="13:13" x14ac:dyDescent="0.25">
      <c r="M864" s="142"/>
    </row>
    <row r="865" spans="13:13" x14ac:dyDescent="0.25">
      <c r="M865" s="142"/>
    </row>
    <row r="866" spans="13:13" x14ac:dyDescent="0.25">
      <c r="M866" s="142"/>
    </row>
    <row r="867" spans="13:13" x14ac:dyDescent="0.25">
      <c r="M867" s="142"/>
    </row>
    <row r="868" spans="13:13" x14ac:dyDescent="0.25">
      <c r="M868" s="142"/>
    </row>
    <row r="869" spans="13:13" x14ac:dyDescent="0.25">
      <c r="M869" s="142"/>
    </row>
    <row r="870" spans="13:13" x14ac:dyDescent="0.25">
      <c r="M870" s="142"/>
    </row>
    <row r="871" spans="13:13" x14ac:dyDescent="0.25">
      <c r="M871" s="142"/>
    </row>
    <row r="872" spans="13:13" x14ac:dyDescent="0.25">
      <c r="M872" s="142"/>
    </row>
    <row r="873" spans="13:13" x14ac:dyDescent="0.25">
      <c r="M873" s="142"/>
    </row>
    <row r="874" spans="13:13" x14ac:dyDescent="0.25">
      <c r="M874" s="142"/>
    </row>
    <row r="875" spans="13:13" x14ac:dyDescent="0.25">
      <c r="M875" s="142"/>
    </row>
    <row r="876" spans="13:13" x14ac:dyDescent="0.25">
      <c r="M876" s="142"/>
    </row>
    <row r="877" spans="13:13" x14ac:dyDescent="0.25">
      <c r="M877" s="142"/>
    </row>
    <row r="878" spans="13:13" x14ac:dyDescent="0.25">
      <c r="M878" s="142"/>
    </row>
    <row r="879" spans="13:13" x14ac:dyDescent="0.25">
      <c r="M879" s="142"/>
    </row>
    <row r="880" spans="13:13" x14ac:dyDescent="0.25">
      <c r="M880" s="142"/>
    </row>
    <row r="881" spans="13:13" x14ac:dyDescent="0.25">
      <c r="M881" s="142"/>
    </row>
    <row r="882" spans="13:13" x14ac:dyDescent="0.25">
      <c r="M882" s="142"/>
    </row>
    <row r="883" spans="13:13" x14ac:dyDescent="0.25">
      <c r="M883" s="142"/>
    </row>
    <row r="884" spans="13:13" x14ac:dyDescent="0.25">
      <c r="M884" s="142"/>
    </row>
    <row r="885" spans="13:13" x14ac:dyDescent="0.25">
      <c r="M885" s="142"/>
    </row>
    <row r="886" spans="13:13" x14ac:dyDescent="0.25">
      <c r="M886" s="142"/>
    </row>
    <row r="887" spans="13:13" x14ac:dyDescent="0.25">
      <c r="M887" s="142"/>
    </row>
    <row r="888" spans="13:13" x14ac:dyDescent="0.25">
      <c r="M888" s="142"/>
    </row>
    <row r="889" spans="13:13" x14ac:dyDescent="0.25">
      <c r="M889" s="142"/>
    </row>
    <row r="890" spans="13:13" x14ac:dyDescent="0.25">
      <c r="M890" s="142"/>
    </row>
    <row r="891" spans="13:13" x14ac:dyDescent="0.25">
      <c r="M891" s="142"/>
    </row>
    <row r="892" spans="13:13" x14ac:dyDescent="0.25">
      <c r="M892" s="142"/>
    </row>
    <row r="893" spans="13:13" x14ac:dyDescent="0.25">
      <c r="M893" s="142"/>
    </row>
    <row r="894" spans="13:13" x14ac:dyDescent="0.25">
      <c r="M894" s="142"/>
    </row>
    <row r="895" spans="13:13" x14ac:dyDescent="0.25">
      <c r="M895" s="142"/>
    </row>
    <row r="896" spans="13:13" x14ac:dyDescent="0.25">
      <c r="M896" s="142"/>
    </row>
    <row r="897" spans="13:13" x14ac:dyDescent="0.25">
      <c r="M897" s="142"/>
    </row>
    <row r="898" spans="13:13" x14ac:dyDescent="0.25">
      <c r="M898" s="142"/>
    </row>
    <row r="899" spans="13:13" x14ac:dyDescent="0.25">
      <c r="M899" s="142"/>
    </row>
    <row r="900" spans="13:13" x14ac:dyDescent="0.25">
      <c r="M900" s="142"/>
    </row>
    <row r="901" spans="13:13" x14ac:dyDescent="0.25">
      <c r="M901" s="142"/>
    </row>
    <row r="902" spans="13:13" x14ac:dyDescent="0.25">
      <c r="M902" s="142"/>
    </row>
    <row r="903" spans="13:13" x14ac:dyDescent="0.25">
      <c r="M903" s="142"/>
    </row>
    <row r="904" spans="13:13" x14ac:dyDescent="0.25">
      <c r="M904" s="142"/>
    </row>
    <row r="905" spans="13:13" x14ac:dyDescent="0.25">
      <c r="M905" s="142"/>
    </row>
    <row r="906" spans="13:13" x14ac:dyDescent="0.25">
      <c r="M906" s="142"/>
    </row>
    <row r="907" spans="13:13" x14ac:dyDescent="0.25">
      <c r="M907" s="142"/>
    </row>
    <row r="908" spans="13:13" x14ac:dyDescent="0.25">
      <c r="M908" s="142"/>
    </row>
    <row r="909" spans="13:13" x14ac:dyDescent="0.25">
      <c r="M909" s="142"/>
    </row>
    <row r="910" spans="13:13" x14ac:dyDescent="0.25">
      <c r="M910" s="142"/>
    </row>
    <row r="911" spans="13:13" x14ac:dyDescent="0.25">
      <c r="M911" s="142"/>
    </row>
    <row r="912" spans="13:13" x14ac:dyDescent="0.25">
      <c r="M912" s="142"/>
    </row>
    <row r="913" spans="13:13" x14ac:dyDescent="0.25">
      <c r="M913" s="142"/>
    </row>
    <row r="914" spans="13:13" x14ac:dyDescent="0.25">
      <c r="M914" s="142"/>
    </row>
    <row r="915" spans="13:13" x14ac:dyDescent="0.25">
      <c r="M915" s="142"/>
    </row>
    <row r="916" spans="13:13" x14ac:dyDescent="0.25">
      <c r="M916" s="142"/>
    </row>
    <row r="917" spans="13:13" x14ac:dyDescent="0.25">
      <c r="M917" s="142"/>
    </row>
    <row r="918" spans="13:13" x14ac:dyDescent="0.25">
      <c r="M918" s="142"/>
    </row>
    <row r="919" spans="13:13" x14ac:dyDescent="0.25">
      <c r="M919" s="142"/>
    </row>
    <row r="920" spans="13:13" x14ac:dyDescent="0.25">
      <c r="M920" s="142"/>
    </row>
    <row r="921" spans="13:13" x14ac:dyDescent="0.25">
      <c r="M921" s="142"/>
    </row>
    <row r="922" spans="13:13" x14ac:dyDescent="0.25">
      <c r="M922" s="142"/>
    </row>
    <row r="923" spans="13:13" x14ac:dyDescent="0.25">
      <c r="M923" s="142"/>
    </row>
    <row r="924" spans="13:13" x14ac:dyDescent="0.25">
      <c r="M924" s="142"/>
    </row>
    <row r="925" spans="13:13" x14ac:dyDescent="0.25">
      <c r="M925" s="142"/>
    </row>
    <row r="926" spans="13:13" x14ac:dyDescent="0.25">
      <c r="M926" s="142"/>
    </row>
    <row r="927" spans="13:13" x14ac:dyDescent="0.25">
      <c r="M927" s="142"/>
    </row>
    <row r="928" spans="13:13" x14ac:dyDescent="0.25">
      <c r="M928" s="142"/>
    </row>
    <row r="929" spans="13:13" x14ac:dyDescent="0.25">
      <c r="M929" s="142"/>
    </row>
    <row r="930" spans="13:13" x14ac:dyDescent="0.25">
      <c r="M930" s="142"/>
    </row>
    <row r="931" spans="13:13" x14ac:dyDescent="0.25">
      <c r="M931" s="142"/>
    </row>
    <row r="932" spans="13:13" x14ac:dyDescent="0.25">
      <c r="M932" s="142"/>
    </row>
    <row r="933" spans="13:13" x14ac:dyDescent="0.25">
      <c r="M933" s="142"/>
    </row>
    <row r="934" spans="13:13" x14ac:dyDescent="0.25">
      <c r="M934" s="142"/>
    </row>
    <row r="935" spans="13:13" x14ac:dyDescent="0.25">
      <c r="M935" s="142"/>
    </row>
    <row r="936" spans="13:13" x14ac:dyDescent="0.25">
      <c r="M936" s="142"/>
    </row>
    <row r="937" spans="13:13" x14ac:dyDescent="0.25">
      <c r="M937" s="142"/>
    </row>
    <row r="938" spans="13:13" x14ac:dyDescent="0.25">
      <c r="M938" s="142"/>
    </row>
    <row r="939" spans="13:13" x14ac:dyDescent="0.25">
      <c r="M939" s="142"/>
    </row>
    <row r="940" spans="13:13" x14ac:dyDescent="0.25">
      <c r="M940" s="142"/>
    </row>
    <row r="941" spans="13:13" x14ac:dyDescent="0.25">
      <c r="M941" s="142"/>
    </row>
    <row r="942" spans="13:13" x14ac:dyDescent="0.25">
      <c r="M942" s="142"/>
    </row>
    <row r="943" spans="13:13" x14ac:dyDescent="0.25">
      <c r="M943" s="142"/>
    </row>
    <row r="944" spans="13:13" x14ac:dyDescent="0.25">
      <c r="M944" s="142"/>
    </row>
    <row r="945" spans="13:13" x14ac:dyDescent="0.25">
      <c r="M945" s="142"/>
    </row>
    <row r="946" spans="13:13" x14ac:dyDescent="0.25">
      <c r="M946" s="142"/>
    </row>
    <row r="947" spans="13:13" x14ac:dyDescent="0.25">
      <c r="M947" s="142"/>
    </row>
    <row r="948" spans="13:13" x14ac:dyDescent="0.25">
      <c r="M948" s="142"/>
    </row>
    <row r="949" spans="13:13" x14ac:dyDescent="0.25">
      <c r="M949" s="142"/>
    </row>
    <row r="950" spans="13:13" x14ac:dyDescent="0.25">
      <c r="M950" s="142"/>
    </row>
    <row r="951" spans="13:13" x14ac:dyDescent="0.25">
      <c r="M951" s="142"/>
    </row>
    <row r="952" spans="13:13" x14ac:dyDescent="0.25">
      <c r="M952" s="142"/>
    </row>
    <row r="953" spans="13:13" x14ac:dyDescent="0.25">
      <c r="M953" s="142"/>
    </row>
    <row r="954" spans="13:13" x14ac:dyDescent="0.25">
      <c r="M954" s="142"/>
    </row>
    <row r="955" spans="13:13" x14ac:dyDescent="0.25">
      <c r="M955" s="142"/>
    </row>
    <row r="956" spans="13:13" x14ac:dyDescent="0.25">
      <c r="M956" s="142"/>
    </row>
    <row r="957" spans="13:13" x14ac:dyDescent="0.25">
      <c r="M957" s="142"/>
    </row>
    <row r="958" spans="13:13" x14ac:dyDescent="0.25">
      <c r="M958" s="142"/>
    </row>
    <row r="959" spans="13:13" x14ac:dyDescent="0.25">
      <c r="M959" s="142"/>
    </row>
    <row r="960" spans="13:13" x14ac:dyDescent="0.25">
      <c r="M960" s="142"/>
    </row>
    <row r="961" spans="13:13" x14ac:dyDescent="0.25">
      <c r="M961" s="142"/>
    </row>
    <row r="962" spans="13:13" x14ac:dyDescent="0.25">
      <c r="M962" s="142"/>
    </row>
    <row r="963" spans="13:13" x14ac:dyDescent="0.25">
      <c r="M963" s="142"/>
    </row>
    <row r="964" spans="13:13" x14ac:dyDescent="0.25">
      <c r="M964" s="142"/>
    </row>
    <row r="965" spans="13:13" x14ac:dyDescent="0.25">
      <c r="M965" s="142"/>
    </row>
    <row r="966" spans="13:13" x14ac:dyDescent="0.25">
      <c r="M966" s="142"/>
    </row>
    <row r="967" spans="13:13" x14ac:dyDescent="0.25">
      <c r="M967" s="142"/>
    </row>
    <row r="968" spans="13:13" x14ac:dyDescent="0.25">
      <c r="M968" s="142"/>
    </row>
    <row r="969" spans="13:13" x14ac:dyDescent="0.25">
      <c r="M969" s="142"/>
    </row>
    <row r="970" spans="13:13" x14ac:dyDescent="0.25">
      <c r="M970" s="142"/>
    </row>
    <row r="971" spans="13:13" x14ac:dyDescent="0.25">
      <c r="M971" s="142"/>
    </row>
    <row r="972" spans="13:13" x14ac:dyDescent="0.25">
      <c r="M972" s="142"/>
    </row>
    <row r="973" spans="13:13" x14ac:dyDescent="0.25">
      <c r="M973" s="142"/>
    </row>
    <row r="974" spans="13:13" x14ac:dyDescent="0.25">
      <c r="M974" s="142"/>
    </row>
    <row r="975" spans="13:13" x14ac:dyDescent="0.25">
      <c r="M975" s="142"/>
    </row>
    <row r="976" spans="13:13" x14ac:dyDescent="0.25">
      <c r="M976" s="142"/>
    </row>
    <row r="977" spans="13:13" x14ac:dyDescent="0.25">
      <c r="M977" s="142"/>
    </row>
    <row r="978" spans="13:13" x14ac:dyDescent="0.25">
      <c r="M978" s="142"/>
    </row>
    <row r="979" spans="13:13" x14ac:dyDescent="0.25">
      <c r="M979" s="142"/>
    </row>
    <row r="980" spans="13:13" x14ac:dyDescent="0.25">
      <c r="M980" s="142"/>
    </row>
    <row r="981" spans="13:13" x14ac:dyDescent="0.25">
      <c r="M981" s="142"/>
    </row>
    <row r="982" spans="13:13" x14ac:dyDescent="0.25">
      <c r="M982" s="142"/>
    </row>
    <row r="983" spans="13:13" x14ac:dyDescent="0.25">
      <c r="M983" s="142"/>
    </row>
    <row r="984" spans="13:13" x14ac:dyDescent="0.25">
      <c r="M984" s="142"/>
    </row>
    <row r="985" spans="13:13" x14ac:dyDescent="0.25">
      <c r="M985" s="142"/>
    </row>
    <row r="986" spans="13:13" x14ac:dyDescent="0.25">
      <c r="M986" s="142"/>
    </row>
    <row r="987" spans="13:13" x14ac:dyDescent="0.25">
      <c r="M987" s="142"/>
    </row>
    <row r="988" spans="13:13" x14ac:dyDescent="0.25">
      <c r="M988" s="142"/>
    </row>
    <row r="989" spans="13:13" x14ac:dyDescent="0.25">
      <c r="M989" s="142"/>
    </row>
    <row r="990" spans="13:13" x14ac:dyDescent="0.25">
      <c r="M990" s="142"/>
    </row>
    <row r="991" spans="13:13" x14ac:dyDescent="0.25">
      <c r="M991" s="142"/>
    </row>
    <row r="992" spans="13:13" x14ac:dyDescent="0.25">
      <c r="M992" s="142"/>
    </row>
    <row r="993" spans="13:13" x14ac:dyDescent="0.25">
      <c r="M993" s="142"/>
    </row>
    <row r="994" spans="13:13" x14ac:dyDescent="0.25">
      <c r="M994" s="142"/>
    </row>
    <row r="995" spans="13:13" x14ac:dyDescent="0.25">
      <c r="M995" s="142"/>
    </row>
    <row r="996" spans="13:13" x14ac:dyDescent="0.25">
      <c r="M996" s="142"/>
    </row>
    <row r="997" spans="13:13" x14ac:dyDescent="0.25">
      <c r="M997" s="142"/>
    </row>
    <row r="998" spans="13:13" x14ac:dyDescent="0.25">
      <c r="M998" s="142"/>
    </row>
    <row r="999" spans="13:13" x14ac:dyDescent="0.25">
      <c r="M999" s="142"/>
    </row>
    <row r="1000" spans="13:13" x14ac:dyDescent="0.25">
      <c r="M1000" s="142"/>
    </row>
    <row r="1001" spans="13:13" x14ac:dyDescent="0.25">
      <c r="M1001" s="142"/>
    </row>
    <row r="1002" spans="13:13" x14ac:dyDescent="0.25">
      <c r="M1002" s="142"/>
    </row>
    <row r="1003" spans="13:13" x14ac:dyDescent="0.25">
      <c r="M1003" s="142"/>
    </row>
    <row r="1004" spans="13:13" x14ac:dyDescent="0.25">
      <c r="M1004" s="142"/>
    </row>
    <row r="1005" spans="13:13" x14ac:dyDescent="0.25">
      <c r="M1005" s="142"/>
    </row>
    <row r="1006" spans="13:13" x14ac:dyDescent="0.25">
      <c r="M1006" s="142"/>
    </row>
    <row r="1007" spans="13:13" x14ac:dyDescent="0.25">
      <c r="M1007" s="142"/>
    </row>
    <row r="1008" spans="13:13" x14ac:dyDescent="0.25">
      <c r="M1008" s="142"/>
    </row>
    <row r="1009" spans="13:13" x14ac:dyDescent="0.25">
      <c r="M1009" s="142"/>
    </row>
    <row r="1010" spans="13:13" x14ac:dyDescent="0.25">
      <c r="M1010" s="142"/>
    </row>
    <row r="1011" spans="13:13" x14ac:dyDescent="0.25">
      <c r="M1011" s="142"/>
    </row>
    <row r="1012" spans="13:13" x14ac:dyDescent="0.25">
      <c r="M1012" s="142"/>
    </row>
    <row r="1013" spans="13:13" x14ac:dyDescent="0.25">
      <c r="M1013" s="142"/>
    </row>
    <row r="1014" spans="13:13" x14ac:dyDescent="0.25">
      <c r="M1014" s="142"/>
    </row>
    <row r="1015" spans="13:13" x14ac:dyDescent="0.25">
      <c r="M1015" s="142"/>
    </row>
    <row r="1016" spans="13:13" x14ac:dyDescent="0.25">
      <c r="M1016" s="142"/>
    </row>
    <row r="1017" spans="13:13" x14ac:dyDescent="0.25">
      <c r="M1017" s="142"/>
    </row>
    <row r="1018" spans="13:13" x14ac:dyDescent="0.25">
      <c r="M1018" s="142"/>
    </row>
    <row r="1019" spans="13:13" x14ac:dyDescent="0.25">
      <c r="M1019" s="142"/>
    </row>
    <row r="1020" spans="13:13" x14ac:dyDescent="0.25">
      <c r="M1020" s="142"/>
    </row>
    <row r="1021" spans="13:13" x14ac:dyDescent="0.25">
      <c r="M1021" s="142"/>
    </row>
    <row r="1022" spans="13:13" x14ac:dyDescent="0.25">
      <c r="M1022" s="142"/>
    </row>
    <row r="1023" spans="13:13" x14ac:dyDescent="0.25">
      <c r="M1023" s="142"/>
    </row>
    <row r="1024" spans="13:13" x14ac:dyDescent="0.25">
      <c r="M1024" s="142"/>
    </row>
    <row r="1025" spans="13:13" x14ac:dyDescent="0.25">
      <c r="M1025" s="142"/>
    </row>
    <row r="1026" spans="13:13" x14ac:dyDescent="0.25">
      <c r="M1026" s="142"/>
    </row>
    <row r="1027" spans="13:13" x14ac:dyDescent="0.25">
      <c r="M1027" s="142"/>
    </row>
    <row r="1028" spans="13:13" x14ac:dyDescent="0.25">
      <c r="M1028" s="142"/>
    </row>
    <row r="1029" spans="13:13" x14ac:dyDescent="0.25">
      <c r="M1029" s="142"/>
    </row>
    <row r="1030" spans="13:13" x14ac:dyDescent="0.25">
      <c r="M1030" s="142"/>
    </row>
    <row r="1031" spans="13:13" x14ac:dyDescent="0.25">
      <c r="M1031" s="142"/>
    </row>
    <row r="1032" spans="13:13" x14ac:dyDescent="0.25">
      <c r="M1032" s="142"/>
    </row>
    <row r="1033" spans="13:13" x14ac:dyDescent="0.25">
      <c r="M1033" s="142"/>
    </row>
    <row r="1034" spans="13:13" x14ac:dyDescent="0.25">
      <c r="M1034" s="142"/>
    </row>
    <row r="1035" spans="13:13" x14ac:dyDescent="0.25">
      <c r="M1035" s="142"/>
    </row>
    <row r="1036" spans="13:13" x14ac:dyDescent="0.25">
      <c r="M1036" s="142"/>
    </row>
    <row r="1037" spans="13:13" x14ac:dyDescent="0.25">
      <c r="M1037" s="142"/>
    </row>
    <row r="1038" spans="13:13" x14ac:dyDescent="0.25">
      <c r="M1038" s="142"/>
    </row>
    <row r="1039" spans="13:13" x14ac:dyDescent="0.25">
      <c r="M1039" s="142"/>
    </row>
    <row r="1040" spans="13:13" x14ac:dyDescent="0.25">
      <c r="M1040" s="142"/>
    </row>
    <row r="1041" spans="13:13" x14ac:dyDescent="0.25">
      <c r="M1041" s="142"/>
    </row>
    <row r="1042" spans="13:13" x14ac:dyDescent="0.25">
      <c r="M1042" s="142"/>
    </row>
    <row r="1043" spans="13:13" x14ac:dyDescent="0.25">
      <c r="M1043" s="142"/>
    </row>
    <row r="1044" spans="13:13" x14ac:dyDescent="0.25">
      <c r="M1044" s="142"/>
    </row>
    <row r="1045" spans="13:13" x14ac:dyDescent="0.25">
      <c r="M1045" s="142"/>
    </row>
    <row r="1046" spans="13:13" x14ac:dyDescent="0.25">
      <c r="M1046" s="142"/>
    </row>
    <row r="1047" spans="13:13" x14ac:dyDescent="0.25">
      <c r="M1047" s="142"/>
    </row>
    <row r="1048" spans="13:13" x14ac:dyDescent="0.25">
      <c r="M1048" s="142"/>
    </row>
    <row r="1049" spans="13:13" x14ac:dyDescent="0.25">
      <c r="M1049" s="142"/>
    </row>
    <row r="1050" spans="13:13" x14ac:dyDescent="0.25">
      <c r="M1050" s="142"/>
    </row>
    <row r="1051" spans="13:13" x14ac:dyDescent="0.25">
      <c r="M1051" s="142"/>
    </row>
    <row r="1052" spans="13:13" x14ac:dyDescent="0.25">
      <c r="M1052" s="142"/>
    </row>
    <row r="1053" spans="13:13" x14ac:dyDescent="0.25">
      <c r="M1053" s="142"/>
    </row>
    <row r="1054" spans="13:13" x14ac:dyDescent="0.25">
      <c r="M1054" s="142"/>
    </row>
    <row r="1055" spans="13:13" x14ac:dyDescent="0.25">
      <c r="M1055" s="142"/>
    </row>
    <row r="1056" spans="13:13" x14ac:dyDescent="0.25">
      <c r="M1056" s="142"/>
    </row>
    <row r="1057" spans="13:13" x14ac:dyDescent="0.25">
      <c r="M1057" s="142"/>
    </row>
    <row r="1058" spans="13:13" x14ac:dyDescent="0.25">
      <c r="M1058" s="142"/>
    </row>
    <row r="1059" spans="13:13" x14ac:dyDescent="0.25">
      <c r="M1059" s="142"/>
    </row>
    <row r="1060" spans="13:13" x14ac:dyDescent="0.25">
      <c r="M1060" s="142"/>
    </row>
    <row r="1061" spans="13:13" x14ac:dyDescent="0.25">
      <c r="M1061" s="142"/>
    </row>
    <row r="1062" spans="13:13" x14ac:dyDescent="0.25">
      <c r="M1062" s="142"/>
    </row>
    <row r="1063" spans="13:13" x14ac:dyDescent="0.25">
      <c r="M1063" s="142"/>
    </row>
    <row r="1064" spans="13:13" x14ac:dyDescent="0.25">
      <c r="M1064" s="142"/>
    </row>
    <row r="1065" spans="13:13" x14ac:dyDescent="0.25">
      <c r="M1065" s="142"/>
    </row>
    <row r="1066" spans="13:13" x14ac:dyDescent="0.25">
      <c r="M1066" s="142"/>
    </row>
    <row r="1067" spans="13:13" x14ac:dyDescent="0.25">
      <c r="M1067" s="142"/>
    </row>
    <row r="1068" spans="13:13" x14ac:dyDescent="0.25">
      <c r="M1068" s="142"/>
    </row>
    <row r="1069" spans="13:13" x14ac:dyDescent="0.25">
      <c r="M1069" s="142"/>
    </row>
    <row r="1070" spans="13:13" x14ac:dyDescent="0.25">
      <c r="M1070" s="142"/>
    </row>
    <row r="1071" spans="13:13" x14ac:dyDescent="0.25">
      <c r="M1071" s="142"/>
    </row>
    <row r="1072" spans="13:13" x14ac:dyDescent="0.25">
      <c r="M1072" s="142"/>
    </row>
    <row r="1073" spans="13:13" x14ac:dyDescent="0.25">
      <c r="M1073" s="142"/>
    </row>
    <row r="1074" spans="13:13" x14ac:dyDescent="0.25">
      <c r="M1074" s="142"/>
    </row>
    <row r="1075" spans="13:13" x14ac:dyDescent="0.25">
      <c r="M1075" s="142"/>
    </row>
    <row r="1076" spans="13:13" x14ac:dyDescent="0.25">
      <c r="M1076" s="142"/>
    </row>
    <row r="1077" spans="13:13" x14ac:dyDescent="0.25">
      <c r="M1077" s="142"/>
    </row>
    <row r="1078" spans="13:13" x14ac:dyDescent="0.25">
      <c r="M1078" s="142"/>
    </row>
    <row r="1079" spans="13:13" x14ac:dyDescent="0.25">
      <c r="M1079" s="142"/>
    </row>
    <row r="1080" spans="13:13" x14ac:dyDescent="0.25">
      <c r="M1080" s="142"/>
    </row>
    <row r="1081" spans="13:13" x14ac:dyDescent="0.25">
      <c r="M1081" s="142"/>
    </row>
    <row r="1082" spans="13:13" x14ac:dyDescent="0.25">
      <c r="M1082" s="142"/>
    </row>
    <row r="1083" spans="13:13" x14ac:dyDescent="0.25">
      <c r="M1083" s="142"/>
    </row>
    <row r="1084" spans="13:13" x14ac:dyDescent="0.25">
      <c r="M1084" s="142"/>
    </row>
    <row r="1085" spans="13:13" x14ac:dyDescent="0.25">
      <c r="M1085" s="142"/>
    </row>
    <row r="1086" spans="13:13" x14ac:dyDescent="0.25">
      <c r="M1086" s="142"/>
    </row>
    <row r="1087" spans="13:13" x14ac:dyDescent="0.25">
      <c r="M1087" s="142"/>
    </row>
    <row r="1088" spans="13:13" x14ac:dyDescent="0.25">
      <c r="M1088" s="142"/>
    </row>
    <row r="1089" spans="13:13" x14ac:dyDescent="0.25">
      <c r="M1089" s="142"/>
    </row>
    <row r="1090" spans="13:13" x14ac:dyDescent="0.25">
      <c r="M1090" s="142"/>
    </row>
    <row r="1091" spans="13:13" x14ac:dyDescent="0.25">
      <c r="M1091" s="142"/>
    </row>
    <row r="1092" spans="13:13" x14ac:dyDescent="0.25">
      <c r="M1092" s="142"/>
    </row>
    <row r="1093" spans="13:13" x14ac:dyDescent="0.25">
      <c r="M1093" s="142"/>
    </row>
    <row r="1094" spans="13:13" x14ac:dyDescent="0.25">
      <c r="M1094" s="142"/>
    </row>
    <row r="1095" spans="13:13" x14ac:dyDescent="0.25">
      <c r="M1095" s="142"/>
    </row>
    <row r="1096" spans="13:13" x14ac:dyDescent="0.25">
      <c r="M1096" s="142"/>
    </row>
    <row r="1097" spans="13:13" x14ac:dyDescent="0.25">
      <c r="M1097" s="142"/>
    </row>
    <row r="1098" spans="13:13" x14ac:dyDescent="0.25">
      <c r="M1098" s="142"/>
    </row>
    <row r="1099" spans="13:13" x14ac:dyDescent="0.25">
      <c r="M1099" s="142"/>
    </row>
    <row r="1100" spans="13:13" x14ac:dyDescent="0.25">
      <c r="M1100" s="142"/>
    </row>
    <row r="1101" spans="13:13" x14ac:dyDescent="0.25">
      <c r="M1101" s="142"/>
    </row>
    <row r="1102" spans="13:13" x14ac:dyDescent="0.25">
      <c r="M1102" s="142"/>
    </row>
    <row r="1103" spans="13:13" x14ac:dyDescent="0.25">
      <c r="M1103" s="142"/>
    </row>
    <row r="1104" spans="13:13" x14ac:dyDescent="0.25">
      <c r="M1104" s="142"/>
    </row>
    <row r="1105" spans="13:13" x14ac:dyDescent="0.25">
      <c r="M1105" s="142"/>
    </row>
    <row r="1106" spans="13:13" x14ac:dyDescent="0.25">
      <c r="M1106" s="142"/>
    </row>
    <row r="1107" spans="13:13" x14ac:dyDescent="0.25">
      <c r="M1107" s="142"/>
    </row>
    <row r="1108" spans="13:13" x14ac:dyDescent="0.25">
      <c r="M1108" s="142"/>
    </row>
    <row r="1109" spans="13:13" x14ac:dyDescent="0.25">
      <c r="M1109" s="142"/>
    </row>
    <row r="1110" spans="13:13" x14ac:dyDescent="0.25">
      <c r="M1110" s="142"/>
    </row>
    <row r="1111" spans="13:13" x14ac:dyDescent="0.25">
      <c r="M1111" s="142"/>
    </row>
    <row r="1112" spans="13:13" x14ac:dyDescent="0.25">
      <c r="M1112" s="142"/>
    </row>
    <row r="1113" spans="13:13" x14ac:dyDescent="0.25">
      <c r="M1113" s="142"/>
    </row>
    <row r="1114" spans="13:13" x14ac:dyDescent="0.25">
      <c r="M1114" s="142"/>
    </row>
    <row r="1115" spans="13:13" x14ac:dyDescent="0.25">
      <c r="M1115" s="142"/>
    </row>
    <row r="1116" spans="13:13" x14ac:dyDescent="0.25">
      <c r="M1116" s="142"/>
    </row>
    <row r="1117" spans="13:13" x14ac:dyDescent="0.25">
      <c r="M1117" s="142"/>
    </row>
    <row r="1118" spans="13:13" x14ac:dyDescent="0.25">
      <c r="M1118" s="142"/>
    </row>
    <row r="1119" spans="13:13" x14ac:dyDescent="0.25">
      <c r="M1119" s="142"/>
    </row>
    <row r="1120" spans="13:13" x14ac:dyDescent="0.25">
      <c r="M1120" s="142"/>
    </row>
    <row r="1121" spans="13:13" x14ac:dyDescent="0.25">
      <c r="M1121" s="142"/>
    </row>
    <row r="1122" spans="13:13" x14ac:dyDescent="0.25">
      <c r="M1122" s="142"/>
    </row>
    <row r="1123" spans="13:13" x14ac:dyDescent="0.25">
      <c r="M1123" s="142"/>
    </row>
    <row r="1124" spans="13:13" x14ac:dyDescent="0.25">
      <c r="M1124" s="142"/>
    </row>
    <row r="1125" spans="13:13" x14ac:dyDescent="0.25">
      <c r="M1125" s="142"/>
    </row>
    <row r="1126" spans="13:13" x14ac:dyDescent="0.25">
      <c r="M1126" s="142"/>
    </row>
    <row r="1127" spans="13:13" x14ac:dyDescent="0.25">
      <c r="M1127" s="142"/>
    </row>
    <row r="1128" spans="13:13" x14ac:dyDescent="0.25">
      <c r="M1128" s="142"/>
    </row>
    <row r="1129" spans="13:13" x14ac:dyDescent="0.25">
      <c r="M1129" s="142"/>
    </row>
    <row r="1130" spans="13:13" x14ac:dyDescent="0.25">
      <c r="M1130" s="142"/>
    </row>
    <row r="1131" spans="13:13" x14ac:dyDescent="0.25">
      <c r="M1131" s="142"/>
    </row>
    <row r="1132" spans="13:13" x14ac:dyDescent="0.25">
      <c r="M1132" s="142"/>
    </row>
    <row r="1133" spans="13:13" x14ac:dyDescent="0.25">
      <c r="M1133" s="142"/>
    </row>
    <row r="1134" spans="13:13" x14ac:dyDescent="0.25">
      <c r="M1134" s="142"/>
    </row>
    <row r="1135" spans="13:13" x14ac:dyDescent="0.25">
      <c r="M1135" s="142"/>
    </row>
    <row r="1136" spans="13:13" x14ac:dyDescent="0.25">
      <c r="M1136" s="142"/>
    </row>
    <row r="1137" spans="13:13" x14ac:dyDescent="0.25">
      <c r="M1137" s="142"/>
    </row>
    <row r="1138" spans="13:13" x14ac:dyDescent="0.25">
      <c r="M1138" s="142"/>
    </row>
    <row r="1139" spans="13:13" x14ac:dyDescent="0.25">
      <c r="M1139" s="142"/>
    </row>
    <row r="1140" spans="13:13" x14ac:dyDescent="0.25">
      <c r="M1140" s="142"/>
    </row>
    <row r="1141" spans="13:13" x14ac:dyDescent="0.25">
      <c r="M1141" s="142"/>
    </row>
    <row r="1142" spans="13:13" x14ac:dyDescent="0.25">
      <c r="M1142" s="142"/>
    </row>
    <row r="1143" spans="13:13" x14ac:dyDescent="0.25">
      <c r="M1143" s="142"/>
    </row>
    <row r="1144" spans="13:13" x14ac:dyDescent="0.25">
      <c r="M1144" s="142"/>
    </row>
    <row r="1145" spans="13:13" x14ac:dyDescent="0.25">
      <c r="M1145" s="142"/>
    </row>
    <row r="1146" spans="13:13" x14ac:dyDescent="0.25">
      <c r="M1146" s="142"/>
    </row>
    <row r="1147" spans="13:13" x14ac:dyDescent="0.25">
      <c r="M1147" s="142"/>
    </row>
    <row r="1148" spans="13:13" x14ac:dyDescent="0.25">
      <c r="M1148" s="142"/>
    </row>
    <row r="1149" spans="13:13" x14ac:dyDescent="0.25">
      <c r="M1149" s="142"/>
    </row>
    <row r="1150" spans="13:13" x14ac:dyDescent="0.25">
      <c r="M1150" s="142"/>
    </row>
    <row r="1151" spans="13:13" x14ac:dyDescent="0.25">
      <c r="M1151" s="142"/>
    </row>
    <row r="1152" spans="13:13" x14ac:dyDescent="0.25">
      <c r="M1152" s="142"/>
    </row>
    <row r="1153" spans="13:13" x14ac:dyDescent="0.25">
      <c r="M1153" s="142"/>
    </row>
    <row r="1154" spans="13:13" x14ac:dyDescent="0.25">
      <c r="M1154" s="142"/>
    </row>
    <row r="1155" spans="13:13" x14ac:dyDescent="0.25">
      <c r="M1155" s="142"/>
    </row>
    <row r="1156" spans="13:13" x14ac:dyDescent="0.25">
      <c r="M1156" s="142"/>
    </row>
    <row r="1157" spans="13:13" x14ac:dyDescent="0.25">
      <c r="M1157" s="142"/>
    </row>
    <row r="1158" spans="13:13" x14ac:dyDescent="0.25">
      <c r="M1158" s="142"/>
    </row>
    <row r="1159" spans="13:13" x14ac:dyDescent="0.25">
      <c r="M1159" s="142"/>
    </row>
    <row r="1160" spans="13:13" x14ac:dyDescent="0.25">
      <c r="M1160" s="142"/>
    </row>
    <row r="1161" spans="13:13" x14ac:dyDescent="0.25">
      <c r="M1161" s="142"/>
    </row>
    <row r="1162" spans="13:13" x14ac:dyDescent="0.25">
      <c r="M1162" s="142"/>
    </row>
    <row r="1163" spans="13:13" x14ac:dyDescent="0.25">
      <c r="M1163" s="142"/>
    </row>
    <row r="1164" spans="13:13" x14ac:dyDescent="0.25">
      <c r="M1164" s="142"/>
    </row>
    <row r="1165" spans="13:13" x14ac:dyDescent="0.25">
      <c r="M1165" s="142"/>
    </row>
    <row r="1166" spans="13:13" x14ac:dyDescent="0.25">
      <c r="M1166" s="142"/>
    </row>
    <row r="1167" spans="13:13" x14ac:dyDescent="0.25">
      <c r="M1167" s="142"/>
    </row>
    <row r="1168" spans="13:13" x14ac:dyDescent="0.25">
      <c r="M1168" s="142"/>
    </row>
    <row r="1169" spans="13:13" x14ac:dyDescent="0.25">
      <c r="M1169" s="142"/>
    </row>
    <row r="1170" spans="13:13" x14ac:dyDescent="0.25">
      <c r="M1170" s="142"/>
    </row>
    <row r="1171" spans="13:13" x14ac:dyDescent="0.25">
      <c r="M1171" s="142"/>
    </row>
    <row r="1172" spans="13:13" x14ac:dyDescent="0.25">
      <c r="M1172" s="142"/>
    </row>
    <row r="1173" spans="13:13" x14ac:dyDescent="0.25">
      <c r="M1173" s="142"/>
    </row>
    <row r="1174" spans="13:13" x14ac:dyDescent="0.25">
      <c r="M1174" s="142"/>
    </row>
    <row r="1175" spans="13:13" x14ac:dyDescent="0.25">
      <c r="M1175" s="142"/>
    </row>
    <row r="1176" spans="13:13" x14ac:dyDescent="0.25">
      <c r="M1176" s="142"/>
    </row>
    <row r="1177" spans="13:13" x14ac:dyDescent="0.25">
      <c r="M1177" s="142"/>
    </row>
    <row r="1178" spans="13:13" x14ac:dyDescent="0.25">
      <c r="M1178" s="142"/>
    </row>
    <row r="1179" spans="13:13" x14ac:dyDescent="0.25">
      <c r="M1179" s="142"/>
    </row>
    <row r="1180" spans="13:13" x14ac:dyDescent="0.25">
      <c r="M1180" s="142"/>
    </row>
    <row r="1181" spans="13:13" x14ac:dyDescent="0.25">
      <c r="M1181" s="142"/>
    </row>
    <row r="1182" spans="13:13" x14ac:dyDescent="0.25">
      <c r="M1182" s="142"/>
    </row>
    <row r="1183" spans="13:13" x14ac:dyDescent="0.25">
      <c r="M1183" s="142"/>
    </row>
    <row r="1184" spans="13:13" x14ac:dyDescent="0.25">
      <c r="M1184" s="142"/>
    </row>
    <row r="1185" spans="13:13" x14ac:dyDescent="0.25">
      <c r="M1185" s="142"/>
    </row>
    <row r="1186" spans="13:13" x14ac:dyDescent="0.25">
      <c r="M1186" s="142"/>
    </row>
    <row r="1187" spans="13:13" x14ac:dyDescent="0.25">
      <c r="M1187" s="142"/>
    </row>
    <row r="1188" spans="13:13" x14ac:dyDescent="0.25">
      <c r="M1188" s="142"/>
    </row>
    <row r="1189" spans="13:13" x14ac:dyDescent="0.25">
      <c r="M1189" s="142"/>
    </row>
    <row r="1190" spans="13:13" x14ac:dyDescent="0.25">
      <c r="M1190" s="142"/>
    </row>
    <row r="1191" spans="13:13" x14ac:dyDescent="0.25">
      <c r="M1191" s="142"/>
    </row>
    <row r="1192" spans="13:13" x14ac:dyDescent="0.25">
      <c r="M1192" s="142"/>
    </row>
    <row r="1193" spans="13:13" x14ac:dyDescent="0.25">
      <c r="M1193" s="142"/>
    </row>
    <row r="1194" spans="13:13" x14ac:dyDescent="0.25">
      <c r="M1194" s="142"/>
    </row>
    <row r="1195" spans="13:13" x14ac:dyDescent="0.25">
      <c r="M1195" s="142"/>
    </row>
    <row r="1196" spans="13:13" x14ac:dyDescent="0.25">
      <c r="M1196" s="142"/>
    </row>
    <row r="1197" spans="13:13" x14ac:dyDescent="0.25">
      <c r="M1197" s="142"/>
    </row>
    <row r="1198" spans="13:13" x14ac:dyDescent="0.25">
      <c r="M1198" s="142"/>
    </row>
    <row r="1199" spans="13:13" x14ac:dyDescent="0.25">
      <c r="M1199" s="142"/>
    </row>
    <row r="1200" spans="13:13" x14ac:dyDescent="0.25">
      <c r="M1200" s="142"/>
    </row>
    <row r="1201" spans="13:13" x14ac:dyDescent="0.25">
      <c r="M1201" s="142"/>
    </row>
    <row r="1202" spans="13:13" x14ac:dyDescent="0.25">
      <c r="M1202" s="142"/>
    </row>
    <row r="1203" spans="13:13" x14ac:dyDescent="0.25">
      <c r="M1203" s="142"/>
    </row>
    <row r="1204" spans="13:13" x14ac:dyDescent="0.25">
      <c r="M1204" s="142"/>
    </row>
    <row r="1205" spans="13:13" x14ac:dyDescent="0.25">
      <c r="M1205" s="142"/>
    </row>
    <row r="1206" spans="13:13" x14ac:dyDescent="0.25">
      <c r="M1206" s="142"/>
    </row>
    <row r="1207" spans="13:13" x14ac:dyDescent="0.25">
      <c r="M1207" s="142"/>
    </row>
    <row r="1208" spans="13:13" x14ac:dyDescent="0.25">
      <c r="M1208" s="142"/>
    </row>
    <row r="1209" spans="13:13" x14ac:dyDescent="0.25">
      <c r="M1209" s="142"/>
    </row>
    <row r="1210" spans="13:13" x14ac:dyDescent="0.25">
      <c r="M1210" s="142"/>
    </row>
    <row r="1211" spans="13:13" x14ac:dyDescent="0.25">
      <c r="M1211" s="142"/>
    </row>
    <row r="1212" spans="13:13" x14ac:dyDescent="0.25">
      <c r="M1212" s="142"/>
    </row>
    <row r="1213" spans="13:13" x14ac:dyDescent="0.25">
      <c r="M1213" s="142"/>
    </row>
    <row r="1214" spans="13:13" x14ac:dyDescent="0.25">
      <c r="M1214" s="142"/>
    </row>
    <row r="1215" spans="13:13" x14ac:dyDescent="0.25">
      <c r="M1215" s="142"/>
    </row>
    <row r="1216" spans="13:13" x14ac:dyDescent="0.25">
      <c r="M1216" s="142"/>
    </row>
    <row r="1217" spans="13:13" x14ac:dyDescent="0.25">
      <c r="M1217" s="142"/>
    </row>
    <row r="1218" spans="13:13" x14ac:dyDescent="0.25">
      <c r="M1218" s="142"/>
    </row>
    <row r="1219" spans="13:13" x14ac:dyDescent="0.25">
      <c r="M1219" s="142"/>
    </row>
    <row r="1220" spans="13:13" x14ac:dyDescent="0.25">
      <c r="M1220" s="142"/>
    </row>
    <row r="1221" spans="13:13" x14ac:dyDescent="0.25">
      <c r="M1221" s="142"/>
    </row>
    <row r="1222" spans="13:13" x14ac:dyDescent="0.25">
      <c r="M1222" s="142"/>
    </row>
    <row r="1223" spans="13:13" x14ac:dyDescent="0.25">
      <c r="M1223" s="142"/>
    </row>
    <row r="1224" spans="13:13" x14ac:dyDescent="0.25">
      <c r="M1224" s="142"/>
    </row>
    <row r="1225" spans="13:13" x14ac:dyDescent="0.25">
      <c r="M1225" s="142"/>
    </row>
    <row r="1226" spans="13:13" x14ac:dyDescent="0.25">
      <c r="M1226" s="142"/>
    </row>
    <row r="1227" spans="13:13" x14ac:dyDescent="0.25">
      <c r="M1227" s="142"/>
    </row>
    <row r="1228" spans="13:13" x14ac:dyDescent="0.25">
      <c r="M1228" s="142"/>
    </row>
    <row r="1229" spans="13:13" x14ac:dyDescent="0.25">
      <c r="M1229" s="142"/>
    </row>
    <row r="1230" spans="13:13" x14ac:dyDescent="0.25">
      <c r="M1230" s="142"/>
    </row>
    <row r="1231" spans="13:13" x14ac:dyDescent="0.25">
      <c r="M1231" s="142"/>
    </row>
    <row r="1232" spans="13:13" x14ac:dyDescent="0.25">
      <c r="M1232" s="142"/>
    </row>
    <row r="1233" spans="13:13" x14ac:dyDescent="0.25">
      <c r="M1233" s="142"/>
    </row>
    <row r="1234" spans="13:13" x14ac:dyDescent="0.25">
      <c r="M1234" s="142"/>
    </row>
    <row r="1235" spans="13:13" x14ac:dyDescent="0.25">
      <c r="M1235" s="142"/>
    </row>
    <row r="1236" spans="13:13" x14ac:dyDescent="0.25">
      <c r="M1236" s="142"/>
    </row>
    <row r="1237" spans="13:13" x14ac:dyDescent="0.25">
      <c r="M1237" s="142"/>
    </row>
    <row r="1238" spans="13:13" x14ac:dyDescent="0.25">
      <c r="M1238" s="142"/>
    </row>
    <row r="1239" spans="13:13" x14ac:dyDescent="0.25">
      <c r="M1239" s="142"/>
    </row>
    <row r="1240" spans="13:13" x14ac:dyDescent="0.25">
      <c r="M1240" s="142"/>
    </row>
    <row r="1241" spans="13:13" x14ac:dyDescent="0.25">
      <c r="M1241" s="142"/>
    </row>
    <row r="1242" spans="13:13" x14ac:dyDescent="0.25">
      <c r="M1242" s="142"/>
    </row>
    <row r="1243" spans="13:13" x14ac:dyDescent="0.25">
      <c r="M1243" s="142"/>
    </row>
    <row r="1244" spans="13:13" x14ac:dyDescent="0.25">
      <c r="M1244" s="142"/>
    </row>
    <row r="1245" spans="13:13" x14ac:dyDescent="0.25">
      <c r="M1245" s="142"/>
    </row>
    <row r="1246" spans="13:13" x14ac:dyDescent="0.25">
      <c r="M1246" s="142"/>
    </row>
    <row r="1247" spans="13:13" x14ac:dyDescent="0.25">
      <c r="M1247" s="142"/>
    </row>
    <row r="1248" spans="13:13" x14ac:dyDescent="0.25">
      <c r="M1248" s="142"/>
    </row>
    <row r="1249" spans="13:13" x14ac:dyDescent="0.25">
      <c r="M1249" s="142"/>
    </row>
    <row r="1250" spans="13:13" x14ac:dyDescent="0.25">
      <c r="M1250" s="142"/>
    </row>
    <row r="1251" spans="13:13" x14ac:dyDescent="0.25">
      <c r="M1251" s="142"/>
    </row>
    <row r="1252" spans="13:13" x14ac:dyDescent="0.25">
      <c r="M1252" s="142"/>
    </row>
    <row r="1253" spans="13:13" x14ac:dyDescent="0.25">
      <c r="M1253" s="142"/>
    </row>
    <row r="1254" spans="13:13" x14ac:dyDescent="0.25">
      <c r="M1254" s="142"/>
    </row>
    <row r="1255" spans="13:13" x14ac:dyDescent="0.25">
      <c r="M1255" s="142"/>
    </row>
    <row r="1256" spans="13:13" x14ac:dyDescent="0.25">
      <c r="M1256" s="142"/>
    </row>
    <row r="1257" spans="13:13" x14ac:dyDescent="0.25">
      <c r="M1257" s="142"/>
    </row>
    <row r="1258" spans="13:13" x14ac:dyDescent="0.25">
      <c r="M1258" s="142"/>
    </row>
    <row r="1259" spans="13:13" x14ac:dyDescent="0.25">
      <c r="M1259" s="142"/>
    </row>
    <row r="1260" spans="13:13" x14ac:dyDescent="0.25">
      <c r="M1260" s="142"/>
    </row>
    <row r="1261" spans="13:13" x14ac:dyDescent="0.25">
      <c r="M1261" s="142"/>
    </row>
    <row r="1262" spans="13:13" x14ac:dyDescent="0.25">
      <c r="M1262" s="142"/>
    </row>
    <row r="1263" spans="13:13" x14ac:dyDescent="0.25">
      <c r="M1263" s="142"/>
    </row>
    <row r="1264" spans="13:13" x14ac:dyDescent="0.25">
      <c r="M1264" s="142"/>
    </row>
    <row r="1265" spans="13:13" x14ac:dyDescent="0.25">
      <c r="M1265" s="142"/>
    </row>
    <row r="1266" spans="13:13" x14ac:dyDescent="0.25">
      <c r="M1266" s="142"/>
    </row>
    <row r="1267" spans="13:13" x14ac:dyDescent="0.25">
      <c r="M1267" s="142"/>
    </row>
    <row r="1268" spans="13:13" x14ac:dyDescent="0.25">
      <c r="M1268" s="142"/>
    </row>
    <row r="1269" spans="13:13" x14ac:dyDescent="0.25">
      <c r="M1269" s="142"/>
    </row>
    <row r="1270" spans="13:13" x14ac:dyDescent="0.25">
      <c r="M1270" s="142"/>
    </row>
    <row r="1271" spans="13:13" x14ac:dyDescent="0.25">
      <c r="M1271" s="142"/>
    </row>
    <row r="1272" spans="13:13" x14ac:dyDescent="0.25">
      <c r="M1272" s="142"/>
    </row>
    <row r="1273" spans="13:13" x14ac:dyDescent="0.25">
      <c r="M1273" s="142"/>
    </row>
    <row r="1274" spans="13:13" x14ac:dyDescent="0.25">
      <c r="M1274" s="142"/>
    </row>
    <row r="1275" spans="13:13" x14ac:dyDescent="0.25">
      <c r="M1275" s="142"/>
    </row>
    <row r="1276" spans="13:13" x14ac:dyDescent="0.25">
      <c r="M1276" s="142"/>
    </row>
    <row r="1277" spans="13:13" x14ac:dyDescent="0.25">
      <c r="M1277" s="142"/>
    </row>
    <row r="1278" spans="13:13" x14ac:dyDescent="0.25">
      <c r="M1278" s="142"/>
    </row>
    <row r="1279" spans="13:13" x14ac:dyDescent="0.25">
      <c r="M1279" s="142"/>
    </row>
    <row r="1280" spans="13:13" x14ac:dyDescent="0.25">
      <c r="M1280" s="142"/>
    </row>
    <row r="1281" spans="13:13" x14ac:dyDescent="0.25">
      <c r="M1281" s="142"/>
    </row>
    <row r="1282" spans="13:13" x14ac:dyDescent="0.25">
      <c r="M1282" s="142"/>
    </row>
    <row r="1283" spans="13:13" x14ac:dyDescent="0.25">
      <c r="M1283" s="142"/>
    </row>
    <row r="1284" spans="13:13" x14ac:dyDescent="0.25">
      <c r="M1284" s="142"/>
    </row>
    <row r="1285" spans="13:13" x14ac:dyDescent="0.25">
      <c r="M1285" s="142"/>
    </row>
    <row r="1286" spans="13:13" x14ac:dyDescent="0.25">
      <c r="M1286" s="142"/>
    </row>
    <row r="1287" spans="13:13" x14ac:dyDescent="0.25">
      <c r="M1287" s="142"/>
    </row>
    <row r="1288" spans="13:13" x14ac:dyDescent="0.25">
      <c r="M1288" s="142"/>
    </row>
    <row r="1289" spans="13:13" x14ac:dyDescent="0.25">
      <c r="M1289" s="142"/>
    </row>
    <row r="1290" spans="13:13" x14ac:dyDescent="0.25">
      <c r="M1290" s="142"/>
    </row>
    <row r="1291" spans="13:13" x14ac:dyDescent="0.25">
      <c r="M1291" s="142"/>
    </row>
    <row r="1292" spans="13:13" x14ac:dyDescent="0.25">
      <c r="M1292" s="142"/>
    </row>
    <row r="1293" spans="13:13" x14ac:dyDescent="0.25">
      <c r="M1293" s="142"/>
    </row>
    <row r="1294" spans="13:13" x14ac:dyDescent="0.25">
      <c r="M1294" s="142"/>
    </row>
    <row r="1295" spans="13:13" x14ac:dyDescent="0.25">
      <c r="M1295" s="142"/>
    </row>
    <row r="1296" spans="13:13" x14ac:dyDescent="0.25">
      <c r="M1296" s="142"/>
    </row>
    <row r="1297" spans="13:13" x14ac:dyDescent="0.25">
      <c r="M1297" s="142"/>
    </row>
    <row r="1298" spans="13:13" x14ac:dyDescent="0.25">
      <c r="M1298" s="142"/>
    </row>
    <row r="1299" spans="13:13" x14ac:dyDescent="0.25">
      <c r="M1299" s="142"/>
    </row>
    <row r="1300" spans="13:13" x14ac:dyDescent="0.25">
      <c r="M1300" s="142"/>
    </row>
    <row r="1301" spans="13:13" x14ac:dyDescent="0.25">
      <c r="M1301" s="142"/>
    </row>
    <row r="1302" spans="13:13" x14ac:dyDescent="0.25">
      <c r="M1302" s="142"/>
    </row>
    <row r="1303" spans="13:13" x14ac:dyDescent="0.25">
      <c r="M1303" s="142"/>
    </row>
    <row r="1304" spans="13:13" x14ac:dyDescent="0.25">
      <c r="M1304" s="142"/>
    </row>
    <row r="1305" spans="13:13" x14ac:dyDescent="0.25">
      <c r="M1305" s="142"/>
    </row>
    <row r="1306" spans="13:13" x14ac:dyDescent="0.25">
      <c r="M1306" s="142"/>
    </row>
    <row r="1307" spans="13:13" x14ac:dyDescent="0.25">
      <c r="M1307" s="142"/>
    </row>
    <row r="1308" spans="13:13" x14ac:dyDescent="0.25">
      <c r="M1308" s="142"/>
    </row>
    <row r="1309" spans="13:13" x14ac:dyDescent="0.25">
      <c r="M1309" s="142"/>
    </row>
    <row r="1310" spans="13:13" x14ac:dyDescent="0.25">
      <c r="M1310" s="142"/>
    </row>
    <row r="1311" spans="13:13" x14ac:dyDescent="0.25">
      <c r="M1311" s="142"/>
    </row>
    <row r="1312" spans="13:13" x14ac:dyDescent="0.25">
      <c r="M1312" s="142"/>
    </row>
    <row r="1313" spans="13:13" x14ac:dyDescent="0.25">
      <c r="M1313" s="142"/>
    </row>
    <row r="1314" spans="13:13" x14ac:dyDescent="0.25">
      <c r="M1314" s="142"/>
    </row>
    <row r="1315" spans="13:13" x14ac:dyDescent="0.25">
      <c r="M1315" s="142"/>
    </row>
    <row r="1316" spans="13:13" x14ac:dyDescent="0.25">
      <c r="M1316" s="142"/>
    </row>
    <row r="1317" spans="13:13" x14ac:dyDescent="0.25">
      <c r="M1317" s="142"/>
    </row>
    <row r="1318" spans="13:13" x14ac:dyDescent="0.25">
      <c r="M1318" s="142"/>
    </row>
    <row r="1319" spans="13:13" x14ac:dyDescent="0.25">
      <c r="M1319" s="142"/>
    </row>
    <row r="1320" spans="13:13" x14ac:dyDescent="0.25">
      <c r="M1320" s="142"/>
    </row>
    <row r="1321" spans="13:13" x14ac:dyDescent="0.25">
      <c r="M1321" s="142"/>
    </row>
    <row r="1322" spans="13:13" x14ac:dyDescent="0.25">
      <c r="M1322" s="142"/>
    </row>
    <row r="1323" spans="13:13" x14ac:dyDescent="0.25">
      <c r="M1323" s="142"/>
    </row>
    <row r="1324" spans="13:13" x14ac:dyDescent="0.25">
      <c r="M1324" s="142"/>
    </row>
    <row r="1325" spans="13:13" x14ac:dyDescent="0.25">
      <c r="M1325" s="142"/>
    </row>
    <row r="1326" spans="13:13" x14ac:dyDescent="0.25">
      <c r="M1326" s="142"/>
    </row>
    <row r="1327" spans="13:13" x14ac:dyDescent="0.25">
      <c r="M1327" s="142"/>
    </row>
    <row r="1328" spans="13:13" x14ac:dyDescent="0.25">
      <c r="M1328" s="142"/>
    </row>
    <row r="1329" spans="13:13" x14ac:dyDescent="0.25">
      <c r="M1329" s="142"/>
    </row>
    <row r="1330" spans="13:13" x14ac:dyDescent="0.25">
      <c r="M1330" s="142"/>
    </row>
    <row r="1331" spans="13:13" x14ac:dyDescent="0.25">
      <c r="M1331" s="142"/>
    </row>
    <row r="1332" spans="13:13" x14ac:dyDescent="0.25">
      <c r="M1332" s="142"/>
    </row>
    <row r="1333" spans="13:13" x14ac:dyDescent="0.25">
      <c r="M1333" s="142"/>
    </row>
    <row r="1334" spans="13:13" x14ac:dyDescent="0.25">
      <c r="M1334" s="142"/>
    </row>
    <row r="1335" spans="13:13" x14ac:dyDescent="0.25">
      <c r="M1335" s="142"/>
    </row>
    <row r="1336" spans="13:13" x14ac:dyDescent="0.25">
      <c r="M1336" s="142"/>
    </row>
    <row r="1337" spans="13:13" x14ac:dyDescent="0.25">
      <c r="M1337" s="142"/>
    </row>
    <row r="1338" spans="13:13" x14ac:dyDescent="0.25">
      <c r="M1338" s="142"/>
    </row>
    <row r="1339" spans="13:13" x14ac:dyDescent="0.25">
      <c r="M1339" s="142"/>
    </row>
    <row r="1340" spans="13:13" x14ac:dyDescent="0.25">
      <c r="M1340" s="142"/>
    </row>
    <row r="1341" spans="13:13" x14ac:dyDescent="0.25">
      <c r="M1341" s="142"/>
    </row>
    <row r="1342" spans="13:13" x14ac:dyDescent="0.25">
      <c r="M1342" s="142"/>
    </row>
    <row r="1343" spans="13:13" x14ac:dyDescent="0.25">
      <c r="M1343" s="142"/>
    </row>
    <row r="1344" spans="13:13" x14ac:dyDescent="0.25">
      <c r="M1344" s="142"/>
    </row>
    <row r="1345" spans="13:13" x14ac:dyDescent="0.25">
      <c r="M1345" s="142"/>
    </row>
    <row r="1346" spans="13:13" x14ac:dyDescent="0.25">
      <c r="M1346" s="142"/>
    </row>
    <row r="1347" spans="13:13" x14ac:dyDescent="0.25">
      <c r="M1347" s="142"/>
    </row>
    <row r="1348" spans="13:13" x14ac:dyDescent="0.25">
      <c r="M1348" s="142"/>
    </row>
    <row r="1349" spans="13:13" x14ac:dyDescent="0.25">
      <c r="M1349" s="142"/>
    </row>
    <row r="1350" spans="13:13" x14ac:dyDescent="0.25">
      <c r="M1350" s="142"/>
    </row>
    <row r="1351" spans="13:13" x14ac:dyDescent="0.25">
      <c r="M1351" s="142"/>
    </row>
    <row r="1352" spans="13:13" x14ac:dyDescent="0.25">
      <c r="M1352" s="142"/>
    </row>
    <row r="1353" spans="13:13" x14ac:dyDescent="0.25">
      <c r="M1353" s="142"/>
    </row>
    <row r="1354" spans="13:13" x14ac:dyDescent="0.25">
      <c r="M1354" s="142"/>
    </row>
    <row r="1355" spans="13:13" x14ac:dyDescent="0.25">
      <c r="M1355" s="142"/>
    </row>
    <row r="1356" spans="13:13" x14ac:dyDescent="0.25">
      <c r="M1356" s="142"/>
    </row>
    <row r="1357" spans="13:13" x14ac:dyDescent="0.25">
      <c r="M1357" s="142"/>
    </row>
    <row r="1358" spans="13:13" x14ac:dyDescent="0.25">
      <c r="M1358" s="142"/>
    </row>
    <row r="1359" spans="13:13" x14ac:dyDescent="0.25">
      <c r="M1359" s="142"/>
    </row>
    <row r="1360" spans="13:13" x14ac:dyDescent="0.25">
      <c r="M1360" s="142"/>
    </row>
    <row r="1361" spans="13:13" x14ac:dyDescent="0.25">
      <c r="M1361" s="142"/>
    </row>
    <row r="1362" spans="13:13" x14ac:dyDescent="0.25">
      <c r="M1362" s="142"/>
    </row>
    <row r="1363" spans="13:13" x14ac:dyDescent="0.25">
      <c r="M1363" s="142"/>
    </row>
    <row r="1364" spans="13:13" x14ac:dyDescent="0.25">
      <c r="M1364" s="142"/>
    </row>
    <row r="1365" spans="13:13" x14ac:dyDescent="0.25">
      <c r="M1365" s="142"/>
    </row>
    <row r="1366" spans="13:13" x14ac:dyDescent="0.25">
      <c r="M1366" s="142"/>
    </row>
    <row r="1367" spans="13:13" x14ac:dyDescent="0.25">
      <c r="M1367" s="142"/>
    </row>
    <row r="1368" spans="13:13" x14ac:dyDescent="0.25">
      <c r="M1368" s="142"/>
    </row>
    <row r="1369" spans="13:13" x14ac:dyDescent="0.25">
      <c r="M1369" s="142"/>
    </row>
    <row r="1370" spans="13:13" x14ac:dyDescent="0.25">
      <c r="M1370" s="142"/>
    </row>
    <row r="1371" spans="13:13" x14ac:dyDescent="0.25">
      <c r="M1371" s="142"/>
    </row>
    <row r="1372" spans="13:13" x14ac:dyDescent="0.25">
      <c r="M1372" s="142"/>
    </row>
    <row r="1373" spans="13:13" x14ac:dyDescent="0.25">
      <c r="M1373" s="142"/>
    </row>
    <row r="1374" spans="13:13" x14ac:dyDescent="0.25">
      <c r="M1374" s="142"/>
    </row>
    <row r="1375" spans="13:13" x14ac:dyDescent="0.25">
      <c r="M1375" s="142"/>
    </row>
    <row r="1376" spans="13:13" x14ac:dyDescent="0.25">
      <c r="M1376" s="142"/>
    </row>
    <row r="1377" spans="13:13" x14ac:dyDescent="0.25">
      <c r="M1377" s="142"/>
    </row>
    <row r="1378" spans="13:13" x14ac:dyDescent="0.25">
      <c r="M1378" s="142"/>
    </row>
    <row r="1379" spans="13:13" x14ac:dyDescent="0.25">
      <c r="M1379" s="142"/>
    </row>
    <row r="1380" spans="13:13" x14ac:dyDescent="0.25">
      <c r="M1380" s="142"/>
    </row>
    <row r="1381" spans="13:13" x14ac:dyDescent="0.25">
      <c r="M1381" s="142"/>
    </row>
    <row r="1382" spans="13:13" x14ac:dyDescent="0.25">
      <c r="M1382" s="142"/>
    </row>
    <row r="1383" spans="13:13" x14ac:dyDescent="0.25">
      <c r="M1383" s="142"/>
    </row>
    <row r="1384" spans="13:13" x14ac:dyDescent="0.25">
      <c r="M1384" s="142"/>
    </row>
    <row r="1385" spans="13:13" x14ac:dyDescent="0.25">
      <c r="M1385" s="142"/>
    </row>
    <row r="1386" spans="13:13" x14ac:dyDescent="0.25">
      <c r="M1386" s="142"/>
    </row>
    <row r="1387" spans="13:13" x14ac:dyDescent="0.25">
      <c r="M1387" s="142"/>
    </row>
    <row r="1388" spans="13:13" x14ac:dyDescent="0.25">
      <c r="M1388" s="142"/>
    </row>
    <row r="1389" spans="13:13" x14ac:dyDescent="0.25">
      <c r="M1389" s="142"/>
    </row>
    <row r="1390" spans="13:13" x14ac:dyDescent="0.25">
      <c r="M1390" s="142"/>
    </row>
    <row r="1391" spans="13:13" x14ac:dyDescent="0.25">
      <c r="M1391" s="142"/>
    </row>
    <row r="1392" spans="13:13" x14ac:dyDescent="0.25">
      <c r="M1392" s="142"/>
    </row>
    <row r="1393" spans="13:13" x14ac:dyDescent="0.25">
      <c r="M1393" s="142"/>
    </row>
    <row r="1394" spans="13:13" x14ac:dyDescent="0.25">
      <c r="M1394" s="142"/>
    </row>
    <row r="1395" spans="13:13" x14ac:dyDescent="0.25">
      <c r="M1395" s="142"/>
    </row>
    <row r="1396" spans="13:13" x14ac:dyDescent="0.25">
      <c r="M1396" s="142"/>
    </row>
    <row r="1397" spans="13:13" x14ac:dyDescent="0.25">
      <c r="M1397" s="142"/>
    </row>
    <row r="1398" spans="13:13" x14ac:dyDescent="0.25">
      <c r="M1398" s="142"/>
    </row>
    <row r="1399" spans="13:13" x14ac:dyDescent="0.25">
      <c r="M1399" s="142"/>
    </row>
    <row r="1400" spans="13:13" x14ac:dyDescent="0.25">
      <c r="M1400" s="142"/>
    </row>
    <row r="1401" spans="13:13" x14ac:dyDescent="0.25">
      <c r="M1401" s="142"/>
    </row>
    <row r="1402" spans="13:13" x14ac:dyDescent="0.25">
      <c r="M1402" s="142"/>
    </row>
    <row r="1403" spans="13:13" x14ac:dyDescent="0.25">
      <c r="M1403" s="142"/>
    </row>
    <row r="1404" spans="13:13" x14ac:dyDescent="0.25">
      <c r="M1404" s="142"/>
    </row>
    <row r="1405" spans="13:13" x14ac:dyDescent="0.25">
      <c r="M1405" s="142"/>
    </row>
    <row r="1406" spans="13:13" x14ac:dyDescent="0.25">
      <c r="M1406" s="142"/>
    </row>
    <row r="1407" spans="13:13" x14ac:dyDescent="0.25">
      <c r="M1407" s="142"/>
    </row>
    <row r="1408" spans="13:13" x14ac:dyDescent="0.25">
      <c r="M1408" s="142"/>
    </row>
    <row r="1409" spans="13:13" x14ac:dyDescent="0.25">
      <c r="M1409" s="142"/>
    </row>
    <row r="1410" spans="13:13" x14ac:dyDescent="0.25">
      <c r="M1410" s="142"/>
    </row>
    <row r="1411" spans="13:13" x14ac:dyDescent="0.25">
      <c r="M1411" s="142"/>
    </row>
    <row r="1412" spans="13:13" x14ac:dyDescent="0.25">
      <c r="M1412" s="142"/>
    </row>
    <row r="1413" spans="13:13" x14ac:dyDescent="0.25">
      <c r="M1413" s="142"/>
    </row>
    <row r="1414" spans="13:13" x14ac:dyDescent="0.25">
      <c r="M1414" s="142"/>
    </row>
    <row r="1415" spans="13:13" x14ac:dyDescent="0.25">
      <c r="M1415" s="142"/>
    </row>
    <row r="1416" spans="13:13" x14ac:dyDescent="0.25">
      <c r="M1416" s="142"/>
    </row>
    <row r="1417" spans="13:13" x14ac:dyDescent="0.25">
      <c r="M1417" s="142"/>
    </row>
    <row r="1418" spans="13:13" x14ac:dyDescent="0.25">
      <c r="M1418" s="142"/>
    </row>
    <row r="1419" spans="13:13" x14ac:dyDescent="0.25">
      <c r="M1419" s="142"/>
    </row>
    <row r="1420" spans="13:13" x14ac:dyDescent="0.25">
      <c r="M1420" s="142"/>
    </row>
    <row r="1421" spans="13:13" x14ac:dyDescent="0.25">
      <c r="M1421" s="142"/>
    </row>
    <row r="1422" spans="13:13" x14ac:dyDescent="0.25">
      <c r="M1422" s="142"/>
    </row>
    <row r="1423" spans="13:13" x14ac:dyDescent="0.25">
      <c r="M1423" s="142"/>
    </row>
    <row r="1424" spans="13:13" x14ac:dyDescent="0.25">
      <c r="M1424" s="142"/>
    </row>
    <row r="1425" spans="13:13" x14ac:dyDescent="0.25">
      <c r="M1425" s="142"/>
    </row>
    <row r="1426" spans="13:13" x14ac:dyDescent="0.25">
      <c r="M1426" s="142"/>
    </row>
    <row r="1427" spans="13:13" x14ac:dyDescent="0.25">
      <c r="M1427" s="142"/>
    </row>
    <row r="1428" spans="13:13" x14ac:dyDescent="0.25">
      <c r="M1428" s="142"/>
    </row>
    <row r="1429" spans="13:13" x14ac:dyDescent="0.25">
      <c r="M1429" s="142"/>
    </row>
    <row r="1430" spans="13:13" x14ac:dyDescent="0.25">
      <c r="M1430" s="142"/>
    </row>
    <row r="1431" spans="13:13" x14ac:dyDescent="0.25">
      <c r="M1431" s="142"/>
    </row>
    <row r="1432" spans="13:13" x14ac:dyDescent="0.25">
      <c r="M1432" s="142"/>
    </row>
    <row r="1433" spans="13:13" x14ac:dyDescent="0.25">
      <c r="M1433" s="142"/>
    </row>
    <row r="1434" spans="13:13" x14ac:dyDescent="0.25">
      <c r="M1434" s="142"/>
    </row>
    <row r="1435" spans="13:13" x14ac:dyDescent="0.25">
      <c r="M1435" s="142"/>
    </row>
    <row r="1436" spans="13:13" x14ac:dyDescent="0.25">
      <c r="M1436" s="142"/>
    </row>
    <row r="1437" spans="13:13" x14ac:dyDescent="0.25">
      <c r="M1437" s="142"/>
    </row>
    <row r="1438" spans="13:13" x14ac:dyDescent="0.25">
      <c r="M1438" s="142"/>
    </row>
    <row r="1439" spans="13:13" x14ac:dyDescent="0.25">
      <c r="M1439" s="142"/>
    </row>
    <row r="1440" spans="13:13" x14ac:dyDescent="0.25">
      <c r="M1440" s="142"/>
    </row>
    <row r="1441" spans="13:13" x14ac:dyDescent="0.25">
      <c r="M1441" s="142"/>
    </row>
    <row r="1442" spans="13:13" x14ac:dyDescent="0.25">
      <c r="M1442" s="142"/>
    </row>
    <row r="1443" spans="13:13" x14ac:dyDescent="0.25">
      <c r="M1443" s="142"/>
    </row>
    <row r="1444" spans="13:13" x14ac:dyDescent="0.25">
      <c r="M1444" s="142"/>
    </row>
    <row r="1445" spans="13:13" x14ac:dyDescent="0.25">
      <c r="M1445" s="142"/>
    </row>
    <row r="1446" spans="13:13" x14ac:dyDescent="0.25">
      <c r="M1446" s="142"/>
    </row>
    <row r="1447" spans="13:13" x14ac:dyDescent="0.25">
      <c r="M1447" s="142"/>
    </row>
    <row r="1448" spans="13:13" x14ac:dyDescent="0.25">
      <c r="M1448" s="142"/>
    </row>
    <row r="1449" spans="13:13" x14ac:dyDescent="0.25">
      <c r="M1449" s="142"/>
    </row>
    <row r="1450" spans="13:13" x14ac:dyDescent="0.25">
      <c r="M1450" s="142"/>
    </row>
    <row r="1451" spans="13:13" x14ac:dyDescent="0.25">
      <c r="M1451" s="142"/>
    </row>
    <row r="1452" spans="13:13" x14ac:dyDescent="0.25">
      <c r="M1452" s="142"/>
    </row>
    <row r="1453" spans="13:13" x14ac:dyDescent="0.25">
      <c r="M1453" s="142"/>
    </row>
    <row r="1454" spans="13:13" x14ac:dyDescent="0.25">
      <c r="M1454" s="142"/>
    </row>
    <row r="1455" spans="13:13" x14ac:dyDescent="0.25">
      <c r="M1455" s="142"/>
    </row>
    <row r="1456" spans="13:13" x14ac:dyDescent="0.25">
      <c r="M1456" s="142"/>
    </row>
    <row r="1457" spans="13:13" x14ac:dyDescent="0.25">
      <c r="M1457" s="142"/>
    </row>
    <row r="1458" spans="13:13" x14ac:dyDescent="0.25">
      <c r="M1458" s="142"/>
    </row>
    <row r="1459" spans="13:13" x14ac:dyDescent="0.25">
      <c r="M1459" s="142"/>
    </row>
    <row r="1460" spans="13:13" x14ac:dyDescent="0.25">
      <c r="M1460" s="142"/>
    </row>
    <row r="1461" spans="13:13" x14ac:dyDescent="0.25">
      <c r="M1461" s="142"/>
    </row>
    <row r="1462" spans="13:13" x14ac:dyDescent="0.25">
      <c r="M1462" s="142"/>
    </row>
    <row r="1463" spans="13:13" x14ac:dyDescent="0.25">
      <c r="M1463" s="142"/>
    </row>
    <row r="1464" spans="13:13" x14ac:dyDescent="0.25">
      <c r="M1464" s="142"/>
    </row>
    <row r="1465" spans="13:13" x14ac:dyDescent="0.25">
      <c r="M1465" s="142"/>
    </row>
    <row r="1466" spans="13:13" x14ac:dyDescent="0.25">
      <c r="M1466" s="142"/>
    </row>
    <row r="1467" spans="13:13" x14ac:dyDescent="0.25">
      <c r="M1467" s="142"/>
    </row>
    <row r="1468" spans="13:13" x14ac:dyDescent="0.25">
      <c r="M1468" s="142"/>
    </row>
    <row r="1469" spans="13:13" x14ac:dyDescent="0.25">
      <c r="M1469" s="142"/>
    </row>
    <row r="1470" spans="13:13" x14ac:dyDescent="0.25">
      <c r="M1470" s="142"/>
    </row>
    <row r="1471" spans="13:13" x14ac:dyDescent="0.25">
      <c r="M1471" s="142"/>
    </row>
    <row r="1472" spans="13:13" x14ac:dyDescent="0.25">
      <c r="M1472" s="142"/>
    </row>
    <row r="1473" spans="13:13" x14ac:dyDescent="0.25">
      <c r="M1473" s="142"/>
    </row>
    <row r="1474" spans="13:13" x14ac:dyDescent="0.25">
      <c r="M1474" s="142"/>
    </row>
    <row r="1475" spans="13:13" x14ac:dyDescent="0.25">
      <c r="M1475" s="142"/>
    </row>
    <row r="1476" spans="13:13" x14ac:dyDescent="0.25">
      <c r="M1476" s="142"/>
    </row>
    <row r="1477" spans="13:13" x14ac:dyDescent="0.25">
      <c r="M1477" s="142"/>
    </row>
    <row r="1478" spans="13:13" x14ac:dyDescent="0.25">
      <c r="M1478" s="142"/>
    </row>
    <row r="1479" spans="13:13" x14ac:dyDescent="0.25">
      <c r="M1479" s="142"/>
    </row>
    <row r="1480" spans="13:13" x14ac:dyDescent="0.25">
      <c r="M1480" s="142"/>
    </row>
    <row r="1481" spans="13:13" x14ac:dyDescent="0.25">
      <c r="M1481" s="142"/>
    </row>
    <row r="1482" spans="13:13" x14ac:dyDescent="0.25">
      <c r="M1482" s="142"/>
    </row>
    <row r="1483" spans="13:13" x14ac:dyDescent="0.25">
      <c r="M1483" s="142"/>
    </row>
    <row r="1484" spans="13:13" x14ac:dyDescent="0.25">
      <c r="M1484" s="142"/>
    </row>
    <row r="1485" spans="13:13" x14ac:dyDescent="0.25">
      <c r="M1485" s="142"/>
    </row>
    <row r="1486" spans="13:13" x14ac:dyDescent="0.25">
      <c r="M1486" s="142"/>
    </row>
    <row r="1487" spans="13:13" x14ac:dyDescent="0.25">
      <c r="M1487" s="142"/>
    </row>
    <row r="1488" spans="13:13" x14ac:dyDescent="0.25">
      <c r="M1488" s="142"/>
    </row>
    <row r="1489" spans="13:13" x14ac:dyDescent="0.25">
      <c r="M1489" s="142"/>
    </row>
    <row r="1490" spans="13:13" x14ac:dyDescent="0.25">
      <c r="M1490" s="142"/>
    </row>
    <row r="1491" spans="13:13" x14ac:dyDescent="0.25">
      <c r="M1491" s="142"/>
    </row>
    <row r="1492" spans="13:13" x14ac:dyDescent="0.25">
      <c r="M1492" s="142"/>
    </row>
    <row r="1493" spans="13:13" x14ac:dyDescent="0.25">
      <c r="M1493" s="142"/>
    </row>
    <row r="1494" spans="13:13" x14ac:dyDescent="0.25">
      <c r="M1494" s="142"/>
    </row>
    <row r="1495" spans="13:13" x14ac:dyDescent="0.25">
      <c r="M1495" s="142"/>
    </row>
    <row r="1496" spans="13:13" x14ac:dyDescent="0.25">
      <c r="M1496" s="142"/>
    </row>
    <row r="1497" spans="13:13" x14ac:dyDescent="0.25">
      <c r="M1497" s="142"/>
    </row>
    <row r="1498" spans="13:13" x14ac:dyDescent="0.25">
      <c r="M1498" s="142"/>
    </row>
    <row r="1499" spans="13:13" x14ac:dyDescent="0.25">
      <c r="M1499" s="142"/>
    </row>
    <row r="1500" spans="13:13" x14ac:dyDescent="0.25">
      <c r="M1500" s="142"/>
    </row>
    <row r="1501" spans="13:13" x14ac:dyDescent="0.25">
      <c r="M1501" s="142"/>
    </row>
    <row r="1502" spans="13:13" x14ac:dyDescent="0.25">
      <c r="M1502" s="142"/>
    </row>
    <row r="1503" spans="13:13" x14ac:dyDescent="0.25">
      <c r="M1503" s="142"/>
    </row>
    <row r="1504" spans="13:13" x14ac:dyDescent="0.25">
      <c r="M1504" s="142"/>
    </row>
    <row r="1505" spans="13:13" x14ac:dyDescent="0.25">
      <c r="M1505" s="142"/>
    </row>
    <row r="1506" spans="13:13" x14ac:dyDescent="0.25">
      <c r="M1506" s="142"/>
    </row>
    <row r="1507" spans="13:13" x14ac:dyDescent="0.25">
      <c r="M1507" s="142"/>
    </row>
    <row r="1508" spans="13:13" x14ac:dyDescent="0.25">
      <c r="M1508" s="142"/>
    </row>
    <row r="1509" spans="13:13" x14ac:dyDescent="0.25">
      <c r="M1509" s="142"/>
    </row>
    <row r="1510" spans="13:13" x14ac:dyDescent="0.25">
      <c r="M1510" s="142"/>
    </row>
    <row r="1511" spans="13:13" x14ac:dyDescent="0.25">
      <c r="M1511" s="142"/>
    </row>
    <row r="1512" spans="13:13" x14ac:dyDescent="0.25">
      <c r="M1512" s="142"/>
    </row>
    <row r="1513" spans="13:13" x14ac:dyDescent="0.25">
      <c r="M1513" s="142"/>
    </row>
    <row r="1514" spans="13:13" x14ac:dyDescent="0.25">
      <c r="M1514" s="142"/>
    </row>
    <row r="1515" spans="13:13" x14ac:dyDescent="0.25">
      <c r="M1515" s="142"/>
    </row>
    <row r="1516" spans="13:13" x14ac:dyDescent="0.25">
      <c r="M1516" s="142"/>
    </row>
    <row r="1517" spans="13:13" x14ac:dyDescent="0.25">
      <c r="M1517" s="142"/>
    </row>
    <row r="1518" spans="13:13" x14ac:dyDescent="0.25">
      <c r="M1518" s="142"/>
    </row>
    <row r="1519" spans="13:13" x14ac:dyDescent="0.25">
      <c r="M1519" s="142"/>
    </row>
    <row r="1520" spans="13:13" x14ac:dyDescent="0.25">
      <c r="M1520" s="142"/>
    </row>
    <row r="1521" spans="13:13" x14ac:dyDescent="0.25">
      <c r="M1521" s="142"/>
    </row>
    <row r="1522" spans="13:13" x14ac:dyDescent="0.25">
      <c r="M1522" s="142"/>
    </row>
    <row r="1523" spans="13:13" x14ac:dyDescent="0.25">
      <c r="M1523" s="142"/>
    </row>
    <row r="1524" spans="13:13" x14ac:dyDescent="0.25">
      <c r="M1524" s="142"/>
    </row>
    <row r="1525" spans="13:13" x14ac:dyDescent="0.25">
      <c r="M1525" s="142"/>
    </row>
    <row r="1526" spans="13:13" x14ac:dyDescent="0.25">
      <c r="M1526" s="142"/>
    </row>
    <row r="1527" spans="13:13" x14ac:dyDescent="0.25">
      <c r="M1527" s="142"/>
    </row>
    <row r="1528" spans="13:13" x14ac:dyDescent="0.25">
      <c r="M1528" s="142"/>
    </row>
    <row r="1529" spans="13:13" x14ac:dyDescent="0.25">
      <c r="M1529" s="142"/>
    </row>
    <row r="1530" spans="13:13" x14ac:dyDescent="0.25">
      <c r="M1530" s="142"/>
    </row>
    <row r="1531" spans="13:13" x14ac:dyDescent="0.25">
      <c r="M1531" s="142"/>
    </row>
    <row r="1532" spans="13:13" x14ac:dyDescent="0.25">
      <c r="M1532" s="142"/>
    </row>
    <row r="1533" spans="13:13" x14ac:dyDescent="0.25">
      <c r="M1533" s="142"/>
    </row>
    <row r="1534" spans="13:13" x14ac:dyDescent="0.25">
      <c r="M1534" s="142"/>
    </row>
    <row r="1535" spans="13:13" x14ac:dyDescent="0.25">
      <c r="M1535" s="142"/>
    </row>
    <row r="1536" spans="13:13" x14ac:dyDescent="0.25">
      <c r="M1536" s="142"/>
    </row>
    <row r="1537" spans="13:13" x14ac:dyDescent="0.25">
      <c r="M1537" s="142"/>
    </row>
    <row r="1538" spans="13:13" x14ac:dyDescent="0.25">
      <c r="M1538" s="142"/>
    </row>
    <row r="1539" spans="13:13" x14ac:dyDescent="0.25">
      <c r="M1539" s="142"/>
    </row>
    <row r="1540" spans="13:13" x14ac:dyDescent="0.25">
      <c r="M1540" s="142"/>
    </row>
    <row r="1541" spans="13:13" x14ac:dyDescent="0.25">
      <c r="M1541" s="142"/>
    </row>
    <row r="1542" spans="13:13" x14ac:dyDescent="0.25">
      <c r="M1542" s="142"/>
    </row>
    <row r="1543" spans="13:13" x14ac:dyDescent="0.25">
      <c r="M1543" s="142"/>
    </row>
    <row r="1544" spans="13:13" x14ac:dyDescent="0.25">
      <c r="M1544" s="142"/>
    </row>
    <row r="1545" spans="13:13" x14ac:dyDescent="0.25">
      <c r="M1545" s="142"/>
    </row>
    <row r="1546" spans="13:13" x14ac:dyDescent="0.25">
      <c r="M1546" s="142"/>
    </row>
    <row r="1547" spans="13:13" x14ac:dyDescent="0.25">
      <c r="M1547" s="142"/>
    </row>
    <row r="1548" spans="13:13" x14ac:dyDescent="0.25">
      <c r="M1548" s="142"/>
    </row>
    <row r="1549" spans="13:13" x14ac:dyDescent="0.25">
      <c r="M1549" s="142"/>
    </row>
    <row r="1550" spans="13:13" x14ac:dyDescent="0.25">
      <c r="M1550" s="142"/>
    </row>
    <row r="1551" spans="13:13" x14ac:dyDescent="0.25">
      <c r="M1551" s="142"/>
    </row>
    <row r="1552" spans="13:13" x14ac:dyDescent="0.25">
      <c r="M1552" s="142"/>
    </row>
    <row r="1553" spans="13:13" x14ac:dyDescent="0.25">
      <c r="M1553" s="142"/>
    </row>
    <row r="1554" spans="13:13" x14ac:dyDescent="0.25">
      <c r="M1554" s="142"/>
    </row>
    <row r="1555" spans="13:13" x14ac:dyDescent="0.25">
      <c r="M1555" s="142"/>
    </row>
    <row r="1556" spans="13:13" x14ac:dyDescent="0.25">
      <c r="M1556" s="142"/>
    </row>
    <row r="1557" spans="13:13" x14ac:dyDescent="0.25">
      <c r="M1557" s="142"/>
    </row>
    <row r="1558" spans="13:13" x14ac:dyDescent="0.25">
      <c r="M1558" s="142"/>
    </row>
    <row r="1559" spans="13:13" x14ac:dyDescent="0.25">
      <c r="M1559" s="142"/>
    </row>
    <row r="1560" spans="13:13" x14ac:dyDescent="0.25">
      <c r="M1560" s="142"/>
    </row>
    <row r="1561" spans="13:13" x14ac:dyDescent="0.25">
      <c r="M1561" s="142"/>
    </row>
    <row r="1562" spans="13:13" x14ac:dyDescent="0.25">
      <c r="M1562" s="142"/>
    </row>
    <row r="1563" spans="13:13" x14ac:dyDescent="0.25">
      <c r="M1563" s="142"/>
    </row>
    <row r="1564" spans="13:13" x14ac:dyDescent="0.25">
      <c r="M1564" s="142"/>
    </row>
    <row r="1565" spans="13:13" x14ac:dyDescent="0.25">
      <c r="M1565" s="142"/>
    </row>
    <row r="1566" spans="13:13" x14ac:dyDescent="0.25">
      <c r="M1566" s="142"/>
    </row>
    <row r="1567" spans="13:13" x14ac:dyDescent="0.25">
      <c r="M1567" s="142"/>
    </row>
    <row r="1568" spans="13:13" x14ac:dyDescent="0.25">
      <c r="M1568" s="142"/>
    </row>
    <row r="1569" spans="13:13" x14ac:dyDescent="0.25">
      <c r="M1569" s="142"/>
    </row>
    <row r="1570" spans="13:13" x14ac:dyDescent="0.25">
      <c r="M1570" s="142"/>
    </row>
    <row r="1571" spans="13:13" x14ac:dyDescent="0.25">
      <c r="M1571" s="142"/>
    </row>
    <row r="1572" spans="13:13" x14ac:dyDescent="0.25">
      <c r="M1572" s="142"/>
    </row>
    <row r="1573" spans="13:13" x14ac:dyDescent="0.25">
      <c r="M1573" s="142"/>
    </row>
    <row r="1574" spans="13:13" x14ac:dyDescent="0.25">
      <c r="M1574" s="142"/>
    </row>
    <row r="1575" spans="13:13" x14ac:dyDescent="0.25">
      <c r="M1575" s="142"/>
    </row>
    <row r="1576" spans="13:13" x14ac:dyDescent="0.25">
      <c r="M1576" s="142"/>
    </row>
    <row r="1577" spans="13:13" x14ac:dyDescent="0.25">
      <c r="M1577" s="142"/>
    </row>
    <row r="1578" spans="13:13" x14ac:dyDescent="0.25">
      <c r="M1578" s="142"/>
    </row>
    <row r="1579" spans="13:13" x14ac:dyDescent="0.25">
      <c r="M1579" s="142"/>
    </row>
    <row r="1580" spans="13:13" x14ac:dyDescent="0.25">
      <c r="M1580" s="142"/>
    </row>
    <row r="1581" spans="13:13" x14ac:dyDescent="0.25">
      <c r="M1581" s="142"/>
    </row>
    <row r="1582" spans="13:13" x14ac:dyDescent="0.25">
      <c r="M1582" s="142"/>
    </row>
    <row r="1583" spans="13:13" x14ac:dyDescent="0.25">
      <c r="M1583" s="142"/>
    </row>
    <row r="1584" spans="13:13" x14ac:dyDescent="0.25">
      <c r="M1584" s="142"/>
    </row>
    <row r="1585" spans="13:13" x14ac:dyDescent="0.25">
      <c r="M1585" s="142"/>
    </row>
    <row r="1586" spans="13:13" x14ac:dyDescent="0.25">
      <c r="M1586" s="142"/>
    </row>
    <row r="1587" spans="13:13" x14ac:dyDescent="0.25">
      <c r="M1587" s="142"/>
    </row>
    <row r="1588" spans="13:13" x14ac:dyDescent="0.25">
      <c r="M1588" s="142"/>
    </row>
    <row r="1589" spans="13:13" x14ac:dyDescent="0.25">
      <c r="M1589" s="142"/>
    </row>
    <row r="1590" spans="13:13" x14ac:dyDescent="0.25">
      <c r="M1590" s="142"/>
    </row>
    <row r="1591" spans="13:13" x14ac:dyDescent="0.25">
      <c r="M1591" s="142"/>
    </row>
    <row r="1592" spans="13:13" x14ac:dyDescent="0.25">
      <c r="M1592" s="142"/>
    </row>
    <row r="1593" spans="13:13" x14ac:dyDescent="0.25">
      <c r="M1593" s="142"/>
    </row>
    <row r="1594" spans="13:13" x14ac:dyDescent="0.25">
      <c r="M1594" s="142"/>
    </row>
    <row r="1595" spans="13:13" x14ac:dyDescent="0.25">
      <c r="M1595" s="142"/>
    </row>
    <row r="1596" spans="13:13" x14ac:dyDescent="0.25">
      <c r="M1596" s="142"/>
    </row>
    <row r="1597" spans="13:13" x14ac:dyDescent="0.25">
      <c r="M1597" s="142"/>
    </row>
    <row r="1598" spans="13:13" x14ac:dyDescent="0.25">
      <c r="M1598" s="142"/>
    </row>
    <row r="1599" spans="13:13" x14ac:dyDescent="0.25">
      <c r="M1599" s="142"/>
    </row>
    <row r="1600" spans="13:13" x14ac:dyDescent="0.25">
      <c r="M1600" s="142"/>
    </row>
    <row r="1601" spans="13:13" x14ac:dyDescent="0.25">
      <c r="M1601" s="142"/>
    </row>
    <row r="1602" spans="13:13" x14ac:dyDescent="0.25">
      <c r="M1602" s="142"/>
    </row>
    <row r="1603" spans="13:13" x14ac:dyDescent="0.25">
      <c r="M1603" s="142"/>
    </row>
    <row r="1604" spans="13:13" x14ac:dyDescent="0.25">
      <c r="M1604" s="142"/>
    </row>
    <row r="1605" spans="13:13" x14ac:dyDescent="0.25">
      <c r="M1605" s="142"/>
    </row>
    <row r="1606" spans="13:13" x14ac:dyDescent="0.25">
      <c r="M1606" s="142"/>
    </row>
    <row r="1607" spans="13:13" x14ac:dyDescent="0.25">
      <c r="M1607" s="142"/>
    </row>
    <row r="1608" spans="13:13" x14ac:dyDescent="0.25">
      <c r="M1608" s="142"/>
    </row>
    <row r="1609" spans="13:13" x14ac:dyDescent="0.25">
      <c r="M1609" s="142"/>
    </row>
    <row r="1610" spans="13:13" x14ac:dyDescent="0.25">
      <c r="M1610" s="142"/>
    </row>
    <row r="1611" spans="13:13" x14ac:dyDescent="0.25">
      <c r="M1611" s="142"/>
    </row>
    <row r="1612" spans="13:13" x14ac:dyDescent="0.25">
      <c r="M1612" s="142"/>
    </row>
    <row r="1613" spans="13:13" x14ac:dyDescent="0.25">
      <c r="M1613" s="142"/>
    </row>
    <row r="1614" spans="13:13" x14ac:dyDescent="0.25">
      <c r="M1614" s="142"/>
    </row>
    <row r="1615" spans="13:13" x14ac:dyDescent="0.25">
      <c r="M1615" s="142"/>
    </row>
    <row r="1616" spans="13:13" x14ac:dyDescent="0.25">
      <c r="M1616" s="142"/>
    </row>
    <row r="1617" spans="13:13" x14ac:dyDescent="0.25">
      <c r="M1617" s="142"/>
    </row>
    <row r="1618" spans="13:13" x14ac:dyDescent="0.25">
      <c r="M1618" s="142"/>
    </row>
    <row r="1619" spans="13:13" x14ac:dyDescent="0.25">
      <c r="M1619" s="142"/>
    </row>
    <row r="1620" spans="13:13" x14ac:dyDescent="0.25">
      <c r="M1620" s="142"/>
    </row>
    <row r="1621" spans="13:13" x14ac:dyDescent="0.25">
      <c r="M1621" s="142"/>
    </row>
    <row r="1622" spans="13:13" x14ac:dyDescent="0.25">
      <c r="M1622" s="142"/>
    </row>
    <row r="1623" spans="13:13" x14ac:dyDescent="0.25">
      <c r="M1623" s="142"/>
    </row>
    <row r="1624" spans="13:13" x14ac:dyDescent="0.25">
      <c r="M1624" s="142"/>
    </row>
    <row r="1625" spans="13:13" x14ac:dyDescent="0.25">
      <c r="M1625" s="142"/>
    </row>
    <row r="1626" spans="13:13" x14ac:dyDescent="0.25">
      <c r="M1626" s="142"/>
    </row>
    <row r="1627" spans="13:13" x14ac:dyDescent="0.25">
      <c r="M1627" s="142"/>
    </row>
    <row r="1628" spans="13:13" x14ac:dyDescent="0.25">
      <c r="M1628" s="142"/>
    </row>
    <row r="1629" spans="13:13" x14ac:dyDescent="0.25">
      <c r="M1629" s="142"/>
    </row>
    <row r="1630" spans="13:13" x14ac:dyDescent="0.25">
      <c r="M1630" s="142"/>
    </row>
    <row r="1631" spans="13:13" x14ac:dyDescent="0.25">
      <c r="M1631" s="142"/>
    </row>
    <row r="1632" spans="13:13" x14ac:dyDescent="0.25">
      <c r="M1632" s="142"/>
    </row>
    <row r="1633" spans="13:13" x14ac:dyDescent="0.25">
      <c r="M1633" s="142"/>
    </row>
    <row r="1634" spans="13:13" x14ac:dyDescent="0.25">
      <c r="M1634" s="142"/>
    </row>
    <row r="1635" spans="13:13" x14ac:dyDescent="0.25">
      <c r="M1635" s="142"/>
    </row>
    <row r="1636" spans="13:13" x14ac:dyDescent="0.25">
      <c r="M1636" s="142"/>
    </row>
    <row r="1637" spans="13:13" x14ac:dyDescent="0.25">
      <c r="M1637" s="142"/>
    </row>
    <row r="1638" spans="13:13" x14ac:dyDescent="0.25">
      <c r="M1638" s="142"/>
    </row>
    <row r="1639" spans="13:13" x14ac:dyDescent="0.25">
      <c r="M1639" s="142"/>
    </row>
    <row r="1640" spans="13:13" x14ac:dyDescent="0.25">
      <c r="M1640" s="142"/>
    </row>
    <row r="1641" spans="13:13" x14ac:dyDescent="0.25">
      <c r="M1641" s="142"/>
    </row>
    <row r="1642" spans="13:13" x14ac:dyDescent="0.25">
      <c r="M1642" s="142"/>
    </row>
    <row r="1643" spans="13:13" x14ac:dyDescent="0.25">
      <c r="M1643" s="142"/>
    </row>
    <row r="1644" spans="13:13" x14ac:dyDescent="0.25">
      <c r="M1644" s="142"/>
    </row>
    <row r="1645" spans="13:13" x14ac:dyDescent="0.25">
      <c r="M1645" s="142"/>
    </row>
    <row r="1646" spans="13:13" x14ac:dyDescent="0.25">
      <c r="M1646" s="142"/>
    </row>
    <row r="1647" spans="13:13" x14ac:dyDescent="0.25">
      <c r="M1647" s="142"/>
    </row>
    <row r="1648" spans="13:13" x14ac:dyDescent="0.25">
      <c r="M1648" s="142"/>
    </row>
    <row r="1649" spans="13:13" x14ac:dyDescent="0.25">
      <c r="M1649" s="142"/>
    </row>
    <row r="1650" spans="13:13" x14ac:dyDescent="0.25">
      <c r="M1650" s="142"/>
    </row>
    <row r="1651" spans="13:13" x14ac:dyDescent="0.25">
      <c r="M1651" s="142"/>
    </row>
    <row r="1652" spans="13:13" x14ac:dyDescent="0.25">
      <c r="M1652" s="142"/>
    </row>
    <row r="1653" spans="13:13" x14ac:dyDescent="0.25">
      <c r="M1653" s="142"/>
    </row>
    <row r="1654" spans="13:13" x14ac:dyDescent="0.25">
      <c r="M1654" s="142"/>
    </row>
    <row r="1655" spans="13:13" x14ac:dyDescent="0.25">
      <c r="M1655" s="142"/>
    </row>
    <row r="1656" spans="13:13" x14ac:dyDescent="0.25">
      <c r="M1656" s="142"/>
    </row>
    <row r="1657" spans="13:13" x14ac:dyDescent="0.25">
      <c r="M1657" s="142"/>
    </row>
    <row r="1658" spans="13:13" x14ac:dyDescent="0.25">
      <c r="M1658" s="142"/>
    </row>
    <row r="1659" spans="13:13" x14ac:dyDescent="0.25">
      <c r="M1659" s="142"/>
    </row>
    <row r="1660" spans="13:13" x14ac:dyDescent="0.25">
      <c r="M1660" s="142"/>
    </row>
    <row r="1661" spans="13:13" x14ac:dyDescent="0.25">
      <c r="M1661" s="142"/>
    </row>
    <row r="1662" spans="13:13" x14ac:dyDescent="0.25">
      <c r="M1662" s="142"/>
    </row>
    <row r="1663" spans="13:13" x14ac:dyDescent="0.25">
      <c r="M1663" s="142"/>
    </row>
    <row r="1664" spans="13:13" x14ac:dyDescent="0.25">
      <c r="M1664" s="142"/>
    </row>
    <row r="1665" spans="13:13" x14ac:dyDescent="0.25">
      <c r="M1665" s="142"/>
    </row>
    <row r="1666" spans="13:13" x14ac:dyDescent="0.25">
      <c r="M1666" s="142"/>
    </row>
    <row r="1667" spans="13:13" x14ac:dyDescent="0.25">
      <c r="M1667" s="142"/>
    </row>
    <row r="1668" spans="13:13" x14ac:dyDescent="0.25">
      <c r="M1668" s="142"/>
    </row>
    <row r="1669" spans="13:13" x14ac:dyDescent="0.25">
      <c r="M1669" s="142"/>
    </row>
    <row r="1670" spans="13:13" x14ac:dyDescent="0.25">
      <c r="M1670" s="142"/>
    </row>
    <row r="1671" spans="13:13" x14ac:dyDescent="0.25">
      <c r="M1671" s="142"/>
    </row>
    <row r="1672" spans="13:13" x14ac:dyDescent="0.25">
      <c r="M1672" s="142"/>
    </row>
    <row r="1673" spans="13:13" x14ac:dyDescent="0.25">
      <c r="M1673" s="142"/>
    </row>
    <row r="1674" spans="13:13" x14ac:dyDescent="0.25">
      <c r="M1674" s="142"/>
    </row>
    <row r="1675" spans="13:13" x14ac:dyDescent="0.25">
      <c r="M1675" s="142"/>
    </row>
    <row r="1676" spans="13:13" x14ac:dyDescent="0.25">
      <c r="M1676" s="142"/>
    </row>
    <row r="1677" spans="13:13" x14ac:dyDescent="0.25">
      <c r="M1677" s="142"/>
    </row>
    <row r="1678" spans="13:13" x14ac:dyDescent="0.25">
      <c r="M1678" s="142"/>
    </row>
    <row r="1679" spans="13:13" x14ac:dyDescent="0.25">
      <c r="M1679" s="142"/>
    </row>
    <row r="1680" spans="13:13" x14ac:dyDescent="0.25">
      <c r="M1680" s="142"/>
    </row>
    <row r="1681" spans="13:13" x14ac:dyDescent="0.25">
      <c r="M1681" s="142"/>
    </row>
    <row r="1682" spans="13:13" x14ac:dyDescent="0.25">
      <c r="M1682" s="142"/>
    </row>
    <row r="1683" spans="13:13" x14ac:dyDescent="0.25">
      <c r="M1683" s="142"/>
    </row>
    <row r="1684" spans="13:13" x14ac:dyDescent="0.25">
      <c r="M1684" s="142"/>
    </row>
    <row r="1685" spans="13:13" x14ac:dyDescent="0.25">
      <c r="M1685" s="142"/>
    </row>
    <row r="1686" spans="13:13" x14ac:dyDescent="0.25">
      <c r="M1686" s="142"/>
    </row>
    <row r="1687" spans="13:13" x14ac:dyDescent="0.25">
      <c r="M1687" s="142"/>
    </row>
    <row r="1688" spans="13:13" x14ac:dyDescent="0.25">
      <c r="M1688" s="142"/>
    </row>
    <row r="1689" spans="13:13" x14ac:dyDescent="0.25">
      <c r="M1689" s="142"/>
    </row>
    <row r="1690" spans="13:13" x14ac:dyDescent="0.25">
      <c r="M1690" s="142"/>
    </row>
    <row r="1691" spans="13:13" x14ac:dyDescent="0.25">
      <c r="M1691" s="142"/>
    </row>
    <row r="1692" spans="13:13" x14ac:dyDescent="0.25">
      <c r="M1692" s="142"/>
    </row>
    <row r="1693" spans="13:13" x14ac:dyDescent="0.25">
      <c r="M1693" s="142"/>
    </row>
    <row r="1694" spans="13:13" x14ac:dyDescent="0.25">
      <c r="M1694" s="142"/>
    </row>
    <row r="1695" spans="13:13" x14ac:dyDescent="0.25">
      <c r="M1695" s="142"/>
    </row>
    <row r="1696" spans="13:13" x14ac:dyDescent="0.25">
      <c r="M1696" s="142"/>
    </row>
    <row r="1697" spans="13:13" x14ac:dyDescent="0.25">
      <c r="M1697" s="142"/>
    </row>
    <row r="1698" spans="13:13" x14ac:dyDescent="0.25">
      <c r="M1698" s="142"/>
    </row>
    <row r="1699" spans="13:13" x14ac:dyDescent="0.25">
      <c r="M1699" s="142"/>
    </row>
    <row r="1700" spans="13:13" x14ac:dyDescent="0.25">
      <c r="M1700" s="142"/>
    </row>
    <row r="1701" spans="13:13" x14ac:dyDescent="0.25">
      <c r="M1701" s="142"/>
    </row>
    <row r="1702" spans="13:13" x14ac:dyDescent="0.25">
      <c r="M1702" s="142"/>
    </row>
    <row r="1703" spans="13:13" x14ac:dyDescent="0.25">
      <c r="M1703" s="142"/>
    </row>
    <row r="1704" spans="13:13" x14ac:dyDescent="0.25">
      <c r="M1704" s="142"/>
    </row>
    <row r="1705" spans="13:13" x14ac:dyDescent="0.25">
      <c r="M1705" s="142"/>
    </row>
    <row r="1706" spans="13:13" x14ac:dyDescent="0.25">
      <c r="M1706" s="142"/>
    </row>
    <row r="1707" spans="13:13" x14ac:dyDescent="0.25">
      <c r="M1707" s="142"/>
    </row>
    <row r="1708" spans="13:13" x14ac:dyDescent="0.25">
      <c r="M1708" s="142"/>
    </row>
    <row r="1709" spans="13:13" x14ac:dyDescent="0.25">
      <c r="M1709" s="142"/>
    </row>
    <row r="1710" spans="13:13" x14ac:dyDescent="0.25">
      <c r="M1710" s="142"/>
    </row>
    <row r="1711" spans="13:13" x14ac:dyDescent="0.25">
      <c r="M1711" s="142"/>
    </row>
    <row r="1712" spans="13:13" x14ac:dyDescent="0.25">
      <c r="M1712" s="142"/>
    </row>
    <row r="1713" spans="13:13" x14ac:dyDescent="0.25">
      <c r="M1713" s="142"/>
    </row>
    <row r="1714" spans="13:13" x14ac:dyDescent="0.25">
      <c r="M1714" s="142"/>
    </row>
    <row r="1715" spans="13:13" x14ac:dyDescent="0.25">
      <c r="M1715" s="142"/>
    </row>
    <row r="1716" spans="13:13" x14ac:dyDescent="0.25">
      <c r="M1716" s="142"/>
    </row>
    <row r="1717" spans="13:13" x14ac:dyDescent="0.25">
      <c r="M1717" s="142"/>
    </row>
    <row r="1718" spans="13:13" x14ac:dyDescent="0.25">
      <c r="M1718" s="142"/>
    </row>
    <row r="1719" spans="13:13" x14ac:dyDescent="0.25">
      <c r="M1719" s="142"/>
    </row>
    <row r="1720" spans="13:13" x14ac:dyDescent="0.25">
      <c r="M1720" s="142"/>
    </row>
    <row r="1721" spans="13:13" x14ac:dyDescent="0.25">
      <c r="M1721" s="142"/>
    </row>
    <row r="1722" spans="13:13" x14ac:dyDescent="0.25">
      <c r="M1722" s="142"/>
    </row>
    <row r="1723" spans="13:13" x14ac:dyDescent="0.25">
      <c r="M1723" s="142"/>
    </row>
    <row r="1724" spans="13:13" x14ac:dyDescent="0.25">
      <c r="M1724" s="142"/>
    </row>
    <row r="1725" spans="13:13" x14ac:dyDescent="0.25">
      <c r="M1725" s="142"/>
    </row>
    <row r="1726" spans="13:13" x14ac:dyDescent="0.25">
      <c r="M1726" s="142"/>
    </row>
    <row r="1727" spans="13:13" x14ac:dyDescent="0.25">
      <c r="M1727" s="142"/>
    </row>
    <row r="1728" spans="13:13" x14ac:dyDescent="0.25">
      <c r="M1728" s="142"/>
    </row>
    <row r="1729" spans="13:13" x14ac:dyDescent="0.25">
      <c r="M1729" s="142"/>
    </row>
    <row r="1730" spans="13:13" x14ac:dyDescent="0.25">
      <c r="M1730" s="142"/>
    </row>
    <row r="1731" spans="13:13" x14ac:dyDescent="0.25">
      <c r="M1731" s="142"/>
    </row>
    <row r="1732" spans="13:13" x14ac:dyDescent="0.25">
      <c r="M1732" s="142"/>
    </row>
    <row r="1733" spans="13:13" x14ac:dyDescent="0.25">
      <c r="M1733" s="142"/>
    </row>
    <row r="1734" spans="13:13" x14ac:dyDescent="0.25">
      <c r="M1734" s="142"/>
    </row>
    <row r="1735" spans="13:13" x14ac:dyDescent="0.25">
      <c r="M1735" s="142"/>
    </row>
    <row r="1736" spans="13:13" x14ac:dyDescent="0.25">
      <c r="M1736" s="142"/>
    </row>
    <row r="1737" spans="13:13" x14ac:dyDescent="0.25">
      <c r="M1737" s="142"/>
    </row>
    <row r="1738" spans="13:13" x14ac:dyDescent="0.25">
      <c r="M1738" s="142"/>
    </row>
    <row r="1739" spans="13:13" x14ac:dyDescent="0.25">
      <c r="M1739" s="142"/>
    </row>
    <row r="1740" spans="13:13" x14ac:dyDescent="0.25">
      <c r="M1740" s="142"/>
    </row>
    <row r="1741" spans="13:13" x14ac:dyDescent="0.25">
      <c r="M1741" s="142"/>
    </row>
    <row r="1742" spans="13:13" x14ac:dyDescent="0.25">
      <c r="M1742" s="142"/>
    </row>
    <row r="1743" spans="13:13" x14ac:dyDescent="0.25">
      <c r="M1743" s="142"/>
    </row>
    <row r="1744" spans="13:13" x14ac:dyDescent="0.25">
      <c r="M1744" s="142"/>
    </row>
    <row r="1745" spans="13:13" x14ac:dyDescent="0.25">
      <c r="M1745" s="142"/>
    </row>
    <row r="1746" spans="13:13" x14ac:dyDescent="0.25">
      <c r="M1746" s="142"/>
    </row>
    <row r="1747" spans="13:13" x14ac:dyDescent="0.25">
      <c r="M1747" s="142"/>
    </row>
    <row r="1748" spans="13:13" x14ac:dyDescent="0.25">
      <c r="M1748" s="142"/>
    </row>
    <row r="1749" spans="13:13" x14ac:dyDescent="0.25">
      <c r="M1749" s="142"/>
    </row>
    <row r="1750" spans="13:13" x14ac:dyDescent="0.25">
      <c r="M1750" s="142"/>
    </row>
    <row r="1751" spans="13:13" x14ac:dyDescent="0.25">
      <c r="M1751" s="142"/>
    </row>
    <row r="1752" spans="13:13" x14ac:dyDescent="0.25">
      <c r="M1752" s="142"/>
    </row>
    <row r="1753" spans="13:13" x14ac:dyDescent="0.25">
      <c r="M1753" s="142"/>
    </row>
    <row r="1754" spans="13:13" x14ac:dyDescent="0.25">
      <c r="M1754" s="142"/>
    </row>
    <row r="1755" spans="13:13" x14ac:dyDescent="0.25">
      <c r="M1755" s="142"/>
    </row>
    <row r="1756" spans="13:13" x14ac:dyDescent="0.25">
      <c r="M1756" s="142"/>
    </row>
    <row r="1757" spans="13:13" x14ac:dyDescent="0.25">
      <c r="M1757" s="142"/>
    </row>
    <row r="1758" spans="13:13" x14ac:dyDescent="0.25">
      <c r="M1758" s="142"/>
    </row>
  </sheetData>
  <autoFilter ref="B1:M291">
    <filterColumn colId="8">
      <filters>
        <filter val="NO"/>
      </filters>
    </filterColumn>
    <filterColumn colId="11">
      <filters>
        <dateGroupItem year="2017" month="6" dateTimeGrouping="month"/>
      </filters>
    </filterColumn>
  </autoFilter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zoomScale="90" zoomScaleNormal="90" workbookViewId="0">
      <selection activeCell="B5" sqref="B5"/>
    </sheetView>
  </sheetViews>
  <sheetFormatPr baseColWidth="10" defaultRowHeight="15" x14ac:dyDescent="0.25"/>
  <cols>
    <col min="2" max="2" width="11.42578125" style="84"/>
  </cols>
  <sheetData>
    <row r="2" spans="1:3" x14ac:dyDescent="0.25">
      <c r="A2" s="85" t="s">
        <v>32</v>
      </c>
    </row>
    <row r="4" spans="1:3" x14ac:dyDescent="0.25">
      <c r="A4">
        <v>2016</v>
      </c>
    </row>
    <row r="5" spans="1:3" x14ac:dyDescent="0.25">
      <c r="A5" t="s">
        <v>25</v>
      </c>
      <c r="B5" s="84">
        <f>+'Jul2016'!E29</f>
        <v>20069430</v>
      </c>
    </row>
    <row r="6" spans="1:3" x14ac:dyDescent="0.25">
      <c r="A6" t="s">
        <v>26</v>
      </c>
      <c r="B6" s="84">
        <f>+'Jul2016'!F29+'Sep2016'!E46</f>
        <v>25272355</v>
      </c>
    </row>
    <row r="7" spans="1:3" x14ac:dyDescent="0.25">
      <c r="A7" t="s">
        <v>27</v>
      </c>
      <c r="B7" s="84">
        <f>+'Jul2016'!G29+'Ago2016'!F42+'Sep2016'!E29</f>
        <v>63522307</v>
      </c>
    </row>
    <row r="8" spans="1:3" x14ac:dyDescent="0.25">
      <c r="A8" t="s">
        <v>17</v>
      </c>
      <c r="B8" s="84">
        <f>+'Jul2016'!H29+'Ago2016'!G42+'Sep2016'!F29+'Oct2016'!E29</f>
        <v>52550892</v>
      </c>
    </row>
    <row r="9" spans="1:3" x14ac:dyDescent="0.25">
      <c r="A9" t="s">
        <v>0</v>
      </c>
      <c r="B9" s="84">
        <f>+'Jul2016'!I29+'Ago2016'!H42+'Sep2016'!G29+'Oct2016'!F29+'Nov2016'!E30</f>
        <v>88928043</v>
      </c>
    </row>
    <row r="10" spans="1:3" x14ac:dyDescent="0.25">
      <c r="A10" t="s">
        <v>1</v>
      </c>
      <c r="B10" s="84">
        <f>+'Jul2016'!J29+'Ago2016'!I42+'Sep2016'!H29+'Oct2016'!G29+'Nov2016'!F30+'Dic2016'!E25</f>
        <v>58936953</v>
      </c>
    </row>
    <row r="12" spans="1:3" x14ac:dyDescent="0.25">
      <c r="A12">
        <v>2017</v>
      </c>
    </row>
    <row r="13" spans="1:3" x14ac:dyDescent="0.25">
      <c r="A13" t="s">
        <v>2</v>
      </c>
      <c r="B13" s="84">
        <f>+'Jul2016'!K29+'Ago2016'!J42+'Sep2016'!I29+'Oct2016'!H29+'Nov2016'!G30+'Dic2016'!F25+'Ene2017'!E29</f>
        <v>51931737</v>
      </c>
    </row>
    <row r="14" spans="1:3" x14ac:dyDescent="0.25">
      <c r="A14" t="s">
        <v>3</v>
      </c>
      <c r="B14" s="84">
        <f>+'Ago2016'!K42+'Sep2016'!J29+'Oct2016'!I29+'Nov2016'!H30+'Dic2016'!G25+'Ene2017'!F29+'Feb2017'!E30</f>
        <v>63849095</v>
      </c>
    </row>
    <row r="15" spans="1:3" x14ac:dyDescent="0.25">
      <c r="A15" t="s">
        <v>28</v>
      </c>
      <c r="B15" s="84">
        <f>+'Ago2016'!L42+'Sep2016'!K29+'Oct2016'!J29+'Nov2016'!I30+'Dic2016'!J25+'Ene2017'!G29+'Feb2017'!F30+'Mar2017'!E33</f>
        <v>83987905</v>
      </c>
      <c r="C15" s="84">
        <v>71660109</v>
      </c>
    </row>
    <row r="16" spans="1:3" x14ac:dyDescent="0.25">
      <c r="A16" t="s">
        <v>29</v>
      </c>
    </row>
    <row r="17" spans="1:1" x14ac:dyDescent="0.25">
      <c r="A17" t="s">
        <v>30</v>
      </c>
    </row>
    <row r="18" spans="1:1" x14ac:dyDescent="0.25">
      <c r="A18" t="s">
        <v>31</v>
      </c>
    </row>
    <row r="19" spans="1:1" x14ac:dyDescent="0.25">
      <c r="A19" t="s">
        <v>25</v>
      </c>
    </row>
    <row r="20" spans="1:1" x14ac:dyDescent="0.25">
      <c r="A2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6:O45"/>
  <sheetViews>
    <sheetView zoomScale="90" zoomScaleNormal="90" workbookViewId="0">
      <selection activeCell="G35" sqref="G35"/>
    </sheetView>
  </sheetViews>
  <sheetFormatPr baseColWidth="10" defaultRowHeight="12.75" x14ac:dyDescent="0.25"/>
  <cols>
    <col min="1" max="1" width="3.7109375" style="43" customWidth="1"/>
    <col min="2" max="2" width="13.7109375" style="43" customWidth="1"/>
    <col min="3" max="3" width="8.7109375" style="43" customWidth="1"/>
    <col min="4" max="4" width="12.7109375" style="43" customWidth="1"/>
    <col min="5" max="13" width="12.7109375" style="44" customWidth="1"/>
    <col min="14" max="15" width="14.7109375" style="43" customWidth="1"/>
    <col min="16" max="16384" width="11.42578125" style="43"/>
  </cols>
  <sheetData>
    <row r="6" spans="1:15" ht="13.5" thickBot="1" x14ac:dyDescent="0.3"/>
    <row r="7" spans="1:15" ht="15.75" thickBot="1" x14ac:dyDescent="0.3">
      <c r="B7" s="45">
        <v>42552</v>
      </c>
      <c r="E7" s="245" t="s">
        <v>4</v>
      </c>
      <c r="F7" s="246"/>
      <c r="G7" s="246"/>
      <c r="H7" s="246"/>
      <c r="I7" s="246"/>
      <c r="J7" s="246"/>
      <c r="K7" s="247"/>
    </row>
    <row r="8" spans="1:15" ht="15" customHeight="1" thickBot="1" x14ac:dyDescent="0.3">
      <c r="B8" s="46" t="s">
        <v>11</v>
      </c>
      <c r="C8" s="46" t="s">
        <v>12</v>
      </c>
      <c r="D8" s="46" t="s">
        <v>13</v>
      </c>
      <c r="E8" s="47" t="s">
        <v>24</v>
      </c>
      <c r="F8" s="47" t="s">
        <v>23</v>
      </c>
      <c r="G8" s="47" t="s">
        <v>22</v>
      </c>
      <c r="H8" s="47" t="s">
        <v>18</v>
      </c>
      <c r="I8" s="47" t="s">
        <v>5</v>
      </c>
      <c r="J8" s="47" t="s">
        <v>6</v>
      </c>
      <c r="K8" s="47" t="s">
        <v>7</v>
      </c>
      <c r="L8" s="48" t="s">
        <v>10</v>
      </c>
      <c r="M8" s="48" t="s">
        <v>19</v>
      </c>
      <c r="N8" s="46" t="s">
        <v>16</v>
      </c>
      <c r="O8" s="47" t="s">
        <v>15</v>
      </c>
    </row>
    <row r="9" spans="1:15" ht="18" customHeight="1" x14ac:dyDescent="0.25">
      <c r="A9" s="49">
        <v>1</v>
      </c>
      <c r="B9" s="75">
        <v>42552</v>
      </c>
      <c r="C9" s="3">
        <v>884</v>
      </c>
      <c r="D9" s="38">
        <v>5200000</v>
      </c>
      <c r="E9" s="54">
        <v>2600000</v>
      </c>
      <c r="F9" s="54">
        <v>500000</v>
      </c>
      <c r="G9" s="54"/>
      <c r="H9" s="54">
        <v>1974000</v>
      </c>
      <c r="I9" s="54"/>
      <c r="J9" s="54"/>
      <c r="K9" s="54"/>
      <c r="L9" s="56">
        <v>126000</v>
      </c>
      <c r="M9" s="56"/>
      <c r="N9" s="54">
        <f>SUM(E9:M9)</f>
        <v>5200000</v>
      </c>
      <c r="O9" s="54">
        <f t="shared" ref="O9:O28" si="0">D9-N9</f>
        <v>0</v>
      </c>
    </row>
    <row r="10" spans="1:15" ht="18" customHeight="1" x14ac:dyDescent="0.25">
      <c r="A10" s="50">
        <f t="shared" ref="A10:A23" si="1">A9+1</f>
        <v>2</v>
      </c>
      <c r="B10" s="75">
        <v>42552</v>
      </c>
      <c r="C10" s="3">
        <v>885</v>
      </c>
      <c r="D10" s="38">
        <v>1281425</v>
      </c>
      <c r="E10" s="54">
        <v>1016589</v>
      </c>
      <c r="F10" s="54"/>
      <c r="G10" s="54"/>
      <c r="H10" s="54"/>
      <c r="I10" s="54"/>
      <c r="J10" s="54">
        <v>264837</v>
      </c>
      <c r="K10" s="54"/>
      <c r="L10" s="56">
        <v>-1</v>
      </c>
      <c r="M10" s="56"/>
      <c r="N10" s="54">
        <f t="shared" ref="N10:N28" si="2">SUM(E10:M10)</f>
        <v>1281425</v>
      </c>
      <c r="O10" s="54">
        <f t="shared" si="0"/>
        <v>0</v>
      </c>
    </row>
    <row r="11" spans="1:15" ht="18" customHeight="1" x14ac:dyDescent="0.25">
      <c r="A11" s="50">
        <f t="shared" si="1"/>
        <v>3</v>
      </c>
      <c r="B11" s="75">
        <v>42552</v>
      </c>
      <c r="C11" s="3">
        <v>886</v>
      </c>
      <c r="D11" s="38">
        <v>3194767</v>
      </c>
      <c r="E11" s="54">
        <v>958250</v>
      </c>
      <c r="F11" s="54">
        <v>372752</v>
      </c>
      <c r="G11" s="54">
        <v>372752</v>
      </c>
      <c r="H11" s="54">
        <v>372752</v>
      </c>
      <c r="I11" s="54">
        <v>372752</v>
      </c>
      <c r="J11" s="54">
        <v>372752</v>
      </c>
      <c r="K11" s="54">
        <v>372752</v>
      </c>
      <c r="L11" s="56">
        <v>5</v>
      </c>
      <c r="M11" s="56"/>
      <c r="N11" s="54">
        <f t="shared" si="2"/>
        <v>3194767</v>
      </c>
      <c r="O11" s="54">
        <f t="shared" si="0"/>
        <v>0</v>
      </c>
    </row>
    <row r="12" spans="1:15" ht="18" customHeight="1" x14ac:dyDescent="0.25">
      <c r="A12" s="50">
        <f t="shared" si="1"/>
        <v>4</v>
      </c>
      <c r="B12" s="75">
        <v>42552</v>
      </c>
      <c r="C12" s="3">
        <v>887</v>
      </c>
      <c r="D12" s="38">
        <v>2384122</v>
      </c>
      <c r="E12" s="54">
        <v>715000</v>
      </c>
      <c r="F12" s="54"/>
      <c r="G12" s="54">
        <v>1668885</v>
      </c>
      <c r="H12" s="54"/>
      <c r="I12" s="54"/>
      <c r="J12" s="54"/>
      <c r="K12" s="54"/>
      <c r="L12" s="56">
        <v>237</v>
      </c>
      <c r="M12" s="56"/>
      <c r="N12" s="54">
        <f t="shared" si="2"/>
        <v>2384122</v>
      </c>
      <c r="O12" s="54">
        <f t="shared" si="0"/>
        <v>0</v>
      </c>
    </row>
    <row r="13" spans="1:15" ht="18" customHeight="1" x14ac:dyDescent="0.25">
      <c r="A13" s="50">
        <f t="shared" si="1"/>
        <v>5</v>
      </c>
      <c r="B13" s="75">
        <v>42552</v>
      </c>
      <c r="C13" s="3">
        <v>888</v>
      </c>
      <c r="D13" s="38">
        <v>5503676</v>
      </c>
      <c r="E13" s="54">
        <v>3000000</v>
      </c>
      <c r="F13" s="54"/>
      <c r="G13" s="54"/>
      <c r="H13" s="54"/>
      <c r="I13" s="54">
        <v>2253677</v>
      </c>
      <c r="J13" s="54"/>
      <c r="K13" s="54"/>
      <c r="L13" s="56">
        <v>249999</v>
      </c>
      <c r="M13" s="56"/>
      <c r="N13" s="54">
        <f t="shared" si="2"/>
        <v>5503676</v>
      </c>
      <c r="O13" s="54">
        <f t="shared" si="0"/>
        <v>0</v>
      </c>
    </row>
    <row r="14" spans="1:15" ht="18" customHeight="1" x14ac:dyDescent="0.25">
      <c r="A14" s="50">
        <f t="shared" si="1"/>
        <v>6</v>
      </c>
      <c r="B14" s="75">
        <v>42552</v>
      </c>
      <c r="C14" s="3">
        <v>889</v>
      </c>
      <c r="D14" s="38">
        <v>4720803</v>
      </c>
      <c r="E14" s="54">
        <v>4720803</v>
      </c>
      <c r="F14" s="54"/>
      <c r="G14" s="54"/>
      <c r="H14" s="54"/>
      <c r="I14" s="54"/>
      <c r="J14" s="54"/>
      <c r="K14" s="54"/>
      <c r="L14" s="56"/>
      <c r="M14" s="56"/>
      <c r="N14" s="54">
        <f t="shared" si="2"/>
        <v>4720803</v>
      </c>
      <c r="O14" s="54">
        <f t="shared" si="0"/>
        <v>0</v>
      </c>
    </row>
    <row r="15" spans="1:15" ht="18" customHeight="1" x14ac:dyDescent="0.25">
      <c r="A15" s="50">
        <f t="shared" si="1"/>
        <v>7</v>
      </c>
      <c r="B15" s="75">
        <v>42552</v>
      </c>
      <c r="C15" s="3">
        <v>890</v>
      </c>
      <c r="D15" s="38">
        <v>5560367</v>
      </c>
      <c r="E15" s="54">
        <v>2800000</v>
      </c>
      <c r="F15" s="54"/>
      <c r="G15" s="54"/>
      <c r="H15" s="54"/>
      <c r="I15" s="54">
        <v>2760637</v>
      </c>
      <c r="J15" s="54"/>
      <c r="K15" s="54"/>
      <c r="L15" s="56">
        <v>-270</v>
      </c>
      <c r="M15" s="56"/>
      <c r="N15" s="54">
        <f t="shared" si="2"/>
        <v>5560367</v>
      </c>
      <c r="O15" s="54">
        <f t="shared" si="0"/>
        <v>0</v>
      </c>
    </row>
    <row r="16" spans="1:15" ht="18" customHeight="1" x14ac:dyDescent="0.25">
      <c r="A16" s="50">
        <f t="shared" si="1"/>
        <v>8</v>
      </c>
      <c r="B16" s="75">
        <v>42552</v>
      </c>
      <c r="C16" s="3">
        <v>891</v>
      </c>
      <c r="D16" s="38">
        <v>1967789</v>
      </c>
      <c r="E16" s="54">
        <v>590337</v>
      </c>
      <c r="F16" s="54">
        <v>344363</v>
      </c>
      <c r="G16" s="54">
        <v>344363</v>
      </c>
      <c r="H16" s="54">
        <v>344363</v>
      </c>
      <c r="I16" s="54">
        <v>344363</v>
      </c>
      <c r="J16" s="54"/>
      <c r="K16" s="54"/>
      <c r="L16" s="83"/>
      <c r="M16" s="83"/>
      <c r="N16" s="54">
        <f t="shared" si="2"/>
        <v>1967789</v>
      </c>
      <c r="O16" s="54">
        <f t="shared" si="0"/>
        <v>0</v>
      </c>
    </row>
    <row r="17" spans="1:15" ht="18" customHeight="1" x14ac:dyDescent="0.25">
      <c r="A17" s="50">
        <f t="shared" si="1"/>
        <v>9</v>
      </c>
      <c r="B17" s="75">
        <v>42552</v>
      </c>
      <c r="C17" s="3">
        <v>892</v>
      </c>
      <c r="D17" s="38">
        <v>2220035</v>
      </c>
      <c r="E17" s="54"/>
      <c r="F17" s="54">
        <v>2220035</v>
      </c>
      <c r="G17" s="54"/>
      <c r="H17" s="54"/>
      <c r="I17" s="54"/>
      <c r="J17" s="54"/>
      <c r="K17" s="54"/>
      <c r="L17" s="56"/>
      <c r="M17" s="56"/>
      <c r="N17" s="54">
        <f t="shared" si="2"/>
        <v>2220035</v>
      </c>
      <c r="O17" s="54">
        <f t="shared" si="0"/>
        <v>0</v>
      </c>
    </row>
    <row r="18" spans="1:15" ht="18" customHeight="1" x14ac:dyDescent="0.25">
      <c r="A18" s="50">
        <f t="shared" si="1"/>
        <v>10</v>
      </c>
      <c r="B18" s="75">
        <v>42552</v>
      </c>
      <c r="C18" s="3">
        <v>893</v>
      </c>
      <c r="D18" s="38">
        <v>2494427</v>
      </c>
      <c r="E18" s="54"/>
      <c r="F18" s="54">
        <v>2494427</v>
      </c>
      <c r="G18" s="54"/>
      <c r="H18" s="54"/>
      <c r="I18" s="54"/>
      <c r="J18" s="54"/>
      <c r="K18" s="54"/>
      <c r="L18" s="56"/>
      <c r="M18" s="56"/>
      <c r="N18" s="54">
        <f t="shared" si="2"/>
        <v>2494427</v>
      </c>
      <c r="O18" s="54">
        <f t="shared" si="0"/>
        <v>0</v>
      </c>
    </row>
    <row r="19" spans="1:15" ht="18" customHeight="1" x14ac:dyDescent="0.25">
      <c r="A19" s="50">
        <f t="shared" si="1"/>
        <v>11</v>
      </c>
      <c r="B19" s="75">
        <v>42552</v>
      </c>
      <c r="C19" s="3">
        <v>894</v>
      </c>
      <c r="D19" s="38">
        <v>2637966</v>
      </c>
      <c r="E19" s="54"/>
      <c r="F19" s="54">
        <v>2220035</v>
      </c>
      <c r="G19" s="54"/>
      <c r="H19" s="54"/>
      <c r="I19" s="54"/>
      <c r="J19" s="54"/>
      <c r="K19" s="54"/>
      <c r="L19" s="56"/>
      <c r="M19" s="56">
        <v>417931</v>
      </c>
      <c r="N19" s="54">
        <f t="shared" si="2"/>
        <v>2637966</v>
      </c>
      <c r="O19" s="54">
        <f t="shared" si="0"/>
        <v>0</v>
      </c>
    </row>
    <row r="20" spans="1:15" ht="18" customHeight="1" x14ac:dyDescent="0.25">
      <c r="A20" s="50">
        <f t="shared" si="1"/>
        <v>12</v>
      </c>
      <c r="B20" s="75">
        <v>42552</v>
      </c>
      <c r="C20" s="3">
        <v>895</v>
      </c>
      <c r="D20" s="38">
        <v>3470000</v>
      </c>
      <c r="E20" s="54">
        <v>1156666</v>
      </c>
      <c r="F20" s="54">
        <v>1156666</v>
      </c>
      <c r="G20" s="54">
        <v>1156668</v>
      </c>
      <c r="H20" s="54"/>
      <c r="I20" s="54"/>
      <c r="J20" s="54"/>
      <c r="K20" s="54"/>
      <c r="L20" s="56"/>
      <c r="M20" s="56"/>
      <c r="N20" s="54">
        <f t="shared" si="2"/>
        <v>3470000</v>
      </c>
      <c r="O20" s="54">
        <f t="shared" si="0"/>
        <v>0</v>
      </c>
    </row>
    <row r="21" spans="1:15" ht="18" customHeight="1" x14ac:dyDescent="0.25">
      <c r="A21" s="50">
        <f t="shared" si="1"/>
        <v>13</v>
      </c>
      <c r="B21" s="75">
        <v>42552</v>
      </c>
      <c r="C21" s="3">
        <v>896</v>
      </c>
      <c r="D21" s="38">
        <v>3021000</v>
      </c>
      <c r="E21" s="80">
        <v>1511785</v>
      </c>
      <c r="F21" s="80"/>
      <c r="G21" s="54">
        <v>1511785</v>
      </c>
      <c r="H21" s="54"/>
      <c r="I21" s="54"/>
      <c r="J21" s="54"/>
      <c r="K21" s="54"/>
      <c r="L21" s="56">
        <v>-2570</v>
      </c>
      <c r="M21" s="56"/>
      <c r="N21" s="54">
        <f t="shared" si="2"/>
        <v>3021000</v>
      </c>
      <c r="O21" s="54">
        <f t="shared" si="0"/>
        <v>0</v>
      </c>
    </row>
    <row r="22" spans="1:15" ht="18" customHeight="1" x14ac:dyDescent="0.25">
      <c r="A22" s="50">
        <f t="shared" si="1"/>
        <v>14</v>
      </c>
      <c r="B22" s="75">
        <v>42552</v>
      </c>
      <c r="C22" s="3">
        <v>897</v>
      </c>
      <c r="D22" s="38">
        <v>2734818</v>
      </c>
      <c r="E22" s="54"/>
      <c r="F22" s="54">
        <v>2734818</v>
      </c>
      <c r="G22" s="54"/>
      <c r="H22" s="54"/>
      <c r="I22" s="54"/>
      <c r="J22" s="54"/>
      <c r="K22" s="54"/>
      <c r="L22" s="56"/>
      <c r="M22" s="56"/>
      <c r="N22" s="54">
        <f t="shared" si="2"/>
        <v>2734818</v>
      </c>
      <c r="O22" s="54">
        <f t="shared" si="0"/>
        <v>0</v>
      </c>
    </row>
    <row r="23" spans="1:15" ht="18" customHeight="1" x14ac:dyDescent="0.25">
      <c r="A23" s="50">
        <f t="shared" si="1"/>
        <v>15</v>
      </c>
      <c r="B23" s="75">
        <v>42552</v>
      </c>
      <c r="C23" s="3">
        <v>898</v>
      </c>
      <c r="D23" s="38">
        <v>9812837</v>
      </c>
      <c r="E23" s="54"/>
      <c r="F23" s="54">
        <v>2943821</v>
      </c>
      <c r="G23" s="54">
        <v>3434493</v>
      </c>
      <c r="H23" s="54">
        <v>3434493</v>
      </c>
      <c r="I23" s="54"/>
      <c r="J23" s="54"/>
      <c r="K23" s="54"/>
      <c r="L23" s="56">
        <v>30</v>
      </c>
      <c r="M23" s="56"/>
      <c r="N23" s="54">
        <f t="shared" si="2"/>
        <v>9812837</v>
      </c>
      <c r="O23" s="54">
        <f t="shared" si="0"/>
        <v>0</v>
      </c>
    </row>
    <row r="24" spans="1:15" ht="18" customHeight="1" x14ac:dyDescent="0.25">
      <c r="A24" s="50">
        <f>A23+1</f>
        <v>16</v>
      </c>
      <c r="B24" s="75">
        <v>42552</v>
      </c>
      <c r="C24" s="3">
        <v>899</v>
      </c>
      <c r="D24" s="38">
        <v>3902839</v>
      </c>
      <c r="E24" s="54">
        <v>1000000</v>
      </c>
      <c r="F24" s="54">
        <v>725000</v>
      </c>
      <c r="G24" s="54">
        <v>725000</v>
      </c>
      <c r="H24" s="54">
        <v>725000</v>
      </c>
      <c r="I24" s="54">
        <v>725000</v>
      </c>
      <c r="J24" s="54"/>
      <c r="K24" s="54"/>
      <c r="L24" s="56">
        <v>2839</v>
      </c>
      <c r="M24" s="56"/>
      <c r="N24" s="54">
        <f t="shared" si="2"/>
        <v>3902839</v>
      </c>
      <c r="O24" s="54">
        <f t="shared" si="0"/>
        <v>0</v>
      </c>
    </row>
    <row r="25" spans="1:15" ht="18" customHeight="1" x14ac:dyDescent="0.25">
      <c r="A25" s="50">
        <f>A24+1</f>
        <v>17</v>
      </c>
      <c r="B25" s="75">
        <v>42552</v>
      </c>
      <c r="C25" s="3">
        <v>900</v>
      </c>
      <c r="D25" s="38">
        <v>3807424</v>
      </c>
      <c r="E25" s="54"/>
      <c r="F25" s="54">
        <v>1893771</v>
      </c>
      <c r="G25" s="54"/>
      <c r="H25" s="54">
        <v>1913653</v>
      </c>
      <c r="I25" s="54"/>
      <c r="J25" s="54"/>
      <c r="K25" s="54"/>
      <c r="L25" s="56"/>
      <c r="M25" s="56"/>
      <c r="N25" s="54">
        <f t="shared" si="2"/>
        <v>3807424</v>
      </c>
      <c r="O25" s="54">
        <f t="shared" si="0"/>
        <v>0</v>
      </c>
    </row>
    <row r="26" spans="1:15" ht="18" customHeight="1" x14ac:dyDescent="0.25">
      <c r="A26" s="50">
        <f>A25+1</f>
        <v>18</v>
      </c>
      <c r="B26" s="75">
        <v>42552</v>
      </c>
      <c r="C26" s="3">
        <v>901</v>
      </c>
      <c r="D26" s="38">
        <v>4150000</v>
      </c>
      <c r="E26" s="54"/>
      <c r="F26" s="54">
        <v>2766667</v>
      </c>
      <c r="G26" s="54">
        <v>691667</v>
      </c>
      <c r="H26" s="54"/>
      <c r="I26" s="54">
        <v>691666</v>
      </c>
      <c r="J26" s="54"/>
      <c r="K26" s="54"/>
      <c r="L26" s="56"/>
      <c r="M26" s="56"/>
      <c r="N26" s="54">
        <f t="shared" si="2"/>
        <v>4150000</v>
      </c>
      <c r="O26" s="54">
        <f t="shared" si="0"/>
        <v>0</v>
      </c>
    </row>
    <row r="27" spans="1:15" ht="18" customHeight="1" x14ac:dyDescent="0.25">
      <c r="A27" s="50">
        <f>A26+1</f>
        <v>19</v>
      </c>
      <c r="B27" s="75">
        <v>42552</v>
      </c>
      <c r="C27" s="3">
        <v>902</v>
      </c>
      <c r="D27" s="38">
        <v>4900000</v>
      </c>
      <c r="E27" s="54"/>
      <c r="F27" s="54">
        <v>4900000</v>
      </c>
      <c r="G27" s="54"/>
      <c r="H27" s="54"/>
      <c r="I27" s="54"/>
      <c r="J27" s="54"/>
      <c r="K27" s="54"/>
      <c r="L27" s="56"/>
      <c r="M27" s="56"/>
      <c r="N27" s="54">
        <f t="shared" si="2"/>
        <v>4900000</v>
      </c>
      <c r="O27" s="54">
        <f t="shared" si="0"/>
        <v>0</v>
      </c>
    </row>
    <row r="28" spans="1:15" ht="18" customHeight="1" thickBot="1" x14ac:dyDescent="0.3">
      <c r="A28" s="51">
        <f>A27+1</f>
        <v>20</v>
      </c>
      <c r="B28" s="75">
        <v>42552</v>
      </c>
      <c r="C28" s="3">
        <v>903</v>
      </c>
      <c r="D28" s="38">
        <v>2000384</v>
      </c>
      <c r="E28" s="54"/>
      <c r="F28" s="54"/>
      <c r="G28" s="54"/>
      <c r="H28" s="54"/>
      <c r="I28" s="54">
        <v>1557442</v>
      </c>
      <c r="J28" s="54"/>
      <c r="K28" s="54"/>
      <c r="L28" s="56"/>
      <c r="M28" s="56">
        <v>442942</v>
      </c>
      <c r="N28" s="54">
        <f t="shared" si="2"/>
        <v>2000384</v>
      </c>
      <c r="O28" s="54">
        <f t="shared" si="0"/>
        <v>0</v>
      </c>
    </row>
    <row r="29" spans="1:15" ht="20.100000000000001" customHeight="1" thickBot="1" x14ac:dyDescent="0.3">
      <c r="B29" s="248" t="s">
        <v>14</v>
      </c>
      <c r="C29" s="249"/>
      <c r="D29" s="57">
        <f t="shared" ref="D29:M29" si="3">SUM(D9:D28)</f>
        <v>74964679</v>
      </c>
      <c r="E29" s="57">
        <f t="shared" si="3"/>
        <v>20069430</v>
      </c>
      <c r="F29" s="57">
        <f t="shared" si="3"/>
        <v>25272355</v>
      </c>
      <c r="G29" s="57">
        <f t="shared" si="3"/>
        <v>9905613</v>
      </c>
      <c r="H29" s="57">
        <f t="shared" si="3"/>
        <v>8764261</v>
      </c>
      <c r="I29" s="57">
        <f t="shared" si="3"/>
        <v>8705537</v>
      </c>
      <c r="J29" s="57">
        <f t="shared" si="3"/>
        <v>637589</v>
      </c>
      <c r="K29" s="57">
        <f t="shared" si="3"/>
        <v>372752</v>
      </c>
      <c r="L29" s="58">
        <f t="shared" si="3"/>
        <v>376269</v>
      </c>
      <c r="M29" s="58">
        <f t="shared" si="3"/>
        <v>860873</v>
      </c>
      <c r="N29" s="57">
        <f>SUM(N9:N28)-L29-M29</f>
        <v>73727537</v>
      </c>
      <c r="O29" s="59">
        <f>SUM(O9:O28)</f>
        <v>0</v>
      </c>
    </row>
    <row r="31" spans="1:15" x14ac:dyDescent="0.25">
      <c r="E31" s="43"/>
      <c r="F31" s="43"/>
      <c r="G31" s="43"/>
      <c r="H31" s="43"/>
      <c r="I31" s="43"/>
      <c r="J31" s="43"/>
    </row>
    <row r="34" spans="4:15" x14ac:dyDescent="0.25">
      <c r="E34" s="43"/>
    </row>
    <row r="35" spans="4:15" x14ac:dyDescent="0.25">
      <c r="E35" s="43"/>
      <c r="F35" s="43"/>
      <c r="G35" s="43"/>
      <c r="H35" s="43"/>
      <c r="I35" s="43"/>
      <c r="J35" s="43"/>
      <c r="L35" s="52"/>
      <c r="M35" s="52"/>
      <c r="N35" s="44"/>
    </row>
    <row r="36" spans="4:15" x14ac:dyDescent="0.25">
      <c r="E36" s="43"/>
      <c r="F36" s="43"/>
      <c r="G36" s="43"/>
      <c r="H36" s="43"/>
      <c r="I36" s="43"/>
      <c r="J36" s="43"/>
      <c r="L36" s="52"/>
      <c r="M36" s="52"/>
      <c r="N36" s="44"/>
    </row>
    <row r="37" spans="4:15" x14ac:dyDescent="0.25">
      <c r="L37" s="52"/>
      <c r="M37" s="52"/>
      <c r="N37" s="44"/>
      <c r="O37" s="44"/>
    </row>
    <row r="38" spans="4:15" x14ac:dyDescent="0.25">
      <c r="L38" s="52"/>
      <c r="M38" s="52"/>
      <c r="N38" s="44"/>
      <c r="O38" s="44"/>
    </row>
    <row r="39" spans="4:15" x14ac:dyDescent="0.25">
      <c r="L39" s="52"/>
      <c r="M39" s="52"/>
      <c r="N39" s="44"/>
      <c r="O39" s="44"/>
    </row>
    <row r="40" spans="4:15" x14ac:dyDescent="0.25">
      <c r="L40" s="52"/>
      <c r="M40" s="52"/>
      <c r="N40" s="44"/>
      <c r="O40" s="44"/>
    </row>
    <row r="41" spans="4:15" x14ac:dyDescent="0.25">
      <c r="L41" s="52"/>
      <c r="M41" s="52"/>
      <c r="N41" s="44"/>
    </row>
    <row r="42" spans="4:15" x14ac:dyDescent="0.25">
      <c r="D42" s="44"/>
      <c r="L42" s="52"/>
      <c r="M42" s="52"/>
      <c r="N42" s="44"/>
      <c r="O42" s="44"/>
    </row>
    <row r="43" spans="4:15" x14ac:dyDescent="0.25">
      <c r="E43" s="43"/>
    </row>
    <row r="44" spans="4:15" ht="13.5" thickBot="1" x14ac:dyDescent="0.3">
      <c r="E44" s="43"/>
      <c r="N44" s="44"/>
      <c r="O44" s="44"/>
    </row>
    <row r="45" spans="4:15" ht="13.5" thickBot="1" x14ac:dyDescent="0.3">
      <c r="O45" s="53"/>
    </row>
  </sheetData>
  <mergeCells count="2">
    <mergeCell ref="E7:K7"/>
    <mergeCell ref="B29:C2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58"/>
  <sheetViews>
    <sheetView topLeftCell="A8" zoomScale="90" zoomScaleNormal="90" workbookViewId="0">
      <selection activeCell="F33" sqref="F33"/>
    </sheetView>
  </sheetViews>
  <sheetFormatPr baseColWidth="10" defaultRowHeight="12.75" x14ac:dyDescent="0.25"/>
  <cols>
    <col min="1" max="1" width="3.7109375" style="43" customWidth="1"/>
    <col min="2" max="2" width="13.7109375" style="43" customWidth="1"/>
    <col min="3" max="3" width="8.7109375" style="43" customWidth="1"/>
    <col min="4" max="4" width="12.7109375" style="43" customWidth="1"/>
    <col min="5" max="14" width="12.7109375" style="44" customWidth="1"/>
    <col min="15" max="16" width="14.7109375" style="43" customWidth="1"/>
    <col min="17" max="18" width="11.42578125" style="43"/>
    <col min="19" max="19" width="24.7109375" style="43" bestFit="1" customWidth="1"/>
    <col min="20" max="16384" width="11.42578125" style="43"/>
  </cols>
  <sheetData>
    <row r="7" spans="1:19" ht="15.75" thickBot="1" x14ac:dyDescent="0.3">
      <c r="B7" s="45">
        <v>42583</v>
      </c>
      <c r="E7" s="250" t="s">
        <v>4</v>
      </c>
      <c r="F7" s="251"/>
      <c r="G7" s="251"/>
      <c r="H7" s="251"/>
      <c r="I7" s="251"/>
      <c r="J7" s="251"/>
      <c r="K7" s="251"/>
      <c r="L7" s="252"/>
    </row>
    <row r="8" spans="1:19" ht="15" customHeight="1" thickBot="1" x14ac:dyDescent="0.3">
      <c r="B8" s="46" t="s">
        <v>11</v>
      </c>
      <c r="C8" s="46" t="s">
        <v>12</v>
      </c>
      <c r="D8" s="46" t="s">
        <v>13</v>
      </c>
      <c r="E8" s="47" t="s">
        <v>23</v>
      </c>
      <c r="F8" s="47" t="s">
        <v>22</v>
      </c>
      <c r="G8" s="47" t="s">
        <v>18</v>
      </c>
      <c r="H8" s="47" t="s">
        <v>5</v>
      </c>
      <c r="I8" s="47" t="s">
        <v>6</v>
      </c>
      <c r="J8" s="47" t="s">
        <v>7</v>
      </c>
      <c r="K8" s="47" t="s">
        <v>8</v>
      </c>
      <c r="L8" s="47" t="s">
        <v>9</v>
      </c>
      <c r="M8" s="48" t="s">
        <v>10</v>
      </c>
      <c r="N8" s="48" t="s">
        <v>19</v>
      </c>
      <c r="O8" s="46" t="s">
        <v>16</v>
      </c>
      <c r="P8" s="47" t="s">
        <v>15</v>
      </c>
    </row>
    <row r="9" spans="1:19" ht="18" customHeight="1" x14ac:dyDescent="0.25">
      <c r="A9" s="49">
        <v>1</v>
      </c>
      <c r="B9" s="75">
        <v>42583</v>
      </c>
      <c r="C9" s="3">
        <v>904</v>
      </c>
      <c r="D9" s="40">
        <v>1932291</v>
      </c>
      <c r="E9" s="54">
        <v>579687</v>
      </c>
      <c r="F9" s="54">
        <v>338151</v>
      </c>
      <c r="G9" s="54">
        <v>338151</v>
      </c>
      <c r="H9" s="54">
        <v>338151</v>
      </c>
      <c r="I9" s="54"/>
      <c r="J9" s="54"/>
      <c r="K9" s="54"/>
      <c r="L9" s="54"/>
      <c r="M9" s="56">
        <v>338151</v>
      </c>
      <c r="N9" s="56"/>
      <c r="O9" s="54">
        <f>SUM(E9:N9)</f>
        <v>1932291</v>
      </c>
      <c r="P9" s="54">
        <f t="shared" ref="P9:P24" si="0">D9-O9</f>
        <v>0</v>
      </c>
    </row>
    <row r="10" spans="1:19" ht="18" customHeight="1" x14ac:dyDescent="0.25">
      <c r="A10" s="50">
        <f t="shared" ref="A10:A41" si="1">A9+1</f>
        <v>2</v>
      </c>
      <c r="B10" s="75">
        <v>42583</v>
      </c>
      <c r="C10" s="3">
        <v>905</v>
      </c>
      <c r="D10" s="38">
        <v>2478895</v>
      </c>
      <c r="E10" s="54">
        <v>1000000</v>
      </c>
      <c r="F10" s="54">
        <v>369723</v>
      </c>
      <c r="G10" s="54">
        <v>369723</v>
      </c>
      <c r="H10" s="54">
        <v>369723</v>
      </c>
      <c r="I10" s="54">
        <v>369726</v>
      </c>
      <c r="J10" s="54"/>
      <c r="K10" s="54"/>
      <c r="L10" s="54"/>
      <c r="M10" s="56"/>
      <c r="N10" s="56"/>
      <c r="O10" s="54">
        <f t="shared" ref="O10:O41" si="2">SUM(E10:N10)</f>
        <v>2478895</v>
      </c>
      <c r="P10" s="54">
        <f t="shared" si="0"/>
        <v>0</v>
      </c>
    </row>
    <row r="11" spans="1:19" ht="18" customHeight="1" x14ac:dyDescent="0.25">
      <c r="A11" s="50">
        <f t="shared" si="1"/>
        <v>3</v>
      </c>
      <c r="B11" s="75">
        <v>42583</v>
      </c>
      <c r="C11" s="3">
        <v>906</v>
      </c>
      <c r="D11" s="38">
        <v>3180299</v>
      </c>
      <c r="E11" s="54">
        <v>1610000</v>
      </c>
      <c r="F11" s="54">
        <v>523433</v>
      </c>
      <c r="G11" s="54">
        <v>523433</v>
      </c>
      <c r="H11" s="54">
        <v>523433</v>
      </c>
      <c r="I11" s="54"/>
      <c r="J11" s="54"/>
      <c r="K11" s="54"/>
      <c r="L11" s="54"/>
      <c r="M11" s="56"/>
      <c r="N11" s="56"/>
      <c r="O11" s="54">
        <f t="shared" si="2"/>
        <v>3180299</v>
      </c>
      <c r="P11" s="54">
        <f t="shared" si="0"/>
        <v>0</v>
      </c>
    </row>
    <row r="12" spans="1:19" ht="18" customHeight="1" x14ac:dyDescent="0.25">
      <c r="A12" s="50">
        <f t="shared" si="1"/>
        <v>4</v>
      </c>
      <c r="B12" s="75">
        <v>42583</v>
      </c>
      <c r="C12" s="3">
        <v>907</v>
      </c>
      <c r="D12" s="38">
        <v>3942519</v>
      </c>
      <c r="E12" s="54">
        <v>470000</v>
      </c>
      <c r="F12" s="54">
        <v>470000</v>
      </c>
      <c r="G12" s="54">
        <v>470000</v>
      </c>
      <c r="H12" s="54">
        <v>470000</v>
      </c>
      <c r="I12" s="54">
        <v>470000</v>
      </c>
      <c r="J12" s="54">
        <v>470000</v>
      </c>
      <c r="K12" s="54">
        <f>470000+478931</f>
        <v>948931</v>
      </c>
      <c r="L12" s="54"/>
      <c r="M12" s="56"/>
      <c r="N12" s="56"/>
      <c r="O12" s="54">
        <f t="shared" si="2"/>
        <v>3768931</v>
      </c>
      <c r="P12" s="54">
        <f t="shared" si="0"/>
        <v>173588</v>
      </c>
    </row>
    <row r="13" spans="1:19" ht="18" customHeight="1" x14ac:dyDescent="0.25">
      <c r="A13" s="50">
        <f t="shared" si="1"/>
        <v>5</v>
      </c>
      <c r="B13" s="75">
        <v>42583</v>
      </c>
      <c r="C13" s="3">
        <v>908</v>
      </c>
      <c r="D13" s="38">
        <v>833000</v>
      </c>
      <c r="E13" s="54"/>
      <c r="F13" s="54"/>
      <c r="G13" s="54"/>
      <c r="H13" s="54"/>
      <c r="I13" s="54"/>
      <c r="J13" s="54"/>
      <c r="K13" s="54"/>
      <c r="L13" s="54">
        <v>833000</v>
      </c>
      <c r="M13" s="56"/>
      <c r="N13" s="56"/>
      <c r="O13" s="54">
        <f t="shared" si="2"/>
        <v>833000</v>
      </c>
      <c r="P13" s="54">
        <f t="shared" si="0"/>
        <v>0</v>
      </c>
      <c r="Q13" s="43" t="s">
        <v>44</v>
      </c>
    </row>
    <row r="14" spans="1:19" ht="18" customHeight="1" x14ac:dyDescent="0.25">
      <c r="A14" s="50">
        <f t="shared" si="1"/>
        <v>6</v>
      </c>
      <c r="B14" s="75">
        <v>42583</v>
      </c>
      <c r="C14" s="3">
        <v>909</v>
      </c>
      <c r="D14" s="38">
        <v>3079455</v>
      </c>
      <c r="E14" s="54">
        <v>1539728</v>
      </c>
      <c r="F14" s="54">
        <v>1539728</v>
      </c>
      <c r="G14" s="54"/>
      <c r="H14" s="54"/>
      <c r="I14" s="54"/>
      <c r="J14" s="54"/>
      <c r="K14" s="54"/>
      <c r="L14" s="54"/>
      <c r="M14" s="56">
        <v>-1</v>
      </c>
      <c r="N14" s="56"/>
      <c r="O14" s="54">
        <f t="shared" si="2"/>
        <v>3079455</v>
      </c>
      <c r="P14" s="54">
        <f t="shared" si="0"/>
        <v>0</v>
      </c>
    </row>
    <row r="15" spans="1:19" ht="18" customHeight="1" x14ac:dyDescent="0.25">
      <c r="A15" s="50">
        <f t="shared" si="1"/>
        <v>7</v>
      </c>
      <c r="B15" s="75">
        <v>42583</v>
      </c>
      <c r="C15" s="3">
        <v>910</v>
      </c>
      <c r="D15" s="38">
        <v>2261000</v>
      </c>
      <c r="E15" s="54">
        <v>570000</v>
      </c>
      <c r="F15" s="54">
        <v>811000</v>
      </c>
      <c r="G15" s="54">
        <v>440000</v>
      </c>
      <c r="H15" s="54">
        <v>440000</v>
      </c>
      <c r="I15" s="54"/>
      <c r="J15" s="54"/>
      <c r="K15" s="54"/>
      <c r="L15" s="54"/>
      <c r="M15" s="56"/>
      <c r="N15" s="56"/>
      <c r="O15" s="54">
        <f t="shared" si="2"/>
        <v>2261000</v>
      </c>
      <c r="P15" s="54">
        <f t="shared" si="0"/>
        <v>0</v>
      </c>
    </row>
    <row r="16" spans="1:19" ht="18" customHeight="1" x14ac:dyDescent="0.25">
      <c r="A16" s="50">
        <f t="shared" si="1"/>
        <v>8</v>
      </c>
      <c r="B16" s="75">
        <v>42583</v>
      </c>
      <c r="C16" s="3">
        <v>911</v>
      </c>
      <c r="D16" s="38">
        <v>3721742.9999999995</v>
      </c>
      <c r="E16" s="54"/>
      <c r="F16" s="54"/>
      <c r="G16" s="54"/>
      <c r="H16" s="54"/>
      <c r="I16" s="54"/>
      <c r="J16" s="54"/>
      <c r="K16" s="54"/>
      <c r="L16" s="54">
        <v>2953374</v>
      </c>
      <c r="M16" s="56"/>
      <c r="N16" s="68">
        <f>558261+210108</f>
        <v>768369</v>
      </c>
      <c r="O16" s="54">
        <f t="shared" si="2"/>
        <v>3721743</v>
      </c>
      <c r="P16" s="54">
        <f t="shared" si="0"/>
        <v>0</v>
      </c>
      <c r="Q16" s="43" t="s">
        <v>36</v>
      </c>
      <c r="R16" s="104">
        <f>N16/D16</f>
        <v>0.20645407272882627</v>
      </c>
      <c r="S16" s="43">
        <v>558261</v>
      </c>
    </row>
    <row r="17" spans="1:21" ht="18" customHeight="1" x14ac:dyDescent="0.25">
      <c r="A17" s="50">
        <f t="shared" si="1"/>
        <v>9</v>
      </c>
      <c r="B17" s="75">
        <v>42583</v>
      </c>
      <c r="C17" s="3">
        <v>912</v>
      </c>
      <c r="D17" s="38">
        <v>7649999</v>
      </c>
      <c r="E17" s="54"/>
      <c r="F17" s="54"/>
      <c r="G17" s="54"/>
      <c r="H17" s="54"/>
      <c r="I17" s="54">
        <v>7007142</v>
      </c>
      <c r="J17" s="54"/>
      <c r="K17" s="54"/>
      <c r="L17" s="54"/>
      <c r="M17" s="56">
        <v>642857</v>
      </c>
      <c r="N17" s="56"/>
      <c r="O17" s="54">
        <f t="shared" si="2"/>
        <v>7649999</v>
      </c>
      <c r="P17" s="54">
        <f t="shared" si="0"/>
        <v>0</v>
      </c>
      <c r="S17" s="104">
        <f>S16/D16</f>
        <v>0.14999987908891077</v>
      </c>
    </row>
    <row r="18" spans="1:21" ht="18" customHeight="1" x14ac:dyDescent="0.25">
      <c r="A18" s="50">
        <f t="shared" si="1"/>
        <v>10</v>
      </c>
      <c r="B18" s="75">
        <v>42583</v>
      </c>
      <c r="C18" s="3">
        <v>913</v>
      </c>
      <c r="D18" s="38">
        <v>4120028</v>
      </c>
      <c r="E18" s="54">
        <v>1864000</v>
      </c>
      <c r="F18" s="54">
        <v>564000</v>
      </c>
      <c r="G18" s="54">
        <v>564000</v>
      </c>
      <c r="H18" s="54">
        <v>564000</v>
      </c>
      <c r="I18" s="54">
        <v>564000</v>
      </c>
      <c r="J18" s="54"/>
      <c r="K18" s="54"/>
      <c r="L18" s="54"/>
      <c r="M18" s="83">
        <v>28</v>
      </c>
      <c r="N18" s="83"/>
      <c r="O18" s="54">
        <f t="shared" si="2"/>
        <v>4120028</v>
      </c>
      <c r="P18" s="54">
        <f t="shared" si="0"/>
        <v>0</v>
      </c>
    </row>
    <row r="19" spans="1:21" ht="18" customHeight="1" x14ac:dyDescent="0.25">
      <c r="A19" s="50">
        <f t="shared" si="1"/>
        <v>11</v>
      </c>
      <c r="B19" s="75">
        <v>42583</v>
      </c>
      <c r="C19" s="3">
        <v>914</v>
      </c>
      <c r="D19" s="38">
        <v>1350000</v>
      </c>
      <c r="E19" s="54">
        <v>1350000</v>
      </c>
      <c r="F19" s="54"/>
      <c r="G19" s="54"/>
      <c r="H19" s="54"/>
      <c r="I19" s="54"/>
      <c r="J19" s="54"/>
      <c r="K19" s="54"/>
      <c r="L19" s="54"/>
      <c r="M19" s="56"/>
      <c r="N19" s="56"/>
      <c r="O19" s="54">
        <f t="shared" si="2"/>
        <v>1350000</v>
      </c>
      <c r="P19" s="54">
        <f t="shared" si="0"/>
        <v>0</v>
      </c>
    </row>
    <row r="20" spans="1:21" ht="18" customHeight="1" x14ac:dyDescent="0.25">
      <c r="A20" s="50">
        <f t="shared" si="1"/>
        <v>12</v>
      </c>
      <c r="B20" s="75">
        <v>42583</v>
      </c>
      <c r="C20" s="3">
        <v>915</v>
      </c>
      <c r="D20" s="38">
        <v>3542450</v>
      </c>
      <c r="E20" s="54">
        <v>3542450</v>
      </c>
      <c r="F20" s="54"/>
      <c r="G20" s="54"/>
      <c r="H20" s="54"/>
      <c r="I20" s="54"/>
      <c r="J20" s="54"/>
      <c r="K20" s="54"/>
      <c r="L20" s="54"/>
      <c r="M20" s="56"/>
      <c r="N20" s="56"/>
      <c r="O20" s="54">
        <f t="shared" si="2"/>
        <v>3542450</v>
      </c>
      <c r="P20" s="54">
        <f t="shared" si="0"/>
        <v>0</v>
      </c>
    </row>
    <row r="21" spans="1:21" ht="18" customHeight="1" x14ac:dyDescent="0.25">
      <c r="A21" s="50">
        <f t="shared" si="1"/>
        <v>13</v>
      </c>
      <c r="B21" s="75">
        <v>42583</v>
      </c>
      <c r="C21" s="3">
        <v>916</v>
      </c>
      <c r="D21" s="38">
        <v>4821279</v>
      </c>
      <c r="E21" s="54"/>
      <c r="F21" s="54">
        <v>1447000</v>
      </c>
      <c r="G21" s="54">
        <v>1600000</v>
      </c>
      <c r="H21" s="54">
        <v>1774279</v>
      </c>
      <c r="I21" s="54"/>
      <c r="J21" s="54"/>
      <c r="K21" s="54"/>
      <c r="L21" s="54"/>
      <c r="M21" s="56"/>
      <c r="N21" s="56"/>
      <c r="O21" s="54">
        <f t="shared" si="2"/>
        <v>4821279</v>
      </c>
      <c r="P21" s="54">
        <f t="shared" si="0"/>
        <v>0</v>
      </c>
    </row>
    <row r="22" spans="1:21" ht="18" customHeight="1" x14ac:dyDescent="0.25">
      <c r="A22" s="50">
        <f t="shared" si="1"/>
        <v>14</v>
      </c>
      <c r="B22" s="75">
        <v>42583</v>
      </c>
      <c r="C22" s="3">
        <v>917</v>
      </c>
      <c r="D22" s="38">
        <v>3025466</v>
      </c>
      <c r="E22" s="54"/>
      <c r="F22" s="54">
        <v>1613581</v>
      </c>
      <c r="G22" s="54"/>
      <c r="H22" s="54">
        <v>1411884</v>
      </c>
      <c r="I22" s="54"/>
      <c r="J22" s="54"/>
      <c r="K22" s="54"/>
      <c r="L22" s="54"/>
      <c r="M22" s="56">
        <v>1</v>
      </c>
      <c r="N22" s="56"/>
      <c r="O22" s="54">
        <f t="shared" si="2"/>
        <v>3025466</v>
      </c>
      <c r="P22" s="54">
        <f t="shared" si="0"/>
        <v>0</v>
      </c>
    </row>
    <row r="23" spans="1:21" ht="18" customHeight="1" x14ac:dyDescent="0.25">
      <c r="A23" s="50">
        <f t="shared" si="1"/>
        <v>15</v>
      </c>
      <c r="B23" s="75">
        <v>42583</v>
      </c>
      <c r="C23" s="3">
        <v>918</v>
      </c>
      <c r="D23" s="38">
        <v>2457193</v>
      </c>
      <c r="E23" s="80">
        <v>1200000</v>
      </c>
      <c r="F23" s="80"/>
      <c r="G23" s="54">
        <v>1257193</v>
      </c>
      <c r="H23" s="54"/>
      <c r="I23" s="54"/>
      <c r="J23" s="54"/>
      <c r="K23" s="54"/>
      <c r="L23" s="54"/>
      <c r="M23" s="56"/>
      <c r="N23" s="56"/>
      <c r="O23" s="54">
        <f t="shared" si="2"/>
        <v>2457193</v>
      </c>
      <c r="P23" s="54">
        <f t="shared" si="0"/>
        <v>0</v>
      </c>
    </row>
    <row r="24" spans="1:21" ht="18" customHeight="1" x14ac:dyDescent="0.25">
      <c r="A24" s="50">
        <f t="shared" si="1"/>
        <v>16</v>
      </c>
      <c r="B24" s="75">
        <v>42583</v>
      </c>
      <c r="C24" s="3">
        <v>920</v>
      </c>
      <c r="D24" s="38">
        <v>2600000</v>
      </c>
      <c r="E24" s="54">
        <v>1300000</v>
      </c>
      <c r="F24" s="54"/>
      <c r="G24" s="54"/>
      <c r="H24" s="54"/>
      <c r="I24" s="54"/>
      <c r="J24" s="54"/>
      <c r="K24" s="54">
        <v>600000</v>
      </c>
      <c r="L24" s="54">
        <v>116000</v>
      </c>
      <c r="M24" s="56">
        <v>584000</v>
      </c>
      <c r="N24" s="56"/>
      <c r="O24" s="54">
        <f t="shared" si="2"/>
        <v>2600000</v>
      </c>
      <c r="P24" s="54">
        <f t="shared" si="0"/>
        <v>0</v>
      </c>
    </row>
    <row r="25" spans="1:21" ht="18" customHeight="1" x14ac:dyDescent="0.25">
      <c r="A25" s="50">
        <f t="shared" si="1"/>
        <v>17</v>
      </c>
      <c r="B25" s="75">
        <v>42583</v>
      </c>
      <c r="C25" s="3">
        <v>922</v>
      </c>
      <c r="D25" s="38">
        <v>2508589</v>
      </c>
      <c r="E25" s="54"/>
      <c r="F25" s="54">
        <v>1099919</v>
      </c>
      <c r="G25" s="54">
        <v>829890</v>
      </c>
      <c r="H25" s="54"/>
      <c r="I25" s="54"/>
      <c r="J25" s="54"/>
      <c r="K25" s="54"/>
      <c r="L25" s="54"/>
      <c r="M25" s="56">
        <v>270029</v>
      </c>
      <c r="N25" s="56">
        <v>308751</v>
      </c>
      <c r="O25" s="54">
        <f t="shared" si="2"/>
        <v>2508589</v>
      </c>
      <c r="P25" s="54">
        <f t="shared" ref="P25:P41" si="3">D25-O25</f>
        <v>0</v>
      </c>
    </row>
    <row r="26" spans="1:21" ht="18" customHeight="1" x14ac:dyDescent="0.25">
      <c r="A26" s="50">
        <f t="shared" si="1"/>
        <v>18</v>
      </c>
      <c r="B26" s="75">
        <v>42583</v>
      </c>
      <c r="C26" s="3">
        <v>923</v>
      </c>
      <c r="D26" s="38">
        <v>2354144</v>
      </c>
      <c r="E26" s="54"/>
      <c r="F26" s="54">
        <v>717467</v>
      </c>
      <c r="G26" s="54"/>
      <c r="H26" s="54"/>
      <c r="I26" s="54">
        <v>1636677</v>
      </c>
      <c r="J26" s="54"/>
      <c r="K26" s="54"/>
      <c r="L26" s="54"/>
      <c r="M26" s="56"/>
      <c r="N26" s="56"/>
      <c r="O26" s="54">
        <f t="shared" si="2"/>
        <v>2354144</v>
      </c>
      <c r="P26" s="54">
        <f t="shared" si="3"/>
        <v>0</v>
      </c>
    </row>
    <row r="27" spans="1:21" ht="18" customHeight="1" x14ac:dyDescent="0.25">
      <c r="A27" s="50">
        <f t="shared" si="1"/>
        <v>19</v>
      </c>
      <c r="B27" s="75">
        <v>42583</v>
      </c>
      <c r="C27" s="3">
        <v>926</v>
      </c>
      <c r="D27" s="38">
        <v>12000000</v>
      </c>
      <c r="E27" s="54">
        <v>3000000</v>
      </c>
      <c r="F27" s="54"/>
      <c r="G27" s="54"/>
      <c r="H27" s="54"/>
      <c r="I27" s="54"/>
      <c r="J27" s="54"/>
      <c r="K27" s="54">
        <f>3000000+3000000</f>
        <v>6000000</v>
      </c>
      <c r="L27" s="54"/>
      <c r="M27" s="56"/>
      <c r="N27" s="56"/>
      <c r="O27" s="54">
        <f t="shared" si="2"/>
        <v>9000000</v>
      </c>
      <c r="P27" s="54">
        <f t="shared" si="3"/>
        <v>3000000</v>
      </c>
      <c r="Q27" s="43" t="s">
        <v>37</v>
      </c>
    </row>
    <row r="28" spans="1:21" ht="18" customHeight="1" x14ac:dyDescent="0.25">
      <c r="A28" s="50">
        <f t="shared" si="1"/>
        <v>20</v>
      </c>
      <c r="B28" s="75">
        <v>42583</v>
      </c>
      <c r="C28" s="3">
        <v>927</v>
      </c>
      <c r="D28" s="38">
        <v>7348580</v>
      </c>
      <c r="E28" s="54"/>
      <c r="F28" s="54">
        <v>2449527</v>
      </c>
      <c r="G28" s="54">
        <v>2449527</v>
      </c>
      <c r="H28" s="54">
        <v>2449526</v>
      </c>
      <c r="I28" s="54"/>
      <c r="J28" s="54"/>
      <c r="K28" s="54"/>
      <c r="L28" s="54"/>
      <c r="M28" s="56"/>
      <c r="N28" s="56"/>
      <c r="O28" s="54">
        <f t="shared" si="2"/>
        <v>7348580</v>
      </c>
      <c r="P28" s="54">
        <f t="shared" si="3"/>
        <v>0</v>
      </c>
    </row>
    <row r="29" spans="1:21" ht="18" customHeight="1" x14ac:dyDescent="0.25">
      <c r="A29" s="50">
        <f t="shared" si="1"/>
        <v>21</v>
      </c>
      <c r="B29" s="75">
        <v>42583</v>
      </c>
      <c r="C29" s="3">
        <v>928</v>
      </c>
      <c r="D29" s="38">
        <v>3198818</v>
      </c>
      <c r="E29" s="54"/>
      <c r="F29" s="54">
        <v>1066273</v>
      </c>
      <c r="G29" s="54">
        <v>1066273</v>
      </c>
      <c r="H29" s="54">
        <v>1066272</v>
      </c>
      <c r="I29" s="54"/>
      <c r="J29" s="54"/>
      <c r="K29" s="54"/>
      <c r="L29" s="54"/>
      <c r="M29" s="56"/>
      <c r="N29" s="56"/>
      <c r="O29" s="54">
        <f t="shared" si="2"/>
        <v>3198818</v>
      </c>
      <c r="P29" s="54">
        <f t="shared" si="3"/>
        <v>0</v>
      </c>
    </row>
    <row r="30" spans="1:21" ht="18" customHeight="1" x14ac:dyDescent="0.25">
      <c r="A30" s="50">
        <f t="shared" si="1"/>
        <v>22</v>
      </c>
      <c r="B30" s="75">
        <v>42583</v>
      </c>
      <c r="C30" s="3">
        <v>929</v>
      </c>
      <c r="D30" s="38">
        <v>4383858</v>
      </c>
      <c r="E30" s="54"/>
      <c r="F30" s="54">
        <v>2922572</v>
      </c>
      <c r="G30" s="54"/>
      <c r="H30" s="54">
        <v>1461286</v>
      </c>
      <c r="I30" s="54"/>
      <c r="J30" s="54"/>
      <c r="K30" s="54"/>
      <c r="L30" s="54"/>
      <c r="M30" s="56"/>
      <c r="N30" s="56"/>
      <c r="O30" s="54">
        <f t="shared" si="2"/>
        <v>4383858</v>
      </c>
      <c r="P30" s="54">
        <f t="shared" si="3"/>
        <v>0</v>
      </c>
    </row>
    <row r="31" spans="1:21" ht="18" customHeight="1" x14ac:dyDescent="0.25">
      <c r="A31" s="50">
        <f t="shared" si="1"/>
        <v>23</v>
      </c>
      <c r="B31" s="75">
        <v>42583</v>
      </c>
      <c r="C31" s="3">
        <v>931</v>
      </c>
      <c r="D31" s="38">
        <v>3360000</v>
      </c>
      <c r="E31" s="54">
        <v>560000</v>
      </c>
      <c r="F31" s="54">
        <v>560000</v>
      </c>
      <c r="G31" s="54">
        <v>560000</v>
      </c>
      <c r="H31" s="54">
        <v>526666</v>
      </c>
      <c r="I31" s="54">
        <v>526667</v>
      </c>
      <c r="J31" s="54">
        <v>526667</v>
      </c>
      <c r="K31" s="54"/>
      <c r="L31" s="54"/>
      <c r="M31" s="56">
        <v>100000</v>
      </c>
      <c r="N31" s="56"/>
      <c r="O31" s="54">
        <f t="shared" si="2"/>
        <v>3360000</v>
      </c>
      <c r="P31" s="54">
        <f t="shared" si="3"/>
        <v>0</v>
      </c>
    </row>
    <row r="32" spans="1:21" ht="18" customHeight="1" x14ac:dyDescent="0.25">
      <c r="A32" s="50">
        <f t="shared" si="1"/>
        <v>24</v>
      </c>
      <c r="B32" s="75">
        <v>42583</v>
      </c>
      <c r="C32" s="3">
        <v>933</v>
      </c>
      <c r="D32" s="38">
        <v>4862752</v>
      </c>
      <c r="E32" s="54"/>
      <c r="F32" s="54"/>
      <c r="G32" s="54"/>
      <c r="H32" s="54"/>
      <c r="I32" s="54"/>
      <c r="J32" s="54"/>
      <c r="K32" s="54"/>
      <c r="L32" s="54">
        <f>1377780+1377780</f>
        <v>2755560</v>
      </c>
      <c r="M32" s="56"/>
      <c r="N32" s="56">
        <v>729413</v>
      </c>
      <c r="O32" s="54">
        <f t="shared" si="2"/>
        <v>3484973</v>
      </c>
      <c r="P32" s="54">
        <f>D32-O32</f>
        <v>1377779</v>
      </c>
      <c r="Q32" s="255" t="s">
        <v>42</v>
      </c>
      <c r="R32" s="256"/>
      <c r="S32" s="256"/>
      <c r="T32" s="256"/>
      <c r="U32" s="256"/>
    </row>
    <row r="33" spans="1:18" ht="18" customHeight="1" x14ac:dyDescent="0.25">
      <c r="A33" s="50">
        <f t="shared" si="1"/>
        <v>25</v>
      </c>
      <c r="B33" s="75">
        <v>42583</v>
      </c>
      <c r="C33" s="3">
        <v>934</v>
      </c>
      <c r="D33" s="38">
        <v>4898805</v>
      </c>
      <c r="E33" s="54"/>
      <c r="F33" s="54">
        <v>833334</v>
      </c>
      <c r="G33" s="54">
        <v>833334</v>
      </c>
      <c r="H33" s="54">
        <v>833332</v>
      </c>
      <c r="I33" s="54"/>
      <c r="J33" s="54"/>
      <c r="K33" s="54">
        <v>1200000</v>
      </c>
      <c r="L33" s="54">
        <v>1198805</v>
      </c>
      <c r="M33" s="56"/>
      <c r="N33" s="56"/>
      <c r="O33" s="54">
        <f t="shared" si="2"/>
        <v>4898805</v>
      </c>
      <c r="P33" s="54">
        <f t="shared" si="3"/>
        <v>0</v>
      </c>
      <c r="Q33" s="43" t="s">
        <v>38</v>
      </c>
    </row>
    <row r="34" spans="1:18" ht="18" customHeight="1" x14ac:dyDescent="0.25">
      <c r="A34" s="50">
        <f t="shared" si="1"/>
        <v>26</v>
      </c>
      <c r="B34" s="75">
        <v>42583</v>
      </c>
      <c r="C34" s="3">
        <v>935</v>
      </c>
      <c r="D34" s="38">
        <v>4997454</v>
      </c>
      <c r="E34" s="54"/>
      <c r="F34" s="54"/>
      <c r="G34" s="54"/>
      <c r="H34" s="54">
        <v>2498727</v>
      </c>
      <c r="I34" s="54">
        <v>2498727</v>
      </c>
      <c r="J34" s="54"/>
      <c r="K34" s="54"/>
      <c r="L34" s="54"/>
      <c r="M34" s="56"/>
      <c r="N34" s="56"/>
      <c r="O34" s="54">
        <f t="shared" si="2"/>
        <v>4997454</v>
      </c>
      <c r="P34" s="54">
        <f t="shared" si="3"/>
        <v>0</v>
      </c>
    </row>
    <row r="35" spans="1:18" ht="18" customHeight="1" x14ac:dyDescent="0.25">
      <c r="A35" s="50">
        <f t="shared" si="1"/>
        <v>27</v>
      </c>
      <c r="B35" s="75">
        <v>42583</v>
      </c>
      <c r="C35" s="3">
        <v>936</v>
      </c>
      <c r="D35" s="38">
        <v>3102864</v>
      </c>
      <c r="E35" s="54"/>
      <c r="F35" s="54">
        <f>930859+1086002</f>
        <v>2016861</v>
      </c>
      <c r="G35" s="54"/>
      <c r="H35" s="54">
        <v>1086002</v>
      </c>
      <c r="I35" s="54"/>
      <c r="J35" s="54"/>
      <c r="K35" s="54"/>
      <c r="L35" s="54"/>
      <c r="M35" s="56">
        <v>1</v>
      </c>
      <c r="N35" s="56"/>
      <c r="O35" s="54">
        <f t="shared" si="2"/>
        <v>3102864</v>
      </c>
      <c r="P35" s="54">
        <f t="shared" si="3"/>
        <v>0</v>
      </c>
    </row>
    <row r="36" spans="1:18" ht="18" customHeight="1" x14ac:dyDescent="0.25">
      <c r="A36" s="50">
        <f t="shared" si="1"/>
        <v>28</v>
      </c>
      <c r="B36" s="75">
        <v>42583</v>
      </c>
      <c r="C36" s="3">
        <v>937</v>
      </c>
      <c r="D36" s="38">
        <v>3258638</v>
      </c>
      <c r="E36" s="54"/>
      <c r="F36" s="54">
        <v>651727</v>
      </c>
      <c r="G36" s="54"/>
      <c r="H36" s="54">
        <v>2606910</v>
      </c>
      <c r="I36" s="54"/>
      <c r="J36" s="54"/>
      <c r="K36" s="54"/>
      <c r="L36" s="54"/>
      <c r="M36" s="56">
        <v>1</v>
      </c>
      <c r="N36" s="56"/>
      <c r="O36" s="54">
        <f t="shared" si="2"/>
        <v>3258638</v>
      </c>
      <c r="P36" s="54">
        <f t="shared" si="3"/>
        <v>0</v>
      </c>
      <c r="Q36" s="66"/>
    </row>
    <row r="37" spans="1:18" ht="18" customHeight="1" x14ac:dyDescent="0.25">
      <c r="A37" s="50">
        <f t="shared" si="1"/>
        <v>29</v>
      </c>
      <c r="B37" s="75">
        <v>42583</v>
      </c>
      <c r="C37" s="3">
        <v>938</v>
      </c>
      <c r="D37" s="38">
        <v>2575635</v>
      </c>
      <c r="E37" s="54"/>
      <c r="F37" s="54">
        <v>1287817</v>
      </c>
      <c r="G37" s="54"/>
      <c r="H37" s="54"/>
      <c r="I37" s="54"/>
      <c r="J37" s="54"/>
      <c r="K37" s="54">
        <v>1287000</v>
      </c>
      <c r="L37" s="54"/>
      <c r="M37" s="56">
        <v>818</v>
      </c>
      <c r="N37" s="56"/>
      <c r="O37" s="54">
        <f t="shared" si="2"/>
        <v>2575635</v>
      </c>
      <c r="P37" s="54">
        <f t="shared" si="3"/>
        <v>0</v>
      </c>
      <c r="Q37" s="66"/>
    </row>
    <row r="38" spans="1:18" ht="18" customHeight="1" x14ac:dyDescent="0.25">
      <c r="A38" s="50">
        <f t="shared" si="1"/>
        <v>30</v>
      </c>
      <c r="B38" s="75">
        <v>42583</v>
      </c>
      <c r="C38" s="3">
        <v>939</v>
      </c>
      <c r="D38" s="38">
        <v>2197252</v>
      </c>
      <c r="E38" s="54"/>
      <c r="F38" s="54">
        <f>660000+512417</f>
        <v>1172417</v>
      </c>
      <c r="G38" s="54"/>
      <c r="H38" s="54"/>
      <c r="I38" s="54"/>
      <c r="J38" s="54"/>
      <c r="K38" s="54"/>
      <c r="L38" s="54"/>
      <c r="M38" s="56"/>
      <c r="N38" s="56"/>
      <c r="O38" s="54">
        <f t="shared" si="2"/>
        <v>1172417</v>
      </c>
      <c r="P38" s="54">
        <f t="shared" si="3"/>
        <v>1024835</v>
      </c>
      <c r="Q38" s="253" t="s">
        <v>39</v>
      </c>
      <c r="R38" s="254"/>
    </row>
    <row r="39" spans="1:18" ht="18" customHeight="1" x14ac:dyDescent="0.25">
      <c r="A39" s="50">
        <f t="shared" si="1"/>
        <v>31</v>
      </c>
      <c r="B39" s="75">
        <v>42583</v>
      </c>
      <c r="C39" s="3">
        <v>940</v>
      </c>
      <c r="D39" s="38">
        <v>1309477</v>
      </c>
      <c r="E39" s="54"/>
      <c r="F39" s="54">
        <v>436492</v>
      </c>
      <c r="G39" s="54">
        <v>436492</v>
      </c>
      <c r="H39" s="54">
        <v>436493</v>
      </c>
      <c r="I39" s="54"/>
      <c r="J39" s="54"/>
      <c r="K39" s="54"/>
      <c r="L39" s="54"/>
      <c r="M39" s="56"/>
      <c r="N39" s="56"/>
      <c r="O39" s="54">
        <f t="shared" si="2"/>
        <v>1309477</v>
      </c>
      <c r="P39" s="54">
        <f t="shared" si="3"/>
        <v>0</v>
      </c>
    </row>
    <row r="40" spans="1:18" ht="18" customHeight="1" x14ac:dyDescent="0.25">
      <c r="A40" s="50">
        <f t="shared" si="1"/>
        <v>32</v>
      </c>
      <c r="B40" s="75">
        <v>42583</v>
      </c>
      <c r="C40" s="3">
        <v>941</v>
      </c>
      <c r="D40" s="38">
        <v>1748455</v>
      </c>
      <c r="E40" s="54"/>
      <c r="F40" s="54">
        <v>582818</v>
      </c>
      <c r="G40" s="54">
        <v>582818</v>
      </c>
      <c r="H40" s="54">
        <v>582818</v>
      </c>
      <c r="I40" s="54"/>
      <c r="J40" s="54"/>
      <c r="K40" s="54"/>
      <c r="L40" s="54"/>
      <c r="M40" s="56">
        <v>1</v>
      </c>
      <c r="N40" s="56"/>
      <c r="O40" s="54">
        <f t="shared" si="2"/>
        <v>1748455</v>
      </c>
      <c r="P40" s="54">
        <f t="shared" si="3"/>
        <v>0</v>
      </c>
    </row>
    <row r="41" spans="1:18" ht="18" customHeight="1" thickBot="1" x14ac:dyDescent="0.3">
      <c r="A41" s="50">
        <f t="shared" si="1"/>
        <v>33</v>
      </c>
      <c r="B41" s="75">
        <v>42583</v>
      </c>
      <c r="C41" s="3">
        <v>943</v>
      </c>
      <c r="D41" s="38">
        <v>305000</v>
      </c>
      <c r="E41" s="54"/>
      <c r="F41" s="54">
        <v>299405</v>
      </c>
      <c r="G41" s="54"/>
      <c r="H41" s="54"/>
      <c r="I41" s="54"/>
      <c r="J41" s="54"/>
      <c r="K41" s="54"/>
      <c r="L41" s="54"/>
      <c r="M41" s="56">
        <v>5595</v>
      </c>
      <c r="N41" s="56"/>
      <c r="O41" s="54">
        <f t="shared" si="2"/>
        <v>305000</v>
      </c>
      <c r="P41" s="54">
        <f t="shared" si="3"/>
        <v>0</v>
      </c>
      <c r="Q41" s="43" t="s">
        <v>40</v>
      </c>
    </row>
    <row r="42" spans="1:18" ht="20.100000000000001" customHeight="1" thickBot="1" x14ac:dyDescent="0.3">
      <c r="B42" s="248" t="s">
        <v>14</v>
      </c>
      <c r="C42" s="249"/>
      <c r="D42" s="57">
        <f t="shared" ref="D42:N42" si="4">SUM(D9:D41)</f>
        <v>115405938</v>
      </c>
      <c r="E42" s="57">
        <f t="shared" si="4"/>
        <v>18585865</v>
      </c>
      <c r="F42" s="57">
        <f t="shared" si="4"/>
        <v>23773245</v>
      </c>
      <c r="G42" s="57">
        <f t="shared" si="4"/>
        <v>12320834</v>
      </c>
      <c r="H42" s="57">
        <f t="shared" si="4"/>
        <v>19439502</v>
      </c>
      <c r="I42" s="57">
        <f t="shared" si="4"/>
        <v>13072939</v>
      </c>
      <c r="J42" s="57">
        <f t="shared" si="4"/>
        <v>996667</v>
      </c>
      <c r="K42" s="57">
        <f t="shared" si="4"/>
        <v>10035931</v>
      </c>
      <c r="L42" s="57">
        <f t="shared" si="4"/>
        <v>7856739</v>
      </c>
      <c r="M42" s="58">
        <f t="shared" si="4"/>
        <v>1941481</v>
      </c>
      <c r="N42" s="58">
        <f t="shared" si="4"/>
        <v>1806533</v>
      </c>
      <c r="O42" s="57">
        <f>SUM(O9:O41)</f>
        <v>109829736</v>
      </c>
      <c r="P42" s="59">
        <f>SUM(P9:P41)</f>
        <v>5576202</v>
      </c>
    </row>
    <row r="44" spans="1:18" x14ac:dyDescent="0.25">
      <c r="E44" s="43"/>
      <c r="F44" s="43"/>
      <c r="G44" s="43"/>
      <c r="H44" s="43"/>
      <c r="I44" s="43"/>
      <c r="J44" s="43"/>
    </row>
    <row r="47" spans="1:18" x14ac:dyDescent="0.25">
      <c r="E47" s="43"/>
    </row>
    <row r="48" spans="1:18" x14ac:dyDescent="0.25">
      <c r="E48" s="43"/>
      <c r="F48" s="43"/>
      <c r="G48" s="43"/>
      <c r="H48" s="43"/>
      <c r="I48" s="43"/>
      <c r="J48" s="43"/>
      <c r="M48" s="52"/>
      <c r="N48" s="52"/>
      <c r="O48" s="44"/>
    </row>
    <row r="49" spans="4:16" x14ac:dyDescent="0.25">
      <c r="E49" s="43"/>
      <c r="F49" s="43"/>
      <c r="G49" s="43"/>
      <c r="H49" s="43"/>
      <c r="I49" s="43"/>
      <c r="J49" s="43"/>
      <c r="M49" s="52"/>
      <c r="N49" s="52"/>
      <c r="O49" s="44"/>
    </row>
    <row r="50" spans="4:16" x14ac:dyDescent="0.25">
      <c r="M50" s="52"/>
      <c r="N50" s="52"/>
      <c r="O50" s="44"/>
      <c r="P50" s="44"/>
    </row>
    <row r="51" spans="4:16" x14ac:dyDescent="0.25">
      <c r="M51" s="52"/>
      <c r="N51" s="52"/>
      <c r="O51" s="44"/>
      <c r="P51" s="44"/>
    </row>
    <row r="52" spans="4:16" x14ac:dyDescent="0.25">
      <c r="M52" s="52"/>
      <c r="N52" s="52"/>
      <c r="O52" s="44"/>
      <c r="P52" s="44"/>
    </row>
    <row r="53" spans="4:16" x14ac:dyDescent="0.25">
      <c r="M53" s="52"/>
      <c r="N53" s="52"/>
      <c r="O53" s="44"/>
      <c r="P53" s="44"/>
    </row>
    <row r="54" spans="4:16" x14ac:dyDescent="0.25">
      <c r="M54" s="52"/>
      <c r="N54" s="52"/>
      <c r="O54" s="44"/>
    </row>
    <row r="55" spans="4:16" x14ac:dyDescent="0.25">
      <c r="D55" s="44"/>
      <c r="M55" s="52"/>
      <c r="N55" s="52"/>
      <c r="O55" s="44"/>
      <c r="P55" s="44"/>
    </row>
    <row r="56" spans="4:16" x14ac:dyDescent="0.25">
      <c r="E56" s="43"/>
    </row>
    <row r="57" spans="4:16" ht="13.5" thickBot="1" x14ac:dyDescent="0.3">
      <c r="E57" s="43"/>
      <c r="O57" s="44"/>
      <c r="P57" s="44"/>
    </row>
    <row r="58" spans="4:16" ht="13.5" thickBot="1" x14ac:dyDescent="0.3">
      <c r="P58" s="53"/>
    </row>
  </sheetData>
  <mergeCells count="4">
    <mergeCell ref="B42:C42"/>
    <mergeCell ref="E7:L7"/>
    <mergeCell ref="Q38:R38"/>
    <mergeCell ref="Q32:U3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45"/>
  <sheetViews>
    <sheetView zoomScale="90" zoomScaleNormal="90" workbookViewId="0">
      <selection activeCell="J20" sqref="J20"/>
    </sheetView>
  </sheetViews>
  <sheetFormatPr baseColWidth="10" defaultRowHeight="12.75" x14ac:dyDescent="0.25"/>
  <cols>
    <col min="1" max="1" width="3.7109375" style="43" customWidth="1"/>
    <col min="2" max="2" width="13.7109375" style="43" customWidth="1"/>
    <col min="3" max="3" width="8.7109375" style="43" customWidth="1"/>
    <col min="4" max="5" width="12.7109375" style="43" customWidth="1"/>
    <col min="6" max="14" width="12.7109375" style="44" customWidth="1"/>
    <col min="15" max="16" width="14.7109375" style="43" customWidth="1"/>
    <col min="17" max="17" width="11.42578125" style="43"/>
    <col min="18" max="18" width="22.42578125" style="43" bestFit="1" customWidth="1"/>
    <col min="19" max="16384" width="11.42578125" style="43"/>
  </cols>
  <sheetData>
    <row r="6" spans="1:18" ht="13.5" thickBot="1" x14ac:dyDescent="0.3"/>
    <row r="7" spans="1:18" ht="15.75" thickBot="1" x14ac:dyDescent="0.3">
      <c r="B7" s="45">
        <v>42614</v>
      </c>
      <c r="E7" s="257" t="s">
        <v>4</v>
      </c>
      <c r="F7" s="258"/>
      <c r="G7" s="258"/>
      <c r="H7" s="258"/>
      <c r="I7" s="258"/>
      <c r="J7" s="258"/>
      <c r="K7" s="258"/>
      <c r="L7" s="259"/>
    </row>
    <row r="8" spans="1:18" ht="15" customHeight="1" thickBot="1" x14ac:dyDescent="0.3">
      <c r="B8" s="46" t="s">
        <v>11</v>
      </c>
      <c r="C8" s="46" t="s">
        <v>12</v>
      </c>
      <c r="D8" s="46" t="s">
        <v>13</v>
      </c>
      <c r="E8" s="47" t="s">
        <v>22</v>
      </c>
      <c r="F8" s="47" t="s">
        <v>18</v>
      </c>
      <c r="G8" s="47" t="s">
        <v>5</v>
      </c>
      <c r="H8" s="47" t="s">
        <v>6</v>
      </c>
      <c r="I8" s="47" t="s">
        <v>7</v>
      </c>
      <c r="J8" s="47" t="s">
        <v>8</v>
      </c>
      <c r="K8" s="47" t="s">
        <v>9</v>
      </c>
      <c r="L8" s="47" t="s">
        <v>20</v>
      </c>
      <c r="M8" s="48" t="s">
        <v>10</v>
      </c>
      <c r="N8" s="48" t="s">
        <v>19</v>
      </c>
      <c r="O8" s="46" t="s">
        <v>16</v>
      </c>
      <c r="P8" s="47" t="s">
        <v>15</v>
      </c>
    </row>
    <row r="9" spans="1:18" ht="18" customHeight="1" x14ac:dyDescent="0.25">
      <c r="A9" s="49">
        <v>1</v>
      </c>
      <c r="B9" s="75">
        <v>42614</v>
      </c>
      <c r="C9" s="3">
        <v>944</v>
      </c>
      <c r="D9" s="40">
        <v>3000000</v>
      </c>
      <c r="E9" s="79">
        <v>1000000</v>
      </c>
      <c r="F9" s="54">
        <v>1000000</v>
      </c>
      <c r="G9" s="54">
        <v>1000000</v>
      </c>
      <c r="H9" s="54"/>
      <c r="I9" s="54"/>
      <c r="J9" s="54"/>
      <c r="K9" s="54"/>
      <c r="L9" s="54"/>
      <c r="M9" s="56"/>
      <c r="N9" s="56"/>
      <c r="O9" s="54">
        <f>SUM(E9:N9)</f>
        <v>3000000</v>
      </c>
      <c r="P9" s="54">
        <f t="shared" ref="P9:P26" si="0">D9-O9</f>
        <v>0</v>
      </c>
    </row>
    <row r="10" spans="1:18" ht="18" customHeight="1" x14ac:dyDescent="0.25">
      <c r="A10" s="50">
        <f t="shared" ref="A10:A25" si="1">A9+1</f>
        <v>2</v>
      </c>
      <c r="B10" s="75">
        <v>42614</v>
      </c>
      <c r="C10" s="3">
        <v>945</v>
      </c>
      <c r="D10" s="38">
        <v>5439154.0000000009</v>
      </c>
      <c r="E10" s="80">
        <v>0</v>
      </c>
      <c r="F10" s="54">
        <v>1359789</v>
      </c>
      <c r="G10" s="54">
        <v>1359789</v>
      </c>
      <c r="H10" s="54"/>
      <c r="I10" s="54"/>
      <c r="J10" s="54"/>
      <c r="K10" s="54"/>
      <c r="L10" s="54">
        <v>2719578</v>
      </c>
      <c r="M10" s="56">
        <v>0</v>
      </c>
      <c r="N10" s="56"/>
      <c r="O10" s="54">
        <f t="shared" ref="O10:O28" si="2">SUM(E10:N10)</f>
        <v>5439156</v>
      </c>
      <c r="P10" s="54">
        <f t="shared" si="0"/>
        <v>-1.9999999990686774</v>
      </c>
    </row>
    <row r="11" spans="1:18" ht="18" customHeight="1" x14ac:dyDescent="0.25">
      <c r="A11" s="50">
        <f t="shared" si="1"/>
        <v>3</v>
      </c>
      <c r="B11" s="75">
        <v>42614</v>
      </c>
      <c r="C11" s="3">
        <v>948</v>
      </c>
      <c r="D11" s="38">
        <v>3578482</v>
      </c>
      <c r="E11" s="80">
        <v>1789241</v>
      </c>
      <c r="F11" s="54">
        <v>100000</v>
      </c>
      <c r="G11" s="54"/>
      <c r="H11" s="54">
        <v>1689241</v>
      </c>
      <c r="I11" s="54"/>
      <c r="J11" s="54"/>
      <c r="K11" s="54"/>
      <c r="L11" s="54"/>
      <c r="M11" s="56"/>
      <c r="N11" s="56"/>
      <c r="O11" s="54">
        <f t="shared" si="2"/>
        <v>3578482</v>
      </c>
      <c r="P11" s="54">
        <f t="shared" si="0"/>
        <v>0</v>
      </c>
    </row>
    <row r="12" spans="1:18" ht="18" customHeight="1" x14ac:dyDescent="0.25">
      <c r="A12" s="50">
        <f t="shared" si="1"/>
        <v>4</v>
      </c>
      <c r="B12" s="75">
        <v>42614</v>
      </c>
      <c r="C12" s="3">
        <v>949</v>
      </c>
      <c r="D12" s="38">
        <v>1464219</v>
      </c>
      <c r="E12" s="80">
        <v>732109</v>
      </c>
      <c r="F12" s="54"/>
      <c r="G12" s="54">
        <v>732109</v>
      </c>
      <c r="H12" s="54"/>
      <c r="I12" s="54"/>
      <c r="J12" s="54"/>
      <c r="K12" s="54"/>
      <c r="L12" s="54"/>
      <c r="M12" s="56">
        <v>1</v>
      </c>
      <c r="N12" s="56"/>
      <c r="O12" s="54">
        <f t="shared" si="2"/>
        <v>1464219</v>
      </c>
      <c r="P12" s="54">
        <f t="shared" si="0"/>
        <v>0</v>
      </c>
    </row>
    <row r="13" spans="1:18" ht="18" customHeight="1" x14ac:dyDescent="0.25">
      <c r="A13" s="50">
        <f t="shared" si="1"/>
        <v>5</v>
      </c>
      <c r="B13" s="75">
        <v>42614</v>
      </c>
      <c r="C13" s="3">
        <v>950</v>
      </c>
      <c r="D13" s="38">
        <v>4100855</v>
      </c>
      <c r="E13" s="80"/>
      <c r="F13" s="54"/>
      <c r="G13" s="54"/>
      <c r="H13" s="54">
        <v>4100855</v>
      </c>
      <c r="I13" s="54"/>
      <c r="J13" s="54"/>
      <c r="K13" s="54"/>
      <c r="L13" s="54"/>
      <c r="M13" s="56"/>
      <c r="N13" s="56"/>
      <c r="O13" s="54">
        <f t="shared" si="2"/>
        <v>4100855</v>
      </c>
      <c r="P13" s="54">
        <f t="shared" si="0"/>
        <v>0</v>
      </c>
    </row>
    <row r="14" spans="1:18" ht="18" customHeight="1" x14ac:dyDescent="0.25">
      <c r="A14" s="50">
        <f t="shared" si="1"/>
        <v>6</v>
      </c>
      <c r="B14" s="75">
        <v>42614</v>
      </c>
      <c r="C14" s="3">
        <v>951</v>
      </c>
      <c r="D14" s="38">
        <v>3199855</v>
      </c>
      <c r="E14" s="80">
        <v>1600000</v>
      </c>
      <c r="F14" s="54"/>
      <c r="G14" s="54">
        <v>540000</v>
      </c>
      <c r="H14" s="54"/>
      <c r="I14" s="54"/>
      <c r="J14" s="54"/>
      <c r="K14" s="54"/>
      <c r="L14" s="54">
        <v>574268</v>
      </c>
      <c r="M14" s="56">
        <v>485587</v>
      </c>
      <c r="N14" s="56"/>
      <c r="O14" s="54">
        <f t="shared" si="2"/>
        <v>3199855</v>
      </c>
      <c r="P14" s="54">
        <f t="shared" si="0"/>
        <v>0</v>
      </c>
    </row>
    <row r="15" spans="1:18" ht="18" customHeight="1" x14ac:dyDescent="0.25">
      <c r="A15" s="50">
        <f t="shared" si="1"/>
        <v>7</v>
      </c>
      <c r="B15" s="75">
        <v>42614</v>
      </c>
      <c r="C15" s="3">
        <v>952</v>
      </c>
      <c r="D15" s="38">
        <v>3201719</v>
      </c>
      <c r="E15" s="80">
        <v>1500000</v>
      </c>
      <c r="F15" s="54"/>
      <c r="G15" s="54"/>
      <c r="H15" s="54"/>
      <c r="I15" s="54"/>
      <c r="J15" s="54"/>
      <c r="K15" s="54"/>
      <c r="L15" s="54">
        <v>1701719</v>
      </c>
      <c r="M15" s="56"/>
      <c r="N15" s="56"/>
      <c r="O15" s="54">
        <f t="shared" si="2"/>
        <v>3201719</v>
      </c>
      <c r="P15" s="54">
        <f t="shared" si="0"/>
        <v>0</v>
      </c>
      <c r="Q15" s="43" t="s">
        <v>33</v>
      </c>
      <c r="R15" s="43" t="s">
        <v>72</v>
      </c>
    </row>
    <row r="16" spans="1:18" ht="18" customHeight="1" x14ac:dyDescent="0.25">
      <c r="A16" s="50">
        <f t="shared" si="1"/>
        <v>8</v>
      </c>
      <c r="B16" s="75">
        <v>42614</v>
      </c>
      <c r="C16" s="3">
        <v>953</v>
      </c>
      <c r="D16" s="38">
        <v>3198032</v>
      </c>
      <c r="E16" s="80">
        <v>1000000</v>
      </c>
      <c r="F16" s="54"/>
      <c r="G16" s="54">
        <v>732666</v>
      </c>
      <c r="H16" s="54">
        <v>732666</v>
      </c>
      <c r="I16" s="54">
        <v>732666</v>
      </c>
      <c r="J16" s="54"/>
      <c r="K16" s="54"/>
      <c r="L16" s="54"/>
      <c r="M16" s="56">
        <v>34</v>
      </c>
      <c r="N16" s="56"/>
      <c r="O16" s="54">
        <f t="shared" si="2"/>
        <v>3198032</v>
      </c>
      <c r="P16" s="54">
        <f t="shared" si="0"/>
        <v>0</v>
      </c>
    </row>
    <row r="17" spans="1:18" ht="18" customHeight="1" x14ac:dyDescent="0.25">
      <c r="A17" s="50">
        <f t="shared" si="1"/>
        <v>9</v>
      </c>
      <c r="B17" s="75">
        <v>42614</v>
      </c>
      <c r="C17" s="3">
        <v>954</v>
      </c>
      <c r="D17" s="38">
        <v>3198032</v>
      </c>
      <c r="E17" s="80">
        <v>1000000</v>
      </c>
      <c r="F17" s="54"/>
      <c r="G17" s="54">
        <v>732667</v>
      </c>
      <c r="H17" s="54">
        <v>732667</v>
      </c>
      <c r="I17" s="54">
        <v>732667</v>
      </c>
      <c r="J17" s="54"/>
      <c r="K17" s="54"/>
      <c r="L17" s="54"/>
      <c r="M17" s="56">
        <v>31</v>
      </c>
      <c r="N17" s="56"/>
      <c r="O17" s="54">
        <f t="shared" si="2"/>
        <v>3198032</v>
      </c>
      <c r="P17" s="54">
        <f t="shared" si="0"/>
        <v>0</v>
      </c>
    </row>
    <row r="18" spans="1:18" ht="18" customHeight="1" x14ac:dyDescent="0.25">
      <c r="A18" s="50">
        <f t="shared" si="1"/>
        <v>10</v>
      </c>
      <c r="B18" s="75">
        <v>42614</v>
      </c>
      <c r="C18" s="3">
        <v>955</v>
      </c>
      <c r="D18" s="38">
        <v>5654218</v>
      </c>
      <c r="E18" s="80">
        <v>4746689</v>
      </c>
      <c r="F18" s="54"/>
      <c r="G18" s="54"/>
      <c r="H18" s="54"/>
      <c r="I18" s="54"/>
      <c r="J18" s="54"/>
      <c r="K18" s="54"/>
      <c r="L18" s="54"/>
      <c r="M18" s="83">
        <v>0</v>
      </c>
      <c r="N18" s="83">
        <v>907529</v>
      </c>
      <c r="O18" s="54">
        <f t="shared" si="2"/>
        <v>5654218</v>
      </c>
      <c r="P18" s="54">
        <f t="shared" si="0"/>
        <v>0</v>
      </c>
    </row>
    <row r="19" spans="1:18" ht="18" customHeight="1" x14ac:dyDescent="0.25">
      <c r="A19" s="50">
        <f t="shared" si="1"/>
        <v>11</v>
      </c>
      <c r="B19" s="75">
        <v>42614</v>
      </c>
      <c r="C19" s="3">
        <v>956</v>
      </c>
      <c r="D19" s="38">
        <v>2071874</v>
      </c>
      <c r="E19" s="80">
        <v>900000</v>
      </c>
      <c r="F19" s="54">
        <v>585937</v>
      </c>
      <c r="G19" s="54">
        <v>585937</v>
      </c>
      <c r="H19" s="54"/>
      <c r="I19" s="54"/>
      <c r="J19" s="54"/>
      <c r="K19" s="54"/>
      <c r="L19" s="54"/>
      <c r="M19" s="56"/>
      <c r="N19" s="56"/>
      <c r="O19" s="54">
        <f t="shared" si="2"/>
        <v>2071874</v>
      </c>
      <c r="P19" s="54">
        <f t="shared" si="0"/>
        <v>0</v>
      </c>
    </row>
    <row r="20" spans="1:18" ht="18" customHeight="1" x14ac:dyDescent="0.25">
      <c r="A20" s="50">
        <f t="shared" si="1"/>
        <v>12</v>
      </c>
      <c r="B20" s="75">
        <v>42614</v>
      </c>
      <c r="C20" s="3">
        <v>957</v>
      </c>
      <c r="D20" s="38">
        <v>4820844</v>
      </c>
      <c r="E20" s="80">
        <v>1300000</v>
      </c>
      <c r="F20" s="54"/>
      <c r="G20" s="54">
        <v>1300000</v>
      </c>
      <c r="H20" s="54">
        <v>1425000</v>
      </c>
      <c r="I20" s="54"/>
      <c r="J20" s="54"/>
      <c r="K20" s="54"/>
      <c r="L20" s="54"/>
      <c r="M20" s="56"/>
      <c r="N20" s="56"/>
      <c r="O20" s="54">
        <f t="shared" si="2"/>
        <v>4025000</v>
      </c>
      <c r="P20" s="54">
        <f t="shared" si="0"/>
        <v>795844</v>
      </c>
      <c r="Q20" s="43" t="s">
        <v>34</v>
      </c>
      <c r="R20" s="43" t="s">
        <v>35</v>
      </c>
    </row>
    <row r="21" spans="1:18" ht="18" customHeight="1" x14ac:dyDescent="0.25">
      <c r="A21" s="50">
        <f t="shared" si="1"/>
        <v>13</v>
      </c>
      <c r="B21" s="75">
        <v>42614</v>
      </c>
      <c r="C21" s="3">
        <v>959</v>
      </c>
      <c r="D21" s="38">
        <v>5977748</v>
      </c>
      <c r="E21" s="80">
        <v>3000000</v>
      </c>
      <c r="F21" s="54"/>
      <c r="G21" s="54"/>
      <c r="H21" s="54"/>
      <c r="I21" s="54">
        <v>2977748</v>
      </c>
      <c r="J21" s="54"/>
      <c r="K21" s="54"/>
      <c r="L21" s="54"/>
      <c r="M21" s="56"/>
      <c r="N21" s="56"/>
      <c r="O21" s="54">
        <f t="shared" si="2"/>
        <v>5977748</v>
      </c>
      <c r="P21" s="54">
        <f t="shared" si="0"/>
        <v>0</v>
      </c>
    </row>
    <row r="22" spans="1:18" ht="18" customHeight="1" x14ac:dyDescent="0.25">
      <c r="A22" s="50">
        <f t="shared" si="1"/>
        <v>14</v>
      </c>
      <c r="B22" s="75">
        <v>42614</v>
      </c>
      <c r="C22" s="3">
        <v>960</v>
      </c>
      <c r="D22" s="38">
        <v>3198032</v>
      </c>
      <c r="E22" s="80">
        <v>3198032</v>
      </c>
      <c r="F22" s="54"/>
      <c r="G22" s="54"/>
      <c r="H22" s="54"/>
      <c r="I22" s="54"/>
      <c r="J22" s="54"/>
      <c r="K22" s="54"/>
      <c r="L22" s="54"/>
      <c r="M22" s="56"/>
      <c r="N22" s="56"/>
      <c r="O22" s="54">
        <f t="shared" si="2"/>
        <v>3198032</v>
      </c>
      <c r="P22" s="54">
        <f t="shared" si="0"/>
        <v>0</v>
      </c>
    </row>
    <row r="23" spans="1:18" ht="18" customHeight="1" x14ac:dyDescent="0.25">
      <c r="A23" s="50">
        <f t="shared" si="1"/>
        <v>15</v>
      </c>
      <c r="B23" s="75">
        <v>42614</v>
      </c>
      <c r="C23" s="3">
        <v>961</v>
      </c>
      <c r="D23" s="38">
        <v>3242670</v>
      </c>
      <c r="E23" s="80">
        <v>1080890</v>
      </c>
      <c r="F23" s="80">
        <v>1080890</v>
      </c>
      <c r="G23" s="80">
        <v>1080890</v>
      </c>
      <c r="H23" s="54"/>
      <c r="I23" s="54"/>
      <c r="J23" s="54"/>
      <c r="K23" s="54"/>
      <c r="L23" s="54"/>
      <c r="M23" s="56"/>
      <c r="N23" s="56"/>
      <c r="O23" s="54">
        <f t="shared" si="2"/>
        <v>3242670</v>
      </c>
      <c r="P23" s="54">
        <f t="shared" si="0"/>
        <v>0</v>
      </c>
    </row>
    <row r="24" spans="1:18" ht="18" customHeight="1" x14ac:dyDescent="0.25">
      <c r="A24" s="50">
        <f t="shared" si="1"/>
        <v>16</v>
      </c>
      <c r="B24" s="75">
        <v>42614</v>
      </c>
      <c r="C24" s="3">
        <v>962</v>
      </c>
      <c r="D24" s="38">
        <v>5476976</v>
      </c>
      <c r="E24" s="80">
        <v>2738488</v>
      </c>
      <c r="F24" s="54">
        <v>912829</v>
      </c>
      <c r="G24" s="54">
        <v>912829</v>
      </c>
      <c r="H24" s="54">
        <v>912830</v>
      </c>
      <c r="I24" s="54"/>
      <c r="J24" s="54"/>
      <c r="K24" s="54"/>
      <c r="L24" s="54"/>
      <c r="M24" s="56"/>
      <c r="N24" s="56"/>
      <c r="O24" s="54">
        <f t="shared" si="2"/>
        <v>5476976</v>
      </c>
      <c r="P24" s="54">
        <f t="shared" si="0"/>
        <v>0</v>
      </c>
    </row>
    <row r="25" spans="1:18" ht="18" customHeight="1" x14ac:dyDescent="0.25">
      <c r="A25" s="50">
        <f t="shared" si="1"/>
        <v>17</v>
      </c>
      <c r="B25" s="75">
        <v>42614</v>
      </c>
      <c r="C25" s="3">
        <v>963</v>
      </c>
      <c r="D25" s="38">
        <v>3316409</v>
      </c>
      <c r="E25" s="80">
        <v>1658000</v>
      </c>
      <c r="F25" s="54"/>
      <c r="G25" s="54"/>
      <c r="H25" s="54"/>
      <c r="I25" s="54"/>
      <c r="J25" s="54"/>
      <c r="K25" s="54">
        <v>829061</v>
      </c>
      <c r="L25" s="54">
        <v>829060</v>
      </c>
      <c r="M25" s="56">
        <v>288</v>
      </c>
      <c r="N25" s="56"/>
      <c r="O25" s="54">
        <f t="shared" si="2"/>
        <v>3316409</v>
      </c>
      <c r="P25" s="54">
        <f t="shared" si="0"/>
        <v>0</v>
      </c>
    </row>
    <row r="26" spans="1:18" ht="18" customHeight="1" x14ac:dyDescent="0.25">
      <c r="A26" s="50">
        <f>A25+1</f>
        <v>18</v>
      </c>
      <c r="B26" s="75">
        <v>42614</v>
      </c>
      <c r="C26" s="3">
        <v>965</v>
      </c>
      <c r="D26" s="38">
        <v>2600000</v>
      </c>
      <c r="E26" s="80">
        <v>2600000</v>
      </c>
      <c r="F26" s="54"/>
      <c r="G26" s="54"/>
      <c r="H26" s="54"/>
      <c r="I26" s="54"/>
      <c r="J26" s="54"/>
      <c r="K26" s="54"/>
      <c r="L26" s="54"/>
      <c r="M26" s="56"/>
      <c r="N26" s="56"/>
      <c r="O26" s="54">
        <f t="shared" si="2"/>
        <v>2600000</v>
      </c>
      <c r="P26" s="54">
        <f t="shared" si="0"/>
        <v>0</v>
      </c>
    </row>
    <row r="27" spans="1:18" ht="18" customHeight="1" x14ac:dyDescent="0.25">
      <c r="A27" s="50">
        <f>A26+1</f>
        <v>19</v>
      </c>
      <c r="B27" s="75">
        <v>42614</v>
      </c>
      <c r="C27" s="3">
        <v>966</v>
      </c>
      <c r="D27" s="38">
        <v>12085035</v>
      </c>
      <c r="E27" s="80"/>
      <c r="F27" s="54"/>
      <c r="G27" s="54">
        <v>12085035</v>
      </c>
      <c r="H27" s="54"/>
      <c r="I27" s="54"/>
      <c r="J27" s="54"/>
      <c r="K27" s="54"/>
      <c r="L27" s="54"/>
      <c r="M27" s="56"/>
      <c r="N27" s="56"/>
      <c r="O27" s="54">
        <f t="shared" si="2"/>
        <v>12085035</v>
      </c>
      <c r="P27" s="54">
        <f>D27-O27</f>
        <v>0</v>
      </c>
    </row>
    <row r="28" spans="1:18" s="66" customFormat="1" ht="18" customHeight="1" thickBot="1" x14ac:dyDescent="0.3">
      <c r="A28" s="51">
        <f>A27+1</f>
        <v>20</v>
      </c>
      <c r="B28" s="82">
        <v>42614</v>
      </c>
      <c r="C28" s="4">
        <v>967</v>
      </c>
      <c r="D28" s="30">
        <v>9012547</v>
      </c>
      <c r="E28" s="81"/>
      <c r="F28" s="69">
        <v>4524971</v>
      </c>
      <c r="G28" s="69"/>
      <c r="H28" s="69"/>
      <c r="I28" s="69"/>
      <c r="J28" s="69"/>
      <c r="K28" s="69"/>
      <c r="L28" s="69"/>
      <c r="M28" s="73">
        <v>4487576</v>
      </c>
      <c r="N28" s="73"/>
      <c r="O28" s="54">
        <f t="shared" si="2"/>
        <v>9012547</v>
      </c>
      <c r="P28" s="54">
        <f>D28-O28</f>
        <v>0</v>
      </c>
    </row>
    <row r="29" spans="1:18" ht="20.100000000000001" customHeight="1" thickBot="1" x14ac:dyDescent="0.3">
      <c r="B29" s="248" t="s">
        <v>14</v>
      </c>
      <c r="C29" s="249"/>
      <c r="D29" s="57">
        <f t="shared" ref="D29:I29" si="3">SUM(D9:D28)</f>
        <v>87836701</v>
      </c>
      <c r="E29" s="57">
        <f t="shared" si="3"/>
        <v>29843449</v>
      </c>
      <c r="F29" s="57">
        <f t="shared" si="3"/>
        <v>9564416</v>
      </c>
      <c r="G29" s="57">
        <f t="shared" si="3"/>
        <v>21061922</v>
      </c>
      <c r="H29" s="57">
        <f t="shared" si="3"/>
        <v>9593259</v>
      </c>
      <c r="I29" s="57">
        <f t="shared" si="3"/>
        <v>4443081</v>
      </c>
      <c r="J29" s="57">
        <f t="shared" ref="J29:P29" si="4">SUM(J9:J28)</f>
        <v>0</v>
      </c>
      <c r="K29" s="57">
        <f t="shared" si="4"/>
        <v>829061</v>
      </c>
      <c r="L29" s="57">
        <f t="shared" si="4"/>
        <v>5824625</v>
      </c>
      <c r="M29" s="58">
        <f t="shared" si="4"/>
        <v>4973517</v>
      </c>
      <c r="N29" s="58">
        <f t="shared" si="4"/>
        <v>907529</v>
      </c>
      <c r="O29" s="57">
        <f>SUM(O9:O28)</f>
        <v>87040859</v>
      </c>
      <c r="P29" s="59">
        <f t="shared" si="4"/>
        <v>795842.00000000093</v>
      </c>
    </row>
    <row r="31" spans="1:18" x14ac:dyDescent="0.25">
      <c r="F31" s="43"/>
      <c r="G31" s="43"/>
      <c r="H31" s="43"/>
      <c r="I31" s="43"/>
      <c r="J31" s="43"/>
      <c r="K31" s="43"/>
    </row>
    <row r="34" spans="4:16" x14ac:dyDescent="0.25">
      <c r="F34" s="43"/>
    </row>
    <row r="35" spans="4:16" x14ac:dyDescent="0.25">
      <c r="F35" s="43"/>
      <c r="G35" s="43"/>
      <c r="H35" s="43"/>
      <c r="I35" s="43"/>
      <c r="J35" s="43"/>
      <c r="K35" s="43"/>
      <c r="M35" s="52"/>
      <c r="N35" s="52"/>
      <c r="O35" s="44"/>
    </row>
    <row r="36" spans="4:16" x14ac:dyDescent="0.25">
      <c r="F36" s="43"/>
      <c r="G36" s="43"/>
      <c r="H36" s="43"/>
      <c r="I36" s="43"/>
      <c r="J36" s="43"/>
      <c r="K36" s="43"/>
      <c r="M36" s="52"/>
      <c r="N36" s="52"/>
      <c r="O36" s="44"/>
    </row>
    <row r="37" spans="4:16" x14ac:dyDescent="0.25">
      <c r="M37" s="52"/>
      <c r="N37" s="52"/>
      <c r="O37" s="44"/>
      <c r="P37" s="44"/>
    </row>
    <row r="38" spans="4:16" x14ac:dyDescent="0.25">
      <c r="M38" s="52"/>
      <c r="N38" s="52"/>
      <c r="O38" s="44"/>
      <c r="P38" s="44"/>
    </row>
    <row r="39" spans="4:16" x14ac:dyDescent="0.25">
      <c r="M39" s="52"/>
      <c r="N39" s="52"/>
      <c r="O39" s="44"/>
      <c r="P39" s="44"/>
    </row>
    <row r="40" spans="4:16" x14ac:dyDescent="0.25">
      <c r="M40" s="52"/>
      <c r="N40" s="52"/>
      <c r="O40" s="44"/>
      <c r="P40" s="44"/>
    </row>
    <row r="41" spans="4:16" x14ac:dyDescent="0.25">
      <c r="M41" s="52"/>
      <c r="N41" s="52"/>
      <c r="O41" s="44"/>
    </row>
    <row r="42" spans="4:16" x14ac:dyDescent="0.25">
      <c r="D42" s="44"/>
      <c r="E42" s="44"/>
      <c r="M42" s="52"/>
      <c r="N42" s="52"/>
      <c r="O42" s="44"/>
      <c r="P42" s="44"/>
    </row>
    <row r="43" spans="4:16" x14ac:dyDescent="0.25">
      <c r="F43" s="43"/>
    </row>
    <row r="44" spans="4:16" ht="13.5" thickBot="1" x14ac:dyDescent="0.3">
      <c r="F44" s="43"/>
      <c r="O44" s="44"/>
      <c r="P44" s="44"/>
    </row>
    <row r="45" spans="4:16" ht="13.5" thickBot="1" x14ac:dyDescent="0.3">
      <c r="P45" s="53"/>
    </row>
  </sheetData>
  <sortState ref="C11:D32">
    <sortCondition ref="C11"/>
  </sortState>
  <mergeCells count="2">
    <mergeCell ref="E7:L7"/>
    <mergeCell ref="B29:C2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R45"/>
  <sheetViews>
    <sheetView zoomScale="90" zoomScaleNormal="90" workbookViewId="0">
      <selection activeCell="K10" sqref="K10"/>
    </sheetView>
  </sheetViews>
  <sheetFormatPr baseColWidth="10" defaultRowHeight="12.75" x14ac:dyDescent="0.25"/>
  <cols>
    <col min="1" max="1" width="3.7109375" style="43" customWidth="1"/>
    <col min="2" max="2" width="13.7109375" style="43" customWidth="1"/>
    <col min="3" max="3" width="8.7109375" style="43" customWidth="1"/>
    <col min="4" max="5" width="12.7109375" style="43" customWidth="1"/>
    <col min="6" max="12" width="12.7109375" style="44" customWidth="1"/>
    <col min="13" max="14" width="14.7109375" style="43" customWidth="1"/>
    <col min="15" max="16384" width="11.42578125" style="43"/>
  </cols>
  <sheetData>
    <row r="6" spans="1:18" ht="13.5" thickBot="1" x14ac:dyDescent="0.3"/>
    <row r="7" spans="1:18" ht="15.75" thickBot="1" x14ac:dyDescent="0.3">
      <c r="B7" s="45">
        <v>42644</v>
      </c>
      <c r="E7" s="257" t="s">
        <v>4</v>
      </c>
      <c r="F7" s="258"/>
      <c r="G7" s="258"/>
      <c r="H7" s="258"/>
      <c r="I7" s="258"/>
      <c r="J7" s="258"/>
      <c r="K7" s="259"/>
    </row>
    <row r="8" spans="1:18" ht="15" customHeight="1" thickBot="1" x14ac:dyDescent="0.3">
      <c r="B8" s="46" t="s">
        <v>11</v>
      </c>
      <c r="C8" s="46" t="s">
        <v>12</v>
      </c>
      <c r="D8" s="46" t="s">
        <v>13</v>
      </c>
      <c r="E8" s="47" t="s">
        <v>18</v>
      </c>
      <c r="F8" s="47" t="s">
        <v>5</v>
      </c>
      <c r="G8" s="47" t="s">
        <v>6</v>
      </c>
      <c r="H8" s="47" t="s">
        <v>7</v>
      </c>
      <c r="I8" s="47" t="s">
        <v>8</v>
      </c>
      <c r="J8" s="47" t="s">
        <v>9</v>
      </c>
      <c r="K8" s="47" t="s">
        <v>20</v>
      </c>
      <c r="L8" s="48" t="s">
        <v>10</v>
      </c>
      <c r="M8" s="46" t="s">
        <v>16</v>
      </c>
      <c r="N8" s="47" t="s">
        <v>15</v>
      </c>
    </row>
    <row r="9" spans="1:18" ht="18" customHeight="1" x14ac:dyDescent="0.25">
      <c r="A9" s="49">
        <v>1</v>
      </c>
      <c r="B9" s="50" t="s">
        <v>17</v>
      </c>
      <c r="C9" s="3">
        <v>969</v>
      </c>
      <c r="D9" s="40">
        <v>2124649</v>
      </c>
      <c r="E9" s="41">
        <v>708216</v>
      </c>
      <c r="F9" s="68"/>
      <c r="G9" s="55">
        <v>708216</v>
      </c>
      <c r="H9" s="55">
        <v>0</v>
      </c>
      <c r="I9" s="54"/>
      <c r="J9" s="54"/>
      <c r="K9" s="54"/>
      <c r="L9" s="56">
        <v>1</v>
      </c>
      <c r="M9" s="54">
        <f>SUM(E9:L9)</f>
        <v>1416433</v>
      </c>
      <c r="N9" s="54">
        <f>D9-M9</f>
        <v>708216</v>
      </c>
    </row>
    <row r="10" spans="1:18" ht="18" customHeight="1" x14ac:dyDescent="0.25">
      <c r="A10" s="50">
        <f t="shared" ref="A10:A28" si="0">A9+1</f>
        <v>2</v>
      </c>
      <c r="B10" s="50" t="s">
        <v>17</v>
      </c>
      <c r="C10" s="3">
        <v>970</v>
      </c>
      <c r="D10" s="38">
        <v>3064828</v>
      </c>
      <c r="E10" s="42">
        <v>1336285</v>
      </c>
      <c r="F10" s="55">
        <v>0</v>
      </c>
      <c r="G10" s="55">
        <v>0</v>
      </c>
      <c r="H10" s="55">
        <v>0</v>
      </c>
      <c r="I10" s="55">
        <v>0</v>
      </c>
      <c r="J10" s="54"/>
      <c r="K10" s="54"/>
      <c r="L10" s="56"/>
      <c r="M10" s="54">
        <f t="shared" ref="M10:M28" si="1">SUM(E10:L10)</f>
        <v>1336285</v>
      </c>
      <c r="N10" s="54">
        <f t="shared" ref="N10:N28" si="2">D10-M10</f>
        <v>1728543</v>
      </c>
    </row>
    <row r="11" spans="1:18" ht="18" customHeight="1" x14ac:dyDescent="0.25">
      <c r="A11" s="50">
        <f t="shared" si="0"/>
        <v>3</v>
      </c>
      <c r="B11" s="50" t="s">
        <v>17</v>
      </c>
      <c r="C11" s="3">
        <v>971</v>
      </c>
      <c r="D11" s="38">
        <v>888587</v>
      </c>
      <c r="E11" s="42">
        <v>296195</v>
      </c>
      <c r="F11" s="68"/>
      <c r="G11" s="55">
        <v>296195</v>
      </c>
      <c r="H11" s="55">
        <v>0</v>
      </c>
      <c r="I11" s="54"/>
      <c r="J11" s="54"/>
      <c r="K11" s="54"/>
      <c r="L11" s="56">
        <v>2</v>
      </c>
      <c r="M11" s="54">
        <f t="shared" si="1"/>
        <v>592392</v>
      </c>
      <c r="N11" s="54">
        <f t="shared" si="2"/>
        <v>296195</v>
      </c>
    </row>
    <row r="12" spans="1:18" ht="18" customHeight="1" x14ac:dyDescent="0.25">
      <c r="A12" s="50">
        <f t="shared" si="0"/>
        <v>4</v>
      </c>
      <c r="B12" s="50" t="s">
        <v>17</v>
      </c>
      <c r="C12" s="3">
        <v>972</v>
      </c>
      <c r="D12" s="38">
        <v>13685000</v>
      </c>
      <c r="E12" s="42">
        <v>6842500</v>
      </c>
      <c r="F12" s="55">
        <v>0</v>
      </c>
      <c r="G12" s="55">
        <v>0</v>
      </c>
      <c r="H12" s="55">
        <v>0</v>
      </c>
      <c r="I12" s="55">
        <v>3421250</v>
      </c>
      <c r="J12" s="54"/>
      <c r="K12" s="54">
        <v>3421250</v>
      </c>
      <c r="L12" s="56"/>
      <c r="M12" s="54">
        <f t="shared" si="1"/>
        <v>13685000</v>
      </c>
      <c r="N12" s="54">
        <f t="shared" si="2"/>
        <v>0</v>
      </c>
    </row>
    <row r="13" spans="1:18" ht="18" customHeight="1" x14ac:dyDescent="0.25">
      <c r="A13" s="50">
        <f t="shared" si="0"/>
        <v>5</v>
      </c>
      <c r="B13" s="50" t="s">
        <v>17</v>
      </c>
      <c r="C13" s="3">
        <v>973</v>
      </c>
      <c r="D13" s="38">
        <v>5439154</v>
      </c>
      <c r="E13" s="42">
        <v>1359789</v>
      </c>
      <c r="F13" s="55">
        <v>0</v>
      </c>
      <c r="G13" s="55">
        <v>1359789</v>
      </c>
      <c r="H13" s="55">
        <v>2710576</v>
      </c>
      <c r="I13" s="54"/>
      <c r="J13" s="54"/>
      <c r="K13" s="54"/>
      <c r="L13" s="56">
        <v>9000</v>
      </c>
      <c r="M13" s="54">
        <f t="shared" si="1"/>
        <v>5439154</v>
      </c>
      <c r="N13" s="54">
        <f t="shared" si="2"/>
        <v>0</v>
      </c>
    </row>
    <row r="14" spans="1:18" ht="18" customHeight="1" x14ac:dyDescent="0.25">
      <c r="A14" s="50">
        <f t="shared" si="0"/>
        <v>6</v>
      </c>
      <c r="B14" s="50" t="s">
        <v>17</v>
      </c>
      <c r="C14" s="3">
        <v>975</v>
      </c>
      <c r="D14" s="38">
        <v>4287917</v>
      </c>
      <c r="E14" s="42">
        <v>0</v>
      </c>
      <c r="F14" s="55">
        <v>2143959</v>
      </c>
      <c r="G14" s="55">
        <v>0</v>
      </c>
      <c r="H14" s="55">
        <v>0</v>
      </c>
      <c r="I14" s="55">
        <v>0</v>
      </c>
      <c r="J14" s="54">
        <v>2143959</v>
      </c>
      <c r="K14" s="54"/>
      <c r="L14" s="56">
        <v>-1</v>
      </c>
      <c r="M14" s="54">
        <f t="shared" si="1"/>
        <v>4287917</v>
      </c>
      <c r="N14" s="54">
        <f t="shared" si="2"/>
        <v>0</v>
      </c>
    </row>
    <row r="15" spans="1:18" ht="18" customHeight="1" x14ac:dyDescent="0.25">
      <c r="A15" s="50">
        <f t="shared" si="0"/>
        <v>7</v>
      </c>
      <c r="B15" s="50" t="s">
        <v>17</v>
      </c>
      <c r="C15" s="3">
        <v>976</v>
      </c>
      <c r="D15" s="38">
        <v>1950000</v>
      </c>
      <c r="E15" s="42">
        <v>650000</v>
      </c>
      <c r="F15" s="55">
        <v>650000</v>
      </c>
      <c r="G15" s="55">
        <v>650000</v>
      </c>
      <c r="H15" s="54"/>
      <c r="I15" s="54"/>
      <c r="J15" s="54"/>
      <c r="K15" s="54"/>
      <c r="L15" s="56"/>
      <c r="M15" s="54">
        <f t="shared" si="1"/>
        <v>1950000</v>
      </c>
      <c r="N15" s="54">
        <f t="shared" si="2"/>
        <v>0</v>
      </c>
    </row>
    <row r="16" spans="1:18" ht="18" customHeight="1" x14ac:dyDescent="0.25">
      <c r="A16" s="50">
        <f t="shared" si="0"/>
        <v>8</v>
      </c>
      <c r="B16" s="50" t="s">
        <v>17</v>
      </c>
      <c r="C16" s="3">
        <v>978</v>
      </c>
      <c r="D16" s="38">
        <v>999955</v>
      </c>
      <c r="E16" s="42">
        <v>0</v>
      </c>
      <c r="F16" s="55">
        <v>0</v>
      </c>
      <c r="G16" s="55">
        <v>0</v>
      </c>
      <c r="H16" s="55">
        <v>0</v>
      </c>
      <c r="I16" s="55">
        <v>0</v>
      </c>
      <c r="J16" s="54"/>
      <c r="K16" s="54"/>
      <c r="L16" s="56">
        <v>999955</v>
      </c>
      <c r="M16" s="54">
        <f t="shared" si="1"/>
        <v>999955</v>
      </c>
      <c r="N16" s="54">
        <f t="shared" si="2"/>
        <v>0</v>
      </c>
      <c r="O16" s="260"/>
      <c r="P16" s="254"/>
      <c r="Q16" s="254"/>
      <c r="R16" s="254"/>
    </row>
    <row r="17" spans="1:14" ht="18" customHeight="1" x14ac:dyDescent="0.25">
      <c r="A17" s="50">
        <f t="shared" si="0"/>
        <v>9</v>
      </c>
      <c r="B17" s="50" t="s">
        <v>17</v>
      </c>
      <c r="C17" s="3">
        <v>979</v>
      </c>
      <c r="D17" s="38">
        <v>1972890</v>
      </c>
      <c r="E17" s="42">
        <v>591867</v>
      </c>
      <c r="F17" s="55">
        <v>0</v>
      </c>
      <c r="G17" s="55">
        <v>0</v>
      </c>
      <c r="H17" s="55">
        <v>1085023</v>
      </c>
      <c r="I17" s="54"/>
      <c r="J17" s="54"/>
      <c r="K17" s="54"/>
      <c r="L17" s="56">
        <v>296000</v>
      </c>
      <c r="M17" s="54">
        <f t="shared" si="1"/>
        <v>1972890</v>
      </c>
      <c r="N17" s="54">
        <f t="shared" si="2"/>
        <v>0</v>
      </c>
    </row>
    <row r="18" spans="1:14" ht="18" customHeight="1" x14ac:dyDescent="0.25">
      <c r="A18" s="50">
        <f t="shared" si="0"/>
        <v>10</v>
      </c>
      <c r="B18" s="50" t="s">
        <v>17</v>
      </c>
      <c r="C18" s="3">
        <v>980</v>
      </c>
      <c r="D18" s="38">
        <v>3120779</v>
      </c>
      <c r="E18" s="42">
        <v>1550000</v>
      </c>
      <c r="F18" s="55">
        <v>0</v>
      </c>
      <c r="G18" s="55">
        <v>0</v>
      </c>
      <c r="H18" s="55">
        <v>0</v>
      </c>
      <c r="I18" s="55">
        <v>0</v>
      </c>
      <c r="J18" s="54"/>
      <c r="K18" s="54">
        <v>988806</v>
      </c>
      <c r="L18" s="56">
        <v>581973</v>
      </c>
      <c r="M18" s="54">
        <f t="shared" si="1"/>
        <v>3120779</v>
      </c>
      <c r="N18" s="54">
        <f t="shared" si="2"/>
        <v>0</v>
      </c>
    </row>
    <row r="19" spans="1:14" ht="18" customHeight="1" x14ac:dyDescent="0.25">
      <c r="A19" s="50">
        <f t="shared" si="0"/>
        <v>11</v>
      </c>
      <c r="B19" s="50" t="s">
        <v>17</v>
      </c>
      <c r="C19" s="3">
        <v>981</v>
      </c>
      <c r="D19" s="38">
        <v>1464219</v>
      </c>
      <c r="E19" s="42">
        <f>+'[1]cartola Octubre'!$G$25+'[1]cartola Octubre'!$G$44</f>
        <v>800000</v>
      </c>
      <c r="F19" s="55">
        <v>0</v>
      </c>
      <c r="G19" s="55">
        <v>300000</v>
      </c>
      <c r="H19" s="55">
        <v>0</v>
      </c>
      <c r="I19" s="55">
        <v>0</v>
      </c>
      <c r="J19" s="54">
        <v>364219</v>
      </c>
      <c r="K19" s="54"/>
      <c r="L19" s="56"/>
      <c r="M19" s="54">
        <f t="shared" si="1"/>
        <v>1464219</v>
      </c>
      <c r="N19" s="54">
        <f t="shared" si="2"/>
        <v>0</v>
      </c>
    </row>
    <row r="20" spans="1:14" ht="18" customHeight="1" x14ac:dyDescent="0.25">
      <c r="A20" s="50">
        <f t="shared" si="0"/>
        <v>12</v>
      </c>
      <c r="B20" s="50" t="s">
        <v>17</v>
      </c>
      <c r="C20" s="3">
        <v>982</v>
      </c>
      <c r="D20" s="38">
        <v>3198821</v>
      </c>
      <c r="E20" s="42">
        <v>1066273</v>
      </c>
      <c r="F20" s="55">
        <v>1066273</v>
      </c>
      <c r="G20" s="55">
        <v>1066275</v>
      </c>
      <c r="H20" s="54"/>
      <c r="I20" s="54"/>
      <c r="J20" s="54"/>
      <c r="K20" s="54"/>
      <c r="L20" s="56"/>
      <c r="M20" s="54">
        <f t="shared" si="1"/>
        <v>3198821</v>
      </c>
      <c r="N20" s="54">
        <f t="shared" si="2"/>
        <v>0</v>
      </c>
    </row>
    <row r="21" spans="1:14" ht="18" customHeight="1" x14ac:dyDescent="0.25">
      <c r="A21" s="50">
        <f t="shared" si="0"/>
        <v>13</v>
      </c>
      <c r="B21" s="50" t="s">
        <v>17</v>
      </c>
      <c r="C21" s="3">
        <v>983</v>
      </c>
      <c r="D21" s="38">
        <v>2679023.1999999997</v>
      </c>
      <c r="E21" s="42">
        <v>2679023</v>
      </c>
      <c r="F21" s="54"/>
      <c r="G21" s="54"/>
      <c r="H21" s="54"/>
      <c r="I21" s="54"/>
      <c r="J21" s="54"/>
      <c r="K21" s="54"/>
      <c r="L21" s="56"/>
      <c r="M21" s="54">
        <f t="shared" si="1"/>
        <v>2679023</v>
      </c>
      <c r="N21" s="54">
        <f t="shared" si="2"/>
        <v>0.19999999972060323</v>
      </c>
    </row>
    <row r="22" spans="1:14" ht="18" customHeight="1" x14ac:dyDescent="0.25">
      <c r="A22" s="50">
        <f t="shared" si="0"/>
        <v>14</v>
      </c>
      <c r="B22" s="50" t="s">
        <v>17</v>
      </c>
      <c r="C22" s="3">
        <v>985</v>
      </c>
      <c r="D22" s="38">
        <v>2521602</v>
      </c>
      <c r="E22" s="42">
        <v>1260801</v>
      </c>
      <c r="F22" s="55">
        <v>1260802</v>
      </c>
      <c r="G22" s="54"/>
      <c r="H22" s="54"/>
      <c r="I22" s="54"/>
      <c r="J22" s="54"/>
      <c r="K22" s="54"/>
      <c r="L22" s="56">
        <v>-1</v>
      </c>
      <c r="M22" s="54">
        <f t="shared" si="1"/>
        <v>2521602</v>
      </c>
      <c r="N22" s="54">
        <f t="shared" si="2"/>
        <v>0</v>
      </c>
    </row>
    <row r="23" spans="1:14" ht="18" customHeight="1" x14ac:dyDescent="0.25">
      <c r="A23" s="50">
        <f t="shared" si="0"/>
        <v>15</v>
      </c>
      <c r="B23" s="50" t="s">
        <v>17</v>
      </c>
      <c r="C23" s="3">
        <v>986</v>
      </c>
      <c r="D23" s="38">
        <v>5134206</v>
      </c>
      <c r="E23" s="42">
        <v>0</v>
      </c>
      <c r="F23" s="55">
        <f>1283551+'[2]cartola Nov'!$I$71</f>
        <v>3850654</v>
      </c>
      <c r="G23" s="55">
        <v>1283552</v>
      </c>
      <c r="H23" s="54"/>
      <c r="I23" s="54"/>
      <c r="J23" s="54"/>
      <c r="K23" s="54"/>
      <c r="L23" s="56"/>
      <c r="M23" s="54">
        <f t="shared" si="1"/>
        <v>5134206</v>
      </c>
      <c r="N23" s="54">
        <f t="shared" si="2"/>
        <v>0</v>
      </c>
    </row>
    <row r="24" spans="1:14" ht="18" customHeight="1" x14ac:dyDescent="0.25">
      <c r="A24" s="50">
        <f t="shared" si="0"/>
        <v>16</v>
      </c>
      <c r="B24" s="50" t="s">
        <v>17</v>
      </c>
      <c r="C24" s="3">
        <v>987</v>
      </c>
      <c r="D24" s="38">
        <v>1438762</v>
      </c>
      <c r="E24" s="42">
        <v>0</v>
      </c>
      <c r="F24" s="55">
        <v>719381</v>
      </c>
      <c r="G24" s="55">
        <f>+'[2]cartola Dic'!$I$45+'[2]cartola Dic'!$I$92</f>
        <v>719382</v>
      </c>
      <c r="H24" s="54"/>
      <c r="I24" s="54"/>
      <c r="J24" s="54"/>
      <c r="K24" s="54"/>
      <c r="L24" s="56">
        <v>-1</v>
      </c>
      <c r="M24" s="54">
        <f t="shared" si="1"/>
        <v>1438762</v>
      </c>
      <c r="N24" s="54">
        <f t="shared" si="2"/>
        <v>0</v>
      </c>
    </row>
    <row r="25" spans="1:14" ht="18" customHeight="1" x14ac:dyDescent="0.25">
      <c r="A25" s="50">
        <f t="shared" si="0"/>
        <v>17</v>
      </c>
      <c r="B25" s="50" t="s">
        <v>17</v>
      </c>
      <c r="C25" s="3">
        <v>988</v>
      </c>
      <c r="D25" s="38">
        <v>1395650</v>
      </c>
      <c r="E25" s="42">
        <v>0</v>
      </c>
      <c r="F25" s="55">
        <v>0</v>
      </c>
      <c r="G25" s="55">
        <v>465216</v>
      </c>
      <c r="H25" s="55">
        <v>465217</v>
      </c>
      <c r="I25" s="55">
        <v>465216</v>
      </c>
      <c r="J25" s="54"/>
      <c r="K25" s="54"/>
      <c r="L25" s="56"/>
      <c r="M25" s="54">
        <f t="shared" si="1"/>
        <v>1395649</v>
      </c>
      <c r="N25" s="54">
        <v>0</v>
      </c>
    </row>
    <row r="26" spans="1:14" ht="18" customHeight="1" x14ac:dyDescent="0.25">
      <c r="A26" s="50">
        <f t="shared" si="0"/>
        <v>18</v>
      </c>
      <c r="B26" s="50" t="s">
        <v>17</v>
      </c>
      <c r="C26" s="3">
        <v>989</v>
      </c>
      <c r="D26" s="38">
        <v>2193090</v>
      </c>
      <c r="E26" s="42">
        <v>0</v>
      </c>
      <c r="F26" s="55">
        <v>1095000</v>
      </c>
      <c r="G26" s="55">
        <v>365000</v>
      </c>
      <c r="H26" s="55">
        <v>365000</v>
      </c>
      <c r="I26" s="55">
        <v>365000</v>
      </c>
      <c r="J26" s="54"/>
      <c r="K26" s="54"/>
      <c r="L26" s="56">
        <v>3090</v>
      </c>
      <c r="M26" s="54">
        <f t="shared" si="1"/>
        <v>2193090</v>
      </c>
      <c r="N26" s="54">
        <f t="shared" si="2"/>
        <v>0</v>
      </c>
    </row>
    <row r="27" spans="1:14" ht="18" customHeight="1" x14ac:dyDescent="0.25">
      <c r="A27" s="50">
        <f t="shared" si="0"/>
        <v>19</v>
      </c>
      <c r="B27" s="50" t="s">
        <v>17</v>
      </c>
      <c r="C27" s="3">
        <v>990</v>
      </c>
      <c r="D27" s="38">
        <v>3767396</v>
      </c>
      <c r="E27" s="42">
        <v>1380216</v>
      </c>
      <c r="F27" s="55">
        <v>0</v>
      </c>
      <c r="G27" s="55">
        <v>0</v>
      </c>
      <c r="H27" s="55">
        <v>0</v>
      </c>
      <c r="I27" s="55">
        <v>0</v>
      </c>
      <c r="J27" s="54"/>
      <c r="K27" s="54"/>
      <c r="L27" s="56">
        <v>750000</v>
      </c>
      <c r="M27" s="54">
        <f t="shared" si="1"/>
        <v>2130216</v>
      </c>
      <c r="N27" s="54">
        <f t="shared" si="2"/>
        <v>1637180</v>
      </c>
    </row>
    <row r="28" spans="1:14" ht="18" customHeight="1" thickBot="1" x14ac:dyDescent="0.3">
      <c r="A28" s="51">
        <f t="shared" si="0"/>
        <v>20</v>
      </c>
      <c r="B28" s="50" t="s">
        <v>17</v>
      </c>
      <c r="C28" s="3">
        <v>991</v>
      </c>
      <c r="D28" s="38">
        <v>3133683</v>
      </c>
      <c r="E28" s="42">
        <v>1380216</v>
      </c>
      <c r="F28" s="55">
        <v>0</v>
      </c>
      <c r="G28" s="55">
        <v>0</v>
      </c>
      <c r="H28" s="55">
        <v>0</v>
      </c>
      <c r="I28" s="55">
        <v>0</v>
      </c>
      <c r="J28" s="54"/>
      <c r="K28" s="54"/>
      <c r="L28" s="56">
        <v>750000</v>
      </c>
      <c r="M28" s="54">
        <f t="shared" si="1"/>
        <v>2130216</v>
      </c>
      <c r="N28" s="54">
        <f t="shared" si="2"/>
        <v>1003467</v>
      </c>
    </row>
    <row r="29" spans="1:14" ht="20.100000000000001" customHeight="1" thickBot="1" x14ac:dyDescent="0.3">
      <c r="B29" s="248" t="s">
        <v>14</v>
      </c>
      <c r="C29" s="249"/>
      <c r="D29" s="57">
        <f t="shared" ref="D29:L29" si="3">SUM(D9:D28)</f>
        <v>64460211.200000003</v>
      </c>
      <c r="E29" s="57">
        <f t="shared" si="3"/>
        <v>21901381</v>
      </c>
      <c r="F29" s="57">
        <f t="shared" si="3"/>
        <v>10786069</v>
      </c>
      <c r="G29" s="57">
        <f t="shared" si="3"/>
        <v>7213625</v>
      </c>
      <c r="H29" s="57">
        <f t="shared" si="3"/>
        <v>4625816</v>
      </c>
      <c r="I29" s="57">
        <f t="shared" si="3"/>
        <v>4251466</v>
      </c>
      <c r="J29" s="57">
        <f t="shared" si="3"/>
        <v>2508178</v>
      </c>
      <c r="K29" s="57">
        <f t="shared" si="3"/>
        <v>4410056</v>
      </c>
      <c r="L29" s="58">
        <f t="shared" si="3"/>
        <v>3390018</v>
      </c>
      <c r="M29" s="57">
        <f>SUM(M9:M28)</f>
        <v>59086609</v>
      </c>
      <c r="N29" s="59">
        <f>SUM(N9:N28)</f>
        <v>5373601.1999999993</v>
      </c>
    </row>
    <row r="31" spans="1:14" x14ac:dyDescent="0.25">
      <c r="F31" s="43"/>
      <c r="G31" s="43"/>
      <c r="H31" s="43"/>
      <c r="I31" s="43"/>
    </row>
    <row r="34" spans="4:14" x14ac:dyDescent="0.25">
      <c r="F34" s="43"/>
    </row>
    <row r="35" spans="4:14" x14ac:dyDescent="0.25">
      <c r="F35" s="43"/>
      <c r="G35" s="43"/>
      <c r="H35" s="43"/>
      <c r="I35" s="43"/>
      <c r="L35" s="52"/>
      <c r="M35" s="44"/>
    </row>
    <row r="36" spans="4:14" x14ac:dyDescent="0.25">
      <c r="F36" s="43"/>
      <c r="G36" s="43"/>
      <c r="H36" s="43"/>
      <c r="I36" s="43"/>
      <c r="L36" s="52"/>
      <c r="M36" s="44"/>
    </row>
    <row r="37" spans="4:14" x14ac:dyDescent="0.25">
      <c r="L37" s="52"/>
      <c r="M37" s="44"/>
      <c r="N37" s="44"/>
    </row>
    <row r="38" spans="4:14" x14ac:dyDescent="0.25">
      <c r="L38" s="52"/>
      <c r="M38" s="44"/>
      <c r="N38" s="44"/>
    </row>
    <row r="39" spans="4:14" x14ac:dyDescent="0.25">
      <c r="L39" s="52"/>
      <c r="M39" s="44"/>
      <c r="N39" s="44"/>
    </row>
    <row r="40" spans="4:14" x14ac:dyDescent="0.25">
      <c r="L40" s="52"/>
      <c r="M40" s="44"/>
      <c r="N40" s="44"/>
    </row>
    <row r="41" spans="4:14" x14ac:dyDescent="0.25">
      <c r="L41" s="52"/>
      <c r="M41" s="44"/>
    </row>
    <row r="42" spans="4:14" x14ac:dyDescent="0.25">
      <c r="D42" s="44"/>
      <c r="E42" s="44"/>
      <c r="L42" s="52"/>
      <c r="M42" s="44"/>
      <c r="N42" s="44"/>
    </row>
    <row r="43" spans="4:14" x14ac:dyDescent="0.25">
      <c r="F43" s="43"/>
    </row>
    <row r="44" spans="4:14" ht="13.5" thickBot="1" x14ac:dyDescent="0.3">
      <c r="F44" s="43"/>
      <c r="M44" s="44"/>
      <c r="N44" s="44"/>
    </row>
    <row r="45" spans="4:14" ht="13.5" thickBot="1" x14ac:dyDescent="0.3">
      <c r="N45" s="53"/>
    </row>
  </sheetData>
  <mergeCells count="3">
    <mergeCell ref="B29:C29"/>
    <mergeCell ref="O16:R16"/>
    <mergeCell ref="E7:K7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46"/>
  <sheetViews>
    <sheetView topLeftCell="A5" zoomScaleNormal="100" workbookViewId="0">
      <selection activeCell="K20" sqref="K20"/>
    </sheetView>
  </sheetViews>
  <sheetFormatPr baseColWidth="10" defaultRowHeight="12.75" x14ac:dyDescent="0.2"/>
  <cols>
    <col min="1" max="1" width="3.7109375" style="5" customWidth="1"/>
    <col min="2" max="2" width="13.7109375" style="7" customWidth="1"/>
    <col min="3" max="3" width="8.7109375" style="7" customWidth="1"/>
    <col min="4" max="4" width="12.7109375" style="7" customWidth="1"/>
    <col min="5" max="13" width="12.7109375" style="8" customWidth="1"/>
    <col min="14" max="15" width="14.7109375" style="7" customWidth="1"/>
    <col min="16" max="16384" width="11.42578125" style="7"/>
  </cols>
  <sheetData>
    <row r="6" spans="1:15" ht="13.5" thickBot="1" x14ac:dyDescent="0.25"/>
    <row r="7" spans="1:15" ht="15.75" thickBot="1" x14ac:dyDescent="0.3">
      <c r="B7" s="6">
        <v>42675</v>
      </c>
      <c r="E7" s="263" t="s">
        <v>4</v>
      </c>
      <c r="F7" s="264"/>
      <c r="G7" s="264"/>
      <c r="H7" s="264"/>
      <c r="I7" s="264"/>
      <c r="J7" s="264"/>
      <c r="K7" s="265"/>
    </row>
    <row r="8" spans="1:15" ht="15" customHeight="1" thickBot="1" x14ac:dyDescent="0.25">
      <c r="B8" s="9" t="s">
        <v>11</v>
      </c>
      <c r="C8" s="9" t="s">
        <v>12</v>
      </c>
      <c r="D8" s="10" t="s">
        <v>13</v>
      </c>
      <c r="E8" s="19" t="s">
        <v>5</v>
      </c>
      <c r="F8" s="19" t="s">
        <v>6</v>
      </c>
      <c r="G8" s="19" t="s">
        <v>7</v>
      </c>
      <c r="H8" s="19" t="s">
        <v>8</v>
      </c>
      <c r="I8" s="19" t="s">
        <v>9</v>
      </c>
      <c r="J8" s="19" t="s">
        <v>20</v>
      </c>
      <c r="K8" s="19" t="s">
        <v>21</v>
      </c>
      <c r="L8" s="17" t="s">
        <v>10</v>
      </c>
      <c r="M8" s="48" t="s">
        <v>19</v>
      </c>
      <c r="N8" s="9" t="s">
        <v>16</v>
      </c>
      <c r="O8" s="19" t="s">
        <v>15</v>
      </c>
    </row>
    <row r="9" spans="1:15" ht="18" customHeight="1" x14ac:dyDescent="0.2">
      <c r="A9" s="11">
        <v>1</v>
      </c>
      <c r="B9" s="11" t="s">
        <v>0</v>
      </c>
      <c r="C9" s="1">
        <v>974</v>
      </c>
      <c r="D9" s="28">
        <v>7669182</v>
      </c>
      <c r="E9" s="22">
        <v>3834591</v>
      </c>
      <c r="F9" s="22">
        <v>0</v>
      </c>
      <c r="G9" s="22">
        <v>0</v>
      </c>
      <c r="H9" s="22">
        <v>0</v>
      </c>
      <c r="I9" s="76"/>
      <c r="J9" s="76"/>
      <c r="K9" s="76"/>
      <c r="L9" s="25">
        <v>0</v>
      </c>
      <c r="M9" s="25">
        <v>0</v>
      </c>
      <c r="N9" s="34">
        <f>SUM(E9:M9)</f>
        <v>3834591</v>
      </c>
      <c r="O9" s="35">
        <f t="shared" ref="O9:O26" si="0">D9-N9</f>
        <v>3834591</v>
      </c>
    </row>
    <row r="10" spans="1:15" ht="18" customHeight="1" x14ac:dyDescent="0.2">
      <c r="A10" s="14">
        <f>A9+1</f>
        <v>2</v>
      </c>
      <c r="B10" s="14" t="s">
        <v>0</v>
      </c>
      <c r="C10" s="2">
        <v>984</v>
      </c>
      <c r="D10" s="29">
        <v>1144466</v>
      </c>
      <c r="E10" s="23">
        <v>343339</v>
      </c>
      <c r="F10" s="23">
        <v>190744</v>
      </c>
      <c r="G10" s="23">
        <v>152595</v>
      </c>
      <c r="H10" s="23">
        <v>152595</v>
      </c>
      <c r="I10" s="77">
        <v>152595</v>
      </c>
      <c r="J10" s="77">
        <v>152595</v>
      </c>
      <c r="K10" s="77"/>
      <c r="L10" s="26">
        <v>3</v>
      </c>
      <c r="M10" s="26">
        <v>0</v>
      </c>
      <c r="N10" s="34">
        <f t="shared" ref="N10:N29" si="1">SUM(E10:M10)</f>
        <v>1144466</v>
      </c>
      <c r="O10" s="33">
        <f t="shared" si="0"/>
        <v>0</v>
      </c>
    </row>
    <row r="11" spans="1:15" ht="18" customHeight="1" x14ac:dyDescent="0.2">
      <c r="A11" s="14">
        <f t="shared" ref="A11:A29" si="2">A10+1</f>
        <v>3</v>
      </c>
      <c r="B11" s="14" t="s">
        <v>0</v>
      </c>
      <c r="C11" s="2">
        <v>992</v>
      </c>
      <c r="D11" s="29">
        <v>5810433</v>
      </c>
      <c r="E11" s="23">
        <v>1936811</v>
      </c>
      <c r="F11" s="23">
        <v>1936811</v>
      </c>
      <c r="G11" s="23">
        <v>1936811</v>
      </c>
      <c r="H11" s="23">
        <v>0</v>
      </c>
      <c r="I11" s="77"/>
      <c r="J11" s="77"/>
      <c r="K11" s="77"/>
      <c r="L11" s="26">
        <v>0</v>
      </c>
      <c r="M11" s="26">
        <v>0</v>
      </c>
      <c r="N11" s="34">
        <f t="shared" si="1"/>
        <v>5810433</v>
      </c>
      <c r="O11" s="33">
        <f t="shared" si="0"/>
        <v>0</v>
      </c>
    </row>
    <row r="12" spans="1:15" ht="18" customHeight="1" x14ac:dyDescent="0.2">
      <c r="A12" s="14">
        <f t="shared" si="2"/>
        <v>4</v>
      </c>
      <c r="B12" s="14" t="s">
        <v>0</v>
      </c>
      <c r="C12" s="2">
        <v>993</v>
      </c>
      <c r="D12" s="29">
        <v>1345650</v>
      </c>
      <c r="E12" s="23">
        <v>672825</v>
      </c>
      <c r="F12" s="23">
        <v>672825</v>
      </c>
      <c r="G12" s="23">
        <v>0</v>
      </c>
      <c r="H12" s="23">
        <v>0</v>
      </c>
      <c r="I12" s="77"/>
      <c r="J12" s="77"/>
      <c r="K12" s="77"/>
      <c r="L12" s="26">
        <v>0</v>
      </c>
      <c r="M12" s="26">
        <v>0</v>
      </c>
      <c r="N12" s="34">
        <f t="shared" si="1"/>
        <v>1345650</v>
      </c>
      <c r="O12" s="33">
        <f t="shared" si="0"/>
        <v>0</v>
      </c>
    </row>
    <row r="13" spans="1:15" ht="18" customHeight="1" x14ac:dyDescent="0.2">
      <c r="A13" s="14">
        <f t="shared" si="2"/>
        <v>5</v>
      </c>
      <c r="B13" s="14" t="s">
        <v>0</v>
      </c>
      <c r="C13" s="2">
        <v>994</v>
      </c>
      <c r="D13" s="29">
        <v>2602155</v>
      </c>
      <c r="E13" s="23">
        <v>1300000</v>
      </c>
      <c r="F13" s="23">
        <v>0</v>
      </c>
      <c r="G13" s="23">
        <v>0</v>
      </c>
      <c r="H13" s="23">
        <v>0</v>
      </c>
      <c r="I13" s="77">
        <v>434051</v>
      </c>
      <c r="J13" s="77">
        <v>434051</v>
      </c>
      <c r="K13" s="77">
        <v>434053</v>
      </c>
      <c r="L13" s="26">
        <v>0</v>
      </c>
      <c r="M13" s="26">
        <v>0</v>
      </c>
      <c r="N13" s="34">
        <f t="shared" si="1"/>
        <v>2602155</v>
      </c>
      <c r="O13" s="33">
        <f t="shared" si="0"/>
        <v>0</v>
      </c>
    </row>
    <row r="14" spans="1:15" ht="18" customHeight="1" x14ac:dyDescent="0.2">
      <c r="A14" s="14">
        <f t="shared" si="2"/>
        <v>6</v>
      </c>
      <c r="B14" s="14" t="s">
        <v>0</v>
      </c>
      <c r="C14" s="2">
        <v>995</v>
      </c>
      <c r="D14" s="29">
        <v>2892074</v>
      </c>
      <c r="E14" s="23">
        <v>1446037</v>
      </c>
      <c r="F14" s="23">
        <v>0</v>
      </c>
      <c r="G14" s="23">
        <v>0</v>
      </c>
      <c r="H14" s="23">
        <v>1176036</v>
      </c>
      <c r="I14" s="77"/>
      <c r="J14" s="77"/>
      <c r="K14" s="77"/>
      <c r="L14" s="26">
        <f>270000+1</f>
        <v>270001</v>
      </c>
      <c r="M14" s="26">
        <v>0</v>
      </c>
      <c r="N14" s="34">
        <f t="shared" si="1"/>
        <v>2892074</v>
      </c>
      <c r="O14" s="33">
        <f t="shared" si="0"/>
        <v>0</v>
      </c>
    </row>
    <row r="15" spans="1:15" ht="18" customHeight="1" x14ac:dyDescent="0.2">
      <c r="A15" s="14">
        <f t="shared" si="2"/>
        <v>7</v>
      </c>
      <c r="B15" s="14" t="s">
        <v>0</v>
      </c>
      <c r="C15" s="2">
        <v>996</v>
      </c>
      <c r="D15" s="29">
        <v>3598963</v>
      </c>
      <c r="E15" s="23">
        <v>1199654</v>
      </c>
      <c r="F15" s="23">
        <v>1199654</v>
      </c>
      <c r="G15" s="23">
        <v>1199655</v>
      </c>
      <c r="H15" s="23">
        <v>0</v>
      </c>
      <c r="I15" s="77"/>
      <c r="J15" s="77"/>
      <c r="K15" s="77"/>
      <c r="L15" s="26">
        <v>0</v>
      </c>
      <c r="M15" s="26">
        <v>0</v>
      </c>
      <c r="N15" s="34">
        <f t="shared" si="1"/>
        <v>3598963</v>
      </c>
      <c r="O15" s="33">
        <f t="shared" si="0"/>
        <v>0</v>
      </c>
    </row>
    <row r="16" spans="1:15" ht="18" customHeight="1" x14ac:dyDescent="0.2">
      <c r="A16" s="14">
        <f t="shared" si="2"/>
        <v>8</v>
      </c>
      <c r="B16" s="14" t="s">
        <v>0</v>
      </c>
      <c r="C16" s="2">
        <v>997</v>
      </c>
      <c r="D16" s="29">
        <v>4265436</v>
      </c>
      <c r="E16" s="23">
        <v>2000000</v>
      </c>
      <c r="F16" s="23">
        <v>0</v>
      </c>
      <c r="G16" s="23">
        <v>2265436</v>
      </c>
      <c r="H16" s="23">
        <v>0</v>
      </c>
      <c r="I16" s="77"/>
      <c r="J16" s="77"/>
      <c r="K16" s="77"/>
      <c r="L16" s="26">
        <v>0</v>
      </c>
      <c r="M16" s="26">
        <v>0</v>
      </c>
      <c r="N16" s="34">
        <f t="shared" si="1"/>
        <v>4265436</v>
      </c>
      <c r="O16" s="33">
        <f t="shared" si="0"/>
        <v>0</v>
      </c>
    </row>
    <row r="17" spans="1:15" ht="18" customHeight="1" x14ac:dyDescent="0.2">
      <c r="A17" s="14">
        <f t="shared" si="2"/>
        <v>9</v>
      </c>
      <c r="B17" s="14" t="s">
        <v>0</v>
      </c>
      <c r="C17" s="2">
        <v>998</v>
      </c>
      <c r="D17" s="29">
        <v>920000</v>
      </c>
      <c r="E17" s="23">
        <v>460000</v>
      </c>
      <c r="F17" s="23">
        <v>0</v>
      </c>
      <c r="G17" s="23">
        <v>0</v>
      </c>
      <c r="H17" s="23">
        <v>0</v>
      </c>
      <c r="I17" s="77"/>
      <c r="J17" s="77"/>
      <c r="K17" s="77"/>
      <c r="L17" s="26">
        <v>460000</v>
      </c>
      <c r="M17" s="26">
        <v>0</v>
      </c>
      <c r="N17" s="34">
        <f t="shared" si="1"/>
        <v>920000</v>
      </c>
      <c r="O17" s="33">
        <f t="shared" si="0"/>
        <v>0</v>
      </c>
    </row>
    <row r="18" spans="1:15" ht="18" customHeight="1" x14ac:dyDescent="0.2">
      <c r="A18" s="14">
        <f t="shared" si="2"/>
        <v>10</v>
      </c>
      <c r="B18" s="37" t="s">
        <v>0</v>
      </c>
      <c r="C18" s="3">
        <v>999</v>
      </c>
      <c r="D18" s="38">
        <v>3694186</v>
      </c>
      <c r="E18" s="23">
        <v>1231395</v>
      </c>
      <c r="F18" s="23">
        <v>1231395</v>
      </c>
      <c r="G18" s="23">
        <v>1231396</v>
      </c>
      <c r="H18" s="23">
        <v>0</v>
      </c>
      <c r="I18" s="77"/>
      <c r="J18" s="77"/>
      <c r="K18" s="77"/>
      <c r="L18" s="26">
        <v>0</v>
      </c>
      <c r="M18" s="26">
        <v>0</v>
      </c>
      <c r="N18" s="34">
        <f t="shared" si="1"/>
        <v>3694186</v>
      </c>
      <c r="O18" s="33">
        <f t="shared" si="0"/>
        <v>0</v>
      </c>
    </row>
    <row r="19" spans="1:15" ht="18" customHeight="1" x14ac:dyDescent="0.2">
      <c r="A19" s="14">
        <f t="shared" si="2"/>
        <v>11</v>
      </c>
      <c r="B19" s="14" t="s">
        <v>0</v>
      </c>
      <c r="C19" s="2">
        <v>1000</v>
      </c>
      <c r="D19" s="29">
        <v>14447350</v>
      </c>
      <c r="E19" s="23">
        <v>7300000</v>
      </c>
      <c r="F19" s="23">
        <v>1500000</v>
      </c>
      <c r="G19" s="23">
        <v>0</v>
      </c>
      <c r="H19" s="23">
        <v>3147350</v>
      </c>
      <c r="I19" s="77"/>
      <c r="J19" s="77"/>
      <c r="K19" s="77"/>
      <c r="L19" s="26">
        <v>2500000</v>
      </c>
      <c r="M19" s="26">
        <v>0</v>
      </c>
      <c r="N19" s="34">
        <f t="shared" si="1"/>
        <v>14447350</v>
      </c>
      <c r="O19" s="33">
        <f t="shared" si="0"/>
        <v>0</v>
      </c>
    </row>
    <row r="20" spans="1:15" ht="18" customHeight="1" x14ac:dyDescent="0.2">
      <c r="A20" s="14">
        <f t="shared" si="2"/>
        <v>12</v>
      </c>
      <c r="B20" s="14" t="s">
        <v>0</v>
      </c>
      <c r="C20" s="2">
        <v>1002</v>
      </c>
      <c r="D20" s="29">
        <v>2308758</v>
      </c>
      <c r="E20" s="23">
        <v>383333</v>
      </c>
      <c r="F20" s="23">
        <v>383333</v>
      </c>
      <c r="G20" s="23">
        <v>383334</v>
      </c>
      <c r="H20" s="23">
        <v>0</v>
      </c>
      <c r="I20" s="77">
        <v>286252</v>
      </c>
      <c r="J20" s="77">
        <v>286252</v>
      </c>
      <c r="K20" s="77">
        <v>286252</v>
      </c>
      <c r="L20" s="26">
        <v>300000</v>
      </c>
      <c r="M20" s="26">
        <v>0</v>
      </c>
      <c r="N20" s="34">
        <f t="shared" si="1"/>
        <v>2308756</v>
      </c>
      <c r="O20" s="33">
        <f t="shared" si="0"/>
        <v>2</v>
      </c>
    </row>
    <row r="21" spans="1:15" ht="18" customHeight="1" x14ac:dyDescent="0.2">
      <c r="A21" s="14">
        <f t="shared" si="2"/>
        <v>13</v>
      </c>
      <c r="B21" s="14" t="s">
        <v>0</v>
      </c>
      <c r="C21" s="2">
        <v>1005</v>
      </c>
      <c r="D21" s="29">
        <v>2500000</v>
      </c>
      <c r="E21" s="23">
        <v>833334</v>
      </c>
      <c r="F21" s="23">
        <v>833334</v>
      </c>
      <c r="G21" s="23">
        <v>833334</v>
      </c>
      <c r="H21" s="23">
        <v>0</v>
      </c>
      <c r="I21" s="77"/>
      <c r="J21" s="77"/>
      <c r="K21" s="77"/>
      <c r="L21" s="26">
        <v>-2</v>
      </c>
      <c r="M21" s="26">
        <v>0</v>
      </c>
      <c r="N21" s="34">
        <f t="shared" si="1"/>
        <v>2500000</v>
      </c>
      <c r="O21" s="33">
        <f t="shared" si="0"/>
        <v>0</v>
      </c>
    </row>
    <row r="22" spans="1:15" ht="18" customHeight="1" x14ac:dyDescent="0.2">
      <c r="A22" s="14">
        <f t="shared" si="2"/>
        <v>14</v>
      </c>
      <c r="B22" s="14" t="s">
        <v>0</v>
      </c>
      <c r="C22" s="2">
        <v>1006</v>
      </c>
      <c r="D22" s="29">
        <v>6587388</v>
      </c>
      <c r="E22" s="23">
        <v>3293694</v>
      </c>
      <c r="F22" s="23">
        <v>0</v>
      </c>
      <c r="G22" s="23">
        <v>0</v>
      </c>
      <c r="H22" s="23">
        <v>1300000</v>
      </c>
      <c r="I22" s="77"/>
      <c r="J22" s="77">
        <v>1293784</v>
      </c>
      <c r="K22" s="77"/>
      <c r="L22" s="26">
        <v>700000</v>
      </c>
      <c r="M22" s="26">
        <v>-90</v>
      </c>
      <c r="N22" s="34">
        <f t="shared" si="1"/>
        <v>6587388</v>
      </c>
      <c r="O22" s="33">
        <f t="shared" si="0"/>
        <v>0</v>
      </c>
    </row>
    <row r="23" spans="1:15" ht="18" customHeight="1" x14ac:dyDescent="0.2">
      <c r="A23" s="14">
        <f t="shared" si="2"/>
        <v>15</v>
      </c>
      <c r="B23" s="14" t="s">
        <v>0</v>
      </c>
      <c r="C23" s="2">
        <v>1008</v>
      </c>
      <c r="D23" s="29">
        <v>3798999</v>
      </c>
      <c r="E23" s="23">
        <v>0</v>
      </c>
      <c r="F23" s="23">
        <v>1598929</v>
      </c>
      <c r="G23" s="23">
        <v>1598929</v>
      </c>
      <c r="H23" s="23">
        <v>0</v>
      </c>
      <c r="I23" s="77"/>
      <c r="J23" s="77"/>
      <c r="K23" s="77"/>
      <c r="L23" s="26">
        <v>0</v>
      </c>
      <c r="M23" s="26">
        <v>601141</v>
      </c>
      <c r="N23" s="34">
        <f t="shared" si="1"/>
        <v>3798999</v>
      </c>
      <c r="O23" s="33">
        <f t="shared" si="0"/>
        <v>0</v>
      </c>
    </row>
    <row r="24" spans="1:15" ht="18" customHeight="1" x14ac:dyDescent="0.2">
      <c r="A24" s="14">
        <f t="shared" si="2"/>
        <v>16</v>
      </c>
      <c r="B24" s="14" t="s">
        <v>0</v>
      </c>
      <c r="C24" s="2">
        <v>1009</v>
      </c>
      <c r="D24" s="29">
        <v>3400000</v>
      </c>
      <c r="E24" s="23">
        <v>1000000</v>
      </c>
      <c r="F24" s="23">
        <v>0</v>
      </c>
      <c r="G24" s="23">
        <v>0</v>
      </c>
      <c r="H24" s="23">
        <v>0</v>
      </c>
      <c r="I24" s="77"/>
      <c r="J24" s="77"/>
      <c r="K24" s="77">
        <v>2060000</v>
      </c>
      <c r="L24" s="26">
        <v>340000</v>
      </c>
      <c r="M24" s="26">
        <v>0</v>
      </c>
      <c r="N24" s="34">
        <f t="shared" si="1"/>
        <v>3400000</v>
      </c>
      <c r="O24" s="33">
        <f t="shared" si="0"/>
        <v>0</v>
      </c>
    </row>
    <row r="25" spans="1:15" ht="18" customHeight="1" x14ac:dyDescent="0.2">
      <c r="A25" s="14">
        <f t="shared" si="2"/>
        <v>17</v>
      </c>
      <c r="B25" s="14" t="s">
        <v>0</v>
      </c>
      <c r="C25" s="2">
        <v>1010</v>
      </c>
      <c r="D25" s="29">
        <v>2423185</v>
      </c>
      <c r="E25" s="23">
        <v>700000</v>
      </c>
      <c r="F25" s="23">
        <v>0</v>
      </c>
      <c r="G25" s="23">
        <f>861593+861593</f>
        <v>1723186</v>
      </c>
      <c r="H25" s="23">
        <v>0</v>
      </c>
      <c r="I25" s="77"/>
      <c r="J25" s="77"/>
      <c r="K25" s="77"/>
      <c r="L25" s="26">
        <v>-1</v>
      </c>
      <c r="M25" s="26">
        <v>0</v>
      </c>
      <c r="N25" s="34">
        <f t="shared" si="1"/>
        <v>2423185</v>
      </c>
      <c r="O25" s="33">
        <f t="shared" si="0"/>
        <v>0</v>
      </c>
    </row>
    <row r="26" spans="1:15" ht="18" customHeight="1" x14ac:dyDescent="0.2">
      <c r="A26" s="14">
        <f t="shared" si="2"/>
        <v>18</v>
      </c>
      <c r="B26" s="14" t="s">
        <v>0</v>
      </c>
      <c r="C26" s="2">
        <v>1011</v>
      </c>
      <c r="D26" s="29">
        <v>2792430</v>
      </c>
      <c r="E26" s="23">
        <v>0</v>
      </c>
      <c r="F26" s="23">
        <v>2792430</v>
      </c>
      <c r="G26" s="23">
        <v>0</v>
      </c>
      <c r="H26" s="23">
        <v>0</v>
      </c>
      <c r="I26" s="77"/>
      <c r="J26" s="77"/>
      <c r="K26" s="77"/>
      <c r="L26" s="26">
        <v>0</v>
      </c>
      <c r="M26" s="26">
        <v>0</v>
      </c>
      <c r="N26" s="34">
        <f t="shared" si="1"/>
        <v>2792430</v>
      </c>
      <c r="O26" s="33">
        <f t="shared" si="0"/>
        <v>0</v>
      </c>
    </row>
    <row r="27" spans="1:15" ht="18" customHeight="1" x14ac:dyDescent="0.2">
      <c r="A27" s="14">
        <f t="shared" si="2"/>
        <v>19</v>
      </c>
      <c r="B27" s="14" t="s">
        <v>0</v>
      </c>
      <c r="C27" s="2">
        <v>1013</v>
      </c>
      <c r="D27" s="29">
        <v>3800000</v>
      </c>
      <c r="E27" s="23">
        <v>0</v>
      </c>
      <c r="F27" s="23">
        <v>1266667</v>
      </c>
      <c r="G27" s="23">
        <v>1266667</v>
      </c>
      <c r="H27" s="23">
        <v>1266666</v>
      </c>
      <c r="I27" s="77"/>
      <c r="J27" s="77"/>
      <c r="K27" s="77"/>
      <c r="L27" s="26">
        <v>0</v>
      </c>
      <c r="M27" s="26">
        <v>0</v>
      </c>
      <c r="N27" s="34">
        <f t="shared" si="1"/>
        <v>3800000</v>
      </c>
      <c r="O27" s="33">
        <f>D27-N27</f>
        <v>0</v>
      </c>
    </row>
    <row r="28" spans="1:15" ht="18" customHeight="1" x14ac:dyDescent="0.2">
      <c r="A28" s="14">
        <f t="shared" si="2"/>
        <v>20</v>
      </c>
      <c r="B28" s="14" t="s">
        <v>0</v>
      </c>
      <c r="C28" s="2">
        <v>1015</v>
      </c>
      <c r="D28" s="29">
        <v>2000000</v>
      </c>
      <c r="E28" s="23">
        <v>1000000</v>
      </c>
      <c r="F28" s="23">
        <v>1000000</v>
      </c>
      <c r="G28" s="23"/>
      <c r="H28" s="23">
        <v>0</v>
      </c>
      <c r="I28" s="77"/>
      <c r="J28" s="77"/>
      <c r="K28" s="77"/>
      <c r="L28" s="26">
        <v>0</v>
      </c>
      <c r="M28" s="26">
        <v>0</v>
      </c>
      <c r="N28" s="34">
        <f t="shared" si="1"/>
        <v>2000000</v>
      </c>
      <c r="O28" s="33">
        <f>D28-N28</f>
        <v>0</v>
      </c>
    </row>
    <row r="29" spans="1:15" ht="18" customHeight="1" thickBot="1" x14ac:dyDescent="0.25">
      <c r="A29" s="15">
        <f t="shared" si="2"/>
        <v>21</v>
      </c>
      <c r="B29" s="16" t="s">
        <v>0</v>
      </c>
      <c r="C29" s="4">
        <v>1016</v>
      </c>
      <c r="D29" s="30">
        <v>1604407</v>
      </c>
      <c r="E29" s="24">
        <v>0</v>
      </c>
      <c r="F29" s="24">
        <v>1604407</v>
      </c>
      <c r="G29" s="24"/>
      <c r="H29" s="24">
        <v>0</v>
      </c>
      <c r="I29" s="78"/>
      <c r="J29" s="78"/>
      <c r="K29" s="78"/>
      <c r="L29" s="27">
        <v>0</v>
      </c>
      <c r="M29" s="27">
        <v>0</v>
      </c>
      <c r="N29" s="34">
        <f t="shared" si="1"/>
        <v>1604407</v>
      </c>
      <c r="O29" s="39">
        <f>D29-N29</f>
        <v>0</v>
      </c>
    </row>
    <row r="30" spans="1:15" ht="20.100000000000001" customHeight="1" thickBot="1" x14ac:dyDescent="0.3">
      <c r="B30" s="261" t="s">
        <v>14</v>
      </c>
      <c r="C30" s="262"/>
      <c r="D30" s="31">
        <f t="shared" ref="D30:M30" si="3">SUM(D9:D29)</f>
        <v>79605062</v>
      </c>
      <c r="E30" s="31">
        <f t="shared" si="3"/>
        <v>28935013</v>
      </c>
      <c r="F30" s="31">
        <f t="shared" si="3"/>
        <v>16210529</v>
      </c>
      <c r="G30" s="31">
        <f t="shared" si="3"/>
        <v>12591343</v>
      </c>
      <c r="H30" s="31">
        <f t="shared" si="3"/>
        <v>7042647</v>
      </c>
      <c r="I30" s="31">
        <f t="shared" si="3"/>
        <v>872898</v>
      </c>
      <c r="J30" s="31">
        <f>SUM(J9:J29)</f>
        <v>2166682</v>
      </c>
      <c r="K30" s="31">
        <f t="shared" si="3"/>
        <v>2780305</v>
      </c>
      <c r="L30" s="17">
        <f t="shared" si="3"/>
        <v>4570001</v>
      </c>
      <c r="M30" s="17">
        <f t="shared" si="3"/>
        <v>601051</v>
      </c>
      <c r="N30" s="18">
        <f>SUM(N9:N29)</f>
        <v>75770469</v>
      </c>
      <c r="O30" s="36">
        <f>SUM(O9:O29)</f>
        <v>3834593</v>
      </c>
    </row>
    <row r="32" spans="1:15" x14ac:dyDescent="0.2">
      <c r="E32" s="7"/>
      <c r="F32" s="7"/>
      <c r="G32" s="7"/>
      <c r="H32" s="7"/>
    </row>
    <row r="33" spans="4:15" x14ac:dyDescent="0.2">
      <c r="E33" s="13"/>
      <c r="F33" s="13"/>
    </row>
    <row r="35" spans="4:15" x14ac:dyDescent="0.2">
      <c r="E35" s="7"/>
    </row>
    <row r="36" spans="4:15" x14ac:dyDescent="0.2">
      <c r="E36" s="7"/>
      <c r="F36" s="7"/>
      <c r="G36" s="7"/>
      <c r="H36" s="7"/>
      <c r="L36" s="32"/>
      <c r="M36" s="32"/>
      <c r="N36" s="8"/>
      <c r="O36" s="5"/>
    </row>
    <row r="37" spans="4:15" x14ac:dyDescent="0.2">
      <c r="E37" s="7"/>
      <c r="F37" s="7"/>
      <c r="G37" s="7"/>
      <c r="H37" s="7"/>
      <c r="L37" s="32"/>
      <c r="M37" s="32"/>
      <c r="N37" s="8"/>
    </row>
    <row r="38" spans="4:15" x14ac:dyDescent="0.2">
      <c r="E38" s="13"/>
      <c r="F38" s="13"/>
      <c r="L38" s="32"/>
      <c r="M38" s="32"/>
      <c r="N38" s="8"/>
      <c r="O38" s="13"/>
    </row>
    <row r="39" spans="4:15" x14ac:dyDescent="0.2">
      <c r="E39" s="13"/>
      <c r="F39" s="13"/>
      <c r="L39" s="32"/>
      <c r="M39" s="32"/>
      <c r="N39" s="8"/>
      <c r="O39" s="13"/>
    </row>
    <row r="40" spans="4:15" x14ac:dyDescent="0.2">
      <c r="E40" s="13"/>
      <c r="F40" s="13"/>
      <c r="L40" s="32"/>
      <c r="M40" s="32"/>
      <c r="N40" s="8"/>
      <c r="O40" s="13"/>
    </row>
    <row r="41" spans="4:15" x14ac:dyDescent="0.2">
      <c r="E41" s="13"/>
      <c r="F41" s="13"/>
      <c r="L41" s="32"/>
      <c r="M41" s="32"/>
      <c r="N41" s="8"/>
      <c r="O41" s="13"/>
    </row>
    <row r="42" spans="4:15" x14ac:dyDescent="0.2">
      <c r="E42" s="13"/>
      <c r="F42" s="13"/>
      <c r="L42" s="32"/>
      <c r="M42" s="32"/>
      <c r="N42" s="8"/>
    </row>
    <row r="43" spans="4:15" x14ac:dyDescent="0.2">
      <c r="D43" s="13"/>
      <c r="E43" s="13"/>
      <c r="L43" s="32"/>
      <c r="M43" s="32"/>
      <c r="N43" s="8"/>
      <c r="O43" s="12"/>
    </row>
    <row r="44" spans="4:15" x14ac:dyDescent="0.2">
      <c r="E44" s="7"/>
      <c r="N44" s="20"/>
    </row>
    <row r="45" spans="4:15" ht="13.5" thickBot="1" x14ac:dyDescent="0.25">
      <c r="E45" s="7"/>
      <c r="N45" s="13"/>
      <c r="O45" s="13"/>
    </row>
    <row r="46" spans="4:15" ht="13.5" thickBot="1" x14ac:dyDescent="0.25">
      <c r="O46" s="21"/>
    </row>
  </sheetData>
  <mergeCells count="2">
    <mergeCell ref="B30:C30"/>
    <mergeCell ref="E7:K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A41"/>
  <sheetViews>
    <sheetView zoomScale="90" zoomScaleNormal="90" workbookViewId="0">
      <selection activeCell="J9" sqref="J9"/>
    </sheetView>
  </sheetViews>
  <sheetFormatPr baseColWidth="10" defaultRowHeight="12.75" x14ac:dyDescent="0.25"/>
  <cols>
    <col min="1" max="1" width="3.7109375" style="43" customWidth="1"/>
    <col min="2" max="2" width="13.7109375" style="43" customWidth="1"/>
    <col min="3" max="3" width="8.7109375" style="43" customWidth="1"/>
    <col min="4" max="4" width="12.7109375" style="43" customWidth="1"/>
    <col min="5" max="12" width="12.7109375" style="44" customWidth="1"/>
    <col min="13" max="14" width="14.7109375" style="43" customWidth="1"/>
    <col min="15" max="16384" width="11.42578125" style="43"/>
  </cols>
  <sheetData>
    <row r="6" spans="1:14" ht="13.5" thickBot="1" x14ac:dyDescent="0.3"/>
    <row r="7" spans="1:14" ht="13.5" thickBot="1" x14ac:dyDescent="0.3">
      <c r="B7" s="45">
        <v>42705</v>
      </c>
      <c r="E7" s="248" t="s">
        <v>4</v>
      </c>
      <c r="F7" s="266"/>
      <c r="G7" s="266"/>
      <c r="H7" s="266"/>
      <c r="I7" s="266"/>
      <c r="J7" s="267"/>
    </row>
    <row r="8" spans="1:14" ht="15" customHeight="1" thickBot="1" x14ac:dyDescent="0.3">
      <c r="B8" s="46" t="s">
        <v>11</v>
      </c>
      <c r="C8" s="46" t="s">
        <v>12</v>
      </c>
      <c r="D8" s="60" t="s">
        <v>13</v>
      </c>
      <c r="E8" s="47" t="s">
        <v>6</v>
      </c>
      <c r="F8" s="47" t="s">
        <v>7</v>
      </c>
      <c r="G8" s="47" t="s">
        <v>8</v>
      </c>
      <c r="H8" s="47" t="s">
        <v>9</v>
      </c>
      <c r="I8" s="47" t="s">
        <v>20</v>
      </c>
      <c r="J8" s="47" t="s">
        <v>21</v>
      </c>
      <c r="K8" s="48" t="s">
        <v>10</v>
      </c>
      <c r="L8" s="48" t="s">
        <v>19</v>
      </c>
      <c r="M8" s="46" t="s">
        <v>16</v>
      </c>
      <c r="N8" s="47" t="s">
        <v>15</v>
      </c>
    </row>
    <row r="9" spans="1:14" ht="18" customHeight="1" x14ac:dyDescent="0.25">
      <c r="A9" s="49">
        <v>1</v>
      </c>
      <c r="B9" s="49" t="s">
        <v>1</v>
      </c>
      <c r="C9" s="1">
        <v>1007</v>
      </c>
      <c r="D9" s="28">
        <v>518176</v>
      </c>
      <c r="E9" s="63">
        <v>0</v>
      </c>
      <c r="F9" s="63">
        <v>0</v>
      </c>
      <c r="G9" s="63">
        <v>0</v>
      </c>
      <c r="H9" s="65"/>
      <c r="I9" s="65"/>
      <c r="J9" s="165">
        <v>518176</v>
      </c>
      <c r="K9" s="64">
        <v>0</v>
      </c>
      <c r="L9" s="64">
        <v>0</v>
      </c>
      <c r="M9" s="65">
        <f>SUM(E9:L9)</f>
        <v>518176</v>
      </c>
      <c r="N9" s="63">
        <f t="shared" ref="N9:N24" si="0">D9-M9</f>
        <v>0</v>
      </c>
    </row>
    <row r="10" spans="1:14" ht="18" customHeight="1" x14ac:dyDescent="0.25">
      <c r="A10" s="50">
        <f>A9+1</f>
        <v>2</v>
      </c>
      <c r="B10" s="50" t="s">
        <v>1</v>
      </c>
      <c r="C10" s="2">
        <v>1012</v>
      </c>
      <c r="D10" s="29">
        <v>2102342</v>
      </c>
      <c r="E10" s="55">
        <v>700000</v>
      </c>
      <c r="F10" s="55">
        <v>0</v>
      </c>
      <c r="G10" s="55">
        <v>0</v>
      </c>
      <c r="H10" s="54"/>
      <c r="I10" s="54"/>
      <c r="J10" s="54">
        <v>1402342</v>
      </c>
      <c r="K10" s="56">
        <v>0</v>
      </c>
      <c r="L10" s="56">
        <v>0</v>
      </c>
      <c r="M10" s="65">
        <f t="shared" ref="M10:M24" si="1">SUM(E10:L10)</f>
        <v>2102342</v>
      </c>
      <c r="N10" s="55">
        <f t="shared" si="0"/>
        <v>0</v>
      </c>
    </row>
    <row r="11" spans="1:14" ht="18" customHeight="1" x14ac:dyDescent="0.25">
      <c r="A11" s="50">
        <f t="shared" ref="A11:A24" si="2">A10+1</f>
        <v>3</v>
      </c>
      <c r="B11" s="50" t="s">
        <v>1</v>
      </c>
      <c r="C11" s="2">
        <v>1018</v>
      </c>
      <c r="D11" s="29">
        <v>450000</v>
      </c>
      <c r="E11" s="55">
        <v>450000</v>
      </c>
      <c r="F11" s="55">
        <v>0</v>
      </c>
      <c r="G11" s="55">
        <v>0</v>
      </c>
      <c r="H11" s="54"/>
      <c r="I11" s="54"/>
      <c r="J11" s="54"/>
      <c r="K11" s="56">
        <v>0</v>
      </c>
      <c r="L11" s="56">
        <v>0</v>
      </c>
      <c r="M11" s="65">
        <f t="shared" si="1"/>
        <v>450000</v>
      </c>
      <c r="N11" s="55">
        <f t="shared" si="0"/>
        <v>0</v>
      </c>
    </row>
    <row r="12" spans="1:14" ht="18" customHeight="1" x14ac:dyDescent="0.25">
      <c r="A12" s="50">
        <f t="shared" si="2"/>
        <v>4</v>
      </c>
      <c r="B12" s="50" t="s">
        <v>1</v>
      </c>
      <c r="C12" s="2">
        <v>1019</v>
      </c>
      <c r="D12" s="29">
        <v>4562611</v>
      </c>
      <c r="E12" s="55">
        <v>1665999</v>
      </c>
      <c r="F12" s="55">
        <v>0</v>
      </c>
      <c r="G12" s="55">
        <v>0</v>
      </c>
      <c r="H12" s="54">
        <v>2299078</v>
      </c>
      <c r="I12" s="54"/>
      <c r="J12" s="54"/>
      <c r="K12" s="56">
        <v>0</v>
      </c>
      <c r="L12" s="56">
        <v>597534</v>
      </c>
      <c r="M12" s="65">
        <f t="shared" si="1"/>
        <v>4562611</v>
      </c>
      <c r="N12" s="55">
        <f t="shared" si="0"/>
        <v>0</v>
      </c>
    </row>
    <row r="13" spans="1:14" ht="18" customHeight="1" x14ac:dyDescent="0.25">
      <c r="A13" s="50">
        <f t="shared" si="2"/>
        <v>5</v>
      </c>
      <c r="B13" s="50" t="s">
        <v>1</v>
      </c>
      <c r="C13" s="2">
        <v>1020</v>
      </c>
      <c r="D13" s="29">
        <v>1500000</v>
      </c>
      <c r="E13" s="55">
        <v>500000</v>
      </c>
      <c r="F13" s="55">
        <v>500000</v>
      </c>
      <c r="G13" s="55">
        <v>500000</v>
      </c>
      <c r="H13" s="54"/>
      <c r="I13" s="54"/>
      <c r="J13" s="54"/>
      <c r="K13" s="56">
        <v>0</v>
      </c>
      <c r="L13" s="56">
        <v>0</v>
      </c>
      <c r="M13" s="65">
        <f t="shared" si="1"/>
        <v>1500000</v>
      </c>
      <c r="N13" s="55">
        <f t="shared" si="0"/>
        <v>0</v>
      </c>
    </row>
    <row r="14" spans="1:14" ht="18" customHeight="1" x14ac:dyDescent="0.25">
      <c r="A14" s="50">
        <f t="shared" si="2"/>
        <v>6</v>
      </c>
      <c r="B14" s="50" t="s">
        <v>1</v>
      </c>
      <c r="C14" s="2">
        <v>1021</v>
      </c>
      <c r="D14" s="29">
        <v>1650833</v>
      </c>
      <c r="E14" s="55">
        <v>632000</v>
      </c>
      <c r="F14" s="55">
        <v>0</v>
      </c>
      <c r="G14" s="55">
        <v>1018833</v>
      </c>
      <c r="H14" s="54"/>
      <c r="I14" s="54"/>
      <c r="J14" s="54"/>
      <c r="K14" s="56">
        <v>0</v>
      </c>
      <c r="L14" s="56">
        <v>0</v>
      </c>
      <c r="M14" s="65">
        <f t="shared" si="1"/>
        <v>1650833</v>
      </c>
      <c r="N14" s="55">
        <f t="shared" si="0"/>
        <v>0</v>
      </c>
    </row>
    <row r="15" spans="1:14" ht="18" customHeight="1" x14ac:dyDescent="0.25">
      <c r="A15" s="50">
        <f t="shared" si="2"/>
        <v>7</v>
      </c>
      <c r="B15" s="50" t="s">
        <v>1</v>
      </c>
      <c r="C15" s="2">
        <v>1022</v>
      </c>
      <c r="D15" s="29">
        <v>3600000</v>
      </c>
      <c r="E15" s="55">
        <v>1800000</v>
      </c>
      <c r="F15" s="55">
        <v>0</v>
      </c>
      <c r="G15" s="55">
        <v>1800000</v>
      </c>
      <c r="H15" s="54"/>
      <c r="I15" s="54"/>
      <c r="J15" s="54"/>
      <c r="K15" s="56">
        <v>0</v>
      </c>
      <c r="L15" s="56">
        <v>0</v>
      </c>
      <c r="M15" s="65">
        <f t="shared" si="1"/>
        <v>3600000</v>
      </c>
      <c r="N15" s="55">
        <f t="shared" si="0"/>
        <v>0</v>
      </c>
    </row>
    <row r="16" spans="1:14" ht="18" customHeight="1" x14ac:dyDescent="0.25">
      <c r="A16" s="50">
        <f t="shared" si="2"/>
        <v>8</v>
      </c>
      <c r="B16" s="50" t="s">
        <v>1</v>
      </c>
      <c r="C16" s="2">
        <v>1023</v>
      </c>
      <c r="D16" s="29">
        <v>2340000</v>
      </c>
      <c r="E16" s="55">
        <v>1170000</v>
      </c>
      <c r="F16" s="55">
        <v>0</v>
      </c>
      <c r="G16" s="55">
        <v>1170000</v>
      </c>
      <c r="H16" s="54"/>
      <c r="I16" s="54"/>
      <c r="J16" s="54"/>
      <c r="K16" s="56">
        <v>0</v>
      </c>
      <c r="L16" s="56">
        <v>0</v>
      </c>
      <c r="M16" s="65">
        <f t="shared" si="1"/>
        <v>2340000</v>
      </c>
      <c r="N16" s="55">
        <f t="shared" si="0"/>
        <v>0</v>
      </c>
    </row>
    <row r="17" spans="1:14" ht="18" customHeight="1" x14ac:dyDescent="0.25">
      <c r="A17" s="50">
        <f t="shared" si="2"/>
        <v>9</v>
      </c>
      <c r="B17" s="50" t="s">
        <v>1</v>
      </c>
      <c r="C17" s="2">
        <v>1024</v>
      </c>
      <c r="D17" s="29">
        <v>262000</v>
      </c>
      <c r="E17" s="55">
        <v>262000</v>
      </c>
      <c r="F17" s="55">
        <v>0</v>
      </c>
      <c r="G17" s="55">
        <v>0</v>
      </c>
      <c r="H17" s="54"/>
      <c r="I17" s="54"/>
      <c r="J17" s="54"/>
      <c r="K17" s="56">
        <v>0</v>
      </c>
      <c r="L17" s="56">
        <v>0</v>
      </c>
      <c r="M17" s="65">
        <f t="shared" si="1"/>
        <v>262000</v>
      </c>
      <c r="N17" s="55">
        <f t="shared" si="0"/>
        <v>0</v>
      </c>
    </row>
    <row r="18" spans="1:14" ht="18" customHeight="1" x14ac:dyDescent="0.25">
      <c r="A18" s="50">
        <f t="shared" si="2"/>
        <v>10</v>
      </c>
      <c r="B18" s="61" t="s">
        <v>1</v>
      </c>
      <c r="C18" s="3">
        <v>1025</v>
      </c>
      <c r="D18" s="38">
        <v>2999435</v>
      </c>
      <c r="E18" s="55">
        <v>1098564</v>
      </c>
      <c r="F18" s="55">
        <v>0</v>
      </c>
      <c r="G18" s="55">
        <v>0</v>
      </c>
      <c r="H18" s="54">
        <v>1516018</v>
      </c>
      <c r="I18" s="54"/>
      <c r="J18" s="54"/>
      <c r="K18" s="56">
        <v>1</v>
      </c>
      <c r="L18" s="56">
        <f>384852</f>
        <v>384852</v>
      </c>
      <c r="M18" s="65">
        <f t="shared" si="1"/>
        <v>2999435</v>
      </c>
      <c r="N18" s="55">
        <f t="shared" si="0"/>
        <v>0</v>
      </c>
    </row>
    <row r="19" spans="1:14" ht="18" customHeight="1" x14ac:dyDescent="0.25">
      <c r="A19" s="50">
        <f t="shared" si="2"/>
        <v>11</v>
      </c>
      <c r="B19" s="50" t="s">
        <v>1</v>
      </c>
      <c r="C19" s="2">
        <v>1026</v>
      </c>
      <c r="D19" s="29">
        <v>15642848</v>
      </c>
      <c r="E19" s="55">
        <v>0</v>
      </c>
      <c r="F19" s="55">
        <v>0</v>
      </c>
      <c r="G19" s="55">
        <v>0</v>
      </c>
      <c r="H19" s="54"/>
      <c r="I19" s="54"/>
      <c r="J19" s="54">
        <v>8000000</v>
      </c>
      <c r="K19" s="56">
        <v>0</v>
      </c>
      <c r="L19" s="56">
        <v>0</v>
      </c>
      <c r="M19" s="65">
        <f t="shared" si="1"/>
        <v>8000000</v>
      </c>
      <c r="N19" s="55">
        <f t="shared" si="0"/>
        <v>7642848</v>
      </c>
    </row>
    <row r="20" spans="1:14" ht="18" customHeight="1" x14ac:dyDescent="0.25">
      <c r="A20" s="50">
        <f t="shared" si="2"/>
        <v>12</v>
      </c>
      <c r="B20" s="50" t="s">
        <v>1</v>
      </c>
      <c r="C20" s="2">
        <v>1027</v>
      </c>
      <c r="D20" s="29">
        <v>1748480</v>
      </c>
      <c r="E20" s="55">
        <v>582826</v>
      </c>
      <c r="F20" s="55">
        <v>582826</v>
      </c>
      <c r="G20" s="55">
        <v>0</v>
      </c>
      <c r="H20" s="54">
        <v>582826</v>
      </c>
      <c r="I20" s="54"/>
      <c r="J20" s="54"/>
      <c r="K20" s="56">
        <v>2</v>
      </c>
      <c r="L20" s="56">
        <v>0</v>
      </c>
      <c r="M20" s="65">
        <f t="shared" si="1"/>
        <v>1748480</v>
      </c>
      <c r="N20" s="55">
        <f t="shared" si="0"/>
        <v>0</v>
      </c>
    </row>
    <row r="21" spans="1:14" ht="18" customHeight="1" x14ac:dyDescent="0.25">
      <c r="A21" s="50">
        <f t="shared" si="2"/>
        <v>13</v>
      </c>
      <c r="B21" s="50" t="s">
        <v>1</v>
      </c>
      <c r="C21" s="2">
        <v>1028</v>
      </c>
      <c r="D21" s="29">
        <v>4641000</v>
      </c>
      <c r="E21" s="55">
        <v>2320500</v>
      </c>
      <c r="F21" s="55">
        <v>0</v>
      </c>
      <c r="G21" s="55">
        <v>0</v>
      </c>
      <c r="H21" s="54"/>
      <c r="I21" s="54">
        <v>2320500</v>
      </c>
      <c r="J21" s="54"/>
      <c r="K21" s="56">
        <v>0</v>
      </c>
      <c r="L21" s="56">
        <v>0</v>
      </c>
      <c r="M21" s="65">
        <f t="shared" si="1"/>
        <v>4641000</v>
      </c>
      <c r="N21" s="55">
        <f t="shared" si="0"/>
        <v>0</v>
      </c>
    </row>
    <row r="22" spans="1:14" ht="18" customHeight="1" x14ac:dyDescent="0.25">
      <c r="A22" s="50">
        <f t="shared" si="2"/>
        <v>14</v>
      </c>
      <c r="B22" s="50" t="s">
        <v>1</v>
      </c>
      <c r="C22" s="2">
        <v>1029</v>
      </c>
      <c r="D22" s="29">
        <v>1867411</v>
      </c>
      <c r="E22" s="55">
        <f>+'[3]cartola Dic'!$I$13+'[3]cartola Dic'!$I$38</f>
        <v>1027123</v>
      </c>
      <c r="F22" s="55">
        <v>840288</v>
      </c>
      <c r="G22" s="55">
        <v>0</v>
      </c>
      <c r="H22" s="54"/>
      <c r="I22" s="54"/>
      <c r="J22" s="54"/>
      <c r="K22" s="56">
        <v>0</v>
      </c>
      <c r="L22" s="56">
        <v>0</v>
      </c>
      <c r="M22" s="65">
        <f t="shared" si="1"/>
        <v>1867411</v>
      </c>
      <c r="N22" s="55">
        <f t="shared" si="0"/>
        <v>0</v>
      </c>
    </row>
    <row r="23" spans="1:14" ht="18" customHeight="1" x14ac:dyDescent="0.25">
      <c r="A23" s="50">
        <f t="shared" si="2"/>
        <v>15</v>
      </c>
      <c r="B23" s="50" t="s">
        <v>1</v>
      </c>
      <c r="C23" s="2">
        <v>1030</v>
      </c>
      <c r="D23" s="29">
        <v>4000000</v>
      </c>
      <c r="E23" s="55">
        <v>0</v>
      </c>
      <c r="F23" s="55">
        <v>3000000</v>
      </c>
      <c r="G23" s="55">
        <v>500000</v>
      </c>
      <c r="H23" s="54">
        <v>500000</v>
      </c>
      <c r="I23" s="54"/>
      <c r="J23" s="54"/>
      <c r="K23" s="56">
        <v>0</v>
      </c>
      <c r="L23" s="56">
        <v>0</v>
      </c>
      <c r="M23" s="65">
        <f t="shared" si="1"/>
        <v>4000000</v>
      </c>
      <c r="N23" s="55">
        <f t="shared" si="0"/>
        <v>0</v>
      </c>
    </row>
    <row r="24" spans="1:14" ht="18" customHeight="1" thickBot="1" x14ac:dyDescent="0.3">
      <c r="A24" s="51">
        <f t="shared" si="2"/>
        <v>16</v>
      </c>
      <c r="B24" s="50" t="s">
        <v>1</v>
      </c>
      <c r="C24" s="2">
        <v>1031</v>
      </c>
      <c r="D24" s="29">
        <v>5320190</v>
      </c>
      <c r="E24" s="55">
        <v>0</v>
      </c>
      <c r="F24" s="55">
        <v>2500000</v>
      </c>
      <c r="G24" s="55">
        <v>0</v>
      </c>
      <c r="H24" s="54"/>
      <c r="I24" s="54">
        <v>2820191</v>
      </c>
      <c r="J24" s="54"/>
      <c r="K24" s="56">
        <v>-1</v>
      </c>
      <c r="L24" s="56">
        <v>0</v>
      </c>
      <c r="M24" s="65">
        <f t="shared" si="1"/>
        <v>5320190</v>
      </c>
      <c r="N24" s="55">
        <f t="shared" si="0"/>
        <v>0</v>
      </c>
    </row>
    <row r="25" spans="1:14" ht="20.100000000000001" customHeight="1" thickBot="1" x14ac:dyDescent="0.3">
      <c r="B25" s="248" t="s">
        <v>14</v>
      </c>
      <c r="C25" s="249"/>
      <c r="D25" s="57">
        <f t="shared" ref="D25:L25" si="3">SUM(D9:D24)</f>
        <v>53205326</v>
      </c>
      <c r="E25" s="57">
        <f t="shared" si="3"/>
        <v>12209012</v>
      </c>
      <c r="F25" s="57">
        <f t="shared" si="3"/>
        <v>7423114</v>
      </c>
      <c r="G25" s="57">
        <f t="shared" si="3"/>
        <v>4988833</v>
      </c>
      <c r="H25" s="57">
        <f>SUM(H9:H24)</f>
        <v>4897922</v>
      </c>
      <c r="I25" s="57">
        <f>SUM(I9:I24)</f>
        <v>5140691</v>
      </c>
      <c r="J25" s="57">
        <f t="shared" si="3"/>
        <v>9920518</v>
      </c>
      <c r="K25" s="58">
        <f t="shared" si="3"/>
        <v>2</v>
      </c>
      <c r="L25" s="58">
        <f t="shared" si="3"/>
        <v>982386</v>
      </c>
      <c r="M25" s="57">
        <f>SUM(M9:M24)</f>
        <v>45562478</v>
      </c>
      <c r="N25" s="59">
        <f>SUM(N9:N24)</f>
        <v>7642848</v>
      </c>
    </row>
    <row r="26" spans="1:14" x14ac:dyDescent="0.25">
      <c r="N26" s="44"/>
    </row>
    <row r="27" spans="1:14" x14ac:dyDescent="0.25">
      <c r="E27" s="43"/>
      <c r="F27" s="43"/>
    </row>
    <row r="28" spans="1:14" x14ac:dyDescent="0.25">
      <c r="C28" s="44"/>
      <c r="D28" s="44"/>
    </row>
    <row r="31" spans="1:14" x14ac:dyDescent="0.25">
      <c r="E31" s="43"/>
      <c r="F31" s="43"/>
    </row>
    <row r="32" spans="1:14" x14ac:dyDescent="0.25">
      <c r="E32" s="43"/>
      <c r="F32" s="43"/>
    </row>
    <row r="33" spans="1:53" x14ac:dyDescent="0.25">
      <c r="D33" s="44"/>
    </row>
    <row r="34" spans="1:53" x14ac:dyDescent="0.25">
      <c r="D34" s="44"/>
    </row>
    <row r="35" spans="1:53" x14ac:dyDescent="0.25">
      <c r="D35" s="44"/>
    </row>
    <row r="36" spans="1:53" x14ac:dyDescent="0.25">
      <c r="D36" s="44"/>
    </row>
    <row r="37" spans="1:53" x14ac:dyDescent="0.25">
      <c r="D37" s="44"/>
    </row>
    <row r="38" spans="1:53" x14ac:dyDescent="0.25">
      <c r="C38" s="44"/>
      <c r="D38" s="44"/>
    </row>
    <row r="41" spans="1:53" s="62" customFormat="1" x14ac:dyDescent="0.25">
      <c r="A41" s="43"/>
      <c r="B41" s="43"/>
      <c r="C41" s="43"/>
      <c r="D41" s="43"/>
      <c r="E41" s="44"/>
      <c r="F41" s="44"/>
      <c r="G41" s="44"/>
      <c r="H41" s="44"/>
      <c r="I41" s="44"/>
      <c r="J41" s="44"/>
      <c r="K41" s="44"/>
      <c r="L41" s="44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</row>
  </sheetData>
  <mergeCells count="2">
    <mergeCell ref="E7:J7"/>
    <mergeCell ref="B25:C2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Z45"/>
  <sheetViews>
    <sheetView topLeftCell="A4" zoomScale="90" zoomScaleNormal="90" workbookViewId="0">
      <selection activeCell="M29" sqref="M29"/>
    </sheetView>
  </sheetViews>
  <sheetFormatPr baseColWidth="10" defaultRowHeight="12.75" x14ac:dyDescent="0.25"/>
  <cols>
    <col min="1" max="1" width="3.7109375" style="66" customWidth="1"/>
    <col min="2" max="2" width="13.7109375" style="43" customWidth="1"/>
    <col min="3" max="3" width="8.7109375" style="43" customWidth="1"/>
    <col min="4" max="4" width="12.7109375" style="43" customWidth="1"/>
    <col min="5" max="11" width="12.7109375" style="44" customWidth="1"/>
    <col min="12" max="13" width="14.7109375" style="43" customWidth="1"/>
    <col min="14" max="16384" width="11.42578125" style="43"/>
  </cols>
  <sheetData>
    <row r="6" spans="1:13" ht="13.5" thickBot="1" x14ac:dyDescent="0.3"/>
    <row r="7" spans="1:13" ht="15.75" thickBot="1" x14ac:dyDescent="0.3">
      <c r="B7" s="45">
        <v>42736</v>
      </c>
      <c r="E7" s="268" t="s">
        <v>4</v>
      </c>
      <c r="F7" s="269"/>
      <c r="G7" s="269"/>
      <c r="H7" s="270"/>
      <c r="I7" s="271"/>
    </row>
    <row r="8" spans="1:13" ht="15" customHeight="1" thickBot="1" x14ac:dyDescent="0.3">
      <c r="B8" s="46" t="s">
        <v>11</v>
      </c>
      <c r="C8" s="46" t="s">
        <v>12</v>
      </c>
      <c r="D8" s="60" t="s">
        <v>13</v>
      </c>
      <c r="E8" s="47" t="s">
        <v>7</v>
      </c>
      <c r="F8" s="47" t="s">
        <v>8</v>
      </c>
      <c r="G8" s="47" t="s">
        <v>9</v>
      </c>
      <c r="H8" s="47" t="s">
        <v>20</v>
      </c>
      <c r="I8" s="47" t="s">
        <v>21</v>
      </c>
      <c r="J8" s="48" t="s">
        <v>10</v>
      </c>
      <c r="K8" s="48" t="s">
        <v>19</v>
      </c>
      <c r="L8" s="46" t="s">
        <v>16</v>
      </c>
      <c r="M8" s="47" t="s">
        <v>15</v>
      </c>
    </row>
    <row r="9" spans="1:13" ht="18" customHeight="1" x14ac:dyDescent="0.25">
      <c r="A9" s="49">
        <v>1</v>
      </c>
      <c r="B9" s="49" t="s">
        <v>2</v>
      </c>
      <c r="C9" s="1">
        <v>1032</v>
      </c>
      <c r="D9" s="28">
        <v>1904000</v>
      </c>
      <c r="E9" s="63">
        <v>634666</v>
      </c>
      <c r="F9" s="63">
        <v>634666</v>
      </c>
      <c r="G9" s="65">
        <v>634666</v>
      </c>
      <c r="H9" s="65"/>
      <c r="I9" s="65"/>
      <c r="J9" s="64">
        <v>2</v>
      </c>
      <c r="K9" s="64">
        <v>0</v>
      </c>
      <c r="L9" s="65">
        <f>SUM(E9:K9)</f>
        <v>1904000</v>
      </c>
      <c r="M9" s="63">
        <f t="shared" ref="M9:M28" si="0">D9-L9</f>
        <v>0</v>
      </c>
    </row>
    <row r="10" spans="1:13" ht="18" customHeight="1" x14ac:dyDescent="0.25">
      <c r="A10" s="50">
        <f>A9+1</f>
        <v>2</v>
      </c>
      <c r="B10" s="50" t="s">
        <v>2</v>
      </c>
      <c r="C10" s="2">
        <v>1033</v>
      </c>
      <c r="D10" s="29">
        <v>1415974</v>
      </c>
      <c r="E10" s="55">
        <f>+'[3]cartola Ene'!$I$104+'[3]cartola Ene'!$I$113</f>
        <v>1415974</v>
      </c>
      <c r="F10" s="55">
        <v>0</v>
      </c>
      <c r="G10" s="54"/>
      <c r="H10" s="54"/>
      <c r="I10" s="54"/>
      <c r="J10" s="56">
        <v>0</v>
      </c>
      <c r="K10" s="56">
        <v>0</v>
      </c>
      <c r="L10" s="65">
        <f t="shared" ref="L10:L28" si="1">SUM(E10:K10)</f>
        <v>1415974</v>
      </c>
      <c r="M10" s="55">
        <f t="shared" si="0"/>
        <v>0</v>
      </c>
    </row>
    <row r="11" spans="1:13" ht="18" customHeight="1" x14ac:dyDescent="0.25">
      <c r="A11" s="50">
        <f t="shared" ref="A11:A28" si="2">A10+1</f>
        <v>3</v>
      </c>
      <c r="B11" s="50" t="s">
        <v>2</v>
      </c>
      <c r="C11" s="2">
        <v>1034</v>
      </c>
      <c r="D11" s="29">
        <v>1971384</v>
      </c>
      <c r="E11" s="55">
        <v>985692</v>
      </c>
      <c r="F11" s="55">
        <v>0</v>
      </c>
      <c r="G11" s="54"/>
      <c r="H11" s="54"/>
      <c r="I11" s="54">
        <f>328564+328564</f>
        <v>657128</v>
      </c>
      <c r="J11" s="56">
        <v>0</v>
      </c>
      <c r="K11" s="56">
        <v>0</v>
      </c>
      <c r="L11" s="65">
        <f t="shared" si="1"/>
        <v>1642820</v>
      </c>
      <c r="M11" s="55">
        <f t="shared" si="0"/>
        <v>328564</v>
      </c>
    </row>
    <row r="12" spans="1:13" ht="18" customHeight="1" x14ac:dyDescent="0.25">
      <c r="A12" s="50">
        <f t="shared" si="2"/>
        <v>4</v>
      </c>
      <c r="B12" s="50" t="s">
        <v>2</v>
      </c>
      <c r="C12" s="2">
        <v>1035</v>
      </c>
      <c r="D12" s="29">
        <v>3345333</v>
      </c>
      <c r="E12" s="55">
        <v>3154000</v>
      </c>
      <c r="F12" s="55">
        <v>0</v>
      </c>
      <c r="G12" s="54"/>
      <c r="H12" s="54"/>
      <c r="I12" s="54"/>
      <c r="J12" s="56">
        <v>0</v>
      </c>
      <c r="K12" s="56">
        <v>191333</v>
      </c>
      <c r="L12" s="65">
        <f t="shared" si="1"/>
        <v>3345333</v>
      </c>
      <c r="M12" s="55">
        <f t="shared" si="0"/>
        <v>0</v>
      </c>
    </row>
    <row r="13" spans="1:13" ht="18" customHeight="1" x14ac:dyDescent="0.25">
      <c r="A13" s="50">
        <f t="shared" si="2"/>
        <v>5</v>
      </c>
      <c r="B13" s="50" t="s">
        <v>2</v>
      </c>
      <c r="C13" s="2">
        <v>1036</v>
      </c>
      <c r="D13" s="29">
        <v>1807879</v>
      </c>
      <c r="E13" s="55">
        <v>602626</v>
      </c>
      <c r="F13" s="55">
        <v>602626</v>
      </c>
      <c r="G13" s="54">
        <v>602626</v>
      </c>
      <c r="H13" s="54"/>
      <c r="I13" s="54"/>
      <c r="J13" s="56">
        <v>1</v>
      </c>
      <c r="K13" s="56">
        <v>0</v>
      </c>
      <c r="L13" s="65">
        <f t="shared" si="1"/>
        <v>1807879</v>
      </c>
      <c r="M13" s="55">
        <f t="shared" si="0"/>
        <v>0</v>
      </c>
    </row>
    <row r="14" spans="1:13" ht="18" customHeight="1" x14ac:dyDescent="0.25">
      <c r="A14" s="50">
        <f t="shared" si="2"/>
        <v>6</v>
      </c>
      <c r="B14" s="50" t="s">
        <v>2</v>
      </c>
      <c r="C14" s="2">
        <v>1038</v>
      </c>
      <c r="D14" s="29">
        <v>500000</v>
      </c>
      <c r="E14" s="55">
        <v>250000</v>
      </c>
      <c r="F14" s="55">
        <v>0</v>
      </c>
      <c r="G14" s="54"/>
      <c r="H14" s="54"/>
      <c r="I14" s="54"/>
      <c r="J14" s="56">
        <v>0</v>
      </c>
      <c r="K14" s="56">
        <v>0</v>
      </c>
      <c r="L14" s="65">
        <f t="shared" si="1"/>
        <v>250000</v>
      </c>
      <c r="M14" s="55">
        <f t="shared" si="0"/>
        <v>250000</v>
      </c>
    </row>
    <row r="15" spans="1:13" ht="18" customHeight="1" x14ac:dyDescent="0.25">
      <c r="A15" s="50">
        <f t="shared" si="2"/>
        <v>7</v>
      </c>
      <c r="B15" s="50" t="s">
        <v>2</v>
      </c>
      <c r="C15" s="2">
        <v>1039</v>
      </c>
      <c r="D15" s="29">
        <v>1000000</v>
      </c>
      <c r="E15" s="55">
        <v>333333</v>
      </c>
      <c r="F15" s="55">
        <v>333333</v>
      </c>
      <c r="G15" s="54">
        <v>333334</v>
      </c>
      <c r="H15" s="54"/>
      <c r="I15" s="54"/>
      <c r="J15" s="56">
        <v>0</v>
      </c>
      <c r="K15" s="56">
        <v>0</v>
      </c>
      <c r="L15" s="65">
        <f t="shared" si="1"/>
        <v>1000000</v>
      </c>
      <c r="M15" s="55">
        <f t="shared" si="0"/>
        <v>0</v>
      </c>
    </row>
    <row r="16" spans="1:13" ht="18" customHeight="1" x14ac:dyDescent="0.25">
      <c r="A16" s="50">
        <f t="shared" si="2"/>
        <v>8</v>
      </c>
      <c r="B16" s="50" t="s">
        <v>2</v>
      </c>
      <c r="C16" s="2">
        <v>1040</v>
      </c>
      <c r="D16" s="29">
        <v>1900319</v>
      </c>
      <c r="E16" s="55">
        <v>950000</v>
      </c>
      <c r="F16" s="55">
        <v>0</v>
      </c>
      <c r="G16" s="54">
        <v>950319</v>
      </c>
      <c r="H16" s="54"/>
      <c r="I16" s="54"/>
      <c r="J16" s="56">
        <v>0</v>
      </c>
      <c r="K16" s="56">
        <v>0</v>
      </c>
      <c r="L16" s="65">
        <f t="shared" si="1"/>
        <v>1900319</v>
      </c>
      <c r="M16" s="55">
        <f t="shared" si="0"/>
        <v>0</v>
      </c>
    </row>
    <row r="17" spans="1:15" ht="18" customHeight="1" x14ac:dyDescent="0.25">
      <c r="A17" s="50">
        <f t="shared" si="2"/>
        <v>9</v>
      </c>
      <c r="B17" s="50" t="s">
        <v>2</v>
      </c>
      <c r="C17" s="2">
        <v>1041</v>
      </c>
      <c r="D17" s="29">
        <v>7569221</v>
      </c>
      <c r="E17" s="55">
        <v>2764563</v>
      </c>
      <c r="F17" s="55">
        <v>0</v>
      </c>
      <c r="G17" s="54">
        <v>3756133</v>
      </c>
      <c r="H17" s="54"/>
      <c r="I17" s="54"/>
      <c r="J17" s="56">
        <v>0</v>
      </c>
      <c r="K17" s="56">
        <v>1048525</v>
      </c>
      <c r="L17" s="65">
        <f t="shared" si="1"/>
        <v>7569221</v>
      </c>
      <c r="M17" s="55">
        <f t="shared" si="0"/>
        <v>0</v>
      </c>
    </row>
    <row r="18" spans="1:15" ht="18" customHeight="1" x14ac:dyDescent="0.25">
      <c r="A18" s="50">
        <f t="shared" si="2"/>
        <v>10</v>
      </c>
      <c r="B18" s="61" t="s">
        <v>2</v>
      </c>
      <c r="C18" s="3">
        <v>1042</v>
      </c>
      <c r="D18" s="38">
        <v>2760000</v>
      </c>
      <c r="E18" s="55">
        <v>920000</v>
      </c>
      <c r="F18" s="55">
        <v>920000</v>
      </c>
      <c r="G18" s="54">
        <v>920000</v>
      </c>
      <c r="H18" s="54"/>
      <c r="I18" s="54"/>
      <c r="J18" s="56">
        <v>0</v>
      </c>
      <c r="K18" s="56">
        <v>0</v>
      </c>
      <c r="L18" s="65">
        <f t="shared" si="1"/>
        <v>2760000</v>
      </c>
      <c r="M18" s="55">
        <f t="shared" si="0"/>
        <v>0</v>
      </c>
    </row>
    <row r="19" spans="1:15" ht="18" customHeight="1" x14ac:dyDescent="0.25">
      <c r="A19" s="50">
        <f t="shared" si="2"/>
        <v>11</v>
      </c>
      <c r="B19" s="50" t="s">
        <v>2</v>
      </c>
      <c r="C19" s="2">
        <v>1043</v>
      </c>
      <c r="D19" s="29">
        <v>3500000</v>
      </c>
      <c r="E19" s="55">
        <f>666666+750000</f>
        <v>1416666</v>
      </c>
      <c r="F19" s="55">
        <v>666666</v>
      </c>
      <c r="G19" s="54">
        <f>750000+666666</f>
        <v>1416666</v>
      </c>
      <c r="H19" s="54"/>
      <c r="I19" s="54"/>
      <c r="J19" s="56">
        <v>2</v>
      </c>
      <c r="K19" s="56">
        <v>0</v>
      </c>
      <c r="L19" s="65">
        <f t="shared" si="1"/>
        <v>3500000</v>
      </c>
      <c r="M19" s="55">
        <f t="shared" si="0"/>
        <v>0</v>
      </c>
    </row>
    <row r="20" spans="1:15" ht="18" customHeight="1" x14ac:dyDescent="0.25">
      <c r="A20" s="50">
        <f t="shared" si="2"/>
        <v>12</v>
      </c>
      <c r="B20" s="50" t="s">
        <v>2</v>
      </c>
      <c r="C20" s="2">
        <v>1044</v>
      </c>
      <c r="D20" s="29">
        <v>4829448</v>
      </c>
      <c r="E20" s="55">
        <v>2414724</v>
      </c>
      <c r="F20" s="55">
        <v>0</v>
      </c>
      <c r="G20" s="54">
        <v>882890</v>
      </c>
      <c r="H20" s="54">
        <v>1531834</v>
      </c>
      <c r="I20" s="54"/>
      <c r="J20" s="56">
        <v>0</v>
      </c>
      <c r="K20" s="56">
        <v>0</v>
      </c>
      <c r="L20" s="65">
        <f t="shared" si="1"/>
        <v>4829448</v>
      </c>
      <c r="M20" s="55">
        <f t="shared" si="0"/>
        <v>0</v>
      </c>
    </row>
    <row r="21" spans="1:15" ht="18" customHeight="1" x14ac:dyDescent="0.25">
      <c r="A21" s="50">
        <f t="shared" si="2"/>
        <v>13</v>
      </c>
      <c r="B21" s="50" t="s">
        <v>2</v>
      </c>
      <c r="C21" s="2">
        <v>1045</v>
      </c>
      <c r="D21" s="29">
        <v>8900000</v>
      </c>
      <c r="E21" s="55">
        <v>4450000</v>
      </c>
      <c r="F21" s="55">
        <v>0</v>
      </c>
      <c r="G21" s="54">
        <v>3500000</v>
      </c>
      <c r="H21" s="54"/>
      <c r="I21" s="54">
        <v>950000</v>
      </c>
      <c r="J21" s="56">
        <v>0</v>
      </c>
      <c r="K21" s="56">
        <v>0</v>
      </c>
      <c r="L21" s="65">
        <f t="shared" si="1"/>
        <v>8900000</v>
      </c>
      <c r="M21" s="55">
        <f t="shared" si="0"/>
        <v>0</v>
      </c>
    </row>
    <row r="22" spans="1:15" ht="18" customHeight="1" x14ac:dyDescent="0.25">
      <c r="A22" s="50">
        <f t="shared" si="2"/>
        <v>14</v>
      </c>
      <c r="B22" s="50" t="s">
        <v>2</v>
      </c>
      <c r="C22" s="2">
        <v>1046</v>
      </c>
      <c r="D22" s="29">
        <v>2373440</v>
      </c>
      <c r="E22" s="55">
        <v>1186720</v>
      </c>
      <c r="F22" s="55">
        <v>0</v>
      </c>
      <c r="G22" s="54"/>
      <c r="H22" s="54">
        <v>1186720</v>
      </c>
      <c r="I22" s="54"/>
      <c r="J22" s="56">
        <v>0</v>
      </c>
      <c r="K22" s="56">
        <v>0</v>
      </c>
      <c r="L22" s="65">
        <f t="shared" si="1"/>
        <v>2373440</v>
      </c>
      <c r="M22" s="55">
        <f t="shared" si="0"/>
        <v>0</v>
      </c>
    </row>
    <row r="23" spans="1:15" ht="18" customHeight="1" x14ac:dyDescent="0.25">
      <c r="A23" s="50">
        <f t="shared" si="2"/>
        <v>15</v>
      </c>
      <c r="B23" s="50" t="s">
        <v>2</v>
      </c>
      <c r="C23" s="2">
        <v>1047</v>
      </c>
      <c r="D23" s="29">
        <v>4400000</v>
      </c>
      <c r="E23" s="55">
        <v>0</v>
      </c>
      <c r="F23" s="55">
        <v>2000000</v>
      </c>
      <c r="G23" s="54">
        <v>2400000</v>
      </c>
      <c r="H23" s="54"/>
      <c r="I23" s="54"/>
      <c r="J23" s="56">
        <v>0</v>
      </c>
      <c r="K23" s="56">
        <v>0</v>
      </c>
      <c r="L23" s="65">
        <f t="shared" si="1"/>
        <v>4400000</v>
      </c>
      <c r="M23" s="55">
        <f t="shared" si="0"/>
        <v>0</v>
      </c>
    </row>
    <row r="24" spans="1:15" ht="18" customHeight="1" x14ac:dyDescent="0.25">
      <c r="A24" s="50">
        <f t="shared" si="2"/>
        <v>16</v>
      </c>
      <c r="B24" s="50" t="s">
        <v>2</v>
      </c>
      <c r="C24" s="2">
        <v>1048</v>
      </c>
      <c r="D24" s="29">
        <v>4480000</v>
      </c>
      <c r="E24" s="55">
        <v>0</v>
      </c>
      <c r="F24" s="55">
        <v>3500000</v>
      </c>
      <c r="G24" s="54">
        <v>980000</v>
      </c>
      <c r="H24" s="54"/>
      <c r="I24" s="54"/>
      <c r="J24" s="56">
        <v>0</v>
      </c>
      <c r="K24" s="56">
        <v>0</v>
      </c>
      <c r="L24" s="65">
        <f t="shared" si="1"/>
        <v>4480000</v>
      </c>
      <c r="M24" s="55">
        <f t="shared" si="0"/>
        <v>0</v>
      </c>
    </row>
    <row r="25" spans="1:15" ht="18" customHeight="1" x14ac:dyDescent="0.25">
      <c r="A25" s="50">
        <f t="shared" si="2"/>
        <v>17</v>
      </c>
      <c r="B25" s="50" t="s">
        <v>2</v>
      </c>
      <c r="C25" s="2">
        <v>1049</v>
      </c>
      <c r="D25" s="29">
        <v>4000000</v>
      </c>
      <c r="E25" s="55">
        <v>0</v>
      </c>
      <c r="F25" s="55">
        <v>2000000</v>
      </c>
      <c r="G25" s="54">
        <v>2000000</v>
      </c>
      <c r="H25" s="54"/>
      <c r="I25" s="54"/>
      <c r="J25" s="56">
        <v>0</v>
      </c>
      <c r="K25" s="56">
        <v>0</v>
      </c>
      <c r="L25" s="65">
        <f t="shared" si="1"/>
        <v>4000000</v>
      </c>
      <c r="M25" s="55">
        <f t="shared" si="0"/>
        <v>0</v>
      </c>
    </row>
    <row r="26" spans="1:15" ht="18" customHeight="1" x14ac:dyDescent="0.25">
      <c r="A26" s="50">
        <f t="shared" si="2"/>
        <v>18</v>
      </c>
      <c r="B26" s="50" t="s">
        <v>2</v>
      </c>
      <c r="C26" s="3">
        <v>1050</v>
      </c>
      <c r="D26" s="38">
        <v>6500000</v>
      </c>
      <c r="E26" s="55">
        <v>0</v>
      </c>
      <c r="F26" s="55">
        <v>2600000</v>
      </c>
      <c r="G26" s="54">
        <f>1300000+1000000</f>
        <v>2300000</v>
      </c>
      <c r="H26" s="54"/>
      <c r="I26" s="54">
        <v>1600000</v>
      </c>
      <c r="J26" s="54">
        <v>0</v>
      </c>
      <c r="K26" s="54">
        <v>0</v>
      </c>
      <c r="L26" s="65">
        <f t="shared" si="1"/>
        <v>6500000</v>
      </c>
      <c r="M26" s="55">
        <f t="shared" si="0"/>
        <v>0</v>
      </c>
    </row>
    <row r="27" spans="1:15" ht="18" customHeight="1" x14ac:dyDescent="0.25">
      <c r="A27" s="50">
        <f t="shared" si="2"/>
        <v>19</v>
      </c>
      <c r="B27" s="50" t="s">
        <v>2</v>
      </c>
      <c r="C27" s="3">
        <v>1051</v>
      </c>
      <c r="D27" s="38">
        <v>4780389</v>
      </c>
      <c r="E27" s="55">
        <v>0</v>
      </c>
      <c r="F27" s="55">
        <f>+'[3]cartola Feb'!$I$109+'[3]cartola Feb'!$I$110</f>
        <v>956077</v>
      </c>
      <c r="G27" s="54">
        <v>239019</v>
      </c>
      <c r="H27" s="54">
        <v>239019</v>
      </c>
      <c r="I27" s="54"/>
      <c r="J27" s="54">
        <v>0</v>
      </c>
      <c r="K27" s="54">
        <v>0</v>
      </c>
      <c r="L27" s="65">
        <f t="shared" si="1"/>
        <v>1434115</v>
      </c>
      <c r="M27" s="55">
        <f>D27-L27</f>
        <v>3346274</v>
      </c>
    </row>
    <row r="28" spans="1:15" ht="18" customHeight="1" thickBot="1" x14ac:dyDescent="0.3">
      <c r="A28" s="51">
        <f t="shared" si="2"/>
        <v>20</v>
      </c>
      <c r="B28" s="50" t="s">
        <v>2</v>
      </c>
      <c r="C28" s="3">
        <v>1052</v>
      </c>
      <c r="D28" s="38">
        <v>5019793</v>
      </c>
      <c r="E28" s="55">
        <v>0</v>
      </c>
      <c r="F28" s="55">
        <v>1505947</v>
      </c>
      <c r="G28" s="54"/>
      <c r="H28" s="54"/>
      <c r="I28" s="54"/>
      <c r="J28" s="54">
        <v>0</v>
      </c>
      <c r="K28" s="54">
        <v>0</v>
      </c>
      <c r="L28" s="65">
        <f t="shared" si="1"/>
        <v>1505947</v>
      </c>
      <c r="M28" s="55">
        <f t="shared" si="0"/>
        <v>3513846</v>
      </c>
    </row>
    <row r="29" spans="1:15" ht="20.100000000000001" customHeight="1" thickBot="1" x14ac:dyDescent="0.3">
      <c r="B29" s="248" t="s">
        <v>14</v>
      </c>
      <c r="C29" s="267"/>
      <c r="D29" s="57">
        <f t="shared" ref="D29:K29" si="3">SUM(D9:D28)</f>
        <v>72957180</v>
      </c>
      <c r="E29" s="57">
        <f t="shared" si="3"/>
        <v>21478964</v>
      </c>
      <c r="F29" s="57">
        <f t="shared" si="3"/>
        <v>15719315</v>
      </c>
      <c r="G29" s="57">
        <f t="shared" si="3"/>
        <v>20915653</v>
      </c>
      <c r="H29" s="57">
        <f>SUM(H9:H28)</f>
        <v>2957573</v>
      </c>
      <c r="I29" s="57">
        <f t="shared" si="3"/>
        <v>3207128</v>
      </c>
      <c r="J29" s="58">
        <f t="shared" si="3"/>
        <v>5</v>
      </c>
      <c r="K29" s="58">
        <f t="shared" si="3"/>
        <v>1239858</v>
      </c>
      <c r="L29" s="57">
        <f>SUM(L9:L28)</f>
        <v>65518496</v>
      </c>
      <c r="M29" s="59">
        <f>SUM(M9:M28)</f>
        <v>7438684</v>
      </c>
      <c r="O29" s="71"/>
    </row>
    <row r="31" spans="1:15" x14ac:dyDescent="0.25">
      <c r="E31" s="43"/>
    </row>
    <row r="32" spans="1:15" x14ac:dyDescent="0.25">
      <c r="C32" s="44"/>
      <c r="D32" s="44"/>
    </row>
    <row r="35" spans="1:52" x14ac:dyDescent="0.25">
      <c r="E35" s="43"/>
    </row>
    <row r="36" spans="1:52" x14ac:dyDescent="0.25">
      <c r="E36" s="43"/>
    </row>
    <row r="37" spans="1:52" x14ac:dyDescent="0.25">
      <c r="D37" s="44"/>
    </row>
    <row r="38" spans="1:52" x14ac:dyDescent="0.25">
      <c r="D38" s="44"/>
    </row>
    <row r="39" spans="1:52" x14ac:dyDescent="0.25">
      <c r="D39" s="44"/>
    </row>
    <row r="40" spans="1:52" x14ac:dyDescent="0.25">
      <c r="D40" s="44"/>
    </row>
    <row r="41" spans="1:52" x14ac:dyDescent="0.25">
      <c r="D41" s="44"/>
    </row>
    <row r="42" spans="1:52" x14ac:dyDescent="0.25">
      <c r="C42" s="44"/>
      <c r="D42" s="44"/>
    </row>
    <row r="45" spans="1:52" s="62" customFormat="1" x14ac:dyDescent="0.25">
      <c r="A45" s="66"/>
      <c r="B45" s="43"/>
      <c r="C45" s="43"/>
      <c r="D45" s="43"/>
      <c r="E45" s="44"/>
      <c r="F45" s="44"/>
      <c r="G45" s="44"/>
      <c r="H45" s="44"/>
      <c r="I45" s="44"/>
      <c r="J45" s="44"/>
      <c r="K45" s="44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</row>
  </sheetData>
  <mergeCells count="2">
    <mergeCell ref="B29:C29"/>
    <mergeCell ref="E7:I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Y46"/>
  <sheetViews>
    <sheetView zoomScale="90" zoomScaleNormal="90" workbookViewId="0">
      <selection activeCell="H17" sqref="H17"/>
    </sheetView>
  </sheetViews>
  <sheetFormatPr baseColWidth="10" defaultRowHeight="12.75" x14ac:dyDescent="0.25"/>
  <cols>
    <col min="1" max="1" width="3.7109375" style="66" customWidth="1"/>
    <col min="2" max="2" width="13.7109375" style="43" customWidth="1"/>
    <col min="3" max="3" width="8.7109375" style="43" customWidth="1"/>
    <col min="4" max="4" width="12.7109375" style="43" customWidth="1"/>
    <col min="5" max="10" width="12.7109375" style="44" customWidth="1"/>
    <col min="11" max="12" width="14.7109375" style="43" customWidth="1"/>
    <col min="13" max="16384" width="11.42578125" style="43"/>
  </cols>
  <sheetData>
    <row r="6" spans="1:13" ht="13.5" thickBot="1" x14ac:dyDescent="0.3"/>
    <row r="7" spans="1:13" ht="15.75" thickBot="1" x14ac:dyDescent="0.3">
      <c r="B7" s="45">
        <v>42767</v>
      </c>
      <c r="E7" s="248" t="s">
        <v>4</v>
      </c>
      <c r="F7" s="266"/>
      <c r="G7" s="266"/>
      <c r="H7" s="271"/>
    </row>
    <row r="8" spans="1:13" ht="15" customHeight="1" thickBot="1" x14ac:dyDescent="0.3">
      <c r="B8" s="46" t="s">
        <v>11</v>
      </c>
      <c r="C8" s="46" t="s">
        <v>12</v>
      </c>
      <c r="D8" s="60" t="s">
        <v>13</v>
      </c>
      <c r="E8" s="47" t="s">
        <v>8</v>
      </c>
      <c r="F8" s="47" t="s">
        <v>9</v>
      </c>
      <c r="G8" s="47" t="s">
        <v>20</v>
      </c>
      <c r="H8" s="47" t="s">
        <v>21</v>
      </c>
      <c r="I8" s="48" t="s">
        <v>10</v>
      </c>
      <c r="J8" s="48" t="s">
        <v>19</v>
      </c>
      <c r="K8" s="46" t="s">
        <v>16</v>
      </c>
      <c r="L8" s="47" t="s">
        <v>15</v>
      </c>
    </row>
    <row r="9" spans="1:13" ht="18" customHeight="1" x14ac:dyDescent="0.25">
      <c r="A9" s="49">
        <v>1</v>
      </c>
      <c r="B9" s="49" t="s">
        <v>3</v>
      </c>
      <c r="C9" s="1">
        <v>1053</v>
      </c>
      <c r="D9" s="28">
        <v>3403180</v>
      </c>
      <c r="E9" s="63">
        <v>1700000</v>
      </c>
      <c r="F9" s="65">
        <v>1700000</v>
      </c>
      <c r="G9" s="72"/>
      <c r="H9" s="72"/>
      <c r="I9" s="64">
        <v>3180</v>
      </c>
      <c r="J9" s="64">
        <v>0</v>
      </c>
      <c r="K9" s="65">
        <f>SUM(E9:J9)</f>
        <v>3403180</v>
      </c>
      <c r="L9" s="63">
        <f t="shared" ref="L9:L29" si="0">D9-K9</f>
        <v>0</v>
      </c>
    </row>
    <row r="10" spans="1:13" ht="18" customHeight="1" x14ac:dyDescent="0.25">
      <c r="A10" s="50">
        <f>A9+1</f>
        <v>2</v>
      </c>
      <c r="B10" s="50" t="s">
        <v>3</v>
      </c>
      <c r="C10" s="2">
        <v>1054</v>
      </c>
      <c r="D10" s="29">
        <v>2670066</v>
      </c>
      <c r="E10" s="55">
        <v>1335000</v>
      </c>
      <c r="F10" s="54">
        <v>1335066</v>
      </c>
      <c r="G10" s="54"/>
      <c r="H10" s="54"/>
      <c r="I10" s="56">
        <v>0</v>
      </c>
      <c r="J10" s="56">
        <v>0</v>
      </c>
      <c r="K10" s="65">
        <f t="shared" ref="K10:K29" si="1">SUM(E10:J10)</f>
        <v>2670066</v>
      </c>
      <c r="L10" s="55">
        <f t="shared" si="0"/>
        <v>0</v>
      </c>
    </row>
    <row r="11" spans="1:13" ht="18" customHeight="1" x14ac:dyDescent="0.25">
      <c r="A11" s="50">
        <f t="shared" ref="A11:A28" si="2">A10+1</f>
        <v>3</v>
      </c>
      <c r="B11" s="50" t="s">
        <v>3</v>
      </c>
      <c r="C11" s="2">
        <v>1055</v>
      </c>
      <c r="D11" s="29">
        <v>3053289</v>
      </c>
      <c r="E11" s="55">
        <v>1374938</v>
      </c>
      <c r="F11" s="54">
        <v>0</v>
      </c>
      <c r="G11" s="54"/>
      <c r="H11" s="54">
        <v>1374938</v>
      </c>
      <c r="I11" s="56">
        <v>0</v>
      </c>
      <c r="J11" s="56">
        <v>374900</v>
      </c>
      <c r="K11" s="65">
        <f t="shared" si="1"/>
        <v>3124776</v>
      </c>
      <c r="L11" s="55">
        <f t="shared" si="0"/>
        <v>-71487</v>
      </c>
      <c r="M11" s="90" t="s">
        <v>43</v>
      </c>
    </row>
    <row r="12" spans="1:13" ht="18" customHeight="1" x14ac:dyDescent="0.25">
      <c r="A12" s="50">
        <f t="shared" si="2"/>
        <v>4</v>
      </c>
      <c r="B12" s="50" t="s">
        <v>3</v>
      </c>
      <c r="C12" s="2">
        <v>1056</v>
      </c>
      <c r="D12" s="29">
        <v>1879901</v>
      </c>
      <c r="E12" s="55">
        <v>0</v>
      </c>
      <c r="F12" s="54">
        <v>0</v>
      </c>
      <c r="G12" s="54">
        <v>1879903</v>
      </c>
      <c r="H12" s="54"/>
      <c r="I12" s="56">
        <v>-2</v>
      </c>
      <c r="J12" s="56">
        <v>0</v>
      </c>
      <c r="K12" s="65">
        <f t="shared" si="1"/>
        <v>1879901</v>
      </c>
      <c r="L12" s="55">
        <f t="shared" si="0"/>
        <v>0</v>
      </c>
    </row>
    <row r="13" spans="1:13" ht="18" customHeight="1" x14ac:dyDescent="0.25">
      <c r="A13" s="50">
        <f t="shared" si="2"/>
        <v>5</v>
      </c>
      <c r="B13" s="50" t="s">
        <v>3</v>
      </c>
      <c r="C13" s="2">
        <v>1057</v>
      </c>
      <c r="D13" s="29">
        <v>3128570</v>
      </c>
      <c r="E13" s="55">
        <v>0</v>
      </c>
      <c r="F13" s="54">
        <v>0</v>
      </c>
      <c r="G13" s="54"/>
      <c r="H13" s="54"/>
      <c r="I13" s="56">
        <v>0</v>
      </c>
      <c r="J13" s="56">
        <v>0</v>
      </c>
      <c r="K13" s="65">
        <f t="shared" si="1"/>
        <v>0</v>
      </c>
      <c r="L13" s="55">
        <f t="shared" si="0"/>
        <v>3128570</v>
      </c>
    </row>
    <row r="14" spans="1:13" ht="18" customHeight="1" x14ac:dyDescent="0.25">
      <c r="A14" s="50">
        <f t="shared" si="2"/>
        <v>6</v>
      </c>
      <c r="B14" s="50" t="s">
        <v>3</v>
      </c>
      <c r="C14" s="2">
        <v>1058</v>
      </c>
      <c r="D14" s="29">
        <v>2750000</v>
      </c>
      <c r="E14" s="55">
        <v>2750000</v>
      </c>
      <c r="F14" s="54">
        <v>0</v>
      </c>
      <c r="G14" s="54"/>
      <c r="H14" s="54"/>
      <c r="I14" s="56">
        <v>0</v>
      </c>
      <c r="J14" s="56">
        <v>0</v>
      </c>
      <c r="K14" s="65">
        <f t="shared" si="1"/>
        <v>2750000</v>
      </c>
      <c r="L14" s="55">
        <f t="shared" si="0"/>
        <v>0</v>
      </c>
    </row>
    <row r="15" spans="1:13" ht="18" customHeight="1" x14ac:dyDescent="0.25">
      <c r="A15" s="50">
        <f t="shared" si="2"/>
        <v>7</v>
      </c>
      <c r="B15" s="50" t="s">
        <v>3</v>
      </c>
      <c r="C15" s="2">
        <v>1059</v>
      </c>
      <c r="D15" s="29">
        <v>8900000</v>
      </c>
      <c r="E15" s="55">
        <v>1500000</v>
      </c>
      <c r="F15" s="54">
        <v>1500000</v>
      </c>
      <c r="G15" s="54">
        <f>1450000+1483333</f>
        <v>2933333</v>
      </c>
      <c r="H15" s="54">
        <f>1483333+1483334</f>
        <v>2966667</v>
      </c>
      <c r="I15" s="56">
        <v>0</v>
      </c>
      <c r="J15" s="56">
        <v>0</v>
      </c>
      <c r="K15" s="65">
        <f t="shared" si="1"/>
        <v>8900000</v>
      </c>
      <c r="L15" s="55">
        <f t="shared" si="0"/>
        <v>0</v>
      </c>
    </row>
    <row r="16" spans="1:13" ht="18" customHeight="1" x14ac:dyDescent="0.25">
      <c r="A16" s="50">
        <f t="shared" si="2"/>
        <v>8</v>
      </c>
      <c r="B16" s="50" t="s">
        <v>3</v>
      </c>
      <c r="C16" s="2">
        <v>1060</v>
      </c>
      <c r="D16" s="29">
        <v>2500000</v>
      </c>
      <c r="E16" s="55">
        <v>1500000</v>
      </c>
      <c r="F16" s="54">
        <v>0</v>
      </c>
      <c r="G16" s="54">
        <v>1000000</v>
      </c>
      <c r="H16" s="54"/>
      <c r="I16" s="56">
        <v>0</v>
      </c>
      <c r="J16" s="56">
        <v>0</v>
      </c>
      <c r="K16" s="65">
        <f t="shared" si="1"/>
        <v>2500000</v>
      </c>
      <c r="L16" s="55">
        <f t="shared" si="0"/>
        <v>0</v>
      </c>
    </row>
    <row r="17" spans="1:14" ht="18" customHeight="1" x14ac:dyDescent="0.25">
      <c r="A17" s="50">
        <f t="shared" si="2"/>
        <v>9</v>
      </c>
      <c r="B17" s="50" t="s">
        <v>3</v>
      </c>
      <c r="C17" s="2">
        <v>1061</v>
      </c>
      <c r="D17" s="29">
        <v>3592960</v>
      </c>
      <c r="E17" s="55">
        <v>1800000</v>
      </c>
      <c r="F17" s="54">
        <v>0</v>
      </c>
      <c r="G17" s="54"/>
      <c r="H17" s="54">
        <v>597653</v>
      </c>
      <c r="I17" s="56">
        <v>0</v>
      </c>
      <c r="J17" s="56">
        <v>0</v>
      </c>
      <c r="K17" s="65">
        <f t="shared" si="1"/>
        <v>2397653</v>
      </c>
      <c r="L17" s="55">
        <f t="shared" si="0"/>
        <v>1195307</v>
      </c>
    </row>
    <row r="18" spans="1:14" ht="18" customHeight="1" x14ac:dyDescent="0.25">
      <c r="A18" s="50">
        <f t="shared" si="2"/>
        <v>10</v>
      </c>
      <c r="B18" s="61" t="s">
        <v>3</v>
      </c>
      <c r="C18" s="3">
        <v>1062</v>
      </c>
      <c r="D18" s="38">
        <v>882890</v>
      </c>
      <c r="E18" s="55">
        <v>0</v>
      </c>
      <c r="F18" s="54">
        <v>0</v>
      </c>
      <c r="G18" s="54">
        <v>882890</v>
      </c>
      <c r="H18" s="54"/>
      <c r="I18" s="56">
        <v>0</v>
      </c>
      <c r="J18" s="56">
        <v>0</v>
      </c>
      <c r="K18" s="65">
        <f t="shared" si="1"/>
        <v>882890</v>
      </c>
      <c r="L18" s="55">
        <f t="shared" si="0"/>
        <v>0</v>
      </c>
    </row>
    <row r="19" spans="1:14" ht="18" customHeight="1" x14ac:dyDescent="0.25">
      <c r="A19" s="50">
        <f t="shared" si="2"/>
        <v>11</v>
      </c>
      <c r="B19" s="50" t="s">
        <v>3</v>
      </c>
      <c r="C19" s="2">
        <v>1063</v>
      </c>
      <c r="D19" s="29">
        <v>4074592</v>
      </c>
      <c r="E19" s="55">
        <v>2045000</v>
      </c>
      <c r="F19" s="54">
        <v>0</v>
      </c>
      <c r="G19" s="54">
        <v>2029592</v>
      </c>
      <c r="H19" s="54"/>
      <c r="I19" s="56">
        <v>0</v>
      </c>
      <c r="J19" s="56">
        <v>0</v>
      </c>
      <c r="K19" s="65">
        <f t="shared" si="1"/>
        <v>4074592</v>
      </c>
      <c r="L19" s="55">
        <f t="shared" si="0"/>
        <v>0</v>
      </c>
    </row>
    <row r="20" spans="1:14" ht="18" customHeight="1" x14ac:dyDescent="0.25">
      <c r="A20" s="50">
        <f t="shared" si="2"/>
        <v>12</v>
      </c>
      <c r="B20" s="50" t="s">
        <v>3</v>
      </c>
      <c r="C20" s="2">
        <v>1064</v>
      </c>
      <c r="D20" s="29">
        <v>3788119</v>
      </c>
      <c r="E20" s="55">
        <v>1400000</v>
      </c>
      <c r="F20" s="54">
        <f>494060+1894060</f>
        <v>2388120</v>
      </c>
      <c r="G20" s="54"/>
      <c r="H20" s="54"/>
      <c r="I20" s="56">
        <v>-1</v>
      </c>
      <c r="J20" s="56">
        <v>0</v>
      </c>
      <c r="K20" s="65">
        <f t="shared" si="1"/>
        <v>3788119</v>
      </c>
      <c r="L20" s="55">
        <f t="shared" si="0"/>
        <v>0</v>
      </c>
    </row>
    <row r="21" spans="1:14" ht="18" customHeight="1" x14ac:dyDescent="0.25">
      <c r="A21" s="50">
        <f t="shared" si="2"/>
        <v>13</v>
      </c>
      <c r="B21" s="50" t="s">
        <v>3</v>
      </c>
      <c r="C21" s="2">
        <v>1065</v>
      </c>
      <c r="D21" s="29">
        <v>3515524</v>
      </c>
      <c r="E21" s="55">
        <v>1500000</v>
      </c>
      <c r="F21" s="54">
        <v>2015524</v>
      </c>
      <c r="G21" s="54"/>
      <c r="H21" s="54"/>
      <c r="I21" s="56">
        <v>0</v>
      </c>
      <c r="J21" s="56">
        <v>0</v>
      </c>
      <c r="K21" s="65">
        <f t="shared" si="1"/>
        <v>3515524</v>
      </c>
      <c r="L21" s="55">
        <f t="shared" si="0"/>
        <v>0</v>
      </c>
    </row>
    <row r="22" spans="1:14" ht="18" customHeight="1" x14ac:dyDescent="0.25">
      <c r="A22" s="50">
        <f t="shared" si="2"/>
        <v>14</v>
      </c>
      <c r="B22" s="50" t="s">
        <v>3</v>
      </c>
      <c r="C22" s="2">
        <v>1066</v>
      </c>
      <c r="D22" s="29">
        <v>2680000</v>
      </c>
      <c r="E22" s="55">
        <v>1340000</v>
      </c>
      <c r="F22" s="54">
        <v>0</v>
      </c>
      <c r="G22" s="54"/>
      <c r="H22" s="54">
        <v>1340000</v>
      </c>
      <c r="I22" s="56">
        <v>0</v>
      </c>
      <c r="J22" s="56">
        <v>0</v>
      </c>
      <c r="K22" s="65">
        <f t="shared" si="1"/>
        <v>2680000</v>
      </c>
      <c r="L22" s="55">
        <f t="shared" si="0"/>
        <v>0</v>
      </c>
    </row>
    <row r="23" spans="1:14" ht="18" customHeight="1" x14ac:dyDescent="0.25">
      <c r="A23" s="50">
        <f t="shared" si="2"/>
        <v>15</v>
      </c>
      <c r="B23" s="50" t="s">
        <v>3</v>
      </c>
      <c r="C23" s="2">
        <v>1067</v>
      </c>
      <c r="D23" s="29">
        <v>3130961</v>
      </c>
      <c r="E23" s="55">
        <v>1565965</v>
      </c>
      <c r="F23" s="54">
        <v>0</v>
      </c>
      <c r="G23" s="54"/>
      <c r="H23" s="54"/>
      <c r="I23" s="56">
        <v>0</v>
      </c>
      <c r="J23" s="56">
        <v>264616</v>
      </c>
      <c r="K23" s="65">
        <f t="shared" si="1"/>
        <v>1830581</v>
      </c>
      <c r="L23" s="55">
        <f t="shared" si="0"/>
        <v>1300380</v>
      </c>
    </row>
    <row r="24" spans="1:14" ht="18" customHeight="1" x14ac:dyDescent="0.25">
      <c r="A24" s="50">
        <f t="shared" si="2"/>
        <v>16</v>
      </c>
      <c r="B24" s="50" t="s">
        <v>3</v>
      </c>
      <c r="C24" s="2">
        <v>1069</v>
      </c>
      <c r="D24" s="29">
        <v>4000000</v>
      </c>
      <c r="E24" s="55">
        <v>2000000</v>
      </c>
      <c r="F24" s="54">
        <v>0</v>
      </c>
      <c r="G24" s="54">
        <f>1400000+200000</f>
        <v>1600000</v>
      </c>
      <c r="H24" s="54">
        <v>200000</v>
      </c>
      <c r="I24" s="56">
        <v>0</v>
      </c>
      <c r="J24" s="56">
        <v>0</v>
      </c>
      <c r="K24" s="65">
        <f t="shared" si="1"/>
        <v>3800000</v>
      </c>
      <c r="L24" s="55">
        <f t="shared" si="0"/>
        <v>200000</v>
      </c>
    </row>
    <row r="25" spans="1:14" ht="18" customHeight="1" x14ac:dyDescent="0.25">
      <c r="A25" s="50">
        <f t="shared" si="2"/>
        <v>17</v>
      </c>
      <c r="B25" s="50" t="s">
        <v>3</v>
      </c>
      <c r="C25" s="2">
        <v>1070</v>
      </c>
      <c r="D25" s="29">
        <v>2480744</v>
      </c>
      <c r="E25" s="55">
        <v>0</v>
      </c>
      <c r="F25" s="54">
        <v>826914</v>
      </c>
      <c r="G25" s="54">
        <v>826914</v>
      </c>
      <c r="H25" s="54">
        <v>826916</v>
      </c>
      <c r="I25" s="56">
        <v>0</v>
      </c>
      <c r="J25" s="56">
        <v>0</v>
      </c>
      <c r="K25" s="65">
        <f t="shared" si="1"/>
        <v>2480744</v>
      </c>
      <c r="L25" s="55">
        <f t="shared" si="0"/>
        <v>0</v>
      </c>
    </row>
    <row r="26" spans="1:14" ht="18" customHeight="1" x14ac:dyDescent="0.25">
      <c r="A26" s="50">
        <f t="shared" si="2"/>
        <v>18</v>
      </c>
      <c r="B26" s="50" t="s">
        <v>3</v>
      </c>
      <c r="C26" s="3">
        <v>1071</v>
      </c>
      <c r="D26" s="38">
        <v>3217929</v>
      </c>
      <c r="E26" s="55">
        <v>0</v>
      </c>
      <c r="F26" s="54">
        <v>1607035</v>
      </c>
      <c r="G26" s="54"/>
      <c r="H26" s="54">
        <v>1610894</v>
      </c>
      <c r="I26" s="56">
        <v>0</v>
      </c>
      <c r="J26" s="56">
        <v>0</v>
      </c>
      <c r="K26" s="65">
        <f t="shared" si="1"/>
        <v>3217929</v>
      </c>
      <c r="L26" s="55">
        <f t="shared" si="0"/>
        <v>0</v>
      </c>
    </row>
    <row r="27" spans="1:14" ht="18" customHeight="1" x14ac:dyDescent="0.25">
      <c r="A27" s="50">
        <f t="shared" si="2"/>
        <v>19</v>
      </c>
      <c r="B27" s="50" t="s">
        <v>3</v>
      </c>
      <c r="C27" s="3">
        <v>1072</v>
      </c>
      <c r="D27" s="38">
        <v>1453691</v>
      </c>
      <c r="E27" s="55">
        <v>0</v>
      </c>
      <c r="F27" s="54">
        <v>700000</v>
      </c>
      <c r="G27" s="54"/>
      <c r="H27" s="54"/>
      <c r="I27" s="56">
        <v>0</v>
      </c>
      <c r="J27" s="56">
        <v>0</v>
      </c>
      <c r="K27" s="65">
        <f t="shared" si="1"/>
        <v>700000</v>
      </c>
      <c r="L27" s="55">
        <f t="shared" si="0"/>
        <v>753691</v>
      </c>
    </row>
    <row r="28" spans="1:14" ht="18" customHeight="1" x14ac:dyDescent="0.25">
      <c r="A28" s="50">
        <f t="shared" si="2"/>
        <v>20</v>
      </c>
      <c r="B28" s="50" t="s">
        <v>3</v>
      </c>
      <c r="C28" s="3">
        <v>1073</v>
      </c>
      <c r="D28" s="38">
        <v>2795700</v>
      </c>
      <c r="E28" s="55">
        <v>0</v>
      </c>
      <c r="F28" s="54">
        <v>1395500</v>
      </c>
      <c r="G28" s="54">
        <v>1400200</v>
      </c>
      <c r="H28" s="54"/>
      <c r="I28" s="56">
        <v>0</v>
      </c>
      <c r="J28" s="56">
        <v>0</v>
      </c>
      <c r="K28" s="65">
        <f t="shared" si="1"/>
        <v>2795700</v>
      </c>
      <c r="L28" s="55">
        <f t="shared" si="0"/>
        <v>0</v>
      </c>
    </row>
    <row r="29" spans="1:14" ht="18" customHeight="1" thickBot="1" x14ac:dyDescent="0.3">
      <c r="A29" s="67">
        <f>A28+1</f>
        <v>21</v>
      </c>
      <c r="B29" s="67" t="s">
        <v>3</v>
      </c>
      <c r="C29" s="4">
        <v>1074</v>
      </c>
      <c r="D29" s="30">
        <v>1805850</v>
      </c>
      <c r="E29" s="70">
        <v>0</v>
      </c>
      <c r="F29" s="69">
        <v>902925</v>
      </c>
      <c r="G29" s="69"/>
      <c r="H29" s="69">
        <v>902925</v>
      </c>
      <c r="I29" s="73">
        <v>0</v>
      </c>
      <c r="J29" s="73">
        <v>0</v>
      </c>
      <c r="K29" s="65">
        <f t="shared" si="1"/>
        <v>1805850</v>
      </c>
      <c r="L29" s="55">
        <f t="shared" si="0"/>
        <v>0</v>
      </c>
    </row>
    <row r="30" spans="1:14" ht="20.100000000000001" customHeight="1" thickBot="1" x14ac:dyDescent="0.3">
      <c r="B30" s="248"/>
      <c r="C30" s="249"/>
      <c r="D30" s="57">
        <f t="shared" ref="D30:J30" si="3">SUM(D9:D29)</f>
        <v>65703966</v>
      </c>
      <c r="E30" s="57">
        <f t="shared" si="3"/>
        <v>21810903</v>
      </c>
      <c r="F30" s="57">
        <f t="shared" si="3"/>
        <v>14371084</v>
      </c>
      <c r="G30" s="57">
        <f>SUM(G9:G29)</f>
        <v>12552832</v>
      </c>
      <c r="H30" s="57">
        <f t="shared" si="3"/>
        <v>9819993</v>
      </c>
      <c r="I30" s="58">
        <f>SUM(I9:I29)</f>
        <v>3177</v>
      </c>
      <c r="J30" s="58">
        <f t="shared" si="3"/>
        <v>639516</v>
      </c>
      <c r="K30" s="57">
        <f>SUM(K9:K29)</f>
        <v>59197505</v>
      </c>
      <c r="L30" s="59">
        <f>SUM(L9:L29)</f>
        <v>6506461</v>
      </c>
      <c r="N30" s="71"/>
    </row>
    <row r="32" spans="1:14" x14ac:dyDescent="0.25">
      <c r="G32" s="43"/>
      <c r="H32" s="43"/>
    </row>
    <row r="33" spans="1:51" x14ac:dyDescent="0.25">
      <c r="C33" s="44"/>
      <c r="D33" s="44"/>
    </row>
    <row r="35" spans="1:51" x14ac:dyDescent="0.25">
      <c r="G35" s="43"/>
      <c r="H35" s="43"/>
    </row>
    <row r="36" spans="1:51" x14ac:dyDescent="0.25">
      <c r="G36" s="43"/>
      <c r="H36" s="43"/>
    </row>
    <row r="37" spans="1:51" x14ac:dyDescent="0.25">
      <c r="D37" s="44"/>
    </row>
    <row r="38" spans="1:51" x14ac:dyDescent="0.25">
      <c r="D38" s="44"/>
    </row>
    <row r="39" spans="1:51" x14ac:dyDescent="0.25">
      <c r="D39" s="44"/>
    </row>
    <row r="40" spans="1:51" x14ac:dyDescent="0.25">
      <c r="D40" s="44"/>
    </row>
    <row r="41" spans="1:51" x14ac:dyDescent="0.25">
      <c r="D41" s="44"/>
    </row>
    <row r="42" spans="1:51" x14ac:dyDescent="0.25">
      <c r="D42" s="44"/>
    </row>
    <row r="43" spans="1:51" x14ac:dyDescent="0.25">
      <c r="C43" s="44"/>
      <c r="D43" s="44"/>
    </row>
    <row r="46" spans="1:51" s="62" customFormat="1" x14ac:dyDescent="0.25">
      <c r="A46" s="66"/>
      <c r="B46" s="43"/>
      <c r="C46" s="43"/>
      <c r="D46" s="43"/>
      <c r="E46" s="44"/>
      <c r="F46" s="44"/>
      <c r="G46" s="44"/>
      <c r="H46" s="44"/>
      <c r="I46" s="44"/>
      <c r="J46" s="44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</row>
  </sheetData>
  <mergeCells count="2">
    <mergeCell ref="B30:C30"/>
    <mergeCell ref="E7:H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Jun2016</vt:lpstr>
      <vt:lpstr>Jul2016</vt:lpstr>
      <vt:lpstr>Ago2016</vt:lpstr>
      <vt:lpstr>Sep2016</vt:lpstr>
      <vt:lpstr>Oct2016</vt:lpstr>
      <vt:lpstr>Nov2016</vt:lpstr>
      <vt:lpstr>Dic2016</vt:lpstr>
      <vt:lpstr>Ene2017</vt:lpstr>
      <vt:lpstr>Feb2017</vt:lpstr>
      <vt:lpstr>Mar2017</vt:lpstr>
      <vt:lpstr>Abr2017</vt:lpstr>
      <vt:lpstr>May2017 </vt:lpstr>
      <vt:lpstr>Junio2017</vt:lpstr>
      <vt:lpstr>Saldos pendientes</vt:lpstr>
      <vt:lpstr>Tabla resumen</vt:lpstr>
      <vt:lpstr> Compr.Ob.C.O.</vt:lpstr>
      <vt:lpstr>Cobranza</vt:lpstr>
      <vt:lpstr>Resumen de datos</vt:lpstr>
      <vt:lpstr>Total Recup Mensual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PANORAMA</dc:creator>
  <cp:lastModifiedBy>Alberto</cp:lastModifiedBy>
  <cp:lastPrinted>2017-06-21T21:23:34Z</cp:lastPrinted>
  <dcterms:created xsi:type="dcterms:W3CDTF">2017-02-03T14:46:36Z</dcterms:created>
  <dcterms:modified xsi:type="dcterms:W3CDTF">2017-06-22T19:54:14Z</dcterms:modified>
</cp:coreProperties>
</file>