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Studia\semestr_5\modelowanie rynków\"/>
    </mc:Choice>
  </mc:AlternateContent>
  <xr:revisionPtr revIDLastSave="0" documentId="13_ncr:1_{DA263945-02DC-43F5-9AA0-7381B2C60565}" xr6:coauthVersionLast="47" xr6:coauthVersionMax="47" xr10:uidLastSave="{00000000-0000-0000-0000-000000000000}"/>
  <bookViews>
    <workbookView xWindow="-108" yWindow="-108" windowWidth="23256" windowHeight="12720" firstSheet="6" activeTab="13" xr2:uid="{00000000-000D-0000-FFFF-FFFF00000000}"/>
  </bookViews>
  <sheets>
    <sheet name="Zadania" sheetId="12" r:id="rId1"/>
    <sheet name="Zadanie1" sheetId="13" r:id="rId2"/>
    <sheet name="Zadanie2" sheetId="14" r:id="rId3"/>
    <sheet name="Zadanie3" sheetId="15" r:id="rId4"/>
    <sheet name="Zadanie4" sheetId="16" r:id="rId5"/>
    <sheet name="Zadanie5" sheetId="17" r:id="rId6"/>
    <sheet name="Zadanie6" sheetId="18" r:id="rId7"/>
    <sheet name="Zadanie7" sheetId="19" r:id="rId8"/>
    <sheet name="Zadanie8" sheetId="20" r:id="rId9"/>
    <sheet name="Zadanie9" sheetId="21" r:id="rId10"/>
    <sheet name="Zadanie10" sheetId="22" r:id="rId11"/>
    <sheet name="Zadanie11" sheetId="23" r:id="rId12"/>
    <sheet name="Zadanie12" sheetId="24" r:id="rId13"/>
    <sheet name="Zadanie13" sheetId="25" r:id="rId14"/>
  </sheets>
  <definedNames>
    <definedName name="d">#REF!</definedName>
    <definedName name="delta13">#REF!</definedName>
    <definedName name="delta26">#REF!</definedName>
    <definedName name="prow">#REF!</definedName>
    <definedName name="solver_adj" localSheetId="1" hidden="1">Zadanie1!$P$24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Zadanie1!$X$30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1000</definedName>
    <definedName name="solver_ver" localSheetId="1" hidden="1">3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3" l="1"/>
  <c r="D10" i="23"/>
  <c r="J4" i="23"/>
  <c r="J7" i="23"/>
  <c r="H6" i="19"/>
  <c r="D6" i="19"/>
  <c r="E6" i="19"/>
  <c r="F6" i="19"/>
  <c r="G6" i="19"/>
  <c r="I6" i="19"/>
  <c r="J6" i="19"/>
  <c r="K6" i="19"/>
  <c r="C6" i="19"/>
  <c r="B6" i="19"/>
  <c r="C5" i="19"/>
  <c r="D5" i="19"/>
  <c r="E5" i="19"/>
  <c r="F5" i="19"/>
  <c r="G5" i="19"/>
  <c r="H5" i="19"/>
  <c r="I5" i="19"/>
  <c r="J5" i="19"/>
  <c r="K5" i="19"/>
  <c r="B5" i="19"/>
  <c r="C14" i="18"/>
  <c r="C15" i="18"/>
  <c r="C16" i="18"/>
  <c r="C13" i="18"/>
  <c r="AD25" i="17"/>
  <c r="AF25" i="17" s="1"/>
  <c r="X25" i="17"/>
  <c r="R25" i="17"/>
  <c r="T25" i="17" s="1"/>
  <c r="L25" i="17"/>
  <c r="N25" i="17" s="1"/>
  <c r="AD7" i="17"/>
  <c r="AF7" i="17" s="1"/>
  <c r="AD8" i="17"/>
  <c r="AF8" i="17" s="1"/>
  <c r="AD9" i="17"/>
  <c r="AD10" i="17"/>
  <c r="AF10" i="17" s="1"/>
  <c r="AD11" i="17"/>
  <c r="AF11" i="17" s="1"/>
  <c r="AD12" i="17"/>
  <c r="AF12" i="17" s="1"/>
  <c r="AD13" i="17"/>
  <c r="AF13" i="17" s="1"/>
  <c r="AD14" i="17"/>
  <c r="AE14" i="17" s="1"/>
  <c r="AD15" i="17"/>
  <c r="AF15" i="17" s="1"/>
  <c r="AD16" i="17"/>
  <c r="AF16" i="17" s="1"/>
  <c r="AD17" i="17"/>
  <c r="AF17" i="17" s="1"/>
  <c r="AD18" i="17"/>
  <c r="AF18" i="17" s="1"/>
  <c r="AD19" i="17"/>
  <c r="AF19" i="17" s="1"/>
  <c r="AD20" i="17"/>
  <c r="AF20" i="17" s="1"/>
  <c r="AD21" i="17"/>
  <c r="AF21" i="17" s="1"/>
  <c r="AD22" i="17"/>
  <c r="AF22" i="17" s="1"/>
  <c r="AD23" i="17"/>
  <c r="AE23" i="17" s="1"/>
  <c r="AD24" i="17"/>
  <c r="AF24" i="17" s="1"/>
  <c r="AD6" i="17"/>
  <c r="AF6" i="17" s="1"/>
  <c r="AF9" i="17"/>
  <c r="Z25" i="17"/>
  <c r="X7" i="17"/>
  <c r="Z7" i="17" s="1"/>
  <c r="X8" i="17"/>
  <c r="Z8" i="17" s="1"/>
  <c r="X9" i="17"/>
  <c r="Z9" i="17" s="1"/>
  <c r="X10" i="17"/>
  <c r="Y10" i="17" s="1"/>
  <c r="X11" i="17"/>
  <c r="Z11" i="17" s="1"/>
  <c r="X12" i="17"/>
  <c r="Y12" i="17" s="1"/>
  <c r="X13" i="17"/>
  <c r="Y13" i="17" s="1"/>
  <c r="X14" i="17"/>
  <c r="Y14" i="17" s="1"/>
  <c r="X15" i="17"/>
  <c r="Z15" i="17" s="1"/>
  <c r="X16" i="17"/>
  <c r="Z16" i="17" s="1"/>
  <c r="X17" i="17"/>
  <c r="Y17" i="17" s="1"/>
  <c r="X18" i="17"/>
  <c r="Y18" i="17" s="1"/>
  <c r="X19" i="17"/>
  <c r="Z19" i="17" s="1"/>
  <c r="X20" i="17"/>
  <c r="Y20" i="17" s="1"/>
  <c r="X21" i="17"/>
  <c r="Y21" i="17" s="1"/>
  <c r="X22" i="17"/>
  <c r="Y22" i="17" s="1"/>
  <c r="X23" i="17"/>
  <c r="Z23" i="17" s="1"/>
  <c r="X24" i="17"/>
  <c r="Z24" i="17" s="1"/>
  <c r="X6" i="17"/>
  <c r="Y6" i="17" s="1"/>
  <c r="Z17" i="17"/>
  <c r="R7" i="17"/>
  <c r="S7" i="17" s="1"/>
  <c r="R8" i="17"/>
  <c r="T8" i="17" s="1"/>
  <c r="R9" i="17"/>
  <c r="S9" i="17" s="1"/>
  <c r="R10" i="17"/>
  <c r="S10" i="17" s="1"/>
  <c r="R11" i="17"/>
  <c r="T11" i="17" s="1"/>
  <c r="R12" i="17"/>
  <c r="T12" i="17" s="1"/>
  <c r="R13" i="17"/>
  <c r="T13" i="17" s="1"/>
  <c r="R14" i="17"/>
  <c r="T14" i="17" s="1"/>
  <c r="R15" i="17"/>
  <c r="R16" i="17"/>
  <c r="T16" i="17" s="1"/>
  <c r="R17" i="17"/>
  <c r="T17" i="17" s="1"/>
  <c r="R18" i="17"/>
  <c r="S18" i="17" s="1"/>
  <c r="R19" i="17"/>
  <c r="T19" i="17" s="1"/>
  <c r="R20" i="17"/>
  <c r="T20" i="17" s="1"/>
  <c r="R21" i="17"/>
  <c r="T21" i="17" s="1"/>
  <c r="R22" i="17"/>
  <c r="T22" i="17" s="1"/>
  <c r="R23" i="17"/>
  <c r="S23" i="17" s="1"/>
  <c r="R24" i="17"/>
  <c r="S24" i="17" s="1"/>
  <c r="R6" i="17"/>
  <c r="S6" i="17" s="1"/>
  <c r="S17" i="17"/>
  <c r="S15" i="17"/>
  <c r="L7" i="17"/>
  <c r="N7" i="17" s="1"/>
  <c r="L8" i="17"/>
  <c r="N8" i="17" s="1"/>
  <c r="L9" i="17"/>
  <c r="N9" i="17" s="1"/>
  <c r="L10" i="17"/>
  <c r="N10" i="17" s="1"/>
  <c r="L11" i="17"/>
  <c r="M11" i="17" s="1"/>
  <c r="L12" i="17"/>
  <c r="N12" i="17" s="1"/>
  <c r="L13" i="17"/>
  <c r="N13" i="17" s="1"/>
  <c r="L14" i="17"/>
  <c r="N14" i="17" s="1"/>
  <c r="L15" i="17"/>
  <c r="N15" i="17" s="1"/>
  <c r="L16" i="17"/>
  <c r="N16" i="17" s="1"/>
  <c r="L17" i="17"/>
  <c r="N17" i="17" s="1"/>
  <c r="L18" i="17"/>
  <c r="N18" i="17" s="1"/>
  <c r="L19" i="17"/>
  <c r="N19" i="17" s="1"/>
  <c r="L20" i="17"/>
  <c r="N20" i="17" s="1"/>
  <c r="L21" i="17"/>
  <c r="M21" i="17" s="1"/>
  <c r="L22" i="17"/>
  <c r="N22" i="17" s="1"/>
  <c r="L23" i="17"/>
  <c r="N23" i="17" s="1"/>
  <c r="L24" i="17"/>
  <c r="N24" i="17" s="1"/>
  <c r="L6" i="17"/>
  <c r="N6" i="17" s="1"/>
  <c r="C6" i="16"/>
  <c r="F16" i="16" s="1"/>
  <c r="R30" i="15"/>
  <c r="R14" i="15"/>
  <c r="R22" i="15"/>
  <c r="P22" i="15"/>
  <c r="P20" i="15"/>
  <c r="Q20" i="15"/>
  <c r="R20" i="15"/>
  <c r="S20" i="15"/>
  <c r="T20" i="15"/>
  <c r="U20" i="15"/>
  <c r="V20" i="15"/>
  <c r="W20" i="15"/>
  <c r="X20" i="15"/>
  <c r="S28" i="15"/>
  <c r="X28" i="15"/>
  <c r="W28" i="15"/>
  <c r="V28" i="15"/>
  <c r="U28" i="15"/>
  <c r="T28" i="15"/>
  <c r="R28" i="15"/>
  <c r="Q28" i="15"/>
  <c r="P28" i="15"/>
  <c r="P14" i="15"/>
  <c r="C14" i="15"/>
  <c r="B56" i="14"/>
  <c r="C56" i="14"/>
  <c r="D56" i="14"/>
  <c r="E56" i="14"/>
  <c r="F56" i="14"/>
  <c r="B57" i="14"/>
  <c r="C57" i="14"/>
  <c r="D57" i="14"/>
  <c r="E57" i="14"/>
  <c r="F57" i="14"/>
  <c r="B58" i="14"/>
  <c r="C58" i="14"/>
  <c r="D58" i="14"/>
  <c r="E58" i="14"/>
  <c r="F58" i="14"/>
  <c r="B59" i="14"/>
  <c r="C59" i="14"/>
  <c r="D59" i="14"/>
  <c r="E59" i="14"/>
  <c r="F59" i="14"/>
  <c r="B60" i="14"/>
  <c r="C60" i="14"/>
  <c r="D60" i="14"/>
  <c r="E60" i="14"/>
  <c r="F60" i="14"/>
  <c r="B61" i="14"/>
  <c r="C61" i="14"/>
  <c r="D61" i="14"/>
  <c r="E61" i="14"/>
  <c r="F61" i="14"/>
  <c r="B62" i="14"/>
  <c r="C62" i="14"/>
  <c r="D62" i="14"/>
  <c r="E62" i="14"/>
  <c r="F62" i="14"/>
  <c r="B63" i="14"/>
  <c r="C63" i="14"/>
  <c r="D63" i="14"/>
  <c r="E63" i="14"/>
  <c r="F63" i="14"/>
  <c r="B64" i="14"/>
  <c r="C64" i="14"/>
  <c r="D64" i="14"/>
  <c r="E64" i="14"/>
  <c r="F64" i="14"/>
  <c r="B65" i="14"/>
  <c r="C65" i="14"/>
  <c r="D65" i="14"/>
  <c r="E65" i="14"/>
  <c r="F65" i="14"/>
  <c r="B66" i="14"/>
  <c r="C66" i="14"/>
  <c r="D66" i="14"/>
  <c r="E66" i="14"/>
  <c r="F66" i="14"/>
  <c r="B67" i="14"/>
  <c r="C67" i="14"/>
  <c r="D67" i="14"/>
  <c r="E67" i="14"/>
  <c r="F67" i="14"/>
  <c r="B68" i="14"/>
  <c r="C68" i="14"/>
  <c r="D68" i="14"/>
  <c r="E68" i="14"/>
  <c r="F68" i="14"/>
  <c r="B69" i="14"/>
  <c r="C69" i="14"/>
  <c r="D69" i="14"/>
  <c r="E69" i="14"/>
  <c r="F69" i="14"/>
  <c r="B70" i="14"/>
  <c r="C70" i="14"/>
  <c r="D70" i="14"/>
  <c r="E70" i="14"/>
  <c r="F70" i="14"/>
  <c r="B71" i="14"/>
  <c r="C71" i="14"/>
  <c r="D71" i="14"/>
  <c r="E71" i="14"/>
  <c r="F71" i="14"/>
  <c r="B72" i="14"/>
  <c r="C72" i="14"/>
  <c r="D72" i="14"/>
  <c r="E72" i="14"/>
  <c r="F72" i="14"/>
  <c r="B73" i="14"/>
  <c r="C73" i="14"/>
  <c r="D73" i="14"/>
  <c r="E73" i="14"/>
  <c r="F73" i="14"/>
  <c r="B74" i="14"/>
  <c r="C74" i="14"/>
  <c r="D74" i="14"/>
  <c r="E74" i="14"/>
  <c r="F74" i="14"/>
  <c r="B75" i="14"/>
  <c r="C75" i="14"/>
  <c r="D75" i="14"/>
  <c r="E75" i="14"/>
  <c r="F75" i="14"/>
  <c r="B76" i="14"/>
  <c r="C76" i="14"/>
  <c r="D76" i="14"/>
  <c r="E76" i="14"/>
  <c r="F76" i="14"/>
  <c r="B77" i="14"/>
  <c r="C77" i="14"/>
  <c r="D77" i="14"/>
  <c r="E77" i="14"/>
  <c r="F77" i="14"/>
  <c r="B78" i="14"/>
  <c r="C78" i="14"/>
  <c r="D78" i="14"/>
  <c r="E78" i="14"/>
  <c r="F78" i="14"/>
  <c r="B79" i="14"/>
  <c r="C79" i="14"/>
  <c r="D79" i="14"/>
  <c r="E79" i="14"/>
  <c r="F79" i="14"/>
  <c r="B80" i="14"/>
  <c r="C80" i="14"/>
  <c r="D80" i="14"/>
  <c r="E80" i="14"/>
  <c r="F80" i="14"/>
  <c r="B81" i="14"/>
  <c r="C81" i="14"/>
  <c r="D81" i="14"/>
  <c r="E81" i="14"/>
  <c r="F81" i="14"/>
  <c r="B82" i="14"/>
  <c r="C82" i="14"/>
  <c r="D82" i="14"/>
  <c r="E82" i="14"/>
  <c r="F82" i="14"/>
  <c r="B83" i="14"/>
  <c r="C83" i="14"/>
  <c r="D83" i="14"/>
  <c r="E83" i="14"/>
  <c r="F83" i="14"/>
  <c r="B84" i="14"/>
  <c r="C84" i="14"/>
  <c r="D84" i="14"/>
  <c r="E84" i="14"/>
  <c r="F84" i="14"/>
  <c r="B85" i="14"/>
  <c r="C85" i="14"/>
  <c r="D85" i="14"/>
  <c r="E85" i="14"/>
  <c r="F85" i="14"/>
  <c r="B86" i="14"/>
  <c r="C86" i="14"/>
  <c r="D86" i="14"/>
  <c r="E86" i="14"/>
  <c r="F86" i="14"/>
  <c r="B87" i="14"/>
  <c r="C87" i="14"/>
  <c r="D87" i="14"/>
  <c r="E87" i="14"/>
  <c r="F87" i="14"/>
  <c r="B88" i="14"/>
  <c r="C88" i="14"/>
  <c r="D88" i="14"/>
  <c r="E88" i="14"/>
  <c r="F88" i="14"/>
  <c r="B89" i="14"/>
  <c r="C89" i="14"/>
  <c r="D89" i="14"/>
  <c r="E89" i="14"/>
  <c r="F89" i="14"/>
  <c r="B90" i="14"/>
  <c r="C90" i="14"/>
  <c r="D90" i="14"/>
  <c r="E90" i="14"/>
  <c r="F90" i="14"/>
  <c r="B91" i="14"/>
  <c r="C91" i="14"/>
  <c r="D91" i="14"/>
  <c r="E91" i="14"/>
  <c r="F91" i="14"/>
  <c r="B92" i="14"/>
  <c r="C92" i="14"/>
  <c r="D92" i="14"/>
  <c r="E92" i="14"/>
  <c r="F92" i="14"/>
  <c r="B93" i="14"/>
  <c r="C93" i="14"/>
  <c r="D93" i="14"/>
  <c r="E93" i="14"/>
  <c r="F93" i="14"/>
  <c r="B94" i="14"/>
  <c r="C94" i="14"/>
  <c r="D94" i="14"/>
  <c r="E94" i="14"/>
  <c r="F94" i="14"/>
  <c r="C55" i="14"/>
  <c r="D55" i="14"/>
  <c r="E55" i="14"/>
  <c r="F55" i="14"/>
  <c r="B55" i="14"/>
  <c r="B10" i="14"/>
  <c r="C30" i="13"/>
  <c r="P30" i="13"/>
  <c r="D28" i="15"/>
  <c r="E28" i="15"/>
  <c r="F28" i="15"/>
  <c r="G28" i="15"/>
  <c r="H28" i="15"/>
  <c r="I28" i="15"/>
  <c r="J28" i="15"/>
  <c r="K28" i="15"/>
  <c r="L28" i="15"/>
  <c r="C28" i="15"/>
  <c r="C30" i="15" s="1"/>
  <c r="D20" i="15"/>
  <c r="E20" i="15"/>
  <c r="F20" i="15"/>
  <c r="G20" i="15"/>
  <c r="H20" i="15"/>
  <c r="I20" i="15"/>
  <c r="J20" i="15"/>
  <c r="K20" i="15"/>
  <c r="L20" i="15"/>
  <c r="C20" i="15"/>
  <c r="C22" i="15" s="1"/>
  <c r="B11" i="14"/>
  <c r="C11" i="14"/>
  <c r="D11" i="14"/>
  <c r="E11" i="14"/>
  <c r="F11" i="14"/>
  <c r="B12" i="14"/>
  <c r="G12" i="14" s="1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G20" i="14" s="1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F24" i="14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G28" i="14" s="1"/>
  <c r="C28" i="14"/>
  <c r="D28" i="14"/>
  <c r="E28" i="14"/>
  <c r="F28" i="14"/>
  <c r="B29" i="14"/>
  <c r="C29" i="14"/>
  <c r="D29" i="14"/>
  <c r="E29" i="14"/>
  <c r="F29" i="14"/>
  <c r="B30" i="14"/>
  <c r="C30" i="14"/>
  <c r="D30" i="14"/>
  <c r="E30" i="14"/>
  <c r="F30" i="14"/>
  <c r="B31" i="14"/>
  <c r="C31" i="14"/>
  <c r="D31" i="14"/>
  <c r="E31" i="14"/>
  <c r="F31" i="14"/>
  <c r="B32" i="14"/>
  <c r="C32" i="14"/>
  <c r="D32" i="14"/>
  <c r="E32" i="14"/>
  <c r="F32" i="14"/>
  <c r="B33" i="14"/>
  <c r="C33" i="14"/>
  <c r="D33" i="14"/>
  <c r="E33" i="14"/>
  <c r="F33" i="14"/>
  <c r="B34" i="14"/>
  <c r="C34" i="14"/>
  <c r="D34" i="14"/>
  <c r="E34" i="14"/>
  <c r="F34" i="14"/>
  <c r="B35" i="14"/>
  <c r="C35" i="14"/>
  <c r="D35" i="14"/>
  <c r="E35" i="14"/>
  <c r="F35" i="14"/>
  <c r="B36" i="14"/>
  <c r="G36" i="14" s="1"/>
  <c r="C36" i="14"/>
  <c r="D36" i="14"/>
  <c r="E36" i="14"/>
  <c r="F36" i="14"/>
  <c r="B37" i="14"/>
  <c r="C37" i="14"/>
  <c r="D37" i="14"/>
  <c r="E37" i="14"/>
  <c r="F37" i="14"/>
  <c r="B38" i="14"/>
  <c r="C38" i="14"/>
  <c r="D38" i="14"/>
  <c r="E38" i="14"/>
  <c r="F38" i="14"/>
  <c r="B39" i="14"/>
  <c r="C39" i="14"/>
  <c r="D39" i="14"/>
  <c r="E39" i="14"/>
  <c r="F39" i="14"/>
  <c r="B40" i="14"/>
  <c r="C40" i="14"/>
  <c r="D40" i="14"/>
  <c r="E40" i="14"/>
  <c r="F40" i="14"/>
  <c r="B41" i="14"/>
  <c r="C41" i="14"/>
  <c r="D41" i="14"/>
  <c r="E41" i="14"/>
  <c r="F41" i="14"/>
  <c r="B42" i="14"/>
  <c r="C42" i="14"/>
  <c r="D42" i="14"/>
  <c r="E42" i="14"/>
  <c r="F42" i="14"/>
  <c r="B43" i="14"/>
  <c r="C43" i="14"/>
  <c r="D43" i="14"/>
  <c r="E43" i="14"/>
  <c r="F43" i="14"/>
  <c r="B44" i="14"/>
  <c r="G44" i="14" s="1"/>
  <c r="C44" i="14"/>
  <c r="D44" i="14"/>
  <c r="E44" i="14"/>
  <c r="F44" i="14"/>
  <c r="B45" i="14"/>
  <c r="C45" i="14"/>
  <c r="D45" i="14"/>
  <c r="E45" i="14"/>
  <c r="F45" i="14"/>
  <c r="B46" i="14"/>
  <c r="C46" i="14"/>
  <c r="D46" i="14"/>
  <c r="E46" i="14"/>
  <c r="F46" i="14"/>
  <c r="B47" i="14"/>
  <c r="C47" i="14"/>
  <c r="D47" i="14"/>
  <c r="E47" i="14"/>
  <c r="F47" i="14"/>
  <c r="B48" i="14"/>
  <c r="C48" i="14"/>
  <c r="D48" i="14"/>
  <c r="E48" i="14"/>
  <c r="F48" i="14"/>
  <c r="B49" i="14"/>
  <c r="C49" i="14"/>
  <c r="D49" i="14"/>
  <c r="E49" i="14"/>
  <c r="F49" i="14"/>
  <c r="C10" i="14"/>
  <c r="D10" i="14"/>
  <c r="E10" i="14"/>
  <c r="F10" i="14"/>
  <c r="Q30" i="13"/>
  <c r="R30" i="13"/>
  <c r="S30" i="13"/>
  <c r="T30" i="13"/>
  <c r="U30" i="13"/>
  <c r="V30" i="13"/>
  <c r="W30" i="13"/>
  <c r="D30" i="13"/>
  <c r="E30" i="13"/>
  <c r="F30" i="13"/>
  <c r="K30" i="13" s="1"/>
  <c r="G30" i="13"/>
  <c r="H30" i="13"/>
  <c r="I30" i="13"/>
  <c r="J30" i="13"/>
  <c r="AB12" i="13"/>
  <c r="AC12" i="13"/>
  <c r="AD12" i="13"/>
  <c r="AE12" i="13"/>
  <c r="AF12" i="13"/>
  <c r="AG12" i="13"/>
  <c r="AH12" i="13"/>
  <c r="AA12" i="13"/>
  <c r="Q12" i="13"/>
  <c r="R12" i="13"/>
  <c r="S12" i="13"/>
  <c r="T12" i="13"/>
  <c r="U12" i="13"/>
  <c r="V12" i="13"/>
  <c r="W12" i="13"/>
  <c r="P12" i="13"/>
  <c r="D12" i="13"/>
  <c r="E12" i="13"/>
  <c r="F12" i="13"/>
  <c r="G12" i="13"/>
  <c r="H12" i="13"/>
  <c r="I12" i="13"/>
  <c r="J12" i="13"/>
  <c r="C12" i="13"/>
  <c r="AE11" i="17" l="1"/>
  <c r="T10" i="17"/>
  <c r="Z20" i="17"/>
  <c r="N21" i="17"/>
  <c r="Y7" i="17"/>
  <c r="AE19" i="17"/>
  <c r="Y11" i="17"/>
  <c r="Y9" i="17"/>
  <c r="S22" i="17"/>
  <c r="M25" i="17"/>
  <c r="S14" i="17"/>
  <c r="M19" i="17"/>
  <c r="Z22" i="17"/>
  <c r="AE22" i="17"/>
  <c r="T6" i="17"/>
  <c r="T9" i="17"/>
  <c r="Z12" i="17"/>
  <c r="Z14" i="17"/>
  <c r="N11" i="17"/>
  <c r="M18" i="17"/>
  <c r="M10" i="17"/>
  <c r="M9" i="17"/>
  <c r="Z18" i="17"/>
  <c r="M24" i="17"/>
  <c r="M16" i="17"/>
  <c r="M8" i="17"/>
  <c r="T18" i="17"/>
  <c r="Y19" i="17"/>
  <c r="M17" i="17"/>
  <c r="M23" i="17"/>
  <c r="M15" i="17"/>
  <c r="M7" i="17"/>
  <c r="M22" i="17"/>
  <c r="M14" i="17"/>
  <c r="AE7" i="17"/>
  <c r="AE15" i="17"/>
  <c r="M13" i="17"/>
  <c r="M6" i="17"/>
  <c r="AF23" i="17"/>
  <c r="M20" i="17"/>
  <c r="M12" i="17"/>
  <c r="AE12" i="17"/>
  <c r="AF14" i="17"/>
  <c r="AE20" i="17"/>
  <c r="AE6" i="17"/>
  <c r="AE10" i="17"/>
  <c r="AE18" i="17"/>
  <c r="AE13" i="17"/>
  <c r="AE21" i="17"/>
  <c r="AE8" i="17"/>
  <c r="AE16" i="17"/>
  <c r="AE24" i="17"/>
  <c r="AE9" i="17"/>
  <c r="AE17" i="17"/>
  <c r="AE25" i="17"/>
  <c r="Y25" i="17"/>
  <c r="Y23" i="17"/>
  <c r="Y15" i="17"/>
  <c r="Z6" i="17"/>
  <c r="Z10" i="17"/>
  <c r="Y8" i="17"/>
  <c r="Z13" i="17"/>
  <c r="Y16" i="17"/>
  <c r="Z21" i="17"/>
  <c r="Y24" i="17"/>
  <c r="S25" i="17"/>
  <c r="S8" i="17"/>
  <c r="T24" i="17"/>
  <c r="S16" i="17"/>
  <c r="T15" i="17"/>
  <c r="T23" i="17"/>
  <c r="S13" i="17"/>
  <c r="S21" i="17"/>
  <c r="T7" i="17"/>
  <c r="S11" i="17"/>
  <c r="S19" i="17"/>
  <c r="S12" i="17"/>
  <c r="S20" i="17"/>
  <c r="J9" i="16"/>
  <c r="M9" i="16"/>
  <c r="F11" i="16"/>
  <c r="L9" i="16"/>
  <c r="E11" i="16"/>
  <c r="K9" i="16"/>
  <c r="D11" i="16"/>
  <c r="C11" i="16"/>
  <c r="G11" i="16" s="1"/>
  <c r="C16" i="16"/>
  <c r="D24" i="16"/>
  <c r="E16" i="16"/>
  <c r="D16" i="16"/>
  <c r="F24" i="16"/>
  <c r="C24" i="16"/>
  <c r="E24" i="16"/>
  <c r="P30" i="15"/>
  <c r="G47" i="14"/>
  <c r="G34" i="14"/>
  <c r="G26" i="14"/>
  <c r="G18" i="14"/>
  <c r="G45" i="14"/>
  <c r="G37" i="14"/>
  <c r="G29" i="14"/>
  <c r="G21" i="14"/>
  <c r="G13" i="14"/>
  <c r="G15" i="14"/>
  <c r="G48" i="14"/>
  <c r="G40" i="14"/>
  <c r="G32" i="14"/>
  <c r="G24" i="14"/>
  <c r="G16" i="14"/>
  <c r="G46" i="14"/>
  <c r="G43" i="14"/>
  <c r="G38" i="14"/>
  <c r="G35" i="14"/>
  <c r="G30" i="14"/>
  <c r="G27" i="14"/>
  <c r="G22" i="14"/>
  <c r="G19" i="14"/>
  <c r="G14" i="14"/>
  <c r="G11" i="14"/>
  <c r="G39" i="14"/>
  <c r="G23" i="14"/>
  <c r="G10" i="14"/>
  <c r="G42" i="14"/>
  <c r="G31" i="14"/>
  <c r="G49" i="14"/>
  <c r="G41" i="14"/>
  <c r="G33" i="14"/>
  <c r="G25" i="14"/>
  <c r="G17" i="14"/>
  <c r="K12" i="13"/>
  <c r="X30" i="13"/>
  <c r="AI12" i="13"/>
  <c r="X12" i="13"/>
  <c r="N26" i="17" l="1"/>
  <c r="B9" i="17" s="1"/>
  <c r="T26" i="17"/>
  <c r="B10" i="17" s="1"/>
  <c r="AF26" i="17"/>
  <c r="B12" i="17" s="1"/>
  <c r="Z26" i="17"/>
  <c r="B11" i="17" s="1"/>
  <c r="G16" i="16"/>
  <c r="N9" i="16"/>
  <c r="J11" i="16" s="1"/>
  <c r="G24" i="16"/>
  <c r="N4" i="16" s="1"/>
  <c r="J4" i="16" l="1"/>
  <c r="J5" i="16" s="1"/>
  <c r="J16" i="16"/>
  <c r="J18" i="16" s="1"/>
  <c r="C19" i="16"/>
</calcChain>
</file>

<file path=xl/sharedStrings.xml><?xml version="1.0" encoding="utf-8"?>
<sst xmlns="http://schemas.openxmlformats.org/spreadsheetml/2006/main" count="214" uniqueCount="80">
  <si>
    <t>Nr</t>
  </si>
  <si>
    <t>ZADANIE</t>
  </si>
  <si>
    <t>Na rynku dane są nastepujące stopy spotowe r_t dla t=1,...10: 10.60%, 10.40%, 10.00%, 9.10%, 8.44%, 7.64%, 6.99%, 6.52%, 6.24%, 6.20%
a) narysuj krzywą spotową               
b) znajdź czynniki dyskontujące          
c) wyznacz stopy forward          
d) narysuj wykres spot spotowych i forward</t>
  </si>
  <si>
    <t>Inwestor posiada portfel, w skład którego wchodzą 3 obligacje A i 5 obligacji B. Charakterystyki obligacji są następujące:
A: wartość nominalna 100, cena 102, termin do wykupu 2 lata, oprocentowanie  10%, odsetki płacone co roku;
B: zerokuponowa, wartość nominalna 100, cena 92, termin do wykupu 1 rok.
Oblicz YTM portfela.</t>
  </si>
  <si>
    <t>Załóżmy, że roczna obligacja zerokuponowa o wartości nominalnej 100zł jest sprzedawana po 94.34zł, a dwuletnia po 84.99zł. Zastanawiasz się nad zakupem dwuletniej obligacji kuponowej o wartości nominalnej 100zł i kuponach w wysokości 12zł płatnych raz w roku. Jaka jest ytm dwuletniej obligacji zerokuponowej? A jaka obligacji kuponowej? Jaka jest stopa forward 1r2 (na drugi rok)?</t>
  </si>
  <si>
    <t>Inwestor rozważa inwestycję o rocznym horyzoncie czasowym. Ma on do wyboru następujące 3 obligacje o takim samym poziomie ryzyka, zapadalności za 10 lat i wartości nominalnej 1000: i) zerokuponowa, ii) o 8% kuponie płatnym raz w roku, iii) o 10% kuponie płatnym raz w roku.         a) Jeśli ytm wszystkich obligacji wynosi 8%, to jakie są ich ceny?                                                                                                                                          b) Jeśli inwestor spodziewa się, że na początku przyszłego roku ytm będzie równy 8%, to jakie będą wtedy ich ceny? Jaka będzie roczna stopa zwrotu z tych obligacji?</t>
  </si>
  <si>
    <t>Do wygaśnięcia trzyletniej obligacji o nominale 1000 PLN i kwartalnych kuponach pozostaje 11 miesięcy. Kupony ustalane są z wyprzedzeniem 3-miesięcznym i wynoszą 3M WIBOR. Obecnie krzywa rentowności (stopy spotowe = WIBOR) kształtuje się następująco: 1M --&gt; 1.65%, 3M --&gt; 1.72%, 6M --&gt; 1.81%, 12M --&gt; 1.85%. Oprocentowanie najbliższego kuponu zostało ustalone na 1.7% p.a. Jaka jest bieżąca wartość tej obligacji?  Użyj procentu prostego i konwencji 30/360. Brakujące wartości stóp WIBOR możesz interpolować liniowo. Zadanie rozwiąż na dwa sposoby: 
a) korzystając ze "sztuczki" z wykładu,
b) licząc stopy forward i traktując je jako wartości oczekiwane przyszłych stóp WIBOR.</t>
  </si>
  <si>
    <t>Rozpatrzmy obligację z dwuletnim terminem wykupu, o wartości nominalnej 1000zł, 20% kuponie płatnym co pół roku i rentowności 15%. 
a) Jaka jest jej bieżąca wartość (cena)? 
b) Jaki jest czas trwania obligacji? Jaki jest zmodyfikowany czas trwania obligacji?
c) O ile w przybliżeniu zmieni się cena obligacji gdy rentowność spadnie do 14%?
d) Jaka jest wypukłość obligacji?
e) O ile w przybliżeniu zmieni się cena obligacji gdy rentowność spadnie do 14%? Wykorzystaj czas trwania i wypukłość</t>
  </si>
  <si>
    <t>Jak wielkość kuponu wpływa na czas trwania? Narysuj wykres D względem ytm dla obligacji o różnej wielkości kuponach.</t>
  </si>
  <si>
    <t>Narysuj wykres ceny obligacji jako funkcji rentowności. Przyjmij wartość nominalną równą 1000 zł, 5 lat do wykupu, kupony płatne raz w roku i rentowność = 0.5, 1.0, ... 20%. Narysuj wykresy dla różnych wartości kuponów.</t>
  </si>
  <si>
    <t>Jaka jest rentowność (yield to maturity) obligacji o wartości nominalnej 1000 zł, kuponach w wysokości 50 zł płatnych co pół roku (10% rocznie) i terminie wykupu za 4 lata jeśli (możesz użyć funkcji IRR, RENTOWNOŚĆ lub/i Solvera): 
a) jej cena jest równa wartości nominalnej?
b) jej cena wynosi 984,23 zł? 
c) jej cena wynosi 1041,09 zł? 
d) Dla jakiej ceny rentowność wyniesie 9%?
e) Dla jakiego kuponu rentowność wyniesie 9% dla ceny obligacji równej wartości nominalnej?</t>
  </si>
  <si>
    <t>Jaka jest rentowność (YTM) w dniu 2024-12-01 ("dziś") 3-letniej obligacji wygasającej 2025-01-30, z kuponami płatnymi co pół roku o stopie kuponowej 8% jeśli:
a) dzisiejsza cena (czysta) obligacji to 105 (% wartości nominalnej),
b) dzisiejsza cena (czysta) obligacji to 100.
c) Znajdź dzisiejszą cenę dla której YTM = 8%.</t>
  </si>
  <si>
    <t xml:space="preserve">W dniu 2024-10-23 rozpatrzmy trzy obligacje, każda o wartości nominalnej 1000 zł i kuponach płatych co pół roku:
a) zapadalności 2024-11-15, stopie kuponowej 4.25%, rentowości (YTM) 4.77%
b) zapadalności 2025-02-15, stopie kuponowej 4.00%, rentowości (YTM) 4.78%
c) zapadalności 2040-01-01, stopie kuponowej 8.00%, rentowości (YTM) 10.00%
Policz cenę czystą, liczbę dni od wypłaty ostatniego kuponu, liczbę dni między wypłatami kuponów, narosłe odsetki oraz cenę brudną tych trzech obligacji. </t>
  </si>
  <si>
    <t>Do wygaśnięcia obligacji o nominale 1000 USD i kwartalnych kuponach pozostaje 16 miesięcy. Kupony ustalane są z wyprzedzeniem 3-miesięcznym i wynoszą 3M SOFR (USD). Dwa miesiące wcześniej  3M SOFR = 1.1% p.a. Obecnie krzywa rentowności (stopy spotowe) kształtuje się następująco: 1M --&gt; 0.99%, 3M --&gt; 1.16%, 6M --&gt; 1.43%, 9M --&gt; 1.60%, 12M --&gt; 1.80%, 14M --&gt; 1.94%, 16M --&gt; 2.03%. Jaka jest bieżąca wartość tej obligacji?  Użyj procentu prostego i konwencji 30/360. Brakujące wartości stóp SOFR możesz interpolować liniowo. Zadanie rozwiąż na dwa sposoby: 
a) korzystając ze "sztuczki" z wykładu,
b) licząc stopy forward i traktując je jako wartości oczekiwane przyszłych stóp SOFR.</t>
  </si>
  <si>
    <t xml:space="preserve">Rozpatrzmy obligację z dwuletnim terminem wykupu, o wartości nominalnej 1000zł i 10% kuponie płatnym co pół roku. Wyznacz ceny ogołoconych obligacji (STRIPS) powstałych z tej obligacji, jeśli stopy spotowe wynoszą: r_0.5 = 9.00%, r_1 = 10.60%, r_1.5 = 10.30%, r_2 = 9.50%. Znajdź cenę obligacji i jej rentowność. Uwaga: obligacja STRIPS to taka, w której kupony "odrywane są od nominału obligacji" i sprzedawane jako osobne obligacje. </t>
  </si>
  <si>
    <t>a)</t>
  </si>
  <si>
    <t>dane:</t>
  </si>
  <si>
    <t>PV</t>
  </si>
  <si>
    <t>FV</t>
  </si>
  <si>
    <t>Ct</t>
  </si>
  <si>
    <t>m</t>
  </si>
  <si>
    <t>re</t>
  </si>
  <si>
    <t>T</t>
  </si>
  <si>
    <t>r</t>
  </si>
  <si>
    <t>t:</t>
  </si>
  <si>
    <t>SUMA</t>
  </si>
  <si>
    <t>b)</t>
  </si>
  <si>
    <t>c)</t>
  </si>
  <si>
    <t>d)</t>
  </si>
  <si>
    <t>e)</t>
  </si>
  <si>
    <t>t</t>
  </si>
  <si>
    <t>Inwestor rozważa inwestycję o rocznym horyzoncie czasowym. Ma on do wyboru następujące 3 obligacje o takim samym poziomie ryzyka, zapadalności za 10 lat i wartości nominalnej 1000:</t>
  </si>
  <si>
    <t>i) zerokuponowa</t>
  </si>
  <si>
    <t>iii) o 10% kuponie płatnym raz w roku</t>
  </si>
  <si>
    <t>a) Jeśli ytm wszystkich obligacji wynosi 8%, to jakie są ich ceny?</t>
  </si>
  <si>
    <t>b) Jeśli inwestor spodziewa się, że na początku przyszłego roku ytm będzie równy 8%, to jakie będą wtedy ich ceny? Jaka będzie roczna stopa zwrotu z tych obligacji?</t>
  </si>
  <si>
    <t>ii) o 8% kuponie płatnym raz w roku</t>
  </si>
  <si>
    <t>C</t>
  </si>
  <si>
    <t xml:space="preserve">C </t>
  </si>
  <si>
    <t>ytm</t>
  </si>
  <si>
    <t>D</t>
  </si>
  <si>
    <t>wyrazy sumy</t>
  </si>
  <si>
    <t>MD</t>
  </si>
  <si>
    <r>
      <rPr>
        <sz val="10"/>
        <rFont val="Aptos Narrow"/>
        <family val="2"/>
      </rPr>
      <t>Δ</t>
    </r>
    <r>
      <rPr>
        <sz val="10"/>
        <rFont val="Arial CE"/>
        <charset val="238"/>
      </rPr>
      <t xml:space="preserve">PV </t>
    </r>
    <r>
      <rPr>
        <sz val="10"/>
        <rFont val="Arial CE"/>
        <family val="2"/>
        <charset val="238"/>
      </rPr>
      <t>/PV</t>
    </r>
  </si>
  <si>
    <t>r\C_t</t>
  </si>
  <si>
    <t>Kupon</t>
  </si>
  <si>
    <t>suma</t>
  </si>
  <si>
    <r>
      <rPr>
        <sz val="10"/>
        <rFont val="Aptos Narrow"/>
        <family val="2"/>
      </rPr>
      <t>Δ</t>
    </r>
    <r>
      <rPr>
        <sz val="10"/>
        <rFont val="Arial CE"/>
        <charset val="238"/>
      </rPr>
      <t xml:space="preserve">PV </t>
    </r>
  </si>
  <si>
    <t>kupon</t>
  </si>
  <si>
    <t>Kupony</t>
  </si>
  <si>
    <t>C_t</t>
  </si>
  <si>
    <t>wyraz sumy do PV</t>
  </si>
  <si>
    <t>wyraz sumy do D</t>
  </si>
  <si>
    <t>r_t/2</t>
  </si>
  <si>
    <t>PV_t</t>
  </si>
  <si>
    <t>r_t</t>
  </si>
  <si>
    <t>D_t</t>
  </si>
  <si>
    <t>f_t_t+1</t>
  </si>
  <si>
    <t>do funkcji IRR</t>
  </si>
  <si>
    <t>1 obligacja</t>
  </si>
  <si>
    <t>2 obliacja</t>
  </si>
  <si>
    <t>t = 1</t>
  </si>
  <si>
    <t>t=2</t>
  </si>
  <si>
    <t>3 obligacja</t>
  </si>
  <si>
    <t>t=1</t>
  </si>
  <si>
    <t>mamy stopy spotowe na dwa lata, obliczyć stopę forward na drugi rok</t>
  </si>
  <si>
    <t>1f2</t>
  </si>
  <si>
    <t>11% musi wyjsc</t>
  </si>
  <si>
    <t>M</t>
  </si>
  <si>
    <t>stopy spot</t>
  </si>
  <si>
    <t>interpolacja liniowa</t>
  </si>
  <si>
    <t>1f4</t>
  </si>
  <si>
    <t>4f7</t>
  </si>
  <si>
    <t>7f10</t>
  </si>
  <si>
    <t>10f13</t>
  </si>
  <si>
    <t>13f16</t>
  </si>
  <si>
    <t>stopy forward</t>
  </si>
  <si>
    <t>kupony</t>
  </si>
  <si>
    <t>wynik:</t>
  </si>
  <si>
    <t>PV = 1001,438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</si>
</sst>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%"/>
    <numFmt numFmtId="167" formatCode="0.00000%"/>
  </numFmts>
  <fonts count="4" x14ac:knownFonts="1">
    <font>
      <sz val="10"/>
      <name val="Arial CE"/>
      <charset val="238"/>
    </font>
    <font>
      <sz val="12"/>
      <name val="Calibri"/>
      <family val="2"/>
      <charset val="238"/>
      <scheme val="minor"/>
    </font>
    <font>
      <sz val="10"/>
      <name val="Aptos Narrow"/>
      <family val="2"/>
    </font>
    <font>
      <sz val="10"/>
      <name val="Arial CE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3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3" fillId="3" borderId="0" xfId="0" applyFont="1" applyFill="1"/>
    <xf numFmtId="0" fontId="0" fillId="0" borderId="0" xfId="0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pl-PL"/>
              <a:t>(ytm)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Zadanie2!$G$9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Zadanie2!$A$10:$A$49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cat>
          <c:val>
            <c:numRef>
              <c:f>Zadanie2!$G$10:$G$49</c:f>
              <c:numCache>
                <c:formatCode>General</c:formatCode>
                <c:ptCount val="40"/>
                <c:pt idx="0">
                  <c:v>1221.6639847644499</c:v>
                </c:pt>
                <c:pt idx="1">
                  <c:v>1194.1372495730047</c:v>
                </c:pt>
                <c:pt idx="2">
                  <c:v>1167.3925740535087</c:v>
                </c:pt>
                <c:pt idx="3">
                  <c:v>1141.4037852551262</c:v>
                </c:pt>
                <c:pt idx="4">
                  <c:v>1116.1457123904834</c:v>
                </c:pt>
                <c:pt idx="5">
                  <c:v>1091.5941437438908</c:v>
                </c:pt>
                <c:pt idx="6">
                  <c:v>1067.7257856320616</c:v>
                </c:pt>
                <c:pt idx="7">
                  <c:v>1044.5182233101618</c:v>
                </c:pt>
                <c:pt idx="8">
                  <c:v>1021.9498837221466</c:v>
                </c:pt>
                <c:pt idx="9">
                  <c:v>1000</c:v>
                </c:pt>
                <c:pt idx="10">
                  <c:v>978.64857762190468</c:v>
                </c:pt>
                <c:pt idx="11">
                  <c:v>957.87636214434247</c:v>
                </c:pt>
                <c:pt idx="12">
                  <c:v>937.66480842791293</c:v>
                </c:pt>
                <c:pt idx="13">
                  <c:v>917.99605128104804</c:v>
                </c:pt>
                <c:pt idx="14">
                  <c:v>898.8528774500387</c:v>
                </c:pt>
                <c:pt idx="15">
                  <c:v>880.21869888765718</c:v>
                </c:pt>
                <c:pt idx="16">
                  <c:v>862.07752723641499</c:v>
                </c:pt>
                <c:pt idx="17">
                  <c:v>844.41394946593107</c:v>
                </c:pt>
                <c:pt idx="18">
                  <c:v>827.21310460719747</c:v>
                </c:pt>
                <c:pt idx="19">
                  <c:v>810.46066152957724</c:v>
                </c:pt>
                <c:pt idx="20">
                  <c:v>794.14279770931432</c:v>
                </c:pt>
                <c:pt idx="21">
                  <c:v>778.24617894103187</c:v>
                </c:pt>
                <c:pt idx="22">
                  <c:v>762.75793994631215</c:v>
                </c:pt>
                <c:pt idx="23">
                  <c:v>747.66566583584938</c:v>
                </c:pt>
                <c:pt idx="24">
                  <c:v>732.95737438398612</c:v>
                </c:pt>
                <c:pt idx="25">
                  <c:v>718.62149907658386</c:v>
                </c:pt>
                <c:pt idx="26">
                  <c:v>704.64687289523476</c:v>
                </c:pt>
                <c:pt idx="27">
                  <c:v>691.02271280273828</c:v>
                </c:pt>
                <c:pt idx="28">
                  <c:v>677.73860489657818</c:v>
                </c:pt>
                <c:pt idx="29">
                  <c:v>664.78449019886</c:v>
                </c:pt>
                <c:pt idx="30">
                  <c:v>652.15065105278495</c:v>
                </c:pt>
                <c:pt idx="31">
                  <c:v>639.82769809726415</c:v>
                </c:pt>
                <c:pt idx="32">
                  <c:v>627.80655779271933</c:v>
                </c:pt>
                <c:pt idx="33">
                  <c:v>616.07846047249438</c:v>
                </c:pt>
                <c:pt idx="34">
                  <c:v>604.63492889557415</c:v>
                </c:pt>
                <c:pt idx="35">
                  <c:v>593.46776727755355</c:v>
                </c:pt>
                <c:pt idx="36">
                  <c:v>582.56905077792021</c:v>
                </c:pt>
                <c:pt idx="37">
                  <c:v>571.93111542284691</c:v>
                </c:pt>
                <c:pt idx="38">
                  <c:v>561.54654844368304</c:v>
                </c:pt>
                <c:pt idx="39">
                  <c:v>551.40817901234573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ADC-473D-87D2-79CCF568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76623"/>
        <c:axId val="1560977103"/>
      </c:lineChart>
      <c:catAx>
        <c:axId val="15609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977103"/>
        <c:crosses val="autoZero"/>
        <c:auto val="1"/>
        <c:lblAlgn val="ctr"/>
        <c:lblOffset val="100"/>
        <c:noMultiLvlLbl val="0"/>
      </c:catAx>
      <c:valAx>
        <c:axId val="15609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97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Zadanie2!$A$55:$A$94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cat>
          <c:val>
            <c:numRef>
              <c:f>Zadanie2!$B$55:$B$94</c:f>
              <c:numCache>
                <c:formatCode>General</c:formatCode>
                <c:ptCount val="40"/>
                <c:pt idx="0">
                  <c:v>1000.0000000000008</c:v>
                </c:pt>
                <c:pt idx="1">
                  <c:v>975.73284380337441</c:v>
                </c:pt>
                <c:pt idx="2">
                  <c:v>952.17355027042686</c:v>
                </c:pt>
                <c:pt idx="3">
                  <c:v>929.2981073724369</c:v>
                </c:pt>
                <c:pt idx="4">
                  <c:v>907.08343008761381</c:v>
                </c:pt>
                <c:pt idx="5">
                  <c:v>885.50732032013673</c:v>
                </c:pt>
                <c:pt idx="6">
                  <c:v>864.54842873587802</c:v>
                </c:pt>
                <c:pt idx="7">
                  <c:v>844.18621841443257</c:v>
                </c:pt>
                <c:pt idx="8">
                  <c:v>824.40093022283043</c:v>
                </c:pt>
                <c:pt idx="9">
                  <c:v>805.17354982161305</c:v>
                </c:pt>
                <c:pt idx="10">
                  <c:v>786.48577621904496</c:v>
                </c:pt>
                <c:pt idx="11">
                  <c:v>768.31999179388538</c:v>
                </c:pt>
                <c:pt idx="12">
                  <c:v>750.6592337116507</c:v>
                </c:pt>
                <c:pt idx="13">
                  <c:v>733.48716666340636</c:v>
                </c:pt>
                <c:pt idx="14">
                  <c:v>716.78805686010833</c:v>
                </c:pt>
                <c:pt idx="15">
                  <c:v>700.54674721914341</c:v>
                </c:pt>
                <c:pt idx="16">
                  <c:v>684.74863368323417</c:v>
                </c:pt>
                <c:pt idx="17">
                  <c:v>669.37964261510388</c:v>
                </c:pt>
                <c:pt idx="18">
                  <c:v>654.42620921439504</c:v>
                </c:pt>
                <c:pt idx="19">
                  <c:v>639.87525690619714</c:v>
                </c:pt>
                <c:pt idx="20">
                  <c:v>625.71417765329886</c:v>
                </c:pt>
                <c:pt idx="21">
                  <c:v>611.93081314680592</c:v>
                </c:pt>
                <c:pt idx="22">
                  <c:v>598.51343683222058</c:v>
                </c:pt>
                <c:pt idx="23">
                  <c:v>585.45073673032425</c:v>
                </c:pt>
                <c:pt idx="24">
                  <c:v>572.73179901437788</c:v>
                </c:pt>
                <c:pt idx="25">
                  <c:v>560.34609230716205</c:v>
                </c:pt>
                <c:pt idx="26">
                  <c:v>548.28345266330018</c:v>
                </c:pt>
                <c:pt idx="27">
                  <c:v>536.5340692041076</c:v>
                </c:pt>
                <c:pt idx="28">
                  <c:v>525.08847037390478</c:v>
                </c:pt>
                <c:pt idx="29">
                  <c:v>513.93751078834691</c:v>
                </c:pt>
                <c:pt idx="30">
                  <c:v>503.0723586468356</c:v>
                </c:pt>
                <c:pt idx="31">
                  <c:v>492.48448368250854</c:v>
                </c:pt>
                <c:pt idx="32">
                  <c:v>482.16564562465311</c:v>
                </c:pt>
                <c:pt idx="33">
                  <c:v>472.10788314967971</c:v>
                </c:pt>
                <c:pt idx="34">
                  <c:v>462.30350329798097</c:v>
                </c:pt>
                <c:pt idx="35">
                  <c:v>452.74507133516818</c:v>
                </c:pt>
                <c:pt idx="36">
                  <c:v>443.425401037227</c:v>
                </c:pt>
                <c:pt idx="37">
                  <c:v>434.33754538019059</c:v>
                </c:pt>
                <c:pt idx="38">
                  <c:v>425.47478761586052</c:v>
                </c:pt>
                <c:pt idx="39">
                  <c:v>416.83063271604942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3-440E-8412-BFB078325BC4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Zadanie2!$A$55:$A$94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cat>
          <c:val>
            <c:numRef>
              <c:f>Zadanie2!$C$55:$C$94</c:f>
              <c:numCache>
                <c:formatCode>General</c:formatCode>
                <c:ptCount val="40"/>
                <c:pt idx="0">
                  <c:v>1024.6293316404951</c:v>
                </c:pt>
                <c:pt idx="1">
                  <c:v>1000</c:v>
                </c:pt>
                <c:pt idx="2">
                  <c:v>976.08677513521366</c:v>
                </c:pt>
                <c:pt idx="3">
                  <c:v>952.86540491495794</c:v>
                </c:pt>
                <c:pt idx="4">
                  <c:v>930.31257256571041</c:v>
                </c:pt>
                <c:pt idx="5">
                  <c:v>908.40585625610947</c:v>
                </c:pt>
                <c:pt idx="6">
                  <c:v>887.1236906132317</c:v>
                </c:pt>
                <c:pt idx="7">
                  <c:v>866.4453300695136</c:v>
                </c:pt>
                <c:pt idx="8">
                  <c:v>846.35081394497661</c:v>
                </c:pt>
                <c:pt idx="9">
                  <c:v>826.82093317476722</c:v>
                </c:pt>
                <c:pt idx="10">
                  <c:v>807.83719859714051</c:v>
                </c:pt>
                <c:pt idx="11">
                  <c:v>789.38181072171392</c:v>
                </c:pt>
                <c:pt idx="12">
                  <c:v>771.43763090234643</c:v>
                </c:pt>
                <c:pt idx="13">
                  <c:v>753.98815384314435</c:v>
                </c:pt>
                <c:pt idx="14">
                  <c:v>737.01748137010065</c:v>
                </c:pt>
                <c:pt idx="15">
                  <c:v>720.51029740453384</c:v>
                </c:pt>
                <c:pt idx="16">
                  <c:v>704.45184407803208</c:v>
                </c:pt>
                <c:pt idx="17">
                  <c:v>688.82789893186248</c:v>
                </c:pt>
                <c:pt idx="18">
                  <c:v>673.62475314692858</c:v>
                </c:pt>
                <c:pt idx="19">
                  <c:v>658.82919075323935</c:v>
                </c:pt>
                <c:pt idx="20">
                  <c:v>644.42846877063391</c:v>
                </c:pt>
                <c:pt idx="21">
                  <c:v>630.41029823505323</c:v>
                </c:pt>
                <c:pt idx="22">
                  <c:v>616.7628260671197</c:v>
                </c:pt>
                <c:pt idx="23">
                  <c:v>603.47461774204919</c:v>
                </c:pt>
                <c:pt idx="24">
                  <c:v>590.53464072211216</c:v>
                </c:pt>
                <c:pt idx="25">
                  <c:v>577.93224861487556</c:v>
                </c:pt>
                <c:pt idx="26">
                  <c:v>565.657166022404</c:v>
                </c:pt>
                <c:pt idx="27">
                  <c:v>553.69947404839991</c:v>
                </c:pt>
                <c:pt idx="28">
                  <c:v>542.04959643197958</c:v>
                </c:pt>
                <c:pt idx="29">
                  <c:v>530.69828627840388</c:v>
                </c:pt>
                <c:pt idx="30">
                  <c:v>519.63661335860775</c:v>
                </c:pt>
                <c:pt idx="31">
                  <c:v>508.85595195081476</c:v>
                </c:pt>
                <c:pt idx="32">
                  <c:v>498.34796919888265</c:v>
                </c:pt>
                <c:pt idx="33">
                  <c:v>488.10461396332579</c:v>
                </c:pt>
                <c:pt idx="34">
                  <c:v>478.11810614215796</c:v>
                </c:pt>
                <c:pt idx="35">
                  <c:v>468.38092643987767</c:v>
                </c:pt>
                <c:pt idx="36">
                  <c:v>458.88580656397073</c:v>
                </c:pt>
                <c:pt idx="37">
                  <c:v>449.62571982937459</c:v>
                </c:pt>
                <c:pt idx="38">
                  <c:v>440.59387215228526</c:v>
                </c:pt>
                <c:pt idx="39">
                  <c:v>431.78369341563791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3-440E-8412-BFB078325BC4}"/>
            </c:ext>
          </c:extLst>
        </c:ser>
        <c:ser>
          <c:idx val="2"/>
          <c:order val="2"/>
          <c:tx>
            <c:v>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Zadanie2!$A$55:$A$94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cat>
          <c:val>
            <c:numRef>
              <c:f>Zadanie2!$D$55:$D$94</c:f>
              <c:numCache>
                <c:formatCode>General</c:formatCode>
                <c:ptCount val="40"/>
                <c:pt idx="0">
                  <c:v>1049.2586632809896</c:v>
                </c:pt>
                <c:pt idx="1">
                  <c:v>1024.2671561966256</c:v>
                </c:pt>
                <c:pt idx="2">
                  <c:v>1000.0000000000006</c:v>
                </c:pt>
                <c:pt idx="3">
                  <c:v>976.43270245747897</c:v>
                </c:pt>
                <c:pt idx="4">
                  <c:v>953.54171504380702</c:v>
                </c:pt>
                <c:pt idx="5">
                  <c:v>931.3043921920821</c:v>
                </c:pt>
                <c:pt idx="6">
                  <c:v>909.6989524905855</c:v>
                </c:pt>
                <c:pt idx="7">
                  <c:v>888.70444172459463</c:v>
                </c:pt>
                <c:pt idx="8">
                  <c:v>868.3006976671229</c:v>
                </c:pt>
                <c:pt idx="9">
                  <c:v>848.46831652792127</c:v>
                </c:pt>
                <c:pt idx="10">
                  <c:v>829.18862097523606</c:v>
                </c:pt>
                <c:pt idx="11">
                  <c:v>810.44362964954257</c:v>
                </c:pt>
                <c:pt idx="12">
                  <c:v>792.21602809304227</c:v>
                </c:pt>
                <c:pt idx="13">
                  <c:v>774.48914102288222</c:v>
                </c:pt>
                <c:pt idx="14">
                  <c:v>757.24690588009287</c:v>
                </c:pt>
                <c:pt idx="15">
                  <c:v>740.47384758992428</c:v>
                </c:pt>
                <c:pt idx="16">
                  <c:v>724.15505447282987</c:v>
                </c:pt>
                <c:pt idx="17">
                  <c:v>708.27615524862097</c:v>
                </c:pt>
                <c:pt idx="18">
                  <c:v>692.82329707946224</c:v>
                </c:pt>
                <c:pt idx="19">
                  <c:v>677.78312460028167</c:v>
                </c:pt>
                <c:pt idx="20">
                  <c:v>663.14275988796896</c:v>
                </c:pt>
                <c:pt idx="21">
                  <c:v>648.88978332330055</c:v>
                </c:pt>
                <c:pt idx="22">
                  <c:v>635.01221530201872</c:v>
                </c:pt>
                <c:pt idx="23">
                  <c:v>621.49849875377424</c:v>
                </c:pt>
                <c:pt idx="24">
                  <c:v>608.33748242984643</c:v>
                </c:pt>
                <c:pt idx="25">
                  <c:v>595.51840492258918</c:v>
                </c:pt>
                <c:pt idx="26">
                  <c:v>583.03087938150793</c:v>
                </c:pt>
                <c:pt idx="27">
                  <c:v>570.86487889269222</c:v>
                </c:pt>
                <c:pt idx="28">
                  <c:v>559.01072249005438</c:v>
                </c:pt>
                <c:pt idx="29">
                  <c:v>547.45906176846097</c:v>
                </c:pt>
                <c:pt idx="30">
                  <c:v>536.2008680703799</c:v>
                </c:pt>
                <c:pt idx="31">
                  <c:v>525.22742021912086</c:v>
                </c:pt>
                <c:pt idx="32">
                  <c:v>514.53029277311225</c:v>
                </c:pt>
                <c:pt idx="33">
                  <c:v>504.10134477697187</c:v>
                </c:pt>
                <c:pt idx="34">
                  <c:v>493.932708986335</c:v>
                </c:pt>
                <c:pt idx="35">
                  <c:v>484.01678154458716</c:v>
                </c:pt>
                <c:pt idx="36">
                  <c:v>474.3462120907144</c:v>
                </c:pt>
                <c:pt idx="37">
                  <c:v>464.91389427855864</c:v>
                </c:pt>
                <c:pt idx="38">
                  <c:v>455.71295668870994</c:v>
                </c:pt>
                <c:pt idx="39">
                  <c:v>446.73675411522635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3-440E-8412-BFB078325BC4}"/>
            </c:ext>
          </c:extLst>
        </c:ser>
        <c:ser>
          <c:idx val="3"/>
          <c:order val="3"/>
          <c:tx>
            <c:v>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Zadanie2!$A$55:$A$94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cat>
          <c:val>
            <c:numRef>
              <c:f>Zadanie2!$E$55:$E$94</c:f>
              <c:numCache>
                <c:formatCode>General</c:formatCode>
                <c:ptCount val="40"/>
                <c:pt idx="0">
                  <c:v>1073.8879949214838</c:v>
                </c:pt>
                <c:pt idx="1">
                  <c:v>1048.5343123932512</c:v>
                </c:pt>
                <c:pt idx="2">
                  <c:v>1023.9132248647875</c:v>
                </c:pt>
                <c:pt idx="3">
                  <c:v>1000</c:v>
                </c:pt>
                <c:pt idx="4">
                  <c:v>976.77085752190374</c:v>
                </c:pt>
                <c:pt idx="5">
                  <c:v>954.20292812805474</c:v>
                </c:pt>
                <c:pt idx="6">
                  <c:v>932.27421436793918</c:v>
                </c:pt>
                <c:pt idx="7">
                  <c:v>910.96355337967566</c:v>
                </c:pt>
                <c:pt idx="8">
                  <c:v>890.2505813892692</c:v>
                </c:pt>
                <c:pt idx="9">
                  <c:v>870.11569988107533</c:v>
                </c:pt>
                <c:pt idx="10">
                  <c:v>850.5400433533315</c:v>
                </c:pt>
                <c:pt idx="11">
                  <c:v>831.50544857737111</c:v>
                </c:pt>
                <c:pt idx="12">
                  <c:v>812.99442528373811</c:v>
                </c:pt>
                <c:pt idx="13">
                  <c:v>794.99012820262021</c:v>
                </c:pt>
                <c:pt idx="14">
                  <c:v>777.4763303900852</c:v>
                </c:pt>
                <c:pt idx="15">
                  <c:v>760.43739777531471</c:v>
                </c:pt>
                <c:pt idx="16">
                  <c:v>743.85826486762778</c:v>
                </c:pt>
                <c:pt idx="17">
                  <c:v>727.72441156537957</c:v>
                </c:pt>
                <c:pt idx="18">
                  <c:v>712.02184101199589</c:v>
                </c:pt>
                <c:pt idx="19">
                  <c:v>696.73705844732388</c:v>
                </c:pt>
                <c:pt idx="20">
                  <c:v>681.85705100530402</c:v>
                </c:pt>
                <c:pt idx="21">
                  <c:v>667.36926841154786</c:v>
                </c:pt>
                <c:pt idx="22">
                  <c:v>653.26160453691773</c:v>
                </c:pt>
                <c:pt idx="23">
                  <c:v>639.52237976549929</c:v>
                </c:pt>
                <c:pt idx="24">
                  <c:v>626.14032413758059</c:v>
                </c:pt>
                <c:pt idx="25">
                  <c:v>613.10456123030269</c:v>
                </c:pt>
                <c:pt idx="26">
                  <c:v>600.40459274061175</c:v>
                </c:pt>
                <c:pt idx="27">
                  <c:v>588.03028373698453</c:v>
                </c:pt>
                <c:pt idx="28">
                  <c:v>575.97184854812917</c:v>
                </c:pt>
                <c:pt idx="29">
                  <c:v>564.21983725851794</c:v>
                </c:pt>
                <c:pt idx="30">
                  <c:v>552.76512278215205</c:v>
                </c:pt>
                <c:pt idx="31">
                  <c:v>541.59888848742708</c:v>
                </c:pt>
                <c:pt idx="32">
                  <c:v>530.71261634734185</c:v>
                </c:pt>
                <c:pt idx="33">
                  <c:v>520.0980755906179</c:v>
                </c:pt>
                <c:pt idx="34">
                  <c:v>509.74731183051199</c:v>
                </c:pt>
                <c:pt idx="35">
                  <c:v>499.65263664929665</c:v>
                </c:pt>
                <c:pt idx="36">
                  <c:v>489.80661761745813</c:v>
                </c:pt>
                <c:pt idx="37">
                  <c:v>480.2020687277427</c:v>
                </c:pt>
                <c:pt idx="38">
                  <c:v>470.83204122513467</c:v>
                </c:pt>
                <c:pt idx="39">
                  <c:v>461.68981481481484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3-440E-8412-BFB078325BC4}"/>
            </c:ext>
          </c:extLst>
        </c:ser>
        <c:ser>
          <c:idx val="4"/>
          <c:order val="4"/>
          <c:tx>
            <c:v>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Zadanie2!$A$55:$A$94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cat>
          <c:val>
            <c:numRef>
              <c:f>Zadanie2!$F$55:$F$94</c:f>
              <c:numCache>
                <c:formatCode>General</c:formatCode>
                <c:ptCount val="40"/>
                <c:pt idx="0">
                  <c:v>1098.5173265619783</c:v>
                </c:pt>
                <c:pt idx="1">
                  <c:v>1072.8014685898768</c:v>
                </c:pt>
                <c:pt idx="2">
                  <c:v>1047.8264497295745</c:v>
                </c:pt>
                <c:pt idx="3">
                  <c:v>1023.567297542521</c:v>
                </c:pt>
                <c:pt idx="4">
                  <c:v>1000.0000000000003</c:v>
                </c:pt>
                <c:pt idx="5">
                  <c:v>977.10146406402748</c:v>
                </c:pt>
                <c:pt idx="6">
                  <c:v>954.84947624529298</c:v>
                </c:pt>
                <c:pt idx="7">
                  <c:v>933.22266503475669</c:v>
                </c:pt>
                <c:pt idx="8">
                  <c:v>912.20046511141538</c:v>
                </c:pt>
                <c:pt idx="9">
                  <c:v>891.7630832342295</c:v>
                </c:pt>
                <c:pt idx="10">
                  <c:v>871.89146573142705</c:v>
                </c:pt>
                <c:pt idx="11">
                  <c:v>852.56726750519965</c:v>
                </c:pt>
                <c:pt idx="12">
                  <c:v>833.77282247443384</c:v>
                </c:pt>
                <c:pt idx="13">
                  <c:v>815.4911153823582</c:v>
                </c:pt>
                <c:pt idx="14">
                  <c:v>797.70575490007741</c:v>
                </c:pt>
                <c:pt idx="15">
                  <c:v>780.40094796070503</c:v>
                </c:pt>
                <c:pt idx="16">
                  <c:v>763.56147526242569</c:v>
                </c:pt>
                <c:pt idx="17">
                  <c:v>747.17266788213817</c:v>
                </c:pt>
                <c:pt idx="18">
                  <c:v>731.22038494452943</c:v>
                </c:pt>
                <c:pt idx="19">
                  <c:v>715.69099229436608</c:v>
                </c:pt>
                <c:pt idx="20">
                  <c:v>700.57134212263907</c:v>
                </c:pt>
                <c:pt idx="21">
                  <c:v>685.84875349979518</c:v>
                </c:pt>
                <c:pt idx="22">
                  <c:v>671.51099377181686</c:v>
                </c:pt>
                <c:pt idx="23">
                  <c:v>657.54626077722435</c:v>
                </c:pt>
                <c:pt idx="24">
                  <c:v>643.94316584531487</c:v>
                </c:pt>
                <c:pt idx="25">
                  <c:v>630.6907175380162</c:v>
                </c:pt>
                <c:pt idx="26">
                  <c:v>617.77830609971556</c:v>
                </c:pt>
                <c:pt idx="27">
                  <c:v>605.19568858127673</c:v>
                </c:pt>
                <c:pt idx="28">
                  <c:v>592.93297460620408</c:v>
                </c:pt>
                <c:pt idx="29">
                  <c:v>580.98061274857491</c:v>
                </c:pt>
                <c:pt idx="30">
                  <c:v>569.3293774939242</c:v>
                </c:pt>
                <c:pt idx="31">
                  <c:v>557.97035675573329</c:v>
                </c:pt>
                <c:pt idx="32">
                  <c:v>546.89493992157145</c:v>
                </c:pt>
                <c:pt idx="33">
                  <c:v>536.09480640426398</c:v>
                </c:pt>
                <c:pt idx="34">
                  <c:v>525.56191467468898</c:v>
                </c:pt>
                <c:pt idx="35">
                  <c:v>515.28849175400615</c:v>
                </c:pt>
                <c:pt idx="36">
                  <c:v>505.2670231442018</c:v>
                </c:pt>
                <c:pt idx="37">
                  <c:v>495.49024317692675</c:v>
                </c:pt>
                <c:pt idx="38">
                  <c:v>485.95112576155941</c:v>
                </c:pt>
                <c:pt idx="39">
                  <c:v>476.64287551440333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3-440E-8412-BFB0783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465103"/>
        <c:axId val="1169467503"/>
      </c:lineChart>
      <c:catAx>
        <c:axId val="11694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467503"/>
        <c:crosses val="autoZero"/>
        <c:auto val="1"/>
        <c:lblAlgn val="ctr"/>
        <c:lblOffset val="100"/>
        <c:noMultiLvlLbl val="0"/>
      </c:catAx>
      <c:valAx>
        <c:axId val="11694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4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Zadanie5!$B$8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Zadanie5!$A$9:$A$12</c:f>
              <c:numCache>
                <c:formatCode>General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Zadanie5!$B$9:$B$12</c:f>
              <c:numCache>
                <c:formatCode>General</c:formatCode>
                <c:ptCount val="4"/>
                <c:pt idx="0">
                  <c:v>9.0614915602959023</c:v>
                </c:pt>
                <c:pt idx="1">
                  <c:v>8.7130841834290802</c:v>
                </c:pt>
                <c:pt idx="2">
                  <c:v>8.4197646906780168</c:v>
                </c:pt>
                <c:pt idx="3">
                  <c:v>8.1694250982815468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C-47F7-8263-A00658A2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367343"/>
        <c:axId val="1427367823"/>
      </c:scatterChart>
      <c:valAx>
        <c:axId val="14273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7367823"/>
        <c:crosses val="autoZero"/>
        <c:crossBetween val="midCat"/>
      </c:valAx>
      <c:valAx>
        <c:axId val="14273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73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8"/>
          <c:w val="0.8712939632545931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Zadanie7!$A$4</c:f>
              <c:strCache>
                <c:ptCount val="1"/>
                <c:pt idx="0">
                  <c:v>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Zadanie7!$B$3:$K$3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Zadanie7!$B$4:$K$4</c:f>
              <c:numCache>
                <c:formatCode>General</c:formatCode>
                <c:ptCount val="10"/>
                <c:pt idx="0" formatCode="0.00">
                  <c:v>0.106</c:v>
                </c:pt>
                <c:pt idx="1">
                  <c:v>0.104</c:v>
                </c:pt>
                <c:pt idx="2">
                  <c:v>0.1</c:v>
                </c:pt>
                <c:pt idx="3">
                  <c:v>9.0999999999999998E-2</c:v>
                </c:pt>
                <c:pt idx="4">
                  <c:v>8.4400000000000003E-2</c:v>
                </c:pt>
                <c:pt idx="5">
                  <c:v>7.6399999999999996E-2</c:v>
                </c:pt>
                <c:pt idx="6">
                  <c:v>6.9900000000000004E-2</c:v>
                </c:pt>
                <c:pt idx="7">
                  <c:v>6.5199999999999994E-2</c:v>
                </c:pt>
                <c:pt idx="8">
                  <c:v>6.2399999999999997E-2</c:v>
                </c:pt>
                <c:pt idx="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FB2-826E-552DB0B4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88847"/>
        <c:axId val="742593167"/>
      </c:lineChart>
      <c:catAx>
        <c:axId val="7425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593167"/>
        <c:crosses val="autoZero"/>
        <c:auto val="1"/>
        <c:lblAlgn val="ctr"/>
        <c:lblOffset val="100"/>
        <c:noMultiLvlLbl val="0"/>
      </c:catAx>
      <c:valAx>
        <c:axId val="7425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58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19486111111111112"/>
          <c:w val="0.8712939632545931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Zadanie7!$A$6</c:f>
              <c:strCache>
                <c:ptCount val="1"/>
                <c:pt idx="0">
                  <c:v>f_t_t+1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Zadanie7!$B$3:$K$3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Zadanie7!$B$6:$K$6</c:f>
              <c:numCache>
                <c:formatCode>General</c:formatCode>
                <c:ptCount val="10"/>
                <c:pt idx="0" formatCode="0.00">
                  <c:v>0.106</c:v>
                </c:pt>
                <c:pt idx="1">
                  <c:v>0.10200361663652813</c:v>
                </c:pt>
                <c:pt idx="2">
                  <c:v>9.204342575089286E-2</c:v>
                </c:pt>
                <c:pt idx="3">
                  <c:v>6.4439413193838835E-2</c:v>
                </c:pt>
                <c:pt idx="4">
                  <c:v>5.8396858662373319E-2</c:v>
                </c:pt>
                <c:pt idx="5">
                  <c:v>3.7276622172954577E-2</c:v>
                </c:pt>
                <c:pt idx="6">
                  <c:v>3.171602942982843E-2</c:v>
                </c:pt>
                <c:pt idx="7">
                  <c:v>3.2873058697708402E-2</c:v>
                </c:pt>
                <c:pt idx="8">
                  <c:v>4.0263345575872966E-2</c:v>
                </c:pt>
                <c:pt idx="9">
                  <c:v>5.8406770308589318E-2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5-427F-A4E2-59D176B5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35055"/>
        <c:axId val="737325455"/>
      </c:lineChart>
      <c:catAx>
        <c:axId val="7373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325455"/>
        <c:crosses val="autoZero"/>
        <c:auto val="1"/>
        <c:lblAlgn val="ctr"/>
        <c:lblOffset val="100"/>
        <c:noMultiLvlLbl val="0"/>
      </c:catAx>
      <c:valAx>
        <c:axId val="7373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33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53339</xdr:colOff>
      <xdr:row>11</xdr:row>
      <xdr:rowOff>152400</xdr:rowOff>
    </xdr:from>
    <xdr:ext cx="746761" cy="510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D5C950F-9A06-9F86-7C14-4B6EA7C9B9E3}"/>
                </a:ext>
              </a:extLst>
            </xdr:cNvPr>
            <xdr:cNvSpPr txBox="1"/>
          </xdr:nvSpPr>
          <xdr:spPr>
            <a:xfrm>
              <a:off x="6111239" y="4114800"/>
              <a:ext cx="746761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f>
                              <m:f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𝑦𝑡𝑚</m:t>
                                </m:r>
                              </m:num>
                              <m:den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100" kern="12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D5C950F-9A06-9F86-7C14-4B6EA7C9B9E3}"/>
                </a:ext>
              </a:extLst>
            </xdr:cNvPr>
            <xdr:cNvSpPr txBox="1"/>
          </xdr:nvSpPr>
          <xdr:spPr>
            <a:xfrm>
              <a:off x="6111239" y="4114800"/>
              <a:ext cx="746761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 kern="1200">
                  <a:latin typeface="Cambria Math" panose="02040503050406030204" pitchFamily="18" charset="0"/>
                </a:rPr>
                <a:t>𝐶_𝑡/〖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(1+𝑦𝑡𝑚/𝑚)</a:t>
              </a:r>
              <a:r>
                <a:rPr lang="pl-PL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𝑡 </a:t>
              </a:r>
              <a:endParaRPr lang="pl-PL" sz="1100" kern="1200"/>
            </a:p>
          </xdr:txBody>
        </xdr:sp>
      </mc:Fallback>
    </mc:AlternateContent>
    <xdr:clientData/>
  </xdr:oneCellAnchor>
  <xdr:oneCellAnchor>
    <xdr:from>
      <xdr:col>14</xdr:col>
      <xdr:colOff>60961</xdr:colOff>
      <xdr:row>11</xdr:row>
      <xdr:rowOff>114300</xdr:rowOff>
    </xdr:from>
    <xdr:ext cx="678179" cy="510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041C0195-7E1A-4E9A-B3C9-9AEF2783F594}"/>
                </a:ext>
              </a:extLst>
            </xdr:cNvPr>
            <xdr:cNvSpPr txBox="1"/>
          </xdr:nvSpPr>
          <xdr:spPr>
            <a:xfrm>
              <a:off x="13243561" y="4076700"/>
              <a:ext cx="678179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f>
                              <m:f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𝑦𝑡𝑚</m:t>
                                </m:r>
                              </m:num>
                              <m:den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100" b="0" kern="1200"/>
            </a:p>
            <a:p>
              <a:endParaRPr lang="pl-PL" sz="1100" kern="12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041C0195-7E1A-4E9A-B3C9-9AEF2783F594}"/>
                </a:ext>
              </a:extLst>
            </xdr:cNvPr>
            <xdr:cNvSpPr txBox="1"/>
          </xdr:nvSpPr>
          <xdr:spPr>
            <a:xfrm>
              <a:off x="13243561" y="4076700"/>
              <a:ext cx="678179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 kern="1200">
                  <a:latin typeface="Cambria Math" panose="02040503050406030204" pitchFamily="18" charset="0"/>
                </a:rPr>
                <a:t>𝐶_𝑡/〖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(1+𝑦𝑡𝑚/𝑚)</a:t>
              </a:r>
              <a:r>
                <a:rPr lang="pl-PL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𝑡 </a:t>
              </a:r>
              <a:endParaRPr lang="pl-PL" sz="1100" b="0" kern="1200"/>
            </a:p>
            <a:p>
              <a:pPr/>
              <a:endParaRPr lang="pl-PL" sz="1100" kern="1200"/>
            </a:p>
          </xdr:txBody>
        </xdr:sp>
      </mc:Fallback>
    </mc:AlternateContent>
    <xdr:clientData/>
  </xdr:oneCellAnchor>
  <xdr:oneCellAnchor>
    <xdr:from>
      <xdr:col>24</xdr:col>
      <xdr:colOff>601981</xdr:colOff>
      <xdr:row>11</xdr:row>
      <xdr:rowOff>99060</xdr:rowOff>
    </xdr:from>
    <xdr:ext cx="800099" cy="510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B6AE168F-2B2E-4FF4-AE1D-DC3663BE0F3A}"/>
                </a:ext>
              </a:extLst>
            </xdr:cNvPr>
            <xdr:cNvSpPr txBox="1"/>
          </xdr:nvSpPr>
          <xdr:spPr>
            <a:xfrm>
              <a:off x="20391121" y="4061460"/>
              <a:ext cx="800099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f>
                              <m:f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𝑦𝑡𝑚</m:t>
                                </m:r>
                              </m:num>
                              <m:den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100" kern="1200"/>
            </a:p>
          </xdr:txBody>
        </xdr:sp>
      </mc:Choice>
      <mc:Fallback xmlns="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B6AE168F-2B2E-4FF4-AE1D-DC3663BE0F3A}"/>
                </a:ext>
              </a:extLst>
            </xdr:cNvPr>
            <xdr:cNvSpPr txBox="1"/>
          </xdr:nvSpPr>
          <xdr:spPr>
            <a:xfrm>
              <a:off x="20391121" y="4061460"/>
              <a:ext cx="800099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 kern="1200">
                  <a:latin typeface="Cambria Math" panose="02040503050406030204" pitchFamily="18" charset="0"/>
                </a:rPr>
                <a:t>𝐶_𝑡/〖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(1+𝑦𝑡𝑚/𝑚)</a:t>
              </a:r>
              <a:r>
                <a:rPr lang="pl-PL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𝑡 </a:t>
              </a:r>
              <a:endParaRPr lang="pl-PL" sz="1100" kern="1200"/>
            </a:p>
          </xdr:txBody>
        </xdr:sp>
      </mc:Fallback>
    </mc:AlternateContent>
    <xdr:clientData/>
  </xdr:oneCellAnchor>
  <xdr:oneCellAnchor>
    <xdr:from>
      <xdr:col>1</xdr:col>
      <xdr:colOff>99059</xdr:colOff>
      <xdr:row>29</xdr:row>
      <xdr:rowOff>160020</xdr:rowOff>
    </xdr:from>
    <xdr:ext cx="662941" cy="510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A5724A3C-5C8C-4DF3-8F0F-80DCCC305FB0}"/>
                </a:ext>
              </a:extLst>
            </xdr:cNvPr>
            <xdr:cNvSpPr txBox="1"/>
          </xdr:nvSpPr>
          <xdr:spPr>
            <a:xfrm>
              <a:off x="6156959" y="6957060"/>
              <a:ext cx="662941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f>
                              <m:f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𝑦𝑡𝑚</m:t>
                                </m:r>
                              </m:num>
                              <m:den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100" kern="12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A5724A3C-5C8C-4DF3-8F0F-80DCCC305FB0}"/>
                </a:ext>
              </a:extLst>
            </xdr:cNvPr>
            <xdr:cNvSpPr txBox="1"/>
          </xdr:nvSpPr>
          <xdr:spPr>
            <a:xfrm>
              <a:off x="6156959" y="6957060"/>
              <a:ext cx="662941" cy="51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 kern="1200">
                  <a:latin typeface="Cambria Math" panose="02040503050406030204" pitchFamily="18" charset="0"/>
                </a:rPr>
                <a:t>𝐶_𝑡/〖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(1+𝑦𝑡𝑚/𝑚)</a:t>
              </a:r>
              <a:r>
                <a:rPr lang="pl-PL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𝑡 </a:t>
              </a:r>
              <a:endParaRPr lang="pl-PL" sz="1100" kern="1200"/>
            </a:p>
          </xdr:txBody>
        </xdr:sp>
      </mc:Fallback>
    </mc:AlternateContent>
    <xdr:clientData/>
  </xdr:oneCellAnchor>
  <xdr:oneCellAnchor>
    <xdr:from>
      <xdr:col>14</xdr:col>
      <xdr:colOff>53341</xdr:colOff>
      <xdr:row>29</xdr:row>
      <xdr:rowOff>116205</xdr:rowOff>
    </xdr:from>
    <xdr:ext cx="685799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332119A8-642E-4B65-AC73-AD4B1A0C6ABF}"/>
                </a:ext>
              </a:extLst>
            </xdr:cNvPr>
            <xdr:cNvSpPr txBox="1"/>
          </xdr:nvSpPr>
          <xdr:spPr>
            <a:xfrm>
              <a:off x="13235941" y="6913245"/>
              <a:ext cx="685799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pl-PL" sz="110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f>
                              <m:f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𝑦𝑡𝑚</m:t>
                                </m:r>
                              </m:num>
                              <m:den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100" kern="1200"/>
            </a:p>
          </xdr:txBody>
        </xdr:sp>
      </mc:Choice>
      <mc:Fallback xmlns="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332119A8-642E-4B65-AC73-AD4B1A0C6ABF}"/>
                </a:ext>
              </a:extLst>
            </xdr:cNvPr>
            <xdr:cNvSpPr txBox="1"/>
          </xdr:nvSpPr>
          <xdr:spPr>
            <a:xfrm>
              <a:off x="13235941" y="6913245"/>
              <a:ext cx="685799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 kern="1200">
                  <a:latin typeface="Cambria Math" panose="02040503050406030204" pitchFamily="18" charset="0"/>
                </a:rPr>
                <a:t>𝐶_𝑡/〖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(1+𝑦𝑡𝑚/𝑚)</a:t>
              </a:r>
              <a:r>
                <a:rPr lang="pl-PL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𝑡 </a:t>
              </a:r>
              <a:endParaRPr lang="pl-PL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3389</xdr:colOff>
      <xdr:row>9</xdr:row>
      <xdr:rowOff>8385</xdr:rowOff>
    </xdr:from>
    <xdr:to>
      <xdr:col>29</xdr:col>
      <xdr:colOff>595515</xdr:colOff>
      <xdr:row>43</xdr:row>
      <xdr:rowOff>18157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AFA0B2-3248-8DE4-2483-7BB2DAC2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54</xdr:row>
      <xdr:rowOff>50800</xdr:rowOff>
    </xdr:from>
    <xdr:to>
      <xdr:col>26</xdr:col>
      <xdr:colOff>375920</xdr:colOff>
      <xdr:row>94</xdr:row>
      <xdr:rowOff>10160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122932-C1A5-3048-CAA3-9172352B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54427</xdr:colOff>
      <xdr:row>5</xdr:row>
      <xdr:rowOff>61913</xdr:rowOff>
    </xdr:from>
    <xdr:to>
      <xdr:col>10</xdr:col>
      <xdr:colOff>21770</xdr:colOff>
      <xdr:row>21</xdr:row>
      <xdr:rowOff>83683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7C8780-4EE0-9E01-E5AC-D54E59F5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</xdr:row>
      <xdr:rowOff>133350</xdr:rowOff>
    </xdr:from>
    <xdr:to>
      <xdr:col>20</xdr:col>
      <xdr:colOff>320040</xdr:colOff>
      <xdr:row>18</xdr:row>
      <xdr:rowOff>26670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6233DF-3870-58C0-33B4-DA8BEC48E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148590</xdr:rowOff>
    </xdr:from>
    <xdr:to>
      <xdr:col>20</xdr:col>
      <xdr:colOff>304800</xdr:colOff>
      <xdr:row>36</xdr:row>
      <xdr:rowOff>41910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C540E7-8745-AFF6-5B1F-936AB48C9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opLeftCell="A11" workbookViewId="0">
      <selection activeCell="B14" sqref="B14"/>
    </sheetView>
  </sheetViews>
  <sheetFormatPr defaultColWidth="9.109375" defaultRowHeight="15.6" x14ac:dyDescent="0.3"/>
  <cols>
    <col min="1" max="1" width="9.109375" style="1"/>
    <col min="2" max="2" width="137.109375" style="1" customWidth="1"/>
    <col min="3" max="16384" width="9.109375" style="1"/>
  </cols>
  <sheetData>
    <row r="1" spans="1:2" x14ac:dyDescent="0.3">
      <c r="A1" s="4" t="s">
        <v>0</v>
      </c>
      <c r="B1" s="5" t="s">
        <v>1</v>
      </c>
    </row>
    <row r="2" spans="1:2" ht="109.2" x14ac:dyDescent="0.3">
      <c r="A2" s="3">
        <v>1</v>
      </c>
      <c r="B2" s="2" t="s">
        <v>10</v>
      </c>
    </row>
    <row r="3" spans="1:2" ht="49.2" customHeight="1" x14ac:dyDescent="0.3">
      <c r="A3" s="3">
        <v>2</v>
      </c>
      <c r="B3" s="2" t="s">
        <v>9</v>
      </c>
    </row>
    <row r="4" spans="1:2" ht="79.2" customHeight="1" x14ac:dyDescent="0.3">
      <c r="A4" s="3">
        <v>3</v>
      </c>
      <c r="B4" s="6" t="s">
        <v>5</v>
      </c>
    </row>
    <row r="5" spans="1:2" ht="93.6" x14ac:dyDescent="0.3">
      <c r="A5" s="3">
        <v>4</v>
      </c>
      <c r="B5" s="2" t="s">
        <v>7</v>
      </c>
    </row>
    <row r="6" spans="1:2" x14ac:dyDescent="0.3">
      <c r="A6" s="3">
        <v>5</v>
      </c>
      <c r="B6" s="2" t="s">
        <v>8</v>
      </c>
    </row>
    <row r="7" spans="1:2" ht="62.4" x14ac:dyDescent="0.3">
      <c r="A7" s="3">
        <v>6</v>
      </c>
      <c r="B7" s="2" t="s">
        <v>14</v>
      </c>
    </row>
    <row r="8" spans="1:2" ht="93" customHeight="1" x14ac:dyDescent="0.3">
      <c r="A8" s="3">
        <v>7</v>
      </c>
      <c r="B8" s="2" t="s">
        <v>2</v>
      </c>
    </row>
    <row r="9" spans="1:2" ht="93.6" x14ac:dyDescent="0.3">
      <c r="A9" s="3">
        <v>8</v>
      </c>
      <c r="B9" s="2" t="s">
        <v>12</v>
      </c>
    </row>
    <row r="10" spans="1:2" ht="78" x14ac:dyDescent="0.3">
      <c r="A10" s="3">
        <v>9</v>
      </c>
      <c r="B10" s="2" t="s">
        <v>11</v>
      </c>
    </row>
    <row r="11" spans="1:2" ht="62.4" x14ac:dyDescent="0.3">
      <c r="A11" s="3">
        <v>10</v>
      </c>
      <c r="B11" s="2" t="s">
        <v>3</v>
      </c>
    </row>
    <row r="12" spans="1:2" ht="46.8" x14ac:dyDescent="0.3">
      <c r="A12" s="3">
        <v>11</v>
      </c>
      <c r="B12" s="2" t="s">
        <v>4</v>
      </c>
    </row>
    <row r="13" spans="1:2" ht="109.2" x14ac:dyDescent="0.3">
      <c r="A13" s="3">
        <v>12</v>
      </c>
      <c r="B13" s="2" t="s">
        <v>13</v>
      </c>
    </row>
    <row r="14" spans="1:2" ht="95.25" customHeight="1" x14ac:dyDescent="0.3">
      <c r="A14" s="3">
        <v>13</v>
      </c>
      <c r="B14" s="6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F9B6-4479-4075-9C00-D96EA963CE3E}">
  <dimension ref="A1"/>
  <sheetViews>
    <sheetView topLeftCell="H1" workbookViewId="0"/>
  </sheetViews>
  <sheetFormatPr defaultRowHeight="13.2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2DB9-2832-47A0-8E98-5EA092249037}">
  <dimension ref="A1:P4"/>
  <sheetViews>
    <sheetView workbookViewId="0">
      <selection activeCell="D13" sqref="D13"/>
    </sheetView>
  </sheetViews>
  <sheetFormatPr defaultRowHeight="13.2" x14ac:dyDescent="0.25"/>
  <sheetData>
    <row r="1" spans="1:16" ht="67.8" customHeight="1" x14ac:dyDescent="0.25">
      <c r="A1" s="36" t="s">
        <v>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4" spans="1:16" x14ac:dyDescent="0.25">
      <c r="A4">
        <v>-766</v>
      </c>
      <c r="B4">
        <v>530</v>
      </c>
      <c r="C4">
        <v>330</v>
      </c>
      <c r="D4" t="s">
        <v>58</v>
      </c>
    </row>
  </sheetData>
  <mergeCells count="1">
    <mergeCell ref="A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01D3-E519-43CF-80FA-977950AC7195}">
  <dimension ref="A1:P16"/>
  <sheetViews>
    <sheetView workbookViewId="0">
      <selection activeCell="D17" sqref="D17"/>
    </sheetView>
  </sheetViews>
  <sheetFormatPr defaultRowHeight="13.2" x14ac:dyDescent="0.25"/>
  <cols>
    <col min="2" max="2" width="9.6640625" bestFit="1" customWidth="1"/>
    <col min="4" max="4" width="21.33203125" customWidth="1"/>
    <col min="10" max="10" width="13" customWidth="1"/>
  </cols>
  <sheetData>
    <row r="1" spans="1:16" ht="74.400000000000006" customHeight="1" x14ac:dyDescent="0.25">
      <c r="A1" s="36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3" spans="1:16" x14ac:dyDescent="0.25">
      <c r="B3" t="s">
        <v>59</v>
      </c>
      <c r="D3" t="s">
        <v>17</v>
      </c>
      <c r="E3" t="s">
        <v>61</v>
      </c>
      <c r="J3" t="s">
        <v>39</v>
      </c>
    </row>
    <row r="4" spans="1:16" x14ac:dyDescent="0.25">
      <c r="D4">
        <v>-94.34</v>
      </c>
      <c r="E4">
        <v>100</v>
      </c>
      <c r="J4" s="41">
        <f>IRR(D4:E4)</f>
        <v>5.9995760016959832E-2</v>
      </c>
    </row>
    <row r="6" spans="1:16" x14ac:dyDescent="0.25">
      <c r="B6" t="s">
        <v>60</v>
      </c>
      <c r="D6" t="s">
        <v>17</v>
      </c>
      <c r="E6" t="s">
        <v>61</v>
      </c>
      <c r="F6" t="s">
        <v>62</v>
      </c>
      <c r="J6" t="s">
        <v>39</v>
      </c>
    </row>
    <row r="7" spans="1:16" x14ac:dyDescent="0.25">
      <c r="D7">
        <v>-84.99</v>
      </c>
      <c r="E7">
        <v>0</v>
      </c>
      <c r="F7">
        <v>100</v>
      </c>
      <c r="J7" s="42">
        <f>IRR(D7:F7)</f>
        <v>8.471609779934508E-2</v>
      </c>
    </row>
    <row r="9" spans="1:16" x14ac:dyDescent="0.25">
      <c r="B9" t="s">
        <v>63</v>
      </c>
      <c r="D9" t="s">
        <v>17</v>
      </c>
      <c r="E9" t="s">
        <v>64</v>
      </c>
      <c r="F9" t="s">
        <v>62</v>
      </c>
      <c r="J9" t="s">
        <v>39</v>
      </c>
    </row>
    <row r="10" spans="1:16" x14ac:dyDescent="0.25">
      <c r="D10">
        <f>-(E10/(1+J4) + F10/(1+J7)^2)</f>
        <v>-106.50959999999999</v>
      </c>
      <c r="E10">
        <v>12</v>
      </c>
      <c r="F10">
        <v>112</v>
      </c>
      <c r="J10" s="43">
        <f>IRR(D10:F10)</f>
        <v>8.332944798113906E-2</v>
      </c>
    </row>
    <row r="13" spans="1:16" x14ac:dyDescent="0.25">
      <c r="C13" t="s">
        <v>65</v>
      </c>
    </row>
    <row r="16" spans="1:16" x14ac:dyDescent="0.25">
      <c r="C16" t="s">
        <v>66</v>
      </c>
      <c r="D16" t="s">
        <v>67</v>
      </c>
    </row>
  </sheetData>
  <mergeCells count="1">
    <mergeCell ref="A1:P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0CA5-704E-498C-94E6-8B07A961B804}">
  <dimension ref="A1:P10"/>
  <sheetViews>
    <sheetView workbookViewId="0">
      <selection activeCell="H5" sqref="H5"/>
    </sheetView>
  </sheetViews>
  <sheetFormatPr defaultRowHeight="13.2" x14ac:dyDescent="0.25"/>
  <cols>
    <col min="3" max="3" width="9.21875" bestFit="1" customWidth="1"/>
    <col min="5" max="5" width="16.33203125" bestFit="1" customWidth="1"/>
    <col min="7" max="7" width="12" bestFit="1" customWidth="1"/>
  </cols>
  <sheetData>
    <row r="1" spans="1:16" ht="111" customHeight="1" x14ac:dyDescent="0.25">
      <c r="A1" s="36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3" spans="1:16" x14ac:dyDescent="0.25">
      <c r="B3" t="s">
        <v>68</v>
      </c>
      <c r="C3" t="s">
        <v>69</v>
      </c>
      <c r="E3" t="s">
        <v>70</v>
      </c>
      <c r="G3" t="s">
        <v>76</v>
      </c>
      <c r="H3" t="s">
        <v>77</v>
      </c>
    </row>
    <row r="4" spans="1:16" x14ac:dyDescent="0.25">
      <c r="B4">
        <v>1</v>
      </c>
      <c r="C4" s="40">
        <v>9.9000000000000008E-3</v>
      </c>
      <c r="E4">
        <v>1</v>
      </c>
      <c r="H4">
        <v>2.75</v>
      </c>
    </row>
    <row r="5" spans="1:16" x14ac:dyDescent="0.25">
      <c r="B5">
        <v>3</v>
      </c>
      <c r="C5" s="40">
        <v>1.1599999999999999E-2</v>
      </c>
      <c r="E5">
        <v>4</v>
      </c>
      <c r="F5" t="s">
        <v>71</v>
      </c>
    </row>
    <row r="6" spans="1:16" x14ac:dyDescent="0.25">
      <c r="B6">
        <v>6</v>
      </c>
      <c r="C6" s="40">
        <v>1.43E-2</v>
      </c>
      <c r="E6">
        <v>7</v>
      </c>
      <c r="F6" t="s">
        <v>72</v>
      </c>
    </row>
    <row r="7" spans="1:16" x14ac:dyDescent="0.25">
      <c r="B7">
        <v>9</v>
      </c>
      <c r="C7" s="40">
        <v>1.6E-2</v>
      </c>
      <c r="E7">
        <v>10</v>
      </c>
      <c r="F7" t="s">
        <v>73</v>
      </c>
    </row>
    <row r="8" spans="1:16" x14ac:dyDescent="0.25">
      <c r="B8">
        <v>12</v>
      </c>
      <c r="C8" s="40">
        <v>1.7999999999999999E-2</v>
      </c>
      <c r="E8">
        <v>13</v>
      </c>
      <c r="F8" t="s">
        <v>74</v>
      </c>
    </row>
    <row r="9" spans="1:16" x14ac:dyDescent="0.25">
      <c r="B9">
        <v>14</v>
      </c>
      <c r="C9" s="40">
        <v>1.9400000000000001E-2</v>
      </c>
      <c r="E9">
        <v>16</v>
      </c>
      <c r="F9" t="s">
        <v>75</v>
      </c>
    </row>
    <row r="10" spans="1:16" x14ac:dyDescent="0.25">
      <c r="B10">
        <v>16</v>
      </c>
      <c r="C10" s="40">
        <v>2.0299999999999999E-2</v>
      </c>
    </row>
  </sheetData>
  <mergeCells count="1">
    <mergeCell ref="A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8E49-6A6E-435E-93AC-BE7458DECC23}">
  <dimension ref="A1:O4"/>
  <sheetViews>
    <sheetView tabSelected="1" workbookViewId="0">
      <selection activeCell="B5" sqref="B5"/>
    </sheetView>
  </sheetViews>
  <sheetFormatPr defaultRowHeight="13.2" x14ac:dyDescent="0.25"/>
  <sheetData>
    <row r="1" spans="1:15" ht="103.2" customHeight="1" x14ac:dyDescent="0.3">
      <c r="A1" s="44" t="s">
        <v>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25">
      <c r="B3" t="s">
        <v>78</v>
      </c>
    </row>
    <row r="4" spans="1:15" x14ac:dyDescent="0.25">
      <c r="B4" t="s">
        <v>79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44FC-9D5A-42EA-AA25-D6865FB0CD2A}">
  <dimension ref="A1:AI30"/>
  <sheetViews>
    <sheetView topLeftCell="A12" workbookViewId="0">
      <selection activeCell="S38" sqref="S38"/>
    </sheetView>
  </sheetViews>
  <sheetFormatPr defaultRowHeight="13.2" x14ac:dyDescent="0.25"/>
  <cols>
    <col min="1" max="1" width="88.33203125" customWidth="1"/>
    <col min="2" max="2" width="11.88671875" customWidth="1"/>
    <col min="5" max="5" width="12" bestFit="1" customWidth="1"/>
    <col min="15" max="15" width="13.21875" customWidth="1"/>
    <col min="18" max="18" width="12" bestFit="1" customWidth="1"/>
    <col min="26" max="26" width="13" customWidth="1"/>
    <col min="29" max="29" width="12" bestFit="1" customWidth="1"/>
  </cols>
  <sheetData>
    <row r="1" spans="1:35" ht="140.4" x14ac:dyDescent="0.25">
      <c r="A1" s="7" t="s">
        <v>10</v>
      </c>
    </row>
    <row r="2" spans="1:35" x14ac:dyDescent="0.25">
      <c r="B2" t="s">
        <v>15</v>
      </c>
      <c r="O2" t="s">
        <v>26</v>
      </c>
      <c r="Z2" t="s">
        <v>27</v>
      </c>
    </row>
    <row r="3" spans="1:35" x14ac:dyDescent="0.25">
      <c r="B3" t="s">
        <v>16</v>
      </c>
      <c r="O3" t="s">
        <v>16</v>
      </c>
      <c r="Z3" t="s">
        <v>16</v>
      </c>
    </row>
    <row r="4" spans="1:35" x14ac:dyDescent="0.25">
      <c r="B4" t="s">
        <v>17</v>
      </c>
      <c r="C4">
        <v>1000</v>
      </c>
      <c r="O4" t="s">
        <v>17</v>
      </c>
      <c r="P4">
        <v>984.23</v>
      </c>
      <c r="Z4" t="s">
        <v>17</v>
      </c>
      <c r="AA4">
        <v>1041.0899999999999</v>
      </c>
    </row>
    <row r="5" spans="1:35" x14ac:dyDescent="0.25">
      <c r="B5" t="s">
        <v>18</v>
      </c>
      <c r="C5">
        <v>1000</v>
      </c>
      <c r="O5" t="s">
        <v>18</v>
      </c>
      <c r="P5">
        <v>1000</v>
      </c>
      <c r="Z5" t="s">
        <v>18</v>
      </c>
      <c r="AA5">
        <v>1000</v>
      </c>
    </row>
    <row r="6" spans="1:35" x14ac:dyDescent="0.25">
      <c r="B6" t="s">
        <v>19</v>
      </c>
      <c r="C6">
        <v>50</v>
      </c>
      <c r="O6" t="s">
        <v>19</v>
      </c>
      <c r="P6">
        <v>50</v>
      </c>
      <c r="Z6" t="s">
        <v>19</v>
      </c>
      <c r="AA6">
        <v>50</v>
      </c>
    </row>
    <row r="7" spans="1:35" x14ac:dyDescent="0.25">
      <c r="B7" t="s">
        <v>20</v>
      </c>
      <c r="C7">
        <v>2</v>
      </c>
      <c r="O7" t="s">
        <v>20</v>
      </c>
      <c r="P7">
        <v>2</v>
      </c>
      <c r="Z7" t="s">
        <v>20</v>
      </c>
      <c r="AA7">
        <v>2</v>
      </c>
    </row>
    <row r="8" spans="1:35" x14ac:dyDescent="0.25">
      <c r="B8" s="9" t="s">
        <v>39</v>
      </c>
      <c r="C8" s="9">
        <v>0.1</v>
      </c>
      <c r="O8" s="9" t="s">
        <v>39</v>
      </c>
      <c r="P8" s="9">
        <v>0.1049286736716655</v>
      </c>
      <c r="Z8" s="9" t="s">
        <v>39</v>
      </c>
      <c r="AA8" s="9">
        <v>8.7601785131893109E-2</v>
      </c>
    </row>
    <row r="9" spans="1:35" x14ac:dyDescent="0.25">
      <c r="B9" t="s">
        <v>22</v>
      </c>
      <c r="C9">
        <v>4</v>
      </c>
      <c r="O9" t="s">
        <v>22</v>
      </c>
      <c r="P9">
        <v>4</v>
      </c>
      <c r="Z9" t="s">
        <v>22</v>
      </c>
      <c r="AA9">
        <v>4</v>
      </c>
    </row>
    <row r="11" spans="1:35" x14ac:dyDescent="0.25">
      <c r="B11" t="s">
        <v>24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 t="s">
        <v>25</v>
      </c>
      <c r="O11" t="s">
        <v>24</v>
      </c>
      <c r="P11">
        <v>1</v>
      </c>
      <c r="Q11">
        <v>2</v>
      </c>
      <c r="R11">
        <v>3</v>
      </c>
      <c r="S11">
        <v>4</v>
      </c>
      <c r="T11">
        <v>5</v>
      </c>
      <c r="U11">
        <v>6</v>
      </c>
      <c r="V11">
        <v>7</v>
      </c>
      <c r="W11">
        <v>8</v>
      </c>
      <c r="X11" t="s">
        <v>25</v>
      </c>
      <c r="Z11" t="s">
        <v>24</v>
      </c>
      <c r="AA11">
        <v>1</v>
      </c>
      <c r="AB11">
        <v>2</v>
      </c>
      <c r="AC11">
        <v>3</v>
      </c>
      <c r="AD11">
        <v>4</v>
      </c>
      <c r="AE11">
        <v>5</v>
      </c>
      <c r="AF11">
        <v>6</v>
      </c>
      <c r="AG11">
        <v>7</v>
      </c>
      <c r="AH11">
        <v>8</v>
      </c>
      <c r="AI11" t="s">
        <v>25</v>
      </c>
    </row>
    <row r="12" spans="1:35" ht="51.6" customHeight="1" x14ac:dyDescent="0.25">
      <c r="C12" s="8">
        <f>($C$6)/((1+$C$8/$C$7)^C11)</f>
        <v>47.61904761904762</v>
      </c>
      <c r="D12" s="8">
        <f t="shared" ref="D12:J12" si="0">($C$6)/((1+$C$8/$C$7)^D11)</f>
        <v>45.351473922902493</v>
      </c>
      <c r="E12" s="8">
        <f t="shared" si="0"/>
        <v>43.191879926573797</v>
      </c>
      <c r="F12" s="8">
        <f t="shared" si="0"/>
        <v>41.1351237395941</v>
      </c>
      <c r="G12" s="8">
        <f t="shared" si="0"/>
        <v>39.176308323422944</v>
      </c>
      <c r="H12" s="8">
        <f t="shared" si="0"/>
        <v>37.310769831831387</v>
      </c>
      <c r="I12" s="8">
        <f t="shared" si="0"/>
        <v>35.534066506506072</v>
      </c>
      <c r="J12" s="8">
        <f t="shared" si="0"/>
        <v>33.841968101434361</v>
      </c>
      <c r="K12" s="8">
        <f>SUM(C12:J12)+C5/(1+C8/C7)^(C7*C9)</f>
        <v>1000</v>
      </c>
      <c r="L12" s="8"/>
      <c r="M12" s="8"/>
      <c r="P12" s="8">
        <f>($C$6)/((1+$P$8/$P$7)^P11)</f>
        <v>47.507547999509249</v>
      </c>
      <c r="Q12" s="8">
        <f t="shared" ref="Q12:W12" si="1">($C$6)/((1+$P$8/$P$7)^Q11)</f>
        <v>45.139342338513508</v>
      </c>
      <c r="R12" s="8">
        <f t="shared" si="1"/>
        <v>42.889189456264212</v>
      </c>
      <c r="S12" s="8">
        <f t="shared" si="1"/>
        <v>40.751204535070364</v>
      </c>
      <c r="T12" s="8">
        <f t="shared" si="1"/>
        <v>38.719796109753489</v>
      </c>
      <c r="U12" s="8">
        <f t="shared" si="1"/>
        <v>36.789651444306507</v>
      </c>
      <c r="V12" s="8">
        <f t="shared" si="1"/>
        <v>34.955722637512125</v>
      </c>
      <c r="W12" s="8">
        <f t="shared" si="1"/>
        <v>33.213213421182793</v>
      </c>
      <c r="X12" s="8">
        <f>SUM(P12:W12) + P5/((1+$P$8/$P$7)^(P7*P9))</f>
        <v>984.22993636576803</v>
      </c>
      <c r="AA12" s="8">
        <f>($C$6)/((1+$AA$8/$AA$7)^AA11)</f>
        <v>47.901855953664111</v>
      </c>
      <c r="AB12" s="8">
        <f t="shared" ref="AB12:AH12" si="2">($C$6)/((1+$AA$8/$AA$7)^AB11)</f>
        <v>45.891756076111719</v>
      </c>
      <c r="AC12" s="8">
        <f t="shared" si="2"/>
        <v>43.966005780371866</v>
      </c>
      <c r="AD12" s="8">
        <f t="shared" si="2"/>
        <v>42.121065514986732</v>
      </c>
      <c r="AE12" s="8">
        <f t="shared" si="2"/>
        <v>40.353544258274866</v>
      </c>
      <c r="AF12" s="8">
        <f t="shared" si="2"/>
        <v>38.660193285593849</v>
      </c>
      <c r="AG12" s="8">
        <f t="shared" si="2"/>
        <v>37.037900198146581</v>
      </c>
      <c r="AH12" s="8">
        <f t="shared" si="2"/>
        <v>35.483683202356097</v>
      </c>
      <c r="AI12" s="8">
        <f>SUM(AA12:AH12) + AA5/(1+AA8/AA7)^(AA7*AA9)</f>
        <v>1041.0896683166277</v>
      </c>
    </row>
    <row r="20" spans="2:24" x14ac:dyDescent="0.25">
      <c r="B20" t="s">
        <v>28</v>
      </c>
      <c r="O20" t="s">
        <v>29</v>
      </c>
    </row>
    <row r="21" spans="2:24" x14ac:dyDescent="0.25">
      <c r="B21" t="s">
        <v>16</v>
      </c>
      <c r="O21" t="s">
        <v>16</v>
      </c>
    </row>
    <row r="22" spans="2:24" x14ac:dyDescent="0.25">
      <c r="B22" t="s">
        <v>17</v>
      </c>
      <c r="C22">
        <v>1000</v>
      </c>
      <c r="O22" t="s">
        <v>17</v>
      </c>
      <c r="P22">
        <v>1000</v>
      </c>
    </row>
    <row r="23" spans="2:24" x14ac:dyDescent="0.25">
      <c r="B23" t="s">
        <v>18</v>
      </c>
      <c r="C23">
        <v>1000</v>
      </c>
      <c r="O23" t="s">
        <v>18</v>
      </c>
      <c r="P23">
        <v>1000</v>
      </c>
    </row>
    <row r="24" spans="2:24" x14ac:dyDescent="0.25">
      <c r="B24" t="s">
        <v>19</v>
      </c>
      <c r="C24">
        <v>50</v>
      </c>
      <c r="O24" t="s">
        <v>19</v>
      </c>
      <c r="P24" s="9">
        <v>44.999443390346578</v>
      </c>
    </row>
    <row r="25" spans="2:24" x14ac:dyDescent="0.25">
      <c r="B25" t="s">
        <v>20</v>
      </c>
      <c r="C25">
        <v>2</v>
      </c>
      <c r="O25" t="s">
        <v>20</v>
      </c>
      <c r="P25">
        <v>2</v>
      </c>
    </row>
    <row r="26" spans="2:24" x14ac:dyDescent="0.25">
      <c r="B26" t="s">
        <v>21</v>
      </c>
      <c r="C26">
        <v>0.09</v>
      </c>
      <c r="O26" t="s">
        <v>21</v>
      </c>
      <c r="P26">
        <v>0.09</v>
      </c>
    </row>
    <row r="27" spans="2:24" x14ac:dyDescent="0.25">
      <c r="B27" t="s">
        <v>22</v>
      </c>
      <c r="C27">
        <v>4</v>
      </c>
      <c r="O27" t="s">
        <v>22</v>
      </c>
      <c r="P27">
        <v>4</v>
      </c>
    </row>
    <row r="29" spans="2:24" x14ac:dyDescent="0.25">
      <c r="B29" t="s">
        <v>24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 t="s">
        <v>25</v>
      </c>
      <c r="O29" t="s">
        <v>24</v>
      </c>
      <c r="P29">
        <v>1</v>
      </c>
      <c r="Q29">
        <v>2</v>
      </c>
      <c r="R29">
        <v>3</v>
      </c>
      <c r="S29">
        <v>4</v>
      </c>
      <c r="T29">
        <v>5</v>
      </c>
      <c r="U29">
        <v>6</v>
      </c>
      <c r="V29">
        <v>7</v>
      </c>
      <c r="W29">
        <v>8</v>
      </c>
      <c r="X29" t="s">
        <v>25</v>
      </c>
    </row>
    <row r="30" spans="2:24" ht="54.6" customHeight="1" x14ac:dyDescent="0.25">
      <c r="C30" s="8">
        <f>($C$6)/((1+$C$26/$C$25)^C29)</f>
        <v>47.846889952153113</v>
      </c>
      <c r="D30" s="8">
        <f t="shared" ref="D30:J30" si="3">($C$6)/((1+$C$26/$C$25)^D29)</f>
        <v>45.786497561869012</v>
      </c>
      <c r="E30" s="8">
        <f t="shared" si="3"/>
        <v>43.814830202745469</v>
      </c>
      <c r="F30" s="8">
        <f t="shared" si="3"/>
        <v>41.928067179660744</v>
      </c>
      <c r="G30" s="8">
        <f t="shared" si="3"/>
        <v>40.122552325034206</v>
      </c>
      <c r="H30" s="8">
        <f t="shared" si="3"/>
        <v>38.394786913908341</v>
      </c>
      <c r="I30" s="8">
        <f t="shared" si="3"/>
        <v>36.741422884122812</v>
      </c>
      <c r="J30" s="8">
        <f t="shared" si="3"/>
        <v>35.159256348442895</v>
      </c>
      <c r="K30" s="10">
        <f>SUM(C30:J30)+C23/((1+C26/C25)^(C25*C27))</f>
        <v>1032.9794303367944</v>
      </c>
      <c r="L30" s="8"/>
      <c r="M30" s="8"/>
      <c r="P30" s="8">
        <f>($P$24)/((1+$P$26/$P$25)^P29)</f>
        <v>43.061668316121128</v>
      </c>
      <c r="Q30" s="8">
        <f t="shared" ref="Q30:W30" si="4">($P$24)/((1+$P$26/$P$25)^Q29)</f>
        <v>41.207338101551322</v>
      </c>
      <c r="R30" s="8">
        <f t="shared" si="4"/>
        <v>39.432859427321844</v>
      </c>
      <c r="S30" s="8">
        <f t="shared" si="4"/>
        <v>37.734793710355838</v>
      </c>
      <c r="T30" s="8">
        <f t="shared" si="4"/>
        <v>36.109850440531901</v>
      </c>
      <c r="U30" s="8">
        <f t="shared" si="4"/>
        <v>34.554880804336761</v>
      </c>
      <c r="V30" s="8">
        <f t="shared" si="4"/>
        <v>33.066871583097374</v>
      </c>
      <c r="W30" s="8">
        <f t="shared" si="4"/>
        <v>31.642939313968789</v>
      </c>
      <c r="X30" s="8">
        <f>SUM(P30:W30) + P23/(1+P26/P25)^(P25*P27)</f>
        <v>999.99632866614274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EEC1-7294-4969-B62C-DAEBF71F8FF0}">
  <dimension ref="A1:AB94"/>
  <sheetViews>
    <sheetView topLeftCell="A52" zoomScale="75" zoomScaleNormal="97" workbookViewId="0">
      <selection activeCell="AC71" sqref="AC71"/>
    </sheetView>
  </sheetViews>
  <sheetFormatPr defaultRowHeight="13.2" x14ac:dyDescent="0.25"/>
  <cols>
    <col min="1" max="1" width="8.88671875" customWidth="1"/>
  </cols>
  <sheetData>
    <row r="1" spans="1:28" ht="33.6" customHeight="1" x14ac:dyDescent="0.25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1:28" x14ac:dyDescent="0.25">
      <c r="B3" t="s">
        <v>18</v>
      </c>
      <c r="C3">
        <v>1000</v>
      </c>
    </row>
    <row r="4" spans="1:28" x14ac:dyDescent="0.25">
      <c r="B4" t="s">
        <v>19</v>
      </c>
      <c r="C4">
        <v>50</v>
      </c>
    </row>
    <row r="5" spans="1:28" x14ac:dyDescent="0.25">
      <c r="B5" t="s">
        <v>20</v>
      </c>
      <c r="C5">
        <v>1</v>
      </c>
    </row>
    <row r="6" spans="1:28" x14ac:dyDescent="0.25">
      <c r="B6" t="s">
        <v>22</v>
      </c>
      <c r="C6">
        <v>5</v>
      </c>
    </row>
    <row r="8" spans="1:28" x14ac:dyDescent="0.25">
      <c r="B8" s="37" t="s">
        <v>30</v>
      </c>
      <c r="C8" s="37"/>
      <c r="D8" s="37"/>
      <c r="E8" s="37"/>
      <c r="F8" s="37"/>
      <c r="X8" s="37"/>
      <c r="Y8" s="37"/>
      <c r="Z8" s="37"/>
      <c r="AA8" s="37"/>
      <c r="AB8" s="37"/>
    </row>
    <row r="9" spans="1:28" x14ac:dyDescent="0.25">
      <c r="A9" s="19" t="s">
        <v>23</v>
      </c>
      <c r="B9" s="11">
        <v>1</v>
      </c>
      <c r="C9" s="12">
        <v>2</v>
      </c>
      <c r="D9" s="12">
        <v>3</v>
      </c>
      <c r="E9" s="12">
        <v>4</v>
      </c>
      <c r="F9" s="12">
        <v>5</v>
      </c>
      <c r="G9" s="16" t="s">
        <v>17</v>
      </c>
      <c r="W9" s="8"/>
      <c r="X9" s="8"/>
    </row>
    <row r="10" spans="1:28" x14ac:dyDescent="0.25">
      <c r="A10" s="13">
        <v>5.0000000000000001E-3</v>
      </c>
      <c r="B10">
        <f>($C$4)/((1+$A10)^B$9)</f>
        <v>49.75124378109453</v>
      </c>
      <c r="C10">
        <f t="shared" ref="C10:F25" si="0">($C$4)/((1+$A10)^C$9)</f>
        <v>49.503725155317952</v>
      </c>
      <c r="D10">
        <f t="shared" si="0"/>
        <v>49.257437965490503</v>
      </c>
      <c r="E10">
        <f t="shared" si="0"/>
        <v>49.012376085065192</v>
      </c>
      <c r="F10">
        <f t="shared" si="0"/>
        <v>48.768533417975327</v>
      </c>
      <c r="G10" s="16">
        <f>SUM(B10:F10)+$C$3/(1+$A10/$C$5)^($C$5*$C$6)</f>
        <v>1221.6639847644499</v>
      </c>
    </row>
    <row r="11" spans="1:28" x14ac:dyDescent="0.25">
      <c r="A11" s="14">
        <v>0.01</v>
      </c>
      <c r="B11">
        <f t="shared" ref="B11:F49" si="1">($C$4)/((1+$A11)^B$9)</f>
        <v>49.504950495049506</v>
      </c>
      <c r="C11">
        <f t="shared" si="0"/>
        <v>49.014802470346041</v>
      </c>
      <c r="D11">
        <f t="shared" si="0"/>
        <v>48.529507396382229</v>
      </c>
      <c r="E11">
        <f t="shared" si="0"/>
        <v>48.049017224140812</v>
      </c>
      <c r="F11">
        <f t="shared" si="0"/>
        <v>47.573284380337441</v>
      </c>
      <c r="G11" s="17">
        <f>SUM(B11:F11)+$C$3/(1+$A11/$C$5)^($C$5*$C$6)</f>
        <v>1194.1372495730047</v>
      </c>
    </row>
    <row r="12" spans="1:28" x14ac:dyDescent="0.25">
      <c r="A12" s="14">
        <v>1.4999999999999999E-2</v>
      </c>
      <c r="B12">
        <f t="shared" si="1"/>
        <v>49.26108374384237</v>
      </c>
      <c r="C12">
        <f t="shared" si="0"/>
        <v>48.533087432357021</v>
      </c>
      <c r="D12">
        <f t="shared" si="0"/>
        <v>47.815849687051262</v>
      </c>
      <c r="E12">
        <f t="shared" si="0"/>
        <v>47.109211514336224</v>
      </c>
      <c r="F12">
        <f t="shared" si="0"/>
        <v>46.413016270282</v>
      </c>
      <c r="G12" s="17">
        <f t="shared" ref="G12:G49" si="2">SUM(B12:F12)+$C$3/(1+$A12/$C$5)^($C$5*$C$6)</f>
        <v>1167.3925740535087</v>
      </c>
    </row>
    <row r="13" spans="1:28" x14ac:dyDescent="0.25">
      <c r="A13" s="14">
        <v>0.02</v>
      </c>
      <c r="B13">
        <f t="shared" si="1"/>
        <v>49.019607843137251</v>
      </c>
      <c r="C13">
        <f t="shared" si="0"/>
        <v>48.058439061899271</v>
      </c>
      <c r="D13">
        <f t="shared" si="0"/>
        <v>47.116116727352228</v>
      </c>
      <c r="E13">
        <f t="shared" si="0"/>
        <v>46.192271301325711</v>
      </c>
      <c r="F13">
        <f t="shared" si="0"/>
        <v>45.286540491495792</v>
      </c>
      <c r="G13" s="17">
        <f t="shared" si="2"/>
        <v>1141.4037852551262</v>
      </c>
    </row>
    <row r="14" spans="1:28" x14ac:dyDescent="0.25">
      <c r="A14" s="14">
        <v>2.5000000000000001E-2</v>
      </c>
      <c r="B14">
        <f t="shared" si="1"/>
        <v>48.780487804878049</v>
      </c>
      <c r="C14">
        <f t="shared" si="0"/>
        <v>47.590719809637122</v>
      </c>
      <c r="D14">
        <f t="shared" si="0"/>
        <v>46.429970545987437</v>
      </c>
      <c r="E14">
        <f t="shared" si="0"/>
        <v>45.297532239987753</v>
      </c>
      <c r="F14">
        <f t="shared" si="0"/>
        <v>44.192714380475856</v>
      </c>
      <c r="G14" s="17">
        <f t="shared" si="2"/>
        <v>1116.1457123904834</v>
      </c>
    </row>
    <row r="15" spans="1:28" x14ac:dyDescent="0.25">
      <c r="A15" s="14">
        <v>0.03</v>
      </c>
      <c r="B15">
        <f t="shared" si="1"/>
        <v>48.543689320388346</v>
      </c>
      <c r="C15">
        <f t="shared" si="0"/>
        <v>47.129795456687717</v>
      </c>
      <c r="D15">
        <f t="shared" si="0"/>
        <v>45.757082967657979</v>
      </c>
      <c r="E15">
        <f t="shared" si="0"/>
        <v>44.424352395784446</v>
      </c>
      <c r="F15">
        <f t="shared" si="0"/>
        <v>43.130439219208206</v>
      </c>
      <c r="G15" s="17">
        <f t="shared" si="2"/>
        <v>1091.5941437438908</v>
      </c>
    </row>
    <row r="16" spans="1:28" x14ac:dyDescent="0.25">
      <c r="A16" s="14">
        <v>3.5000000000000003E-2</v>
      </c>
      <c r="B16">
        <f t="shared" si="1"/>
        <v>48.309178743961354</v>
      </c>
      <c r="C16">
        <f t="shared" si="0"/>
        <v>46.675535018320154</v>
      </c>
      <c r="D16">
        <f t="shared" si="0"/>
        <v>45.097135283401116</v>
      </c>
      <c r="E16">
        <f t="shared" si="0"/>
        <v>43.572111384928618</v>
      </c>
      <c r="F16">
        <f t="shared" si="0"/>
        <v>42.098658342926207</v>
      </c>
      <c r="G16" s="17">
        <f t="shared" si="2"/>
        <v>1067.7257856320616</v>
      </c>
    </row>
    <row r="17" spans="1:7" x14ac:dyDescent="0.25">
      <c r="A17" s="14">
        <v>0.04</v>
      </c>
      <c r="B17">
        <f t="shared" si="1"/>
        <v>48.076923076923073</v>
      </c>
      <c r="C17">
        <f t="shared" si="0"/>
        <v>46.227810650887569</v>
      </c>
      <c r="D17">
        <f t="shared" si="0"/>
        <v>44.449817933545738</v>
      </c>
      <c r="E17">
        <f t="shared" si="0"/>
        <v>42.740209551486288</v>
      </c>
      <c r="F17">
        <f t="shared" si="0"/>
        <v>41.09635533796758</v>
      </c>
      <c r="G17" s="17">
        <f t="shared" si="2"/>
        <v>1044.5182233101618</v>
      </c>
    </row>
    <row r="18" spans="1:7" x14ac:dyDescent="0.25">
      <c r="A18" s="14">
        <v>4.4999999999999998E-2</v>
      </c>
      <c r="B18">
        <f t="shared" si="1"/>
        <v>47.846889952153113</v>
      </c>
      <c r="C18">
        <f t="shared" si="0"/>
        <v>45.786497561869012</v>
      </c>
      <c r="D18">
        <f t="shared" si="0"/>
        <v>43.814830202745469</v>
      </c>
      <c r="E18">
        <f t="shared" si="0"/>
        <v>41.928067179660744</v>
      </c>
      <c r="F18">
        <f t="shared" si="0"/>
        <v>40.122552325034206</v>
      </c>
      <c r="G18" s="17">
        <f t="shared" si="2"/>
        <v>1021.9498837221466</v>
      </c>
    </row>
    <row r="19" spans="1:7" x14ac:dyDescent="0.25">
      <c r="A19" s="14">
        <v>0.05</v>
      </c>
      <c r="B19">
        <f t="shared" si="1"/>
        <v>47.61904761904762</v>
      </c>
      <c r="C19">
        <f t="shared" si="0"/>
        <v>45.351473922902493</v>
      </c>
      <c r="D19">
        <f t="shared" si="0"/>
        <v>43.191879926573797</v>
      </c>
      <c r="E19">
        <f t="shared" si="0"/>
        <v>41.1351237395941</v>
      </c>
      <c r="F19">
        <f t="shared" si="0"/>
        <v>39.176308323422944</v>
      </c>
      <c r="G19" s="17">
        <f t="shared" si="2"/>
        <v>1000</v>
      </c>
    </row>
    <row r="20" spans="1:7" x14ac:dyDescent="0.25">
      <c r="A20" s="14">
        <v>5.5E-2</v>
      </c>
      <c r="B20">
        <f t="shared" si="1"/>
        <v>47.393364928909953</v>
      </c>
      <c r="C20">
        <f t="shared" si="0"/>
        <v>44.922620785696637</v>
      </c>
      <c r="D20">
        <f t="shared" si="0"/>
        <v>42.580683209191136</v>
      </c>
      <c r="E20">
        <f t="shared" si="0"/>
        <v>40.360837165110077</v>
      </c>
      <c r="F20">
        <f t="shared" si="0"/>
        <v>38.256717692047467</v>
      </c>
      <c r="G20" s="17">
        <f t="shared" si="2"/>
        <v>978.64857762190468</v>
      </c>
    </row>
    <row r="21" spans="1:7" x14ac:dyDescent="0.25">
      <c r="A21" s="14">
        <v>0.06</v>
      </c>
      <c r="B21">
        <f t="shared" si="1"/>
        <v>47.169811320754718</v>
      </c>
      <c r="C21">
        <f t="shared" si="0"/>
        <v>44.499822000711994</v>
      </c>
      <c r="D21">
        <f t="shared" si="0"/>
        <v>41.980964151615083</v>
      </c>
      <c r="E21">
        <f t="shared" si="0"/>
        <v>39.604683161901022</v>
      </c>
      <c r="F21">
        <f t="shared" si="0"/>
        <v>37.362908643302845</v>
      </c>
      <c r="G21" s="17">
        <f t="shared" si="2"/>
        <v>957.87636214434247</v>
      </c>
    </row>
    <row r="22" spans="1:7" x14ac:dyDescent="0.25">
      <c r="A22" s="14">
        <v>6.5000000000000002E-2</v>
      </c>
      <c r="B22">
        <f t="shared" si="1"/>
        <v>46.948356807511736</v>
      </c>
      <c r="C22">
        <f t="shared" si="0"/>
        <v>44.082964138508679</v>
      </c>
      <c r="D22">
        <f t="shared" si="0"/>
        <v>41.392454590149001</v>
      </c>
      <c r="E22">
        <f t="shared" si="0"/>
        <v>38.866154544740844</v>
      </c>
      <c r="F22">
        <f t="shared" si="0"/>
        <v>36.494041826047741</v>
      </c>
      <c r="G22" s="17">
        <f t="shared" si="2"/>
        <v>937.66480842791293</v>
      </c>
    </row>
    <row r="23" spans="1:7" x14ac:dyDescent="0.25">
      <c r="A23" s="14">
        <v>7.0000000000000007E-2</v>
      </c>
      <c r="B23">
        <f t="shared" si="1"/>
        <v>46.728971962616818</v>
      </c>
      <c r="C23">
        <f t="shared" si="0"/>
        <v>43.671936413660582</v>
      </c>
      <c r="D23">
        <f t="shared" si="0"/>
        <v>40.814893844542596</v>
      </c>
      <c r="E23">
        <f t="shared" si="0"/>
        <v>38.144760602376259</v>
      </c>
      <c r="F23">
        <f t="shared" si="0"/>
        <v>35.64930897418342</v>
      </c>
      <c r="G23" s="17">
        <f t="shared" si="2"/>
        <v>917.99605128104804</v>
      </c>
    </row>
    <row r="24" spans="1:7" x14ac:dyDescent="0.25">
      <c r="A24" s="14">
        <v>7.4999999999999997E-2</v>
      </c>
      <c r="B24">
        <f t="shared" si="1"/>
        <v>46.511627906976749</v>
      </c>
      <c r="C24">
        <f t="shared" si="0"/>
        <v>43.26663061114116</v>
      </c>
      <c r="D24">
        <f t="shared" si="0"/>
        <v>40.248028475480154</v>
      </c>
      <c r="E24">
        <f t="shared" si="0"/>
        <v>37.440026488818745</v>
      </c>
      <c r="F24">
        <f t="shared" si="0"/>
        <v>34.827931617505811</v>
      </c>
      <c r="G24" s="17">
        <f t="shared" si="2"/>
        <v>898.8528774500387</v>
      </c>
    </row>
    <row r="25" spans="1:7" x14ac:dyDescent="0.25">
      <c r="A25" s="14">
        <v>0.08</v>
      </c>
      <c r="B25">
        <f t="shared" si="1"/>
        <v>46.296296296296291</v>
      </c>
      <c r="C25">
        <f t="shared" si="0"/>
        <v>42.866941015089161</v>
      </c>
      <c r="D25">
        <f t="shared" si="0"/>
        <v>39.691612051008477</v>
      </c>
      <c r="E25">
        <f t="shared" si="0"/>
        <v>36.751492639822665</v>
      </c>
      <c r="F25">
        <f t="shared" si="0"/>
        <v>34.029159851687652</v>
      </c>
      <c r="G25" s="17">
        <f t="shared" si="2"/>
        <v>880.21869888765718</v>
      </c>
    </row>
    <row r="26" spans="1:7" x14ac:dyDescent="0.25">
      <c r="A26" s="14">
        <v>8.5000000000000006E-2</v>
      </c>
      <c r="B26">
        <f t="shared" si="1"/>
        <v>46.082949308755765</v>
      </c>
      <c r="C26">
        <f t="shared" si="1"/>
        <v>42.472764339867062</v>
      </c>
      <c r="D26">
        <f t="shared" si="1"/>
        <v>39.145404921536461</v>
      </c>
      <c r="E26">
        <f t="shared" si="1"/>
        <v>36.078714213397667</v>
      </c>
      <c r="F26">
        <f t="shared" si="1"/>
        <v>33.252271164421813</v>
      </c>
      <c r="G26" s="17">
        <f t="shared" si="2"/>
        <v>862.07752723641499</v>
      </c>
    </row>
    <row r="27" spans="1:7" x14ac:dyDescent="0.25">
      <c r="A27" s="14">
        <v>0.09</v>
      </c>
      <c r="B27">
        <f t="shared" si="1"/>
        <v>45.871559633027516</v>
      </c>
      <c r="C27">
        <f t="shared" si="1"/>
        <v>42.083999663327994</v>
      </c>
      <c r="D27">
        <f t="shared" si="1"/>
        <v>38.609174003053205</v>
      </c>
      <c r="E27">
        <f t="shared" si="1"/>
        <v>35.42126055325982</v>
      </c>
      <c r="F27">
        <f t="shared" si="1"/>
        <v>32.496569314917267</v>
      </c>
      <c r="G27" s="17">
        <f t="shared" si="2"/>
        <v>844.41394946593107</v>
      </c>
    </row>
    <row r="28" spans="1:7" x14ac:dyDescent="0.25">
      <c r="A28" s="14">
        <v>9.5000000000000001E-2</v>
      </c>
      <c r="B28">
        <f t="shared" si="1"/>
        <v>45.662100456621005</v>
      </c>
      <c r="C28">
        <f t="shared" si="1"/>
        <v>41.700548362210959</v>
      </c>
      <c r="D28">
        <f t="shared" si="1"/>
        <v>38.082692568229191</v>
      </c>
      <c r="E28">
        <f t="shared" si="1"/>
        <v>34.778714674181906</v>
      </c>
      <c r="F28">
        <f t="shared" si="1"/>
        <v>31.761383264093066</v>
      </c>
      <c r="G28" s="17">
        <f t="shared" si="2"/>
        <v>827.21310460719747</v>
      </c>
    </row>
    <row r="29" spans="1:7" x14ac:dyDescent="0.25">
      <c r="A29" s="14">
        <v>0.1</v>
      </c>
      <c r="B29">
        <f t="shared" si="1"/>
        <v>45.454545454545453</v>
      </c>
      <c r="C29">
        <f t="shared" si="1"/>
        <v>41.322314049586772</v>
      </c>
      <c r="D29">
        <f t="shared" si="1"/>
        <v>37.565740045078876</v>
      </c>
      <c r="E29">
        <f t="shared" si="1"/>
        <v>34.150672768253528</v>
      </c>
      <c r="F29">
        <f t="shared" si="1"/>
        <v>31.046066152957749</v>
      </c>
      <c r="G29" s="17">
        <f t="shared" si="2"/>
        <v>810.46066152957724</v>
      </c>
    </row>
    <row r="30" spans="1:7" x14ac:dyDescent="0.25">
      <c r="A30" s="14">
        <v>0.105</v>
      </c>
      <c r="B30">
        <f t="shared" si="1"/>
        <v>45.248868778280546</v>
      </c>
      <c r="C30">
        <f t="shared" si="1"/>
        <v>40.949202514281033</v>
      </c>
      <c r="D30">
        <f t="shared" si="1"/>
        <v>37.058101822878768</v>
      </c>
      <c r="E30">
        <f t="shared" si="1"/>
        <v>33.536743731111997</v>
      </c>
      <c r="F30">
        <f t="shared" si="1"/>
        <v>30.349994326798193</v>
      </c>
      <c r="G30" s="17">
        <f t="shared" si="2"/>
        <v>794.14279770931432</v>
      </c>
    </row>
    <row r="31" spans="1:7" x14ac:dyDescent="0.25">
      <c r="A31" s="14">
        <v>0.11</v>
      </c>
      <c r="B31">
        <f t="shared" si="1"/>
        <v>45.045045045045043</v>
      </c>
      <c r="C31">
        <f t="shared" si="1"/>
        <v>40.58112166220274</v>
      </c>
      <c r="D31">
        <f t="shared" si="1"/>
        <v>36.559569065047512</v>
      </c>
      <c r="E31">
        <f t="shared" si="1"/>
        <v>32.936548707250004</v>
      </c>
      <c r="F31">
        <f t="shared" si="1"/>
        <v>29.672566402927931</v>
      </c>
      <c r="G31" s="17">
        <f t="shared" si="2"/>
        <v>778.24617894103187</v>
      </c>
    </row>
    <row r="32" spans="1:7" x14ac:dyDescent="0.25">
      <c r="A32" s="14">
        <v>0.115</v>
      </c>
      <c r="B32">
        <f t="shared" si="1"/>
        <v>44.843049327354258</v>
      </c>
      <c r="C32">
        <f t="shared" si="1"/>
        <v>40.217981459510547</v>
      </c>
      <c r="D32">
        <f t="shared" si="1"/>
        <v>36.06993852870901</v>
      </c>
      <c r="E32">
        <f t="shared" si="1"/>
        <v>32.349720653550676</v>
      </c>
      <c r="F32">
        <f t="shared" si="1"/>
        <v>29.01320237986608</v>
      </c>
      <c r="G32" s="17">
        <f t="shared" si="2"/>
        <v>762.75793994631215</v>
      </c>
    </row>
    <row r="33" spans="1:7" x14ac:dyDescent="0.25">
      <c r="A33" s="14">
        <v>0.12</v>
      </c>
      <c r="B33">
        <f t="shared" si="1"/>
        <v>44.642857142857139</v>
      </c>
      <c r="C33">
        <f t="shared" si="1"/>
        <v>39.859693877551017</v>
      </c>
      <c r="D33">
        <f t="shared" si="1"/>
        <v>35.589012390670547</v>
      </c>
      <c r="E33">
        <f t="shared" si="1"/>
        <v>31.775903920241557</v>
      </c>
      <c r="F33">
        <f t="shared" si="1"/>
        <v>28.371342785929961</v>
      </c>
      <c r="G33" s="17">
        <f t="shared" si="2"/>
        <v>747.66566583584938</v>
      </c>
    </row>
    <row r="34" spans="1:7" x14ac:dyDescent="0.25">
      <c r="A34" s="14">
        <v>0.125</v>
      </c>
      <c r="B34">
        <f t="shared" si="1"/>
        <v>44.444444444444443</v>
      </c>
      <c r="C34">
        <f t="shared" si="1"/>
        <v>39.506172839506171</v>
      </c>
      <c r="D34">
        <f t="shared" si="1"/>
        <v>35.116598079561044</v>
      </c>
      <c r="E34">
        <f t="shared" si="1"/>
        <v>31.214753848498706</v>
      </c>
      <c r="F34">
        <f t="shared" si="1"/>
        <v>27.746447865332183</v>
      </c>
      <c r="G34" s="17">
        <f t="shared" si="2"/>
        <v>732.95737438398612</v>
      </c>
    </row>
    <row r="35" spans="1:7" x14ac:dyDescent="0.25">
      <c r="A35" s="14">
        <v>0.13</v>
      </c>
      <c r="B35">
        <f t="shared" si="1"/>
        <v>44.247787610619476</v>
      </c>
      <c r="C35">
        <f t="shared" si="1"/>
        <v>39.157334168689808</v>
      </c>
      <c r="D35">
        <f t="shared" si="1"/>
        <v>34.652508113884785</v>
      </c>
      <c r="E35">
        <f t="shared" si="1"/>
        <v>30.665936383968841</v>
      </c>
      <c r="F35">
        <f t="shared" si="1"/>
        <v>27.137996799972431</v>
      </c>
      <c r="G35" s="17">
        <f t="shared" si="2"/>
        <v>718.62149907658386</v>
      </c>
    </row>
    <row r="36" spans="1:7" x14ac:dyDescent="0.25">
      <c r="A36" s="14">
        <v>0.13500000000000001</v>
      </c>
      <c r="B36">
        <f t="shared" si="1"/>
        <v>44.052863436123346</v>
      </c>
      <c r="C36">
        <f t="shared" si="1"/>
        <v>38.813095538434666</v>
      </c>
      <c r="D36">
        <f t="shared" si="1"/>
        <v>34.196559945757421</v>
      </c>
      <c r="E36">
        <f t="shared" si="1"/>
        <v>30.129127705513142</v>
      </c>
      <c r="F36">
        <f t="shared" si="1"/>
        <v>26.545486965209818</v>
      </c>
      <c r="G36" s="17">
        <f t="shared" si="2"/>
        <v>704.64687289523476</v>
      </c>
    </row>
    <row r="37" spans="1:7" x14ac:dyDescent="0.25">
      <c r="A37" s="14">
        <v>0.14000000000000001</v>
      </c>
      <c r="B37">
        <f t="shared" si="1"/>
        <v>43.859649122807014</v>
      </c>
      <c r="C37">
        <f t="shared" si="1"/>
        <v>38.473376423514921</v>
      </c>
      <c r="D37">
        <f t="shared" si="1"/>
        <v>33.748575810100803</v>
      </c>
      <c r="E37">
        <f t="shared" si="1"/>
        <v>29.604013868509472</v>
      </c>
      <c r="F37">
        <f t="shared" si="1"/>
        <v>25.968433217990764</v>
      </c>
      <c r="G37" s="17">
        <f t="shared" si="2"/>
        <v>691.02271280273828</v>
      </c>
    </row>
    <row r="38" spans="1:7" x14ac:dyDescent="0.25">
      <c r="A38" s="14">
        <v>0.14499999999999999</v>
      </c>
      <c r="B38">
        <f t="shared" si="1"/>
        <v>43.668122270742359</v>
      </c>
      <c r="C38">
        <f t="shared" si="1"/>
        <v>38.138098053050093</v>
      </c>
      <c r="D38">
        <f t="shared" si="1"/>
        <v>33.308382579083045</v>
      </c>
      <c r="E38">
        <f t="shared" si="1"/>
        <v>29.090290462081263</v>
      </c>
      <c r="F38">
        <f t="shared" si="1"/>
        <v>25.406367215791498</v>
      </c>
      <c r="G38" s="17">
        <f t="shared" si="2"/>
        <v>677.73860489657818</v>
      </c>
    </row>
    <row r="39" spans="1:7" x14ac:dyDescent="0.25">
      <c r="A39" s="14">
        <v>0.15</v>
      </c>
      <c r="B39">
        <f t="shared" si="1"/>
        <v>43.478260869565219</v>
      </c>
      <c r="C39">
        <f t="shared" si="1"/>
        <v>37.807183364839325</v>
      </c>
      <c r="D39">
        <f t="shared" si="1"/>
        <v>32.875811621599418</v>
      </c>
      <c r="E39">
        <f t="shared" si="1"/>
        <v>28.587662279651667</v>
      </c>
      <c r="F39">
        <f t="shared" si="1"/>
        <v>24.858836764914493</v>
      </c>
      <c r="G39" s="17">
        <f t="shared" si="2"/>
        <v>664.78449019886</v>
      </c>
    </row>
    <row r="40" spans="1:7" x14ac:dyDescent="0.25">
      <c r="A40" s="14">
        <v>0.155</v>
      </c>
      <c r="B40">
        <f t="shared" si="1"/>
        <v>43.290043290043286</v>
      </c>
      <c r="C40">
        <f t="shared" si="1"/>
        <v>37.480556961076438</v>
      </c>
      <c r="D40">
        <f t="shared" si="1"/>
        <v>32.450698667598651</v>
      </c>
      <c r="E40">
        <f t="shared" si="1"/>
        <v>28.095843002249914</v>
      </c>
      <c r="F40">
        <f t="shared" si="1"/>
        <v>24.32540519675317</v>
      </c>
      <c r="G40" s="17">
        <f t="shared" si="2"/>
        <v>652.15065105278495</v>
      </c>
    </row>
    <row r="41" spans="1:7" x14ac:dyDescent="0.25">
      <c r="A41" s="14">
        <v>0.16</v>
      </c>
      <c r="B41">
        <f t="shared" si="1"/>
        <v>43.103448275862071</v>
      </c>
      <c r="C41">
        <f t="shared" si="1"/>
        <v>37.158145065398337</v>
      </c>
      <c r="D41">
        <f t="shared" si="1"/>
        <v>32.032883677067531</v>
      </c>
      <c r="E41">
        <f t="shared" si="1"/>
        <v>27.614554894023737</v>
      </c>
      <c r="F41">
        <f t="shared" si="1"/>
        <v>23.80565077071012</v>
      </c>
      <c r="G41" s="17">
        <f t="shared" si="2"/>
        <v>639.82769809726415</v>
      </c>
    </row>
    <row r="42" spans="1:7" x14ac:dyDescent="0.25">
      <c r="A42" s="14">
        <v>0.16500000000000001</v>
      </c>
      <c r="B42">
        <f t="shared" si="1"/>
        <v>42.918454935622314</v>
      </c>
      <c r="C42">
        <f t="shared" si="1"/>
        <v>36.839875481220872</v>
      </c>
      <c r="D42">
        <f t="shared" si="1"/>
        <v>31.622210713494308</v>
      </c>
      <c r="E42">
        <f t="shared" si="1"/>
        <v>27.143528509437171</v>
      </c>
      <c r="F42">
        <f t="shared" si="1"/>
        <v>23.299166102521177</v>
      </c>
      <c r="G42" s="17">
        <f t="shared" si="2"/>
        <v>627.80655779271933</v>
      </c>
    </row>
    <row r="43" spans="1:7" x14ac:dyDescent="0.25">
      <c r="A43" s="14">
        <v>0.17</v>
      </c>
      <c r="B43">
        <f t="shared" si="1"/>
        <v>42.73504273504274</v>
      </c>
      <c r="C43">
        <f t="shared" si="1"/>
        <v>36.52567755131858</v>
      </c>
      <c r="D43">
        <f t="shared" si="1"/>
        <v>31.218527821639814</v>
      </c>
      <c r="E43">
        <f t="shared" si="1"/>
        <v>26.682502411657964</v>
      </c>
      <c r="F43">
        <f t="shared" si="1"/>
        <v>22.805557616801682</v>
      </c>
      <c r="G43" s="17">
        <f t="shared" si="2"/>
        <v>616.07846047249438</v>
      </c>
    </row>
    <row r="44" spans="1:7" x14ac:dyDescent="0.25">
      <c r="A44" s="14">
        <v>0.17499999999999999</v>
      </c>
      <c r="B44">
        <f t="shared" si="1"/>
        <v>42.553191489361701</v>
      </c>
      <c r="C44">
        <f t="shared" si="1"/>
        <v>36.215482118605699</v>
      </c>
      <c r="D44">
        <f t="shared" si="1"/>
        <v>30.821686909451657</v>
      </c>
      <c r="E44">
        <f t="shared" si="1"/>
        <v>26.231222901660981</v>
      </c>
      <c r="F44">
        <f t="shared" si="1"/>
        <v>22.324445022690195</v>
      </c>
      <c r="G44" s="17">
        <f t="shared" si="2"/>
        <v>604.63492889557415</v>
      </c>
    </row>
    <row r="45" spans="1:7" x14ac:dyDescent="0.25">
      <c r="A45" s="14">
        <v>0.18</v>
      </c>
      <c r="B45">
        <f t="shared" si="1"/>
        <v>42.372881355932208</v>
      </c>
      <c r="C45">
        <f t="shared" si="1"/>
        <v>35.909221488078146</v>
      </c>
      <c r="D45">
        <f t="shared" si="1"/>
        <v>30.431543633964527</v>
      </c>
      <c r="E45">
        <f t="shared" si="1"/>
        <v>25.789443757597059</v>
      </c>
      <c r="F45">
        <f t="shared" si="1"/>
        <v>21.855460811522935</v>
      </c>
      <c r="G45" s="17">
        <f t="shared" si="2"/>
        <v>593.46776727755355</v>
      </c>
    </row>
    <row r="46" spans="1:7" x14ac:dyDescent="0.25">
      <c r="A46" s="14">
        <v>0.185</v>
      </c>
      <c r="B46">
        <f t="shared" si="1"/>
        <v>42.194092827004219</v>
      </c>
      <c r="C46">
        <f t="shared" si="1"/>
        <v>35.606829389876978</v>
      </c>
      <c r="D46">
        <f t="shared" si="1"/>
        <v>30.047957291035424</v>
      </c>
      <c r="E46">
        <f t="shared" si="1"/>
        <v>25.356925983996138</v>
      </c>
      <c r="F46">
        <f t="shared" si="1"/>
        <v>21.398249775524167</v>
      </c>
      <c r="G46" s="17">
        <f t="shared" si="2"/>
        <v>582.56905077792021</v>
      </c>
    </row>
    <row r="47" spans="1:7" x14ac:dyDescent="0.25">
      <c r="A47" s="14">
        <v>0.19</v>
      </c>
      <c r="B47">
        <f t="shared" si="1"/>
        <v>42.016806722689076</v>
      </c>
      <c r="C47">
        <f t="shared" si="1"/>
        <v>35.308240943436203</v>
      </c>
      <c r="D47">
        <f t="shared" si="1"/>
        <v>29.670790708769918</v>
      </c>
      <c r="E47">
        <f t="shared" si="1"/>
        <v>24.933437570394887</v>
      </c>
      <c r="F47">
        <f t="shared" si="1"/>
        <v>20.952468546550328</v>
      </c>
      <c r="G47" s="17">
        <f t="shared" si="2"/>
        <v>571.93111542284691</v>
      </c>
    </row>
    <row r="48" spans="1:7" x14ac:dyDescent="0.25">
      <c r="A48" s="14">
        <v>0.19500000000000001</v>
      </c>
      <c r="B48">
        <f t="shared" si="1"/>
        <v>41.841004184100413</v>
      </c>
      <c r="C48">
        <f t="shared" si="1"/>
        <v>35.013392622678175</v>
      </c>
      <c r="D48">
        <f t="shared" si="1"/>
        <v>29.299910144500561</v>
      </c>
      <c r="E48">
        <f t="shared" si="1"/>
        <v>24.518753258996288</v>
      </c>
      <c r="F48">
        <f t="shared" si="1"/>
        <v>20.51778515397179</v>
      </c>
      <c r="G48" s="17">
        <f t="shared" si="2"/>
        <v>561.54654844368304</v>
      </c>
    </row>
    <row r="49" spans="1:7" x14ac:dyDescent="0.25">
      <c r="A49" s="15">
        <v>0.2</v>
      </c>
      <c r="B49">
        <f t="shared" si="1"/>
        <v>41.666666666666671</v>
      </c>
      <c r="C49">
        <f t="shared" si="1"/>
        <v>34.722222222222221</v>
      </c>
      <c r="D49">
        <f t="shared" si="1"/>
        <v>28.935185185185187</v>
      </c>
      <c r="E49">
        <f t="shared" si="1"/>
        <v>24.112654320987655</v>
      </c>
      <c r="F49">
        <f t="shared" si="1"/>
        <v>20.093878600823047</v>
      </c>
      <c r="G49" s="18">
        <f t="shared" si="2"/>
        <v>551.40817901234573</v>
      </c>
    </row>
    <row r="53" spans="1:7" x14ac:dyDescent="0.25">
      <c r="B53" s="37" t="s">
        <v>45</v>
      </c>
      <c r="C53" s="37"/>
      <c r="D53" s="37"/>
      <c r="E53" s="37"/>
      <c r="F53" s="37"/>
    </row>
    <row r="54" spans="1:7" x14ac:dyDescent="0.25">
      <c r="A54" s="19" t="s">
        <v>44</v>
      </c>
      <c r="B54" s="21">
        <v>5</v>
      </c>
      <c r="C54" s="21">
        <v>10</v>
      </c>
      <c r="D54" s="21">
        <v>15</v>
      </c>
      <c r="E54" s="21">
        <v>20</v>
      </c>
      <c r="F54" s="21">
        <v>25</v>
      </c>
    </row>
    <row r="55" spans="1:7" x14ac:dyDescent="0.25">
      <c r="A55" s="13">
        <v>5.0000000000000001E-3</v>
      </c>
      <c r="B55" s="24">
        <f>SUM((B$54)/(1+$A55)^1,(B$54)/(1+$A55)^2,(B$54)/(1+$A55)^3,(B$54)/(1+$A55)^4,(B$54)/(1+$A55)^5,$C$3/(1+$A55)^5)</f>
        <v>1000.0000000000008</v>
      </c>
      <c r="C55" s="24">
        <f t="shared" ref="C55:F70" si="3">SUM((C$54)/(1+$A55)^1,(C$54)/(1+$A55)^2,(C$54)/(1+$A55)^3,(C$54)/(1+$A55)^4,(C$54)/(1+$A55)^5,$C$3/(1+$A55)^5)</f>
        <v>1024.6293316404951</v>
      </c>
      <c r="D55" s="24">
        <f t="shared" si="3"/>
        <v>1049.2586632809896</v>
      </c>
      <c r="E55" s="24">
        <f t="shared" si="3"/>
        <v>1073.8879949214838</v>
      </c>
      <c r="F55" s="24">
        <f t="shared" si="3"/>
        <v>1098.5173265619783</v>
      </c>
    </row>
    <row r="56" spans="1:7" x14ac:dyDescent="0.25">
      <c r="A56" s="14">
        <v>0.01</v>
      </c>
      <c r="B56" s="24">
        <f t="shared" ref="B56:F94" si="4">SUM((B$54)/(1+$A56)^1,(B$54)/(1+$A56)^2,(B$54)/(1+$A56)^3,(B$54)/(1+$A56)^4,(B$54)/(1+$A56)^5,$C$3/(1+$A56)^5)</f>
        <v>975.73284380337441</v>
      </c>
      <c r="C56" s="24">
        <f t="shared" si="3"/>
        <v>1000</v>
      </c>
      <c r="D56" s="24">
        <f t="shared" si="3"/>
        <v>1024.2671561966256</v>
      </c>
      <c r="E56" s="24">
        <f t="shared" si="3"/>
        <v>1048.5343123932512</v>
      </c>
      <c r="F56" s="24">
        <f t="shared" si="3"/>
        <v>1072.8014685898768</v>
      </c>
    </row>
    <row r="57" spans="1:7" x14ac:dyDescent="0.25">
      <c r="A57" s="14">
        <v>1.4999999999999999E-2</v>
      </c>
      <c r="B57" s="24">
        <f t="shared" si="4"/>
        <v>952.17355027042686</v>
      </c>
      <c r="C57" s="24">
        <f t="shared" si="3"/>
        <v>976.08677513521366</v>
      </c>
      <c r="D57" s="24">
        <f t="shared" si="3"/>
        <v>1000.0000000000006</v>
      </c>
      <c r="E57" s="24">
        <f t="shared" si="3"/>
        <v>1023.9132248647875</v>
      </c>
      <c r="F57" s="24">
        <f t="shared" si="3"/>
        <v>1047.8264497295745</v>
      </c>
    </row>
    <row r="58" spans="1:7" x14ac:dyDescent="0.25">
      <c r="A58" s="14">
        <v>0.02</v>
      </c>
      <c r="B58" s="24">
        <f t="shared" si="4"/>
        <v>929.2981073724369</v>
      </c>
      <c r="C58" s="24">
        <f t="shared" si="3"/>
        <v>952.86540491495794</v>
      </c>
      <c r="D58" s="24">
        <f t="shared" si="3"/>
        <v>976.43270245747897</v>
      </c>
      <c r="E58" s="24">
        <f t="shared" si="3"/>
        <v>1000</v>
      </c>
      <c r="F58" s="24">
        <f t="shared" si="3"/>
        <v>1023.567297542521</v>
      </c>
    </row>
    <row r="59" spans="1:7" x14ac:dyDescent="0.25">
      <c r="A59" s="14">
        <v>2.5000000000000001E-2</v>
      </c>
      <c r="B59" s="24">
        <f t="shared" si="4"/>
        <v>907.08343008761381</v>
      </c>
      <c r="C59" s="24">
        <f t="shared" si="3"/>
        <v>930.31257256571041</v>
      </c>
      <c r="D59" s="24">
        <f t="shared" si="3"/>
        <v>953.54171504380702</v>
      </c>
      <c r="E59" s="24">
        <f t="shared" si="3"/>
        <v>976.77085752190374</v>
      </c>
      <c r="F59" s="24">
        <f t="shared" si="3"/>
        <v>1000.0000000000003</v>
      </c>
    </row>
    <row r="60" spans="1:7" x14ac:dyDescent="0.25">
      <c r="A60" s="14">
        <v>0.03</v>
      </c>
      <c r="B60" s="24">
        <f t="shared" si="4"/>
        <v>885.50732032013673</v>
      </c>
      <c r="C60" s="24">
        <f t="shared" si="3"/>
        <v>908.40585625610947</v>
      </c>
      <c r="D60" s="24">
        <f t="shared" si="3"/>
        <v>931.3043921920821</v>
      </c>
      <c r="E60" s="24">
        <f t="shared" si="3"/>
        <v>954.20292812805474</v>
      </c>
      <c r="F60" s="24">
        <f t="shared" si="3"/>
        <v>977.10146406402748</v>
      </c>
    </row>
    <row r="61" spans="1:7" x14ac:dyDescent="0.25">
      <c r="A61" s="14">
        <v>3.5000000000000003E-2</v>
      </c>
      <c r="B61" s="24">
        <f t="shared" si="4"/>
        <v>864.54842873587802</v>
      </c>
      <c r="C61" s="24">
        <f t="shared" si="3"/>
        <v>887.1236906132317</v>
      </c>
      <c r="D61" s="24">
        <f t="shared" si="3"/>
        <v>909.6989524905855</v>
      </c>
      <c r="E61" s="24">
        <f t="shared" si="3"/>
        <v>932.27421436793918</v>
      </c>
      <c r="F61" s="24">
        <f t="shared" si="3"/>
        <v>954.84947624529298</v>
      </c>
    </row>
    <row r="62" spans="1:7" x14ac:dyDescent="0.25">
      <c r="A62" s="14">
        <v>0.04</v>
      </c>
      <c r="B62" s="24">
        <f t="shared" si="4"/>
        <v>844.18621841443257</v>
      </c>
      <c r="C62" s="24">
        <f t="shared" si="3"/>
        <v>866.4453300695136</v>
      </c>
      <c r="D62" s="24">
        <f t="shared" si="3"/>
        <v>888.70444172459463</v>
      </c>
      <c r="E62" s="24">
        <f t="shared" si="3"/>
        <v>910.96355337967566</v>
      </c>
      <c r="F62" s="24">
        <f t="shared" si="3"/>
        <v>933.22266503475669</v>
      </c>
    </row>
    <row r="63" spans="1:7" x14ac:dyDescent="0.25">
      <c r="A63" s="14">
        <v>4.4999999999999998E-2</v>
      </c>
      <c r="B63" s="24">
        <f t="shared" si="4"/>
        <v>824.40093022283043</v>
      </c>
      <c r="C63" s="24">
        <f t="shared" si="3"/>
        <v>846.35081394497661</v>
      </c>
      <c r="D63" s="24">
        <f t="shared" si="3"/>
        <v>868.3006976671229</v>
      </c>
      <c r="E63" s="24">
        <f t="shared" si="3"/>
        <v>890.2505813892692</v>
      </c>
      <c r="F63" s="24">
        <f t="shared" si="3"/>
        <v>912.20046511141538</v>
      </c>
    </row>
    <row r="64" spans="1:7" x14ac:dyDescent="0.25">
      <c r="A64" s="14">
        <v>0.05</v>
      </c>
      <c r="B64" s="24">
        <f t="shared" si="4"/>
        <v>805.17354982161305</v>
      </c>
      <c r="C64" s="24">
        <f t="shared" si="3"/>
        <v>826.82093317476722</v>
      </c>
      <c r="D64" s="24">
        <f t="shared" si="3"/>
        <v>848.46831652792127</v>
      </c>
      <c r="E64" s="24">
        <f t="shared" si="3"/>
        <v>870.11569988107533</v>
      </c>
      <c r="F64" s="24">
        <f t="shared" si="3"/>
        <v>891.7630832342295</v>
      </c>
    </row>
    <row r="65" spans="1:6" x14ac:dyDescent="0.25">
      <c r="A65" s="14">
        <v>5.5E-2</v>
      </c>
      <c r="B65" s="24">
        <f t="shared" si="4"/>
        <v>786.48577621904496</v>
      </c>
      <c r="C65" s="24">
        <f t="shared" si="3"/>
        <v>807.83719859714051</v>
      </c>
      <c r="D65" s="24">
        <f t="shared" si="3"/>
        <v>829.18862097523606</v>
      </c>
      <c r="E65" s="24">
        <f t="shared" si="3"/>
        <v>850.5400433533315</v>
      </c>
      <c r="F65" s="24">
        <f t="shared" si="3"/>
        <v>871.89146573142705</v>
      </c>
    </row>
    <row r="66" spans="1:6" x14ac:dyDescent="0.25">
      <c r="A66" s="14">
        <v>0.06</v>
      </c>
      <c r="B66" s="24">
        <f t="shared" si="4"/>
        <v>768.31999179388538</v>
      </c>
      <c r="C66" s="24">
        <f t="shared" si="3"/>
        <v>789.38181072171392</v>
      </c>
      <c r="D66" s="24">
        <f t="shared" si="3"/>
        <v>810.44362964954257</v>
      </c>
      <c r="E66" s="24">
        <f t="shared" si="3"/>
        <v>831.50544857737111</v>
      </c>
      <c r="F66" s="24">
        <f t="shared" si="3"/>
        <v>852.56726750519965</v>
      </c>
    </row>
    <row r="67" spans="1:6" x14ac:dyDescent="0.25">
      <c r="A67" s="14">
        <v>6.5000000000000002E-2</v>
      </c>
      <c r="B67" s="24">
        <f t="shared" si="4"/>
        <v>750.6592337116507</v>
      </c>
      <c r="C67" s="24">
        <f t="shared" si="3"/>
        <v>771.43763090234643</v>
      </c>
      <c r="D67" s="24">
        <f t="shared" si="3"/>
        <v>792.21602809304227</v>
      </c>
      <c r="E67" s="24">
        <f t="shared" si="3"/>
        <v>812.99442528373811</v>
      </c>
      <c r="F67" s="24">
        <f t="shared" si="3"/>
        <v>833.77282247443384</v>
      </c>
    </row>
    <row r="68" spans="1:6" x14ac:dyDescent="0.25">
      <c r="A68" s="14">
        <v>7.0000000000000007E-2</v>
      </c>
      <c r="B68" s="24">
        <f t="shared" si="4"/>
        <v>733.48716666340636</v>
      </c>
      <c r="C68" s="24">
        <f t="shared" si="3"/>
        <v>753.98815384314435</v>
      </c>
      <c r="D68" s="24">
        <f t="shared" si="3"/>
        <v>774.48914102288222</v>
      </c>
      <c r="E68" s="24">
        <f t="shared" si="3"/>
        <v>794.99012820262021</v>
      </c>
      <c r="F68" s="24">
        <f t="shared" si="3"/>
        <v>815.4911153823582</v>
      </c>
    </row>
    <row r="69" spans="1:6" x14ac:dyDescent="0.25">
      <c r="A69" s="14">
        <v>7.4999999999999997E-2</v>
      </c>
      <c r="B69" s="24">
        <f t="shared" si="4"/>
        <v>716.78805686010833</v>
      </c>
      <c r="C69" s="24">
        <f t="shared" si="3"/>
        <v>737.01748137010065</v>
      </c>
      <c r="D69" s="24">
        <f t="shared" si="3"/>
        <v>757.24690588009287</v>
      </c>
      <c r="E69" s="24">
        <f t="shared" si="3"/>
        <v>777.4763303900852</v>
      </c>
      <c r="F69" s="24">
        <f t="shared" si="3"/>
        <v>797.70575490007741</v>
      </c>
    </row>
    <row r="70" spans="1:6" x14ac:dyDescent="0.25">
      <c r="A70" s="14">
        <v>0.08</v>
      </c>
      <c r="B70" s="24">
        <f t="shared" si="4"/>
        <v>700.54674721914341</v>
      </c>
      <c r="C70" s="24">
        <f t="shared" si="3"/>
        <v>720.51029740453384</v>
      </c>
      <c r="D70" s="24">
        <f t="shared" si="3"/>
        <v>740.47384758992428</v>
      </c>
      <c r="E70" s="24">
        <f t="shared" si="3"/>
        <v>760.43739777531471</v>
      </c>
      <c r="F70" s="24">
        <f t="shared" si="3"/>
        <v>780.40094796070503</v>
      </c>
    </row>
    <row r="71" spans="1:6" x14ac:dyDescent="0.25">
      <c r="A71" s="14">
        <v>8.5000000000000006E-2</v>
      </c>
      <c r="B71" s="24">
        <f t="shared" si="4"/>
        <v>684.74863368323417</v>
      </c>
      <c r="C71" s="24">
        <f t="shared" si="4"/>
        <v>704.45184407803208</v>
      </c>
      <c r="D71" s="24">
        <f t="shared" si="4"/>
        <v>724.15505447282987</v>
      </c>
      <c r="E71" s="24">
        <f t="shared" si="4"/>
        <v>743.85826486762778</v>
      </c>
      <c r="F71" s="24">
        <f t="shared" si="4"/>
        <v>763.56147526242569</v>
      </c>
    </row>
    <row r="72" spans="1:6" x14ac:dyDescent="0.25">
      <c r="A72" s="14">
        <v>0.09</v>
      </c>
      <c r="B72" s="24">
        <f t="shared" si="4"/>
        <v>669.37964261510388</v>
      </c>
      <c r="C72" s="24">
        <f t="shared" si="4"/>
        <v>688.82789893186248</v>
      </c>
      <c r="D72" s="24">
        <f t="shared" si="4"/>
        <v>708.27615524862097</v>
      </c>
      <c r="E72" s="24">
        <f t="shared" si="4"/>
        <v>727.72441156537957</v>
      </c>
      <c r="F72" s="24">
        <f t="shared" si="4"/>
        <v>747.17266788213817</v>
      </c>
    </row>
    <row r="73" spans="1:6" x14ac:dyDescent="0.25">
      <c r="A73" s="14">
        <v>9.5000000000000001E-2</v>
      </c>
      <c r="B73" s="24">
        <f t="shared" si="4"/>
        <v>654.42620921439504</v>
      </c>
      <c r="C73" s="24">
        <f t="shared" si="4"/>
        <v>673.62475314692858</v>
      </c>
      <c r="D73" s="24">
        <f t="shared" si="4"/>
        <v>692.82329707946224</v>
      </c>
      <c r="E73" s="24">
        <f t="shared" si="4"/>
        <v>712.02184101199589</v>
      </c>
      <c r="F73" s="24">
        <f t="shared" si="4"/>
        <v>731.22038494452943</v>
      </c>
    </row>
    <row r="74" spans="1:6" x14ac:dyDescent="0.25">
      <c r="A74" s="14">
        <v>0.1</v>
      </c>
      <c r="B74" s="24">
        <f t="shared" si="4"/>
        <v>639.87525690619714</v>
      </c>
      <c r="C74" s="24">
        <f t="shared" si="4"/>
        <v>658.82919075323935</v>
      </c>
      <c r="D74" s="24">
        <f t="shared" si="4"/>
        <v>677.78312460028167</v>
      </c>
      <c r="E74" s="24">
        <f t="shared" si="4"/>
        <v>696.73705844732388</v>
      </c>
      <c r="F74" s="24">
        <f t="shared" si="4"/>
        <v>715.69099229436608</v>
      </c>
    </row>
    <row r="75" spans="1:6" x14ac:dyDescent="0.25">
      <c r="A75" s="14">
        <v>0.105</v>
      </c>
      <c r="B75" s="24">
        <f t="shared" si="4"/>
        <v>625.71417765329886</v>
      </c>
      <c r="C75" s="24">
        <f t="shared" si="4"/>
        <v>644.42846877063391</v>
      </c>
      <c r="D75" s="24">
        <f t="shared" si="4"/>
        <v>663.14275988796896</v>
      </c>
      <c r="E75" s="24">
        <f t="shared" si="4"/>
        <v>681.85705100530402</v>
      </c>
      <c r="F75" s="24">
        <f t="shared" si="4"/>
        <v>700.57134212263907</v>
      </c>
    </row>
    <row r="76" spans="1:6" x14ac:dyDescent="0.25">
      <c r="A76" s="14">
        <v>0.11</v>
      </c>
      <c r="B76" s="24">
        <f t="shared" si="4"/>
        <v>611.93081314680592</v>
      </c>
      <c r="C76" s="24">
        <f t="shared" si="4"/>
        <v>630.41029823505323</v>
      </c>
      <c r="D76" s="24">
        <f t="shared" si="4"/>
        <v>648.88978332330055</v>
      </c>
      <c r="E76" s="24">
        <f t="shared" si="4"/>
        <v>667.36926841154786</v>
      </c>
      <c r="F76" s="24">
        <f t="shared" si="4"/>
        <v>685.84875349979518</v>
      </c>
    </row>
    <row r="77" spans="1:6" x14ac:dyDescent="0.25">
      <c r="A77" s="14">
        <v>0.115</v>
      </c>
      <c r="B77" s="24">
        <f t="shared" si="4"/>
        <v>598.51343683222058</v>
      </c>
      <c r="C77" s="24">
        <f t="shared" si="4"/>
        <v>616.7628260671197</v>
      </c>
      <c r="D77" s="24">
        <f t="shared" si="4"/>
        <v>635.01221530201872</v>
      </c>
      <c r="E77" s="24">
        <f t="shared" si="4"/>
        <v>653.26160453691773</v>
      </c>
      <c r="F77" s="24">
        <f t="shared" si="4"/>
        <v>671.51099377181686</v>
      </c>
    </row>
    <row r="78" spans="1:6" x14ac:dyDescent="0.25">
      <c r="A78" s="14">
        <v>0.12</v>
      </c>
      <c r="B78" s="24">
        <f t="shared" si="4"/>
        <v>585.45073673032425</v>
      </c>
      <c r="C78" s="24">
        <f t="shared" si="4"/>
        <v>603.47461774204919</v>
      </c>
      <c r="D78" s="24">
        <f t="shared" si="4"/>
        <v>621.49849875377424</v>
      </c>
      <c r="E78" s="24">
        <f t="shared" si="4"/>
        <v>639.52237976549929</v>
      </c>
      <c r="F78" s="24">
        <f t="shared" si="4"/>
        <v>657.54626077722435</v>
      </c>
    </row>
    <row r="79" spans="1:6" x14ac:dyDescent="0.25">
      <c r="A79" s="14">
        <v>0.125</v>
      </c>
      <c r="B79" s="24">
        <f t="shared" si="4"/>
        <v>572.73179901437788</v>
      </c>
      <c r="C79" s="24">
        <f t="shared" si="4"/>
        <v>590.53464072211216</v>
      </c>
      <c r="D79" s="24">
        <f t="shared" si="4"/>
        <v>608.33748242984643</v>
      </c>
      <c r="E79" s="24">
        <f t="shared" si="4"/>
        <v>626.14032413758059</v>
      </c>
      <c r="F79" s="24">
        <f t="shared" si="4"/>
        <v>643.94316584531487</v>
      </c>
    </row>
    <row r="80" spans="1:6" x14ac:dyDescent="0.25">
      <c r="A80" s="14">
        <v>0.13</v>
      </c>
      <c r="B80" s="24">
        <f t="shared" si="4"/>
        <v>560.34609230716205</v>
      </c>
      <c r="C80" s="24">
        <f t="shared" si="4"/>
        <v>577.93224861487556</v>
      </c>
      <c r="D80" s="24">
        <f t="shared" si="4"/>
        <v>595.51840492258918</v>
      </c>
      <c r="E80" s="24">
        <f t="shared" si="4"/>
        <v>613.10456123030269</v>
      </c>
      <c r="F80" s="24">
        <f t="shared" si="4"/>
        <v>630.6907175380162</v>
      </c>
    </row>
    <row r="81" spans="1:6" x14ac:dyDescent="0.25">
      <c r="A81" s="14">
        <v>0.13500000000000001</v>
      </c>
      <c r="B81" s="24">
        <f t="shared" si="4"/>
        <v>548.28345266330018</v>
      </c>
      <c r="C81" s="24">
        <f t="shared" si="4"/>
        <v>565.657166022404</v>
      </c>
      <c r="D81" s="24">
        <f t="shared" si="4"/>
        <v>583.03087938150793</v>
      </c>
      <c r="E81" s="24">
        <f t="shared" si="4"/>
        <v>600.40459274061175</v>
      </c>
      <c r="F81" s="24">
        <f t="shared" si="4"/>
        <v>617.77830609971556</v>
      </c>
    </row>
    <row r="82" spans="1:6" x14ac:dyDescent="0.25">
      <c r="A82" s="14">
        <v>0.14000000000000001</v>
      </c>
      <c r="B82" s="24">
        <f t="shared" si="4"/>
        <v>536.5340692041076</v>
      </c>
      <c r="C82" s="24">
        <f t="shared" si="4"/>
        <v>553.69947404839991</v>
      </c>
      <c r="D82" s="24">
        <f t="shared" si="4"/>
        <v>570.86487889269222</v>
      </c>
      <c r="E82" s="24">
        <f t="shared" si="4"/>
        <v>588.03028373698453</v>
      </c>
      <c r="F82" s="24">
        <f t="shared" si="4"/>
        <v>605.19568858127673</v>
      </c>
    </row>
    <row r="83" spans="1:6" x14ac:dyDescent="0.25">
      <c r="A83" s="14">
        <v>0.14499999999999999</v>
      </c>
      <c r="B83" s="24">
        <f t="shared" si="4"/>
        <v>525.08847037390478</v>
      </c>
      <c r="C83" s="24">
        <f t="shared" si="4"/>
        <v>542.04959643197958</v>
      </c>
      <c r="D83" s="24">
        <f t="shared" si="4"/>
        <v>559.01072249005438</v>
      </c>
      <c r="E83" s="24">
        <f t="shared" si="4"/>
        <v>575.97184854812917</v>
      </c>
      <c r="F83" s="24">
        <f t="shared" si="4"/>
        <v>592.93297460620408</v>
      </c>
    </row>
    <row r="84" spans="1:6" x14ac:dyDescent="0.25">
      <c r="A84" s="14">
        <v>0.15</v>
      </c>
      <c r="B84" s="24">
        <f t="shared" si="4"/>
        <v>513.93751078834691</v>
      </c>
      <c r="C84" s="24">
        <f t="shared" si="4"/>
        <v>530.69828627840388</v>
      </c>
      <c r="D84" s="24">
        <f t="shared" si="4"/>
        <v>547.45906176846097</v>
      </c>
      <c r="E84" s="24">
        <f t="shared" si="4"/>
        <v>564.21983725851794</v>
      </c>
      <c r="F84" s="24">
        <f t="shared" si="4"/>
        <v>580.98061274857491</v>
      </c>
    </row>
    <row r="85" spans="1:6" x14ac:dyDescent="0.25">
      <c r="A85" s="14">
        <v>0.155</v>
      </c>
      <c r="B85" s="24">
        <f t="shared" si="4"/>
        <v>503.0723586468356</v>
      </c>
      <c r="C85" s="24">
        <f t="shared" si="4"/>
        <v>519.63661335860775</v>
      </c>
      <c r="D85" s="24">
        <f t="shared" si="4"/>
        <v>536.2008680703799</v>
      </c>
      <c r="E85" s="24">
        <f t="shared" si="4"/>
        <v>552.76512278215205</v>
      </c>
      <c r="F85" s="24">
        <f t="shared" si="4"/>
        <v>569.3293774939242</v>
      </c>
    </row>
    <row r="86" spans="1:6" x14ac:dyDescent="0.25">
      <c r="A86" s="14">
        <v>0.16</v>
      </c>
      <c r="B86" s="24">
        <f t="shared" si="4"/>
        <v>492.48448368250854</v>
      </c>
      <c r="C86" s="24">
        <f t="shared" si="4"/>
        <v>508.85595195081476</v>
      </c>
      <c r="D86" s="24">
        <f t="shared" si="4"/>
        <v>525.22742021912086</v>
      </c>
      <c r="E86" s="24">
        <f t="shared" si="4"/>
        <v>541.59888848742708</v>
      </c>
      <c r="F86" s="24">
        <f t="shared" si="4"/>
        <v>557.97035675573329</v>
      </c>
    </row>
    <row r="87" spans="1:6" x14ac:dyDescent="0.25">
      <c r="A87" s="14">
        <v>0.16500000000000001</v>
      </c>
      <c r="B87" s="24">
        <f t="shared" si="4"/>
        <v>482.16564562465311</v>
      </c>
      <c r="C87" s="24">
        <f t="shared" si="4"/>
        <v>498.34796919888265</v>
      </c>
      <c r="D87" s="24">
        <f t="shared" si="4"/>
        <v>514.53029277311225</v>
      </c>
      <c r="E87" s="24">
        <f t="shared" si="4"/>
        <v>530.71261634734185</v>
      </c>
      <c r="F87" s="24">
        <f t="shared" si="4"/>
        <v>546.89493992157145</v>
      </c>
    </row>
    <row r="88" spans="1:6" x14ac:dyDescent="0.25">
      <c r="A88" s="14">
        <v>0.17</v>
      </c>
      <c r="B88" s="24">
        <f t="shared" si="4"/>
        <v>472.10788314967971</v>
      </c>
      <c r="C88" s="24">
        <f t="shared" si="4"/>
        <v>488.10461396332579</v>
      </c>
      <c r="D88" s="24">
        <f t="shared" si="4"/>
        <v>504.10134477697187</v>
      </c>
      <c r="E88" s="24">
        <f t="shared" si="4"/>
        <v>520.0980755906179</v>
      </c>
      <c r="F88" s="24">
        <f t="shared" si="4"/>
        <v>536.09480640426398</v>
      </c>
    </row>
    <row r="89" spans="1:6" x14ac:dyDescent="0.25">
      <c r="A89" s="14">
        <v>0.17499999999999999</v>
      </c>
      <c r="B89" s="24">
        <f t="shared" si="4"/>
        <v>462.30350329798097</v>
      </c>
      <c r="C89" s="24">
        <f t="shared" si="4"/>
        <v>478.11810614215796</v>
      </c>
      <c r="D89" s="24">
        <f t="shared" si="4"/>
        <v>493.932708986335</v>
      </c>
      <c r="E89" s="24">
        <f t="shared" si="4"/>
        <v>509.74731183051199</v>
      </c>
      <c r="F89" s="24">
        <f t="shared" si="4"/>
        <v>525.56191467468898</v>
      </c>
    </row>
    <row r="90" spans="1:6" x14ac:dyDescent="0.25">
      <c r="A90" s="14">
        <v>0.18</v>
      </c>
      <c r="B90" s="24">
        <f t="shared" si="4"/>
        <v>452.74507133516818</v>
      </c>
      <c r="C90" s="24">
        <f t="shared" si="4"/>
        <v>468.38092643987767</v>
      </c>
      <c r="D90" s="24">
        <f t="shared" si="4"/>
        <v>484.01678154458716</v>
      </c>
      <c r="E90" s="24">
        <f t="shared" si="4"/>
        <v>499.65263664929665</v>
      </c>
      <c r="F90" s="24">
        <f t="shared" si="4"/>
        <v>515.28849175400615</v>
      </c>
    </row>
    <row r="91" spans="1:6" x14ac:dyDescent="0.25">
      <c r="A91" s="14">
        <v>0.185</v>
      </c>
      <c r="B91" s="24">
        <f t="shared" si="4"/>
        <v>443.425401037227</v>
      </c>
      <c r="C91" s="24">
        <f t="shared" si="4"/>
        <v>458.88580656397073</v>
      </c>
      <c r="D91" s="24">
        <f t="shared" si="4"/>
        <v>474.3462120907144</v>
      </c>
      <c r="E91" s="24">
        <f t="shared" si="4"/>
        <v>489.80661761745813</v>
      </c>
      <c r="F91" s="24">
        <f t="shared" si="4"/>
        <v>505.2670231442018</v>
      </c>
    </row>
    <row r="92" spans="1:6" x14ac:dyDescent="0.25">
      <c r="A92" s="14">
        <v>0.19</v>
      </c>
      <c r="B92" s="24">
        <f t="shared" si="4"/>
        <v>434.33754538019059</v>
      </c>
      <c r="C92" s="24">
        <f t="shared" si="4"/>
        <v>449.62571982937459</v>
      </c>
      <c r="D92" s="24">
        <f t="shared" si="4"/>
        <v>464.91389427855864</v>
      </c>
      <c r="E92" s="24">
        <f t="shared" si="4"/>
        <v>480.2020687277427</v>
      </c>
      <c r="F92" s="24">
        <f t="shared" si="4"/>
        <v>495.49024317692675</v>
      </c>
    </row>
    <row r="93" spans="1:6" x14ac:dyDescent="0.25">
      <c r="A93" s="14">
        <v>0.19500000000000001</v>
      </c>
      <c r="B93" s="24">
        <f t="shared" si="4"/>
        <v>425.47478761586052</v>
      </c>
      <c r="C93" s="24">
        <f t="shared" si="4"/>
        <v>440.59387215228526</v>
      </c>
      <c r="D93" s="24">
        <f t="shared" si="4"/>
        <v>455.71295668870994</v>
      </c>
      <c r="E93" s="24">
        <f t="shared" si="4"/>
        <v>470.83204122513467</v>
      </c>
      <c r="F93" s="24">
        <f t="shared" si="4"/>
        <v>485.95112576155941</v>
      </c>
    </row>
    <row r="94" spans="1:6" x14ac:dyDescent="0.25">
      <c r="A94" s="15">
        <v>0.2</v>
      </c>
      <c r="B94" s="24">
        <f t="shared" si="4"/>
        <v>416.83063271604942</v>
      </c>
      <c r="C94" s="24">
        <f t="shared" si="4"/>
        <v>431.78369341563791</v>
      </c>
      <c r="D94" s="24">
        <f t="shared" si="4"/>
        <v>446.73675411522635</v>
      </c>
      <c r="E94" s="24">
        <f t="shared" si="4"/>
        <v>461.68981481481484</v>
      </c>
      <c r="F94" s="24">
        <f t="shared" si="4"/>
        <v>476.64287551440333</v>
      </c>
    </row>
  </sheetData>
  <mergeCells count="4">
    <mergeCell ref="A1:M1"/>
    <mergeCell ref="B8:F8"/>
    <mergeCell ref="X8:AB8"/>
    <mergeCell ref="B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F988-64B2-4FEE-9930-EA7F75DEB5C6}">
  <dimension ref="A1:X30"/>
  <sheetViews>
    <sheetView topLeftCell="B5" workbookViewId="0">
      <selection activeCell="R31" sqref="R31"/>
    </sheetView>
  </sheetViews>
  <sheetFormatPr defaultRowHeight="13.2" x14ac:dyDescent="0.25"/>
  <sheetData>
    <row r="1" spans="1:18" x14ac:dyDescent="0.25">
      <c r="A1" s="37" t="s">
        <v>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x14ac:dyDescent="0.25">
      <c r="A2" t="s">
        <v>32</v>
      </c>
    </row>
    <row r="3" spans="1:18" x14ac:dyDescent="0.25">
      <c r="A3" t="s">
        <v>36</v>
      </c>
    </row>
    <row r="4" spans="1:18" x14ac:dyDescent="0.25">
      <c r="A4" t="s">
        <v>33</v>
      </c>
    </row>
    <row r="6" spans="1:18" x14ac:dyDescent="0.25">
      <c r="A6" t="s">
        <v>34</v>
      </c>
      <c r="N6" t="s">
        <v>35</v>
      </c>
    </row>
    <row r="8" spans="1:18" x14ac:dyDescent="0.25">
      <c r="B8" t="s">
        <v>18</v>
      </c>
      <c r="C8">
        <v>1000</v>
      </c>
      <c r="O8" t="s">
        <v>18</v>
      </c>
      <c r="P8">
        <v>1000</v>
      </c>
    </row>
    <row r="9" spans="1:18" x14ac:dyDescent="0.25">
      <c r="B9" t="s">
        <v>39</v>
      </c>
      <c r="C9">
        <v>0.08</v>
      </c>
      <c r="O9" t="s">
        <v>39</v>
      </c>
      <c r="P9">
        <v>0.08</v>
      </c>
    </row>
    <row r="10" spans="1:18" x14ac:dyDescent="0.25">
      <c r="B10" t="s">
        <v>22</v>
      </c>
      <c r="C10">
        <v>10</v>
      </c>
      <c r="O10" t="s">
        <v>22</v>
      </c>
      <c r="P10">
        <v>9</v>
      </c>
    </row>
    <row r="12" spans="1:18" x14ac:dyDescent="0.25">
      <c r="A12" t="s">
        <v>32</v>
      </c>
      <c r="N12" t="s">
        <v>32</v>
      </c>
    </row>
    <row r="14" spans="1:18" x14ac:dyDescent="0.25">
      <c r="B14" t="s">
        <v>17</v>
      </c>
      <c r="C14">
        <f>C8/((1+C9)^C10)</f>
        <v>463.19348808468425</v>
      </c>
      <c r="O14" t="s">
        <v>17</v>
      </c>
      <c r="P14">
        <f>P8/((1+P9)^P10)</f>
        <v>500.24896713145898</v>
      </c>
      <c r="R14">
        <f>P14/C14 -1</f>
        <v>8.0000000000000071E-2</v>
      </c>
    </row>
    <row r="16" spans="1:18" x14ac:dyDescent="0.25">
      <c r="A16" t="s">
        <v>36</v>
      </c>
      <c r="N16" t="s">
        <v>36</v>
      </c>
    </row>
    <row r="18" spans="1:24" x14ac:dyDescent="0.25">
      <c r="B18" t="s">
        <v>38</v>
      </c>
      <c r="C18">
        <v>80</v>
      </c>
      <c r="P18">
        <v>80</v>
      </c>
    </row>
    <row r="19" spans="1:24" x14ac:dyDescent="0.25">
      <c r="B19" t="s">
        <v>30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O19" t="s">
        <v>30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W19">
        <v>8</v>
      </c>
      <c r="X19">
        <v>9</v>
      </c>
    </row>
    <row r="20" spans="1:24" x14ac:dyDescent="0.25">
      <c r="C20">
        <f>$C$18/((1+$C$9)^C$19)</f>
        <v>74.074074074074076</v>
      </c>
      <c r="D20">
        <f t="shared" ref="D20:L20" si="0">$C$18/((1+$C$9)^D$19)</f>
        <v>68.587105624142652</v>
      </c>
      <c r="E20">
        <f t="shared" si="0"/>
        <v>63.506579281613568</v>
      </c>
      <c r="F20">
        <f t="shared" si="0"/>
        <v>58.802388223716257</v>
      </c>
      <c r="G20">
        <f t="shared" si="0"/>
        <v>54.446655762700239</v>
      </c>
      <c r="H20">
        <f t="shared" si="0"/>
        <v>50.413570150648368</v>
      </c>
      <c r="I20">
        <f t="shared" si="0"/>
        <v>46.679231620970704</v>
      </c>
      <c r="J20">
        <f t="shared" si="0"/>
        <v>43.221510760158061</v>
      </c>
      <c r="K20">
        <f t="shared" si="0"/>
        <v>40.019917370516723</v>
      </c>
      <c r="L20">
        <f t="shared" si="0"/>
        <v>37.055479046774742</v>
      </c>
      <c r="P20">
        <f>$C$18/((1+$C$9)^P$19)</f>
        <v>74.074074074074076</v>
      </c>
      <c r="Q20">
        <f>$C$18/((1+$C$9)^Q$19)</f>
        <v>68.587105624142652</v>
      </c>
      <c r="R20">
        <f>$C$18/((1+$C$9)^R$19)</f>
        <v>63.506579281613568</v>
      </c>
      <c r="S20">
        <f>$P$18/((1+$C$9)^S$19)</f>
        <v>58.802388223716257</v>
      </c>
      <c r="T20">
        <f>$C$18/((1+$C$9)^T$19)</f>
        <v>54.446655762700239</v>
      </c>
      <c r="U20">
        <f>$C$18/((1+$C$9)^U$19)</f>
        <v>50.413570150648368</v>
      </c>
      <c r="V20">
        <f>$C$18/((1+$C$9)^V$19)</f>
        <v>46.679231620970704</v>
      </c>
      <c r="W20">
        <f>$C$18/((1+$C$9)^W$19)</f>
        <v>43.221510760158061</v>
      </c>
      <c r="X20">
        <f>$C$18/((1+$C$9)^X$19)</f>
        <v>40.019917370516723</v>
      </c>
    </row>
    <row r="22" spans="1:24" x14ac:dyDescent="0.25">
      <c r="B22" t="s">
        <v>17</v>
      </c>
      <c r="C22">
        <f>SUM(C20:L20)+C8/((1+C9)^C10)</f>
        <v>999.99999999999977</v>
      </c>
      <c r="O22" t="s">
        <v>17</v>
      </c>
      <c r="P22">
        <f>SUM(P20:X20)+P8/((1+P9)^P10)</f>
        <v>999.99999999999966</v>
      </c>
      <c r="R22">
        <f>(P22+P20)/C22 -1</f>
        <v>7.4074074074073959E-2</v>
      </c>
    </row>
    <row r="24" spans="1:24" x14ac:dyDescent="0.25">
      <c r="A24" t="s">
        <v>33</v>
      </c>
      <c r="N24" t="s">
        <v>33</v>
      </c>
    </row>
    <row r="26" spans="1:24" x14ac:dyDescent="0.25">
      <c r="B26" t="s">
        <v>38</v>
      </c>
      <c r="C26">
        <v>100</v>
      </c>
      <c r="O26" t="s">
        <v>38</v>
      </c>
      <c r="P26">
        <v>100</v>
      </c>
    </row>
    <row r="27" spans="1:24" x14ac:dyDescent="0.25">
      <c r="B27" t="s">
        <v>30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O27" t="s">
        <v>30</v>
      </c>
      <c r="P27">
        <v>1</v>
      </c>
      <c r="Q27">
        <v>2</v>
      </c>
      <c r="R27">
        <v>3</v>
      </c>
      <c r="S27">
        <v>4</v>
      </c>
      <c r="T27">
        <v>5</v>
      </c>
      <c r="U27">
        <v>6</v>
      </c>
      <c r="V27">
        <v>7</v>
      </c>
      <c r="W27">
        <v>8</v>
      </c>
      <c r="X27">
        <v>9</v>
      </c>
    </row>
    <row r="28" spans="1:24" x14ac:dyDescent="0.25">
      <c r="C28">
        <f>$C$26/((1+$C$9)^C$19)</f>
        <v>92.592592592592581</v>
      </c>
      <c r="D28">
        <f t="shared" ref="D28:L28" si="1">$C$26/((1+$C$9)^D$19)</f>
        <v>85.733882030178322</v>
      </c>
      <c r="E28">
        <f t="shared" si="1"/>
        <v>79.383224102016953</v>
      </c>
      <c r="F28">
        <f t="shared" si="1"/>
        <v>73.50298527964533</v>
      </c>
      <c r="G28">
        <f t="shared" si="1"/>
        <v>68.058319703375304</v>
      </c>
      <c r="H28">
        <f t="shared" si="1"/>
        <v>63.016962688310457</v>
      </c>
      <c r="I28">
        <f t="shared" si="1"/>
        <v>58.349039526213382</v>
      </c>
      <c r="J28">
        <f t="shared" si="1"/>
        <v>54.026888450197575</v>
      </c>
      <c r="K28">
        <f t="shared" si="1"/>
        <v>50.0248967131459</v>
      </c>
      <c r="L28">
        <f t="shared" si="1"/>
        <v>46.319348808468426</v>
      </c>
      <c r="P28">
        <f t="shared" ref="P28:X28" si="2">$C$26/((1+$C$9)^P$19)</f>
        <v>92.592592592592581</v>
      </c>
      <c r="Q28">
        <f t="shared" si="2"/>
        <v>85.733882030178322</v>
      </c>
      <c r="R28">
        <f t="shared" si="2"/>
        <v>79.383224102016953</v>
      </c>
      <c r="S28">
        <f t="shared" si="2"/>
        <v>73.50298527964533</v>
      </c>
      <c r="T28">
        <f t="shared" si="2"/>
        <v>68.058319703375304</v>
      </c>
      <c r="U28">
        <f t="shared" si="2"/>
        <v>63.016962688310457</v>
      </c>
      <c r="V28">
        <f t="shared" si="2"/>
        <v>58.349039526213382</v>
      </c>
      <c r="W28">
        <f t="shared" si="2"/>
        <v>54.026888450197575</v>
      </c>
      <c r="X28">
        <f t="shared" si="2"/>
        <v>50.0248967131459</v>
      </c>
    </row>
    <row r="30" spans="1:24" x14ac:dyDescent="0.25">
      <c r="B30" t="s">
        <v>17</v>
      </c>
      <c r="C30">
        <f>SUM(C28:L28)+C8/(1+C9)^C10</f>
        <v>1134.2016279788286</v>
      </c>
      <c r="O30" t="s">
        <v>17</v>
      </c>
      <c r="P30">
        <f>SUM(P28:X28)+P8/(1+P9)^P10</f>
        <v>1124.9377582171348</v>
      </c>
      <c r="R30">
        <f>(P30+P28)/C30 -1</f>
        <v>7.3469055920323711E-2</v>
      </c>
    </row>
  </sheetData>
  <mergeCells count="1">
    <mergeCell ref="A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3AF0-3220-44AE-BD8D-5826EA99673B}">
  <dimension ref="A1:Q24"/>
  <sheetViews>
    <sheetView zoomScale="115" workbookViewId="0">
      <selection activeCell="C6" sqref="C6"/>
    </sheetView>
  </sheetViews>
  <sheetFormatPr defaultRowHeight="13.2" x14ac:dyDescent="0.25"/>
  <cols>
    <col min="7" max="7" width="9.21875" bestFit="1" customWidth="1"/>
    <col min="9" max="9" width="11.6640625" bestFit="1" customWidth="1"/>
    <col min="10" max="10" width="11.33203125" bestFit="1" customWidth="1"/>
  </cols>
  <sheetData>
    <row r="1" spans="1:17" ht="102.6" customHeight="1" x14ac:dyDescent="0.25">
      <c r="A1" s="38" t="s">
        <v>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15.6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B3" s="21" t="s">
        <v>15</v>
      </c>
      <c r="I3" s="21" t="s">
        <v>27</v>
      </c>
    </row>
    <row r="4" spans="1:17" ht="13.8" x14ac:dyDescent="0.3">
      <c r="B4" t="s">
        <v>22</v>
      </c>
      <c r="C4">
        <v>2</v>
      </c>
      <c r="E4" t="s">
        <v>48</v>
      </c>
      <c r="F4">
        <v>0.2</v>
      </c>
      <c r="I4" s="23" t="s">
        <v>43</v>
      </c>
      <c r="J4">
        <f xml:space="preserve"> -G16*(-0.01)/(1+C8/C7)</f>
        <v>1.6318701215313352E-2</v>
      </c>
      <c r="M4" s="33" t="s">
        <v>47</v>
      </c>
      <c r="N4" s="9">
        <f>G24-G11</f>
        <v>17.883180952709381</v>
      </c>
    </row>
    <row r="5" spans="1:17" ht="13.8" x14ac:dyDescent="0.3">
      <c r="B5" t="s">
        <v>18</v>
      </c>
      <c r="C5">
        <v>1000</v>
      </c>
      <c r="I5" s="23" t="s">
        <v>47</v>
      </c>
      <c r="J5">
        <f>J4*G11</f>
        <v>17.685117581988134</v>
      </c>
    </row>
    <row r="6" spans="1:17" x14ac:dyDescent="0.25">
      <c r="B6" t="s">
        <v>37</v>
      </c>
      <c r="C6">
        <f>C5*F4/C7</f>
        <v>100</v>
      </c>
    </row>
    <row r="7" spans="1:17" x14ac:dyDescent="0.25">
      <c r="B7" t="s">
        <v>20</v>
      </c>
      <c r="C7">
        <v>2</v>
      </c>
      <c r="I7" s="21" t="s">
        <v>28</v>
      </c>
    </row>
    <row r="8" spans="1:17" x14ac:dyDescent="0.25">
      <c r="B8" t="s">
        <v>39</v>
      </c>
      <c r="C8">
        <v>0.15</v>
      </c>
      <c r="I8" t="s">
        <v>30</v>
      </c>
      <c r="J8">
        <v>1</v>
      </c>
      <c r="K8">
        <v>2</v>
      </c>
      <c r="L8">
        <v>3</v>
      </c>
      <c r="M8">
        <v>4</v>
      </c>
      <c r="N8" t="s">
        <v>46</v>
      </c>
    </row>
    <row r="9" spans="1:17" x14ac:dyDescent="0.25">
      <c r="I9" t="s">
        <v>41</v>
      </c>
      <c r="J9">
        <f xml:space="preserve"> J8*(J8+1)*$C$6/((1+$C$8/$C$7)^J8)</f>
        <v>186.04651162790699</v>
      </c>
      <c r="K9">
        <f t="shared" ref="K9:L9" si="0" xml:space="preserve"> K8*(K8+1)*$C$6/((1+$C$8/$C$7)^K8)</f>
        <v>519.19956733369395</v>
      </c>
      <c r="L9">
        <f t="shared" si="0"/>
        <v>965.95268341152359</v>
      </c>
      <c r="M9">
        <f xml:space="preserve"> M8*(M8+1)*($C$6+C5)/((1+$C$8/$C$7)^M8)</f>
        <v>16473.611655080247</v>
      </c>
      <c r="N9">
        <f>SUM(J9:M9)</f>
        <v>18144.810417453373</v>
      </c>
    </row>
    <row r="10" spans="1:17" x14ac:dyDescent="0.25">
      <c r="B10" t="s">
        <v>30</v>
      </c>
      <c r="C10">
        <v>1</v>
      </c>
      <c r="D10">
        <v>2</v>
      </c>
      <c r="E10">
        <v>3</v>
      </c>
      <c r="F10">
        <v>4</v>
      </c>
      <c r="G10" t="s">
        <v>17</v>
      </c>
    </row>
    <row r="11" spans="1:17" ht="28.2" customHeight="1" x14ac:dyDescent="0.25">
      <c r="B11" s="22" t="s">
        <v>41</v>
      </c>
      <c r="C11">
        <f>$C$6/(1+$C$8/$C$7)^C10</f>
        <v>93.023255813953497</v>
      </c>
      <c r="D11">
        <f t="shared" ref="D11:F11" si="1">$C$6/(1+$C$8/$C$7)^D10</f>
        <v>86.53326122228232</v>
      </c>
      <c r="E11">
        <f t="shared" si="1"/>
        <v>80.496056950960309</v>
      </c>
      <c r="F11">
        <f t="shared" si="1"/>
        <v>74.88005297763749</v>
      </c>
      <c r="G11">
        <f>SUM(C11:F11) + $C$5/(1+$C$8/$C$7)^($C$4*$C$7)</f>
        <v>1083.7331567412084</v>
      </c>
      <c r="I11" t="s">
        <v>37</v>
      </c>
      <c r="J11">
        <f>N9/(2*4*G11)</f>
        <v>2.0928595642509129</v>
      </c>
    </row>
    <row r="14" spans="1:17" x14ac:dyDescent="0.25">
      <c r="B14" s="21" t="s">
        <v>26</v>
      </c>
      <c r="I14" s="21" t="s">
        <v>29</v>
      </c>
    </row>
    <row r="15" spans="1:17" x14ac:dyDescent="0.25">
      <c r="B15" t="s">
        <v>30</v>
      </c>
      <c r="C15">
        <v>1</v>
      </c>
      <c r="D15">
        <v>2</v>
      </c>
      <c r="E15">
        <v>3</v>
      </c>
      <c r="F15">
        <v>4</v>
      </c>
      <c r="G15" s="8" t="s">
        <v>40</v>
      </c>
    </row>
    <row r="16" spans="1:17" ht="27" x14ac:dyDescent="0.3">
      <c r="B16" s="22" t="s">
        <v>41</v>
      </c>
      <c r="C16">
        <f>(C15*$C$6)/(1+$C$8/$C$7)^(C15)</f>
        <v>93.023255813953497</v>
      </c>
      <c r="D16">
        <f t="shared" ref="D16:E16" si="2">(D15*$C$6)/(1+$C$8/$C$7)^(D15)</f>
        <v>173.06652244456464</v>
      </c>
      <c r="E16">
        <f t="shared" si="2"/>
        <v>241.4881708528809</v>
      </c>
      <c r="F16">
        <f>(F15*($C$6 + C5))/(1+$C$8/$C$7)^(F15)</f>
        <v>3294.7223310160493</v>
      </c>
      <c r="G16">
        <f>(SUM(C16:F16))/($C7*$G$11)</f>
        <v>1.7542603806461852</v>
      </c>
      <c r="I16" s="23" t="s">
        <v>43</v>
      </c>
      <c r="J16">
        <f xml:space="preserve"> -G16* (-0.01)/(1+C8/C7) + J11*(-0.01/(1+C8/C7))^2</f>
        <v>1.6499803178688228E-2</v>
      </c>
    </row>
    <row r="18" spans="2:10" ht="13.8" x14ac:dyDescent="0.3">
      <c r="I18" s="23" t="s">
        <v>47</v>
      </c>
      <c r="J18">
        <f>J16*G11</f>
        <v>17.881383784448417</v>
      </c>
    </row>
    <row r="19" spans="2:10" x14ac:dyDescent="0.25">
      <c r="B19" t="s">
        <v>42</v>
      </c>
      <c r="C19">
        <f>G16/(1+C8/C7)</f>
        <v>1.6318701215313351</v>
      </c>
    </row>
    <row r="21" spans="2:10" x14ac:dyDescent="0.25">
      <c r="B21" s="25" t="s">
        <v>39</v>
      </c>
      <c r="C21" s="26">
        <v>0.14000000000000001</v>
      </c>
      <c r="D21" s="26"/>
      <c r="E21" s="26"/>
      <c r="F21" s="26"/>
      <c r="G21" s="27"/>
    </row>
    <row r="22" spans="2:10" x14ac:dyDescent="0.25">
      <c r="B22" s="28"/>
      <c r="G22" s="29"/>
    </row>
    <row r="23" spans="2:10" x14ac:dyDescent="0.25">
      <c r="B23" s="28" t="s">
        <v>30</v>
      </c>
      <c r="C23">
        <v>1</v>
      </c>
      <c r="D23">
        <v>2</v>
      </c>
      <c r="E23">
        <v>3</v>
      </c>
      <c r="F23">
        <v>4</v>
      </c>
      <c r="G23" s="29" t="s">
        <v>17</v>
      </c>
    </row>
    <row r="24" spans="2:10" ht="26.4" x14ac:dyDescent="0.25">
      <c r="B24" s="30" t="s">
        <v>41</v>
      </c>
      <c r="C24" s="31">
        <f>$C$6/(1+$C$21/$C$7)^C23</f>
        <v>93.457943925233636</v>
      </c>
      <c r="D24" s="31">
        <f t="shared" ref="D24:F24" si="3">$C$6/(1+$C$21/$C$7)^D23</f>
        <v>87.343872827321164</v>
      </c>
      <c r="E24" s="31">
        <f t="shared" si="3"/>
        <v>81.629787689085191</v>
      </c>
      <c r="F24" s="31">
        <f t="shared" si="3"/>
        <v>76.289521204752518</v>
      </c>
      <c r="G24" s="32">
        <f>SUM(C24:F24)+ $C$5/(1+$C$21/$C$7)^($C$4*$C$7)</f>
        <v>1101.6163376939178</v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4514-2E62-41D6-A1F0-C343A22FBA53}">
  <dimension ref="A1:AF27"/>
  <sheetViews>
    <sheetView zoomScale="108" workbookViewId="0">
      <selection activeCell="AF6" sqref="AF6"/>
    </sheetView>
  </sheetViews>
  <sheetFormatPr defaultRowHeight="13.2" x14ac:dyDescent="0.25"/>
  <cols>
    <col min="13" max="13" width="16.33203125" bestFit="1" customWidth="1"/>
    <col min="14" max="14" width="15.21875" bestFit="1" customWidth="1"/>
    <col min="19" max="19" width="16.33203125" bestFit="1" customWidth="1"/>
    <col min="20" max="20" width="15.21875" bestFit="1" customWidth="1"/>
    <col min="25" max="25" width="16.33203125" bestFit="1" customWidth="1"/>
    <col min="26" max="26" width="15.21875" bestFit="1" customWidth="1"/>
    <col min="31" max="31" width="16.33203125" bestFit="1" customWidth="1"/>
    <col min="32" max="32" width="15.21875" bestFit="1" customWidth="1"/>
  </cols>
  <sheetData>
    <row r="1" spans="1:32" ht="16.8" customHeight="1" x14ac:dyDescent="0.25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32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4" spans="1:32" x14ac:dyDescent="0.25">
      <c r="A4" t="s">
        <v>22</v>
      </c>
      <c r="B4">
        <v>10</v>
      </c>
    </row>
    <row r="5" spans="1:32" x14ac:dyDescent="0.25">
      <c r="A5" t="s">
        <v>20</v>
      </c>
      <c r="B5">
        <v>2</v>
      </c>
      <c r="K5" t="s">
        <v>30</v>
      </c>
      <c r="L5" t="s">
        <v>50</v>
      </c>
      <c r="M5" t="s">
        <v>51</v>
      </c>
      <c r="N5" t="s">
        <v>52</v>
      </c>
      <c r="Q5" t="s">
        <v>30</v>
      </c>
      <c r="R5" t="s">
        <v>50</v>
      </c>
      <c r="S5" t="s">
        <v>51</v>
      </c>
      <c r="T5" t="s">
        <v>52</v>
      </c>
      <c r="W5" t="s">
        <v>30</v>
      </c>
      <c r="X5" t="s">
        <v>50</v>
      </c>
      <c r="Y5" t="s">
        <v>51</v>
      </c>
      <c r="Z5" t="s">
        <v>52</v>
      </c>
      <c r="AC5" t="s">
        <v>30</v>
      </c>
      <c r="AD5" t="s">
        <v>50</v>
      </c>
      <c r="AE5" t="s">
        <v>51</v>
      </c>
      <c r="AF5" t="s">
        <v>52</v>
      </c>
    </row>
    <row r="6" spans="1:32" x14ac:dyDescent="0.25">
      <c r="A6" t="s">
        <v>18</v>
      </c>
      <c r="B6">
        <v>10000</v>
      </c>
      <c r="K6">
        <v>1</v>
      </c>
      <c r="L6">
        <f>$B$6*$A$9/$B$5</f>
        <v>100</v>
      </c>
      <c r="M6">
        <f>L6/(1+$B$7/$B$5)^K6</f>
        <v>98.52216748768474</v>
      </c>
      <c r="N6">
        <f t="shared" ref="N6:N25" si="0">K6*L6/(1+$B$7/$B$5)^K6</f>
        <v>98.52216748768474</v>
      </c>
      <c r="Q6">
        <v>1</v>
      </c>
      <c r="R6">
        <f>$B$6*$A$10/$B$5</f>
        <v>150</v>
      </c>
      <c r="S6">
        <f>R6/(1+$B$7/$B$5)^Q6</f>
        <v>147.78325123152712</v>
      </c>
      <c r="T6">
        <f t="shared" ref="T6:T25" si="1">Q6*R6/(1+$B$7/$B$5)^Q6</f>
        <v>147.78325123152712</v>
      </c>
      <c r="W6">
        <v>1</v>
      </c>
      <c r="X6">
        <f>$B$6*$A$11/$B$5</f>
        <v>200</v>
      </c>
      <c r="Y6">
        <f>X6/(1+$B$7/$B$5)^W6</f>
        <v>197.04433497536948</v>
      </c>
      <c r="Z6">
        <f t="shared" ref="Z6:Z25" si="2">W6*X6/(1+$B$7/$B$5)^W6</f>
        <v>197.04433497536948</v>
      </c>
      <c r="AC6">
        <v>1</v>
      </c>
      <c r="AD6">
        <f>$B$6*$A$12/$B$5</f>
        <v>250</v>
      </c>
      <c r="AE6">
        <f>AD6/(1+$B$7/$B$5)^AC6</f>
        <v>246.30541871921184</v>
      </c>
      <c r="AF6">
        <f t="shared" ref="AF6:AF25" si="3">AC6*AD6/(1+$B$7/$B$5)^AC6</f>
        <v>246.30541871921184</v>
      </c>
    </row>
    <row r="7" spans="1:32" x14ac:dyDescent="0.25">
      <c r="A7" t="s">
        <v>39</v>
      </c>
      <c r="B7">
        <v>0.03</v>
      </c>
      <c r="K7">
        <v>2</v>
      </c>
      <c r="L7">
        <f t="shared" ref="L7:L24" si="4">$B$6*$A$9/$B$5</f>
        <v>100</v>
      </c>
      <c r="M7">
        <f t="shared" ref="M7:M25" si="5">L7/(1+$B$7/$B$5)^K7</f>
        <v>97.066174864714043</v>
      </c>
      <c r="N7">
        <f t="shared" si="0"/>
        <v>194.13234972942809</v>
      </c>
      <c r="Q7">
        <v>2</v>
      </c>
      <c r="R7">
        <f t="shared" ref="R7:R24" si="6">$B$6*$A$10/$B$5</f>
        <v>150</v>
      </c>
      <c r="S7">
        <f t="shared" ref="S7:S25" si="7">R7/(1+$B$7/$B$5)^Q7</f>
        <v>145.59926229707108</v>
      </c>
      <c r="T7">
        <f t="shared" si="1"/>
        <v>291.19852459414216</v>
      </c>
      <c r="W7">
        <v>2</v>
      </c>
      <c r="X7">
        <f t="shared" ref="X7:X24" si="8">$B$6*$A$11/$B$5</f>
        <v>200</v>
      </c>
      <c r="Y7">
        <f t="shared" ref="Y7:Y25" si="9">X7/(1+$B$7/$B$5)^W7</f>
        <v>194.13234972942809</v>
      </c>
      <c r="Z7">
        <f t="shared" si="2"/>
        <v>388.26469945885617</v>
      </c>
      <c r="AC7">
        <v>2</v>
      </c>
      <c r="AD7">
        <f t="shared" ref="AD7:AD24" si="10">$B$6*$A$12/$B$5</f>
        <v>250</v>
      </c>
      <c r="AE7">
        <f t="shared" ref="AE7:AE25" si="11">AD7/(1+$B$7/$B$5)^AC7</f>
        <v>242.66543716178512</v>
      </c>
      <c r="AF7">
        <f t="shared" si="3"/>
        <v>485.33087432357024</v>
      </c>
    </row>
    <row r="8" spans="1:32" x14ac:dyDescent="0.25">
      <c r="A8" t="s">
        <v>49</v>
      </c>
      <c r="B8" t="s">
        <v>40</v>
      </c>
      <c r="K8">
        <v>3</v>
      </c>
      <c r="L8">
        <f t="shared" si="4"/>
        <v>100</v>
      </c>
      <c r="M8">
        <f t="shared" si="5"/>
        <v>95.631699374102524</v>
      </c>
      <c r="N8">
        <f t="shared" si="0"/>
        <v>286.89509812230756</v>
      </c>
      <c r="Q8">
        <v>3</v>
      </c>
      <c r="R8">
        <f t="shared" si="6"/>
        <v>150</v>
      </c>
      <c r="S8">
        <f t="shared" si="7"/>
        <v>143.44754906115378</v>
      </c>
      <c r="T8">
        <f t="shared" si="1"/>
        <v>430.34264718346134</v>
      </c>
      <c r="W8">
        <v>3</v>
      </c>
      <c r="X8">
        <f t="shared" si="8"/>
        <v>200</v>
      </c>
      <c r="Y8">
        <f t="shared" si="9"/>
        <v>191.26339874820505</v>
      </c>
      <c r="Z8">
        <f t="shared" si="2"/>
        <v>573.79019624461512</v>
      </c>
      <c r="AC8">
        <v>3</v>
      </c>
      <c r="AD8">
        <f t="shared" si="10"/>
        <v>250</v>
      </c>
      <c r="AE8">
        <f t="shared" si="11"/>
        <v>239.07924843525629</v>
      </c>
      <c r="AF8">
        <f t="shared" si="3"/>
        <v>717.23774530576884</v>
      </c>
    </row>
    <row r="9" spans="1:32" x14ac:dyDescent="0.25">
      <c r="A9">
        <v>0.02</v>
      </c>
      <c r="B9">
        <f>N26</f>
        <v>9.0614915602959023</v>
      </c>
      <c r="K9">
        <v>4</v>
      </c>
      <c r="L9">
        <f t="shared" si="4"/>
        <v>100</v>
      </c>
      <c r="M9">
        <f t="shared" si="5"/>
        <v>94.218423028672447</v>
      </c>
      <c r="N9">
        <f t="shared" si="0"/>
        <v>376.87369211468979</v>
      </c>
      <c r="Q9">
        <v>4</v>
      </c>
      <c r="R9">
        <f t="shared" si="6"/>
        <v>150</v>
      </c>
      <c r="S9">
        <f t="shared" si="7"/>
        <v>141.32763454300866</v>
      </c>
      <c r="T9">
        <f t="shared" si="1"/>
        <v>565.31053817203463</v>
      </c>
      <c r="W9">
        <v>4</v>
      </c>
      <c r="X9">
        <f t="shared" si="8"/>
        <v>200</v>
      </c>
      <c r="Y9">
        <f t="shared" si="9"/>
        <v>188.43684605734489</v>
      </c>
      <c r="Z9">
        <f t="shared" si="2"/>
        <v>753.74738422937958</v>
      </c>
      <c r="AC9">
        <v>4</v>
      </c>
      <c r="AD9">
        <f t="shared" si="10"/>
        <v>250</v>
      </c>
      <c r="AE9">
        <f t="shared" si="11"/>
        <v>235.5460575716811</v>
      </c>
      <c r="AF9">
        <f t="shared" si="3"/>
        <v>942.18423028672441</v>
      </c>
    </row>
    <row r="10" spans="1:32" x14ac:dyDescent="0.25">
      <c r="A10">
        <v>0.03</v>
      </c>
      <c r="B10">
        <f>T26</f>
        <v>8.7130841834290802</v>
      </c>
      <c r="K10">
        <v>5</v>
      </c>
      <c r="L10">
        <f t="shared" si="4"/>
        <v>100</v>
      </c>
      <c r="M10">
        <f t="shared" si="5"/>
        <v>92.826032540564</v>
      </c>
      <c r="N10">
        <f t="shared" si="0"/>
        <v>464.13016270281997</v>
      </c>
      <c r="Q10">
        <v>5</v>
      </c>
      <c r="R10">
        <f t="shared" si="6"/>
        <v>150</v>
      </c>
      <c r="S10">
        <f t="shared" si="7"/>
        <v>139.23904881084599</v>
      </c>
      <c r="T10">
        <f t="shared" si="1"/>
        <v>696.19524405422999</v>
      </c>
      <c r="W10">
        <v>5</v>
      </c>
      <c r="X10">
        <f t="shared" si="8"/>
        <v>200</v>
      </c>
      <c r="Y10">
        <f t="shared" si="9"/>
        <v>185.652065081128</v>
      </c>
      <c r="Z10">
        <f t="shared" si="2"/>
        <v>928.26032540563995</v>
      </c>
      <c r="AC10">
        <v>5</v>
      </c>
      <c r="AD10">
        <f t="shared" si="10"/>
        <v>250</v>
      </c>
      <c r="AE10">
        <f t="shared" si="11"/>
        <v>232.06508135140999</v>
      </c>
      <c r="AF10">
        <f t="shared" si="3"/>
        <v>1160.3254067570499</v>
      </c>
    </row>
    <row r="11" spans="1:32" x14ac:dyDescent="0.25">
      <c r="A11">
        <v>0.04</v>
      </c>
      <c r="B11">
        <f>Z26</f>
        <v>8.4197646906780168</v>
      </c>
      <c r="K11">
        <v>6</v>
      </c>
      <c r="L11">
        <f t="shared" si="4"/>
        <v>100</v>
      </c>
      <c r="M11">
        <f t="shared" si="5"/>
        <v>91.454219251787208</v>
      </c>
      <c r="N11">
        <f t="shared" si="0"/>
        <v>548.72531551072325</v>
      </c>
      <c r="Q11">
        <v>6</v>
      </c>
      <c r="R11">
        <f t="shared" si="6"/>
        <v>150</v>
      </c>
      <c r="S11">
        <f t="shared" si="7"/>
        <v>137.18132887768081</v>
      </c>
      <c r="T11">
        <f t="shared" si="1"/>
        <v>823.08797326608487</v>
      </c>
      <c r="W11">
        <v>6</v>
      </c>
      <c r="X11">
        <f t="shared" si="8"/>
        <v>200</v>
      </c>
      <c r="Y11">
        <f t="shared" si="9"/>
        <v>182.90843850357442</v>
      </c>
      <c r="Z11">
        <f t="shared" si="2"/>
        <v>1097.4506310214465</v>
      </c>
      <c r="AC11">
        <v>6</v>
      </c>
      <c r="AD11">
        <f t="shared" si="10"/>
        <v>250</v>
      </c>
      <c r="AE11">
        <f t="shared" si="11"/>
        <v>228.63554812946802</v>
      </c>
      <c r="AF11">
        <f t="shared" si="3"/>
        <v>1371.8132887768081</v>
      </c>
    </row>
    <row r="12" spans="1:32" x14ac:dyDescent="0.25">
      <c r="A12">
        <v>0.05</v>
      </c>
      <c r="B12">
        <f>AF26</f>
        <v>8.1694250982815468</v>
      </c>
      <c r="K12">
        <v>7</v>
      </c>
      <c r="L12">
        <f t="shared" si="4"/>
        <v>100</v>
      </c>
      <c r="M12">
        <f t="shared" si="5"/>
        <v>90.102679065800217</v>
      </c>
      <c r="N12">
        <f t="shared" si="0"/>
        <v>630.71875346060153</v>
      </c>
      <c r="Q12">
        <v>7</v>
      </c>
      <c r="R12">
        <f t="shared" si="6"/>
        <v>150</v>
      </c>
      <c r="S12">
        <f t="shared" si="7"/>
        <v>135.15401859870033</v>
      </c>
      <c r="T12">
        <f t="shared" si="1"/>
        <v>946.07813019090224</v>
      </c>
      <c r="W12">
        <v>7</v>
      </c>
      <c r="X12">
        <f t="shared" si="8"/>
        <v>200</v>
      </c>
      <c r="Y12">
        <f t="shared" si="9"/>
        <v>180.20535813160043</v>
      </c>
      <c r="Z12">
        <f t="shared" si="2"/>
        <v>1261.4375069212031</v>
      </c>
      <c r="AC12">
        <v>7</v>
      </c>
      <c r="AD12">
        <f t="shared" si="10"/>
        <v>250</v>
      </c>
      <c r="AE12">
        <f t="shared" si="11"/>
        <v>225.25669766450054</v>
      </c>
      <c r="AF12">
        <f t="shared" si="3"/>
        <v>1576.7968836515038</v>
      </c>
    </row>
    <row r="13" spans="1:32" x14ac:dyDescent="0.25">
      <c r="K13">
        <v>8</v>
      </c>
      <c r="L13">
        <f t="shared" si="4"/>
        <v>100</v>
      </c>
      <c r="M13">
        <f t="shared" si="5"/>
        <v>88.771112380098742</v>
      </c>
      <c r="N13">
        <f t="shared" si="0"/>
        <v>710.16889904078994</v>
      </c>
      <c r="Q13">
        <v>8</v>
      </c>
      <c r="R13">
        <f t="shared" si="6"/>
        <v>150</v>
      </c>
      <c r="S13">
        <f t="shared" si="7"/>
        <v>133.15666857014813</v>
      </c>
      <c r="T13">
        <f t="shared" si="1"/>
        <v>1065.253348561185</v>
      </c>
      <c r="W13">
        <v>8</v>
      </c>
      <c r="X13">
        <f t="shared" si="8"/>
        <v>200</v>
      </c>
      <c r="Y13">
        <f t="shared" si="9"/>
        <v>177.54222476019748</v>
      </c>
      <c r="Z13">
        <f t="shared" si="2"/>
        <v>1420.3377980815799</v>
      </c>
      <c r="AC13">
        <v>8</v>
      </c>
      <c r="AD13">
        <f t="shared" si="10"/>
        <v>250</v>
      </c>
      <c r="AE13">
        <f t="shared" si="11"/>
        <v>221.92778095024687</v>
      </c>
      <c r="AF13">
        <f t="shared" si="3"/>
        <v>1775.422247601975</v>
      </c>
    </row>
    <row r="14" spans="1:32" x14ac:dyDescent="0.25">
      <c r="K14">
        <v>9</v>
      </c>
      <c r="L14">
        <f t="shared" si="4"/>
        <v>100</v>
      </c>
      <c r="M14">
        <f t="shared" si="5"/>
        <v>87.459224019801724</v>
      </c>
      <c r="N14">
        <f t="shared" si="0"/>
        <v>787.1330161782156</v>
      </c>
      <c r="Q14">
        <v>9</v>
      </c>
      <c r="R14">
        <f t="shared" si="6"/>
        <v>150</v>
      </c>
      <c r="S14">
        <f t="shared" si="7"/>
        <v>131.1888360297026</v>
      </c>
      <c r="T14">
        <f t="shared" si="1"/>
        <v>1180.6995242673233</v>
      </c>
      <c r="W14">
        <v>9</v>
      </c>
      <c r="X14">
        <f t="shared" si="8"/>
        <v>200</v>
      </c>
      <c r="Y14">
        <f t="shared" si="9"/>
        <v>174.91844803960345</v>
      </c>
      <c r="Z14">
        <f t="shared" si="2"/>
        <v>1574.2660323564312</v>
      </c>
      <c r="AC14">
        <v>9</v>
      </c>
      <c r="AD14">
        <f t="shared" si="10"/>
        <v>250</v>
      </c>
      <c r="AE14">
        <f t="shared" si="11"/>
        <v>218.64806004950432</v>
      </c>
      <c r="AF14">
        <f t="shared" si="3"/>
        <v>1967.8325404455388</v>
      </c>
    </row>
    <row r="15" spans="1:32" x14ac:dyDescent="0.25">
      <c r="K15">
        <v>10</v>
      </c>
      <c r="L15">
        <f t="shared" si="4"/>
        <v>100</v>
      </c>
      <c r="M15">
        <f t="shared" si="5"/>
        <v>86.166723172218468</v>
      </c>
      <c r="N15">
        <f t="shared" si="0"/>
        <v>861.66723172218462</v>
      </c>
      <c r="Q15">
        <v>10</v>
      </c>
      <c r="R15">
        <f t="shared" si="6"/>
        <v>150</v>
      </c>
      <c r="S15">
        <f t="shared" si="7"/>
        <v>129.25008475832769</v>
      </c>
      <c r="T15">
        <f t="shared" si="1"/>
        <v>1292.5008475832769</v>
      </c>
      <c r="W15">
        <v>10</v>
      </c>
      <c r="X15">
        <f t="shared" si="8"/>
        <v>200</v>
      </c>
      <c r="Y15">
        <f t="shared" si="9"/>
        <v>172.33344634443694</v>
      </c>
      <c r="Z15">
        <f t="shared" si="2"/>
        <v>1723.3344634443692</v>
      </c>
      <c r="AC15">
        <v>10</v>
      </c>
      <c r="AD15">
        <f t="shared" si="10"/>
        <v>250</v>
      </c>
      <c r="AE15">
        <f t="shared" si="11"/>
        <v>215.41680793054616</v>
      </c>
      <c r="AF15">
        <f t="shared" si="3"/>
        <v>2154.1680793054616</v>
      </c>
    </row>
    <row r="16" spans="1:32" x14ac:dyDescent="0.25">
      <c r="K16">
        <v>11</v>
      </c>
      <c r="L16">
        <f t="shared" si="4"/>
        <v>100</v>
      </c>
      <c r="M16">
        <f t="shared" si="5"/>
        <v>84.893323322382727</v>
      </c>
      <c r="N16">
        <f t="shared" si="0"/>
        <v>933.8265565462101</v>
      </c>
      <c r="Q16">
        <v>11</v>
      </c>
      <c r="R16">
        <f t="shared" si="6"/>
        <v>150</v>
      </c>
      <c r="S16">
        <f t="shared" si="7"/>
        <v>127.3399849835741</v>
      </c>
      <c r="T16">
        <f t="shared" si="1"/>
        <v>1400.7398348193151</v>
      </c>
      <c r="W16">
        <v>11</v>
      </c>
      <c r="X16">
        <f t="shared" si="8"/>
        <v>200</v>
      </c>
      <c r="Y16">
        <f t="shared" si="9"/>
        <v>169.78664664476545</v>
      </c>
      <c r="Z16">
        <f t="shared" si="2"/>
        <v>1867.6531130924202</v>
      </c>
      <c r="AC16">
        <v>11</v>
      </c>
      <c r="AD16">
        <f t="shared" si="10"/>
        <v>250</v>
      </c>
      <c r="AE16">
        <f t="shared" si="11"/>
        <v>212.23330830595683</v>
      </c>
      <c r="AF16">
        <f t="shared" si="3"/>
        <v>2334.5663913655253</v>
      </c>
    </row>
    <row r="17" spans="11:32" x14ac:dyDescent="0.25">
      <c r="K17">
        <v>12</v>
      </c>
      <c r="L17">
        <f t="shared" si="4"/>
        <v>100</v>
      </c>
      <c r="M17">
        <f t="shared" si="5"/>
        <v>83.638742189539656</v>
      </c>
      <c r="N17">
        <f t="shared" si="0"/>
        <v>1003.6649062744758</v>
      </c>
      <c r="Q17">
        <v>12</v>
      </c>
      <c r="R17">
        <f t="shared" si="6"/>
        <v>150</v>
      </c>
      <c r="S17">
        <f t="shared" si="7"/>
        <v>125.45811328430948</v>
      </c>
      <c r="T17">
        <f t="shared" si="1"/>
        <v>1505.4973594117139</v>
      </c>
      <c r="W17">
        <v>12</v>
      </c>
      <c r="X17">
        <f t="shared" si="8"/>
        <v>200</v>
      </c>
      <c r="Y17">
        <f t="shared" si="9"/>
        <v>167.27748437907931</v>
      </c>
      <c r="Z17">
        <f t="shared" si="2"/>
        <v>2007.3298125489516</v>
      </c>
      <c r="AC17">
        <v>12</v>
      </c>
      <c r="AD17">
        <f t="shared" si="10"/>
        <v>250</v>
      </c>
      <c r="AE17">
        <f t="shared" si="11"/>
        <v>209.09685547384913</v>
      </c>
      <c r="AF17">
        <f t="shared" si="3"/>
        <v>2509.1622656861896</v>
      </c>
    </row>
    <row r="18" spans="11:32" x14ac:dyDescent="0.25">
      <c r="K18">
        <v>13</v>
      </c>
      <c r="L18">
        <f t="shared" si="4"/>
        <v>100</v>
      </c>
      <c r="M18">
        <f t="shared" si="5"/>
        <v>82.402701664571097</v>
      </c>
      <c r="N18">
        <f t="shared" si="0"/>
        <v>1071.2351216394243</v>
      </c>
      <c r="Q18">
        <v>13</v>
      </c>
      <c r="R18">
        <f t="shared" si="6"/>
        <v>150</v>
      </c>
      <c r="S18">
        <f t="shared" si="7"/>
        <v>123.60405249685664</v>
      </c>
      <c r="T18">
        <f t="shared" si="1"/>
        <v>1606.8526824591363</v>
      </c>
      <c r="W18">
        <v>13</v>
      </c>
      <c r="X18">
        <f t="shared" si="8"/>
        <v>200</v>
      </c>
      <c r="Y18">
        <f t="shared" si="9"/>
        <v>164.80540332914219</v>
      </c>
      <c r="Z18">
        <f t="shared" si="2"/>
        <v>2142.4702432788486</v>
      </c>
      <c r="AC18">
        <v>13</v>
      </c>
      <c r="AD18">
        <f t="shared" si="10"/>
        <v>250</v>
      </c>
      <c r="AE18">
        <f t="shared" si="11"/>
        <v>206.00675416142772</v>
      </c>
      <c r="AF18">
        <f t="shared" si="3"/>
        <v>2678.0878040985604</v>
      </c>
    </row>
    <row r="19" spans="11:32" x14ac:dyDescent="0.25">
      <c r="K19">
        <v>14</v>
      </c>
      <c r="L19">
        <f t="shared" si="4"/>
        <v>100</v>
      </c>
      <c r="M19">
        <f t="shared" si="5"/>
        <v>81.184927748345928</v>
      </c>
      <c r="N19">
        <f t="shared" si="0"/>
        <v>1136.588988476843</v>
      </c>
      <c r="Q19">
        <v>14</v>
      </c>
      <c r="R19">
        <f t="shared" si="6"/>
        <v>150</v>
      </c>
      <c r="S19">
        <f t="shared" si="7"/>
        <v>121.77739162251889</v>
      </c>
      <c r="T19">
        <f t="shared" si="1"/>
        <v>1704.8834827152646</v>
      </c>
      <c r="W19">
        <v>14</v>
      </c>
      <c r="X19">
        <f t="shared" si="8"/>
        <v>200</v>
      </c>
      <c r="Y19">
        <f t="shared" si="9"/>
        <v>162.36985549669186</v>
      </c>
      <c r="Z19">
        <f t="shared" si="2"/>
        <v>2273.1779769536861</v>
      </c>
      <c r="AC19">
        <v>14</v>
      </c>
      <c r="AD19">
        <f t="shared" si="10"/>
        <v>250</v>
      </c>
      <c r="AE19">
        <f t="shared" si="11"/>
        <v>202.9623193708648</v>
      </c>
      <c r="AF19">
        <f t="shared" si="3"/>
        <v>2841.4724711921076</v>
      </c>
    </row>
    <row r="20" spans="11:32" x14ac:dyDescent="0.25">
      <c r="K20">
        <v>15</v>
      </c>
      <c r="L20">
        <f t="shared" si="4"/>
        <v>100</v>
      </c>
      <c r="M20">
        <f t="shared" si="5"/>
        <v>79.985150490981212</v>
      </c>
      <c r="N20">
        <f t="shared" si="0"/>
        <v>1199.7772573647183</v>
      </c>
      <c r="Q20">
        <v>15</v>
      </c>
      <c r="R20">
        <f t="shared" si="6"/>
        <v>150</v>
      </c>
      <c r="S20">
        <f t="shared" si="7"/>
        <v>119.97772573647183</v>
      </c>
      <c r="T20">
        <f t="shared" si="1"/>
        <v>1799.6658860470775</v>
      </c>
      <c r="W20">
        <v>15</v>
      </c>
      <c r="X20">
        <f t="shared" si="8"/>
        <v>200</v>
      </c>
      <c r="Y20">
        <f t="shared" si="9"/>
        <v>159.97030098196242</v>
      </c>
      <c r="Z20">
        <f t="shared" si="2"/>
        <v>2399.5545147294365</v>
      </c>
      <c r="AC20">
        <v>15</v>
      </c>
      <c r="AD20">
        <f t="shared" si="10"/>
        <v>250</v>
      </c>
      <c r="AE20">
        <f t="shared" si="11"/>
        <v>199.96287622745305</v>
      </c>
      <c r="AF20">
        <f t="shared" si="3"/>
        <v>2999.4431434117955</v>
      </c>
    </row>
    <row r="21" spans="11:32" x14ac:dyDescent="0.25">
      <c r="K21">
        <v>16</v>
      </c>
      <c r="L21">
        <f t="shared" si="4"/>
        <v>100</v>
      </c>
      <c r="M21">
        <f t="shared" si="5"/>
        <v>78.803103932001207</v>
      </c>
      <c r="N21">
        <f t="shared" si="0"/>
        <v>1260.8496629120193</v>
      </c>
      <c r="Q21">
        <v>16</v>
      </c>
      <c r="R21">
        <f t="shared" si="6"/>
        <v>150</v>
      </c>
      <c r="S21">
        <f t="shared" si="7"/>
        <v>118.20465589800182</v>
      </c>
      <c r="T21">
        <f t="shared" si="1"/>
        <v>1891.2744943680291</v>
      </c>
      <c r="W21">
        <v>16</v>
      </c>
      <c r="X21">
        <f t="shared" si="8"/>
        <v>200</v>
      </c>
      <c r="Y21">
        <f t="shared" si="9"/>
        <v>157.60620786400241</v>
      </c>
      <c r="Z21">
        <f t="shared" si="2"/>
        <v>2521.6993258240386</v>
      </c>
      <c r="AC21">
        <v>16</v>
      </c>
      <c r="AD21">
        <f t="shared" si="10"/>
        <v>250</v>
      </c>
      <c r="AE21">
        <f t="shared" si="11"/>
        <v>197.00775983000304</v>
      </c>
      <c r="AF21">
        <f t="shared" si="3"/>
        <v>3152.1241572800486</v>
      </c>
    </row>
    <row r="22" spans="11:32" x14ac:dyDescent="0.25">
      <c r="K22">
        <v>17</v>
      </c>
      <c r="L22">
        <f t="shared" si="4"/>
        <v>100</v>
      </c>
      <c r="M22">
        <f t="shared" si="5"/>
        <v>77.638526041380516</v>
      </c>
      <c r="N22">
        <f t="shared" si="0"/>
        <v>1319.8549427034689</v>
      </c>
      <c r="Q22">
        <v>17</v>
      </c>
      <c r="R22">
        <f t="shared" si="6"/>
        <v>150</v>
      </c>
      <c r="S22">
        <f t="shared" si="7"/>
        <v>116.45778906207077</v>
      </c>
      <c r="T22">
        <f t="shared" si="1"/>
        <v>1979.7824140552032</v>
      </c>
      <c r="W22">
        <v>17</v>
      </c>
      <c r="X22">
        <f t="shared" si="8"/>
        <v>200</v>
      </c>
      <c r="Y22">
        <f t="shared" si="9"/>
        <v>155.27705208276103</v>
      </c>
      <c r="Z22">
        <f t="shared" si="2"/>
        <v>2639.7098854069377</v>
      </c>
      <c r="AC22">
        <v>17</v>
      </c>
      <c r="AD22">
        <f t="shared" si="10"/>
        <v>250</v>
      </c>
      <c r="AE22">
        <f t="shared" si="11"/>
        <v>194.09631510345127</v>
      </c>
      <c r="AF22">
        <f t="shared" si="3"/>
        <v>3299.637356758672</v>
      </c>
    </row>
    <row r="23" spans="11:32" x14ac:dyDescent="0.25">
      <c r="K23">
        <v>18</v>
      </c>
      <c r="L23">
        <f t="shared" si="4"/>
        <v>100</v>
      </c>
      <c r="M23">
        <f t="shared" si="5"/>
        <v>76.491158661458641</v>
      </c>
      <c r="N23">
        <f t="shared" si="0"/>
        <v>1376.8408559062555</v>
      </c>
      <c r="Q23">
        <v>18</v>
      </c>
      <c r="R23">
        <f t="shared" si="6"/>
        <v>150</v>
      </c>
      <c r="S23">
        <f t="shared" si="7"/>
        <v>114.73673799218795</v>
      </c>
      <c r="T23">
        <f t="shared" si="1"/>
        <v>2065.2612838593832</v>
      </c>
      <c r="W23">
        <v>18</v>
      </c>
      <c r="X23">
        <f t="shared" si="8"/>
        <v>200</v>
      </c>
      <c r="Y23">
        <f t="shared" si="9"/>
        <v>152.98231732291728</v>
      </c>
      <c r="Z23">
        <f t="shared" si="2"/>
        <v>2753.6817118125109</v>
      </c>
      <c r="AC23">
        <v>18</v>
      </c>
      <c r="AD23">
        <f t="shared" si="10"/>
        <v>250</v>
      </c>
      <c r="AE23">
        <f t="shared" si="11"/>
        <v>191.22789665364661</v>
      </c>
      <c r="AF23">
        <f t="shared" si="3"/>
        <v>3442.1021397656386</v>
      </c>
    </row>
    <row r="24" spans="11:32" x14ac:dyDescent="0.25">
      <c r="K24">
        <v>19</v>
      </c>
      <c r="L24">
        <f t="shared" si="4"/>
        <v>100</v>
      </c>
      <c r="M24">
        <f t="shared" si="5"/>
        <v>75.360747449712946</v>
      </c>
      <c r="N24">
        <f t="shared" si="0"/>
        <v>1431.8542015445462</v>
      </c>
      <c r="Q24">
        <v>19</v>
      </c>
      <c r="R24">
        <f t="shared" si="6"/>
        <v>150</v>
      </c>
      <c r="S24">
        <f t="shared" si="7"/>
        <v>113.04112117456943</v>
      </c>
      <c r="T24">
        <f t="shared" si="1"/>
        <v>2147.7813023168192</v>
      </c>
      <c r="W24">
        <v>19</v>
      </c>
      <c r="X24">
        <f t="shared" si="8"/>
        <v>200</v>
      </c>
      <c r="Y24">
        <f t="shared" si="9"/>
        <v>150.72149489942589</v>
      </c>
      <c r="Z24">
        <f t="shared" si="2"/>
        <v>2863.7084030890924</v>
      </c>
      <c r="AC24">
        <v>19</v>
      </c>
      <c r="AD24">
        <f t="shared" si="10"/>
        <v>250</v>
      </c>
      <c r="AE24">
        <f t="shared" si="11"/>
        <v>188.40186862428237</v>
      </c>
      <c r="AF24">
        <f t="shared" si="3"/>
        <v>3579.6355038613651</v>
      </c>
    </row>
    <row r="25" spans="11:32" x14ac:dyDescent="0.25">
      <c r="K25">
        <v>20</v>
      </c>
      <c r="L25">
        <f>($B$6*$A$9)/$B$5 + $B$6</f>
        <v>10100</v>
      </c>
      <c r="M25">
        <f t="shared" si="5"/>
        <v>7498.9512240601089</v>
      </c>
      <c r="N25">
        <f t="shared" si="0"/>
        <v>149979.02448120218</v>
      </c>
      <c r="Q25">
        <v>20</v>
      </c>
      <c r="R25">
        <f>($B$6*$A$10)/$B$5 +$B$6</f>
        <v>10150</v>
      </c>
      <c r="S25">
        <f t="shared" si="7"/>
        <v>7536.0747449712981</v>
      </c>
      <c r="T25">
        <f t="shared" si="1"/>
        <v>150721.49489942595</v>
      </c>
      <c r="W25">
        <v>20</v>
      </c>
      <c r="X25">
        <f>($B$6*$A$11)/$B$5 +$B$6</f>
        <v>10200</v>
      </c>
      <c r="Y25">
        <f t="shared" si="9"/>
        <v>7573.1982658824863</v>
      </c>
      <c r="Z25">
        <f t="shared" si="2"/>
        <v>151463.96531764974</v>
      </c>
      <c r="AC25">
        <v>20</v>
      </c>
      <c r="AD25">
        <f>($B$6*$A$12)/$B$5 +$B$6</f>
        <v>10250</v>
      </c>
      <c r="AE25">
        <f t="shared" si="11"/>
        <v>7610.3217867936746</v>
      </c>
      <c r="AF25">
        <f t="shared" si="3"/>
        <v>152206.4357358735</v>
      </c>
    </row>
    <row r="26" spans="11:32" x14ac:dyDescent="0.25">
      <c r="K26" s="39" t="s">
        <v>40</v>
      </c>
      <c r="L26" s="39"/>
      <c r="M26" s="39"/>
      <c r="N26">
        <f>SUM(N6:N25)/(B5*SUM(M6:M25))</f>
        <v>9.0614915602959023</v>
      </c>
      <c r="Q26" s="39" t="s">
        <v>40</v>
      </c>
      <c r="R26" s="39"/>
      <c r="S26" s="39"/>
      <c r="T26">
        <f>SUM(T6:T25)/($B$5*SUM(S6:S25))</f>
        <v>8.7130841834290802</v>
      </c>
      <c r="W26" s="39" t="s">
        <v>40</v>
      </c>
      <c r="X26" s="39"/>
      <c r="Y26" s="39"/>
      <c r="Z26">
        <f>SUM(Z6:Z25)/($B$5*SUM(Y6:Y25))</f>
        <v>8.4197646906780168</v>
      </c>
      <c r="AC26" s="39" t="s">
        <v>40</v>
      </c>
      <c r="AD26" s="39"/>
      <c r="AE26" s="39"/>
      <c r="AF26">
        <f>SUM(AF6:AF25)/($B$5*SUM(AE6:AE25))</f>
        <v>8.1694250982815468</v>
      </c>
    </row>
    <row r="27" spans="11:32" x14ac:dyDescent="0.25">
      <c r="K27" s="34"/>
      <c r="L27" s="34"/>
      <c r="M27" s="8"/>
    </row>
  </sheetData>
  <mergeCells count="5">
    <mergeCell ref="W26:Y26"/>
    <mergeCell ref="AC26:AE26"/>
    <mergeCell ref="A1:P2"/>
    <mergeCell ref="K26:M26"/>
    <mergeCell ref="Q26:S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C33B-622E-4627-9DB2-981732AA5D3E}">
  <dimension ref="A1:N16"/>
  <sheetViews>
    <sheetView workbookViewId="0">
      <selection activeCell="E17" sqref="E17"/>
    </sheetView>
  </sheetViews>
  <sheetFormatPr defaultRowHeight="13.2" x14ac:dyDescent="0.25"/>
  <cols>
    <col min="3" max="3" width="13.33203125" customWidth="1"/>
  </cols>
  <sheetData>
    <row r="1" spans="1:14" ht="15.6" customHeight="1" x14ac:dyDescent="0.25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2"/>
      <c r="M1" s="2"/>
      <c r="N1" s="2"/>
    </row>
    <row r="2" spans="1:14" ht="13.2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4" ht="13.2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4" ht="13.2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4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4" x14ac:dyDescent="0.25">
      <c r="A7" t="s">
        <v>18</v>
      </c>
      <c r="B7">
        <v>1000</v>
      </c>
    </row>
    <row r="8" spans="1:14" x14ac:dyDescent="0.25">
      <c r="A8" t="s">
        <v>48</v>
      </c>
      <c r="B8">
        <v>0.1</v>
      </c>
    </row>
    <row r="9" spans="1:14" x14ac:dyDescent="0.25">
      <c r="A9" t="s">
        <v>20</v>
      </c>
      <c r="B9">
        <v>2</v>
      </c>
    </row>
    <row r="12" spans="1:14" x14ac:dyDescent="0.25">
      <c r="A12" t="s">
        <v>30</v>
      </c>
      <c r="B12" t="s">
        <v>53</v>
      </c>
      <c r="C12" t="s">
        <v>54</v>
      </c>
    </row>
    <row r="13" spans="1:14" x14ac:dyDescent="0.25">
      <c r="A13">
        <v>1</v>
      </c>
      <c r="B13">
        <v>0.09</v>
      </c>
      <c r="C13">
        <f>($B$7*$B$8/$B$9)/(1+$B13/$B$9)^$A13</f>
        <v>47.846889952153113</v>
      </c>
    </row>
    <row r="14" spans="1:14" x14ac:dyDescent="0.25">
      <c r="A14">
        <v>2</v>
      </c>
      <c r="B14">
        <v>0.106</v>
      </c>
      <c r="C14">
        <f t="shared" ref="C14:C16" si="0">($B$7*$B$8/$B$9)/(1+$B14/$B$9)^$A14</f>
        <v>45.093429075701948</v>
      </c>
    </row>
    <row r="15" spans="1:14" x14ac:dyDescent="0.25">
      <c r="A15">
        <v>3</v>
      </c>
      <c r="B15">
        <v>0.10299999999999999</v>
      </c>
      <c r="C15">
        <f t="shared" si="0"/>
        <v>43.007299493362488</v>
      </c>
    </row>
    <row r="16" spans="1:14" x14ac:dyDescent="0.25">
      <c r="A16">
        <v>4</v>
      </c>
      <c r="B16">
        <v>9.5000000000000001E-2</v>
      </c>
      <c r="C16">
        <f t="shared" si="0"/>
        <v>41.529229896783789</v>
      </c>
    </row>
  </sheetData>
  <mergeCells count="1">
    <mergeCell ref="A1:K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2E5C-9C49-474A-9562-08DFA7FE5D1B}">
  <dimension ref="A1:M6"/>
  <sheetViews>
    <sheetView topLeftCell="A9" workbookViewId="0">
      <selection activeCell="H14" sqref="H14"/>
    </sheetView>
  </sheetViews>
  <sheetFormatPr defaultRowHeight="13.2" x14ac:dyDescent="0.25"/>
  <cols>
    <col min="2" max="2" width="12.33203125" bestFit="1" customWidth="1"/>
  </cols>
  <sheetData>
    <row r="1" spans="1:13" ht="92.4" customHeight="1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</row>
    <row r="3" spans="1:13" x14ac:dyDescent="0.25">
      <c r="A3" t="s">
        <v>30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t="s">
        <v>15</v>
      </c>
    </row>
    <row r="4" spans="1:13" x14ac:dyDescent="0.25">
      <c r="A4" t="s">
        <v>55</v>
      </c>
      <c r="B4" s="35">
        <v>0.106</v>
      </c>
      <c r="C4">
        <v>0.104</v>
      </c>
      <c r="D4">
        <v>0.1</v>
      </c>
      <c r="E4">
        <v>9.0999999999999998E-2</v>
      </c>
      <c r="F4">
        <v>8.4400000000000003E-2</v>
      </c>
      <c r="G4">
        <v>7.6399999999999996E-2</v>
      </c>
      <c r="H4">
        <v>6.9900000000000004E-2</v>
      </c>
      <c r="I4">
        <v>6.5199999999999994E-2</v>
      </c>
      <c r="J4">
        <v>6.2399999999999997E-2</v>
      </c>
      <c r="K4">
        <v>6.2E-2</v>
      </c>
    </row>
    <row r="5" spans="1:13" x14ac:dyDescent="0.25">
      <c r="A5" t="s">
        <v>56</v>
      </c>
      <c r="B5">
        <f>1/(1+B4)^$K$3</f>
        <v>0.36513101996510761</v>
      </c>
      <c r="C5">
        <f t="shared" ref="C5:K5" si="0">1/(1+C4)^$K$3</f>
        <v>0.37179989780920658</v>
      </c>
      <c r="D5">
        <f t="shared" si="0"/>
        <v>0.38554328942953148</v>
      </c>
      <c r="E5">
        <f t="shared" si="0"/>
        <v>0.4185549612560503</v>
      </c>
      <c r="F5">
        <f t="shared" si="0"/>
        <v>0.44473868837789127</v>
      </c>
      <c r="G5">
        <f t="shared" si="0"/>
        <v>0.47892014914881281</v>
      </c>
      <c r="H5">
        <f t="shared" si="0"/>
        <v>0.5088246292290024</v>
      </c>
      <c r="I5">
        <f t="shared" si="0"/>
        <v>0.53172664356724175</v>
      </c>
      <c r="J5">
        <f t="shared" si="0"/>
        <v>0.54590790075547291</v>
      </c>
      <c r="K5">
        <f t="shared" si="0"/>
        <v>0.54796753954391031</v>
      </c>
    </row>
    <row r="6" spans="1:13" x14ac:dyDescent="0.25">
      <c r="A6" t="s">
        <v>57</v>
      </c>
      <c r="B6" s="35">
        <f>B4</f>
        <v>0.106</v>
      </c>
      <c r="C6">
        <f>(1+C4)^C3 / (1+B4)^B3 -1</f>
        <v>0.10200361663652813</v>
      </c>
      <c r="D6">
        <f t="shared" ref="D6:K6" si="1">(1+D4)^D3 / (1+C4)^C3 -1</f>
        <v>9.204342575089286E-2</v>
      </c>
      <c r="E6">
        <f t="shared" si="1"/>
        <v>6.4439413193838835E-2</v>
      </c>
      <c r="F6">
        <f t="shared" si="1"/>
        <v>5.8396858662373319E-2</v>
      </c>
      <c r="G6">
        <f t="shared" si="1"/>
        <v>3.7276622172954577E-2</v>
      </c>
      <c r="H6">
        <f>(1+H4)^H3 / (1+G4)^G3 -1</f>
        <v>3.171602942982843E-2</v>
      </c>
      <c r="I6">
        <f t="shared" si="1"/>
        <v>3.2873058697708402E-2</v>
      </c>
      <c r="J6">
        <f t="shared" si="1"/>
        <v>4.0263345575872966E-2</v>
      </c>
      <c r="K6">
        <f t="shared" si="1"/>
        <v>5.8406770308589318E-2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7D7D-41B6-44B0-BB63-8D46D0996677}">
  <dimension ref="A1:Q1"/>
  <sheetViews>
    <sheetView workbookViewId="0">
      <selection sqref="A1:Q1"/>
    </sheetView>
  </sheetViews>
  <sheetFormatPr defaultRowHeight="13.2" x14ac:dyDescent="0.25"/>
  <sheetData>
    <row r="1" spans="1:17" ht="88.8" customHeight="1" x14ac:dyDescent="0.25">
      <c r="A1" s="36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Zadania</vt:lpstr>
      <vt:lpstr>Zadanie1</vt:lpstr>
      <vt:lpstr>Zadanie2</vt:lpstr>
      <vt:lpstr>Zadanie3</vt:lpstr>
      <vt:lpstr>Zadanie4</vt:lpstr>
      <vt:lpstr>Zadanie5</vt:lpstr>
      <vt:lpstr>Zadanie6</vt:lpstr>
      <vt:lpstr>Zadanie7</vt:lpstr>
      <vt:lpstr>Zadanie8</vt:lpstr>
      <vt:lpstr>Zadanie9</vt:lpstr>
      <vt:lpstr>Zadanie10</vt:lpstr>
      <vt:lpstr>Zadanie11</vt:lpstr>
      <vt:lpstr>Zadanie12</vt:lpstr>
      <vt:lpstr>Zadanie13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Weron;dr Joanna Janczura;dr Marek Teuerle</dc:creator>
  <cp:lastModifiedBy>Marek Dworaczyk (275996)</cp:lastModifiedBy>
  <cp:lastPrinted>2000-04-29T06:50:58Z</cp:lastPrinted>
  <dcterms:created xsi:type="dcterms:W3CDTF">2000-04-14T07:44:12Z</dcterms:created>
  <dcterms:modified xsi:type="dcterms:W3CDTF">2025-01-20T13:26:37Z</dcterms:modified>
</cp:coreProperties>
</file>