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398" documentId="113_{0A8F9401-2010-7045-BB7C-3BEAE142FE10}" xr6:coauthVersionLast="40" xr6:coauthVersionMax="40" xr10:uidLastSave="{99A2C3C2-DF33-8745-A6CF-8C2709FCE25B}"/>
  <bookViews>
    <workbookView xWindow="12800" yWindow="460" windowWidth="12800" windowHeight="14180" activeTab="1" xr2:uid="{57AD4F1A-0328-5F4D-9C27-1AC3A8620BA2}"/>
  </bookViews>
  <sheets>
    <sheet name="ANOVA" sheetId="1" r:id="rId1"/>
    <sheet name="scatter plots and regression" sheetId="2" r:id="rId2"/>
    <sheet name="multiple regress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2" l="1"/>
  <c r="I20" i="2"/>
  <c r="I9" i="2"/>
  <c r="I7" i="2"/>
  <c r="G21" i="2"/>
  <c r="G15" i="2"/>
  <c r="G13" i="2"/>
  <c r="G11" i="2"/>
  <c r="F7" i="2"/>
  <c r="F8" i="2"/>
  <c r="H9" i="1"/>
  <c r="B9" i="1"/>
  <c r="B8" i="1"/>
  <c r="A8" i="1"/>
  <c r="D8" i="2" l="1"/>
  <c r="E8" i="2" s="1"/>
  <c r="C7" i="2"/>
  <c r="D7" i="2"/>
  <c r="E7" i="2" s="1"/>
  <c r="C8" i="2"/>
  <c r="H17" i="3" l="1"/>
  <c r="I23" i="3"/>
  <c r="M51" i="2"/>
  <c r="L51" i="2"/>
  <c r="M50" i="2"/>
  <c r="L50" i="2"/>
  <c r="F4" i="2" l="1"/>
  <c r="F2" i="2"/>
  <c r="A19" i="3"/>
  <c r="F3" i="2"/>
  <c r="F6" i="2"/>
  <c r="F5" i="2"/>
  <c r="I15" i="2"/>
  <c r="I5" i="2"/>
  <c r="C3" i="2" l="1"/>
  <c r="D6" i="2"/>
  <c r="E6" i="2" s="1"/>
  <c r="C6" i="2"/>
  <c r="D2" i="2"/>
  <c r="G2" i="2" s="1"/>
  <c r="D5" i="2"/>
  <c r="E5" i="2" s="1"/>
  <c r="C5" i="2"/>
  <c r="D4" i="2"/>
  <c r="E4" i="2" s="1"/>
  <c r="C2" i="2"/>
  <c r="C4" i="2"/>
  <c r="D3" i="2"/>
  <c r="E3" i="2" s="1"/>
  <c r="I33" i="2"/>
  <c r="I27" i="2"/>
  <c r="I31" i="2"/>
  <c r="H22" i="2"/>
  <c r="E2" i="2" l="1"/>
  <c r="I8" i="2"/>
  <c r="I6" i="2" l="1"/>
  <c r="J11" i="2" s="1"/>
  <c r="M25" i="2"/>
  <c r="G5" i="2"/>
  <c r="G7" i="2" s="1"/>
  <c r="G9" i="2" s="1"/>
  <c r="M26" i="2"/>
  <c r="N25" i="2" s="1"/>
  <c r="M23" i="2"/>
  <c r="N22" i="2" s="1"/>
  <c r="I12" i="2"/>
  <c r="M20" i="2" s="1"/>
  <c r="N19" i="2" s="1"/>
  <c r="M19" i="2"/>
  <c r="M22" i="2"/>
  <c r="A9" i="1"/>
  <c r="G2" i="1"/>
  <c r="G19" i="2" l="1"/>
  <c r="G25" i="2" s="1"/>
  <c r="G24" i="2" l="1"/>
</calcChain>
</file>

<file path=xl/sharedStrings.xml><?xml version="1.0" encoding="utf-8"?>
<sst xmlns="http://schemas.openxmlformats.org/spreadsheetml/2006/main" count="230" uniqueCount="158">
  <si>
    <t>SS</t>
  </si>
  <si>
    <t>df</t>
  </si>
  <si>
    <t>MS</t>
  </si>
  <si>
    <t>F</t>
  </si>
  <si>
    <t>confidence</t>
  </si>
  <si>
    <t>Treatments (T)</t>
  </si>
  <si>
    <t>SST</t>
  </si>
  <si>
    <t>DFT</t>
  </si>
  <si>
    <t>SST/DFT</t>
  </si>
  <si>
    <t>MST/MSE</t>
  </si>
  <si>
    <t>a</t>
  </si>
  <si>
    <t>Error (E)</t>
  </si>
  <si>
    <t>SSE</t>
  </si>
  <si>
    <t>DFE</t>
  </si>
  <si>
    <t>SSE/DFE</t>
  </si>
  <si>
    <t>Total</t>
  </si>
  <si>
    <t>SST+SSE</t>
  </si>
  <si>
    <t>DFT+DFE</t>
  </si>
  <si>
    <t>Reject null if</t>
  </si>
  <si>
    <t>F&gt;=F_a (critical)</t>
  </si>
  <si>
    <t>Reject if</t>
  </si>
  <si>
    <t>p-value&lt;=a</t>
  </si>
  <si>
    <t>F-critical</t>
  </si>
  <si>
    <t>F.INV.RT(a,df_1,df_2)</t>
  </si>
  <si>
    <t>Drug 1</t>
  </si>
  <si>
    <t>Drug 2</t>
  </si>
  <si>
    <t>Drug 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</si>
  <si>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</si>
  <si>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</si>
  <si>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</si>
  <si>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</si>
  <si>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</si>
  <si>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</si>
  <si>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</si>
  <si>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</si>
  <si>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</si>
  <si>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P-value</t>
  </si>
  <si>
    <t>F crit</t>
  </si>
  <si>
    <t>Between Groups</t>
  </si>
  <si>
    <t>Within Groups</t>
  </si>
  <si>
    <t>Number of Passing Touchdowns</t>
  </si>
  <si>
    <t>2012 Base Salary (in Millions of Dollars)</t>
  </si>
  <si>
    <t>Quarterback Rating</t>
  </si>
  <si>
    <t>Drew Brees</t>
  </si>
  <si>
    <t>Michael Vick</t>
  </si>
  <si>
    <t>Philip Rivers</t>
  </si>
  <si>
    <t>Tony Romo</t>
  </si>
  <si>
    <t>Aaron Rodgers</t>
  </si>
  <si>
    <t>Jay Cutler</t>
  </si>
  <si>
    <t>Alex Smith</t>
  </si>
  <si>
    <t>Eli Manning</t>
  </si>
  <si>
    <t>Tim Tebow</t>
  </si>
  <si>
    <t>Tom Brady</t>
  </si>
  <si>
    <t>CALCULATE CRITICAL PEARSON COEFFICIENT</t>
  </si>
  <si>
    <t>(T.INV(1-a/2,n-2))/SQRT((T.INV(1-a/2,n-2))^2+n-2) </t>
  </si>
  <si>
    <t>n</t>
  </si>
  <si>
    <t>If |r|&gt;=r_a (critical) then it is statistically significant</t>
  </si>
  <si>
    <t>Significant Linear Relationship (Two-Tailed Test)</t>
  </si>
  <si>
    <t>Significant Negative Linear Relationship (Left-Tailed Test)</t>
  </si>
  <si>
    <t>Significant Positive Linear Relationship (Right-Tailed Test)</t>
  </si>
  <si>
    <t>H0: ρ=0 (Implies that there is no significant linear relationship)</t>
  </si>
  <si>
    <t>Ha: ρ≠0 (Implies that there is a significant linear relationship)</t>
  </si>
  <si>
    <t>H0: ρ≥0 (Implies that there is no significant negative linear relationship)</t>
  </si>
  <si>
    <t>Ha: ρ&lt;0 (Implies that there is a significant negative linear relationship)</t>
  </si>
  <si>
    <t>H0: ρ≤0 (Implies that there is no significant positive linear relationship)</t>
  </si>
  <si>
    <t>Ha: ρ&gt;0 (Implies that there is a significant positive linear relationship)</t>
  </si>
  <si>
    <t>t (test-statistic)</t>
  </si>
  <si>
    <t>r/SQRT((1-r^2)/(n-2))</t>
  </si>
  <si>
    <t>r_a critical r</t>
  </si>
  <si>
    <t>Reject the null hypothesis, H0, if t≤−t_α</t>
  </si>
  <si>
    <t>Reject the null hypothesis, H0, if |t|≥t_(α/2)</t>
  </si>
  <si>
    <t>Reject the null hypothesis, H0, if t≥t_α</t>
  </si>
  <si>
    <t>PEARSON(independent,dependent)</t>
  </si>
  <si>
    <t>left tailed</t>
  </si>
  <si>
    <t>critical t</t>
  </si>
  <si>
    <t>if true</t>
  </si>
  <si>
    <t>null hypo rejected</t>
  </si>
  <si>
    <t>p-value</t>
  </si>
  <si>
    <t>if false</t>
  </si>
  <si>
    <t>fail to reject null hypo</t>
  </si>
  <si>
    <t>right tailed</t>
  </si>
  <si>
    <t>two-tailed</t>
  </si>
  <si>
    <t>r^2 (coefficient of determination)</t>
  </si>
  <si>
    <t xml:space="preserve">measures proportion of the variation in the dependent variable (y) </t>
  </si>
  <si>
    <t>with the variation in the independent variable (x)</t>
  </si>
  <si>
    <t>r=sample correlation (correlation coefficient)</t>
  </si>
  <si>
    <t>slope</t>
  </si>
  <si>
    <t>intercept</t>
  </si>
  <si>
    <t>predict y given x</t>
  </si>
  <si>
    <t>x</t>
  </si>
  <si>
    <t>y</t>
  </si>
  <si>
    <t>predict x given y</t>
  </si>
  <si>
    <t>y=mx+b</t>
  </si>
  <si>
    <t>one unit difference</t>
  </si>
  <si>
    <t>squared error</t>
  </si>
  <si>
    <t>E (margin of error)</t>
  </si>
  <si>
    <t>S_e (standard error estimate)</t>
  </si>
  <si>
    <t>mean of x</t>
  </si>
  <si>
    <t>sumsq x</t>
  </si>
  <si>
    <t>sum x</t>
  </si>
  <si>
    <t>prediction interval</t>
  </si>
  <si>
    <t>yˆ−E&lt;y&lt;yˆ+E</t>
  </si>
  <si>
    <t>left bound</t>
  </si>
  <si>
    <t>right bound</t>
  </si>
  <si>
    <t>x_0 (given to find confidence of)</t>
  </si>
  <si>
    <t>y=b_0+b_1*x</t>
  </si>
  <si>
    <t>To find confidence intervals</t>
  </si>
  <si>
    <t>use analysis toolpak, regression</t>
  </si>
  <si>
    <t>last two columns of last two rows</t>
  </si>
  <si>
    <t>are confidence intervals for B_0 and B_1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</si>
  <si>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</si>
  <si>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</si>
  <si>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</si>
  <si>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</si>
  <si>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</si>
  <si>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</si>
  <si>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</si>
  <si>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</si>
  <si>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</si>
  <si>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</si>
  <si>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</si>
  <si>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</si>
  <si>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</si>
  <si>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</si>
  <si>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</si>
  <si>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b _0 (y-intercept)</t>
  </si>
  <si>
    <t>b_1 (slope)</t>
  </si>
  <si>
    <t>lb&lt;b&lt;rb</t>
  </si>
  <si>
    <t>s_e^2 (variance of errors)</t>
  </si>
  <si>
    <t>s_b1^2 (variance of slope)</t>
  </si>
  <si>
    <t>x-x-bar</t>
  </si>
  <si>
    <t>predicted (y-hat)</t>
  </si>
  <si>
    <t>residual (y-y-hat)</t>
  </si>
  <si>
    <t>sum sq x-x-bar</t>
  </si>
  <si>
    <t>Hours Studying</t>
  </si>
  <si>
    <t>Equivalencies</t>
  </si>
  <si>
    <t>r</t>
  </si>
  <si>
    <t>r^2</t>
  </si>
  <si>
    <t>R^2</t>
  </si>
  <si>
    <t>adjusted R^2 is value of the multiple coefficient of determination adjusted for of independent variables and the sample size</t>
  </si>
  <si>
    <t>H0: β1=β2=…=βk=0</t>
  </si>
  <si>
    <t>Ha: At least one coefficient does not equal 0</t>
  </si>
  <si>
    <t>β1, β2, …, βk are the coefficients of the explanatory (independent) variables</t>
  </si>
  <si>
    <t>k is the number of explanatory (independent) variables in the model</t>
  </si>
  <si>
    <t>y-hat=β0 +β_1*x_1+β_2*x_2+…+β_k*x_k</t>
  </si>
  <si>
    <t>if all p-values &lt;=a, you can reject null hypothesis</t>
  </si>
  <si>
    <t>GPA</t>
  </si>
  <si>
    <t>SIGNIFICANT F IN ANOVA CHART IS p-value</t>
  </si>
  <si>
    <t>CAN MULTIPLE REGRESSION FORMULA BE USED?</t>
  </si>
  <si>
    <t>Age</t>
  </si>
  <si>
    <t>If x_i &gt;=p then you can eliminate it (as an answer choice not in raw data)</t>
  </si>
  <si>
    <t>Number of Tickets</t>
  </si>
  <si>
    <t>Lower 90.0%</t>
  </si>
  <si>
    <t>Upper 90.0%</t>
  </si>
  <si>
    <t>Midterm Grades</t>
  </si>
  <si>
    <t>Price in Dollars</t>
  </si>
  <si>
    <t>Lower 98.0%</t>
  </si>
  <si>
    <t>Upper 98.0%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</si>
</sst>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0" xfId="0" quotePrefix="1"/>
    <xf numFmtId="0" fontId="3" fillId="3" borderId="3" xfId="2"/>
    <xf numFmtId="0" fontId="2" fillId="2" borderId="3" xfId="1" applyBorder="1"/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and regression'!$U$1</c:f>
              <c:strCache>
                <c:ptCount val="1"/>
                <c:pt idx="0">
                  <c:v>2012 Base Salary (in Millions of Dollars)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 and regression'!$T$2:$T$11</c:f>
              <c:numCache>
                <c:formatCode>General</c:formatCode>
                <c:ptCount val="10"/>
                <c:pt idx="0">
                  <c:v>46</c:v>
                </c:pt>
                <c:pt idx="1">
                  <c:v>18</c:v>
                </c:pt>
                <c:pt idx="2">
                  <c:v>27</c:v>
                </c:pt>
                <c:pt idx="3">
                  <c:v>31</c:v>
                </c:pt>
                <c:pt idx="4">
                  <c:v>45</c:v>
                </c:pt>
                <c:pt idx="5">
                  <c:v>13</c:v>
                </c:pt>
                <c:pt idx="6">
                  <c:v>17</c:v>
                </c:pt>
                <c:pt idx="7">
                  <c:v>29</c:v>
                </c:pt>
                <c:pt idx="8">
                  <c:v>12</c:v>
                </c:pt>
                <c:pt idx="9">
                  <c:v>39</c:v>
                </c:pt>
              </c:numCache>
            </c:numRef>
          </c:xVal>
          <c:yVal>
            <c:numRef>
              <c:f>'scatter plots and regression'!$U$2:$U$11</c:f>
              <c:numCache>
                <c:formatCode>General</c:formatCode>
                <c:ptCount val="10"/>
                <c:pt idx="0">
                  <c:v>3</c:v>
                </c:pt>
                <c:pt idx="1">
                  <c:v>12.5</c:v>
                </c:pt>
                <c:pt idx="2">
                  <c:v>10.199999999999999</c:v>
                </c:pt>
                <c:pt idx="3">
                  <c:v>0.82499999999999996</c:v>
                </c:pt>
                <c:pt idx="4">
                  <c:v>8</c:v>
                </c:pt>
                <c:pt idx="5">
                  <c:v>7.7</c:v>
                </c:pt>
                <c:pt idx="6">
                  <c:v>5</c:v>
                </c:pt>
                <c:pt idx="7">
                  <c:v>1.75</c:v>
                </c:pt>
                <c:pt idx="8">
                  <c:v>2.1</c:v>
                </c:pt>
                <c:pt idx="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F-2B46-9116-15810F19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85551"/>
        <c:axId val="739685183"/>
      </c:scatterChart>
      <c:valAx>
        <c:axId val="73518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85183"/>
        <c:crosses val="autoZero"/>
        <c:crossBetween val="midCat"/>
      </c:valAx>
      <c:valAx>
        <c:axId val="7396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8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and regression'!$V$1</c:f>
              <c:strCache>
                <c:ptCount val="1"/>
                <c:pt idx="0">
                  <c:v>Quarterback 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 and regression'!$T$2:$T$11</c:f>
              <c:numCache>
                <c:formatCode>General</c:formatCode>
                <c:ptCount val="10"/>
                <c:pt idx="0">
                  <c:v>46</c:v>
                </c:pt>
                <c:pt idx="1">
                  <c:v>18</c:v>
                </c:pt>
                <c:pt idx="2">
                  <c:v>27</c:v>
                </c:pt>
                <c:pt idx="3">
                  <c:v>31</c:v>
                </c:pt>
                <c:pt idx="4">
                  <c:v>45</c:v>
                </c:pt>
                <c:pt idx="5">
                  <c:v>13</c:v>
                </c:pt>
                <c:pt idx="6">
                  <c:v>17</c:v>
                </c:pt>
                <c:pt idx="7">
                  <c:v>29</c:v>
                </c:pt>
                <c:pt idx="8">
                  <c:v>12</c:v>
                </c:pt>
                <c:pt idx="9">
                  <c:v>39</c:v>
                </c:pt>
              </c:numCache>
            </c:numRef>
          </c:xVal>
          <c:yVal>
            <c:numRef>
              <c:f>'scatter plots and regression'!$V$2:$V$11</c:f>
              <c:numCache>
                <c:formatCode>General</c:formatCode>
                <c:ptCount val="10"/>
                <c:pt idx="0">
                  <c:v>110.6</c:v>
                </c:pt>
                <c:pt idx="1">
                  <c:v>84.9</c:v>
                </c:pt>
                <c:pt idx="2">
                  <c:v>88.7</c:v>
                </c:pt>
                <c:pt idx="3">
                  <c:v>102.5</c:v>
                </c:pt>
                <c:pt idx="4">
                  <c:v>122.5</c:v>
                </c:pt>
                <c:pt idx="5">
                  <c:v>85.7</c:v>
                </c:pt>
                <c:pt idx="6">
                  <c:v>90.7</c:v>
                </c:pt>
                <c:pt idx="7">
                  <c:v>92.9</c:v>
                </c:pt>
                <c:pt idx="8">
                  <c:v>72.900000000000006</c:v>
                </c:pt>
                <c:pt idx="9">
                  <c:v>105.6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6-9C4E-8DEB-EEA73F73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72623"/>
        <c:axId val="688651567"/>
      </c:scatterChart>
      <c:valAx>
        <c:axId val="7384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51567"/>
        <c:crosses val="autoZero"/>
        <c:crossBetween val="midCat"/>
      </c:valAx>
      <c:valAx>
        <c:axId val="6886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7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13</xdr:row>
      <xdr:rowOff>44450</xdr:rowOff>
    </xdr:from>
    <xdr:to>
      <xdr:col>27</xdr:col>
      <xdr:colOff>368300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244A7-56E7-1045-9CD4-0468EAC9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28</xdr:row>
      <xdr:rowOff>107950</xdr:rowOff>
    </xdr:from>
    <xdr:to>
      <xdr:col>27</xdr:col>
      <xdr:colOff>355600</xdr:colOff>
      <xdr:row>42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F5FAF-FE6C-224B-9E21-41DCCA440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598972</xdr:colOff>
      <xdr:row>27</xdr:row>
      <xdr:rowOff>127000</xdr:rowOff>
    </xdr:from>
    <xdr:to>
      <xdr:col>15</xdr:col>
      <xdr:colOff>609600</xdr:colOff>
      <xdr:row>41</xdr:row>
      <xdr:rowOff>7346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A14B91-BDF1-A748-9D70-45AA74928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5472" y="5626100"/>
          <a:ext cx="5725628" cy="2750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698500</xdr:colOff>
      <xdr:row>13</xdr:row>
      <xdr:rowOff>41038</xdr:rowOff>
    </xdr:from>
    <xdr:to>
      <xdr:col>17</xdr:col>
      <xdr:colOff>152400</xdr:colOff>
      <xdr:row>22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1B16D-CAD7-FF43-9AEE-366B0375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0" y="2682638"/>
          <a:ext cx="4406900" cy="1952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02BB-03F2-A24A-96CB-8CA1988A9146}">
  <dimension ref="A1:L28"/>
  <sheetViews>
    <sheetView topLeftCell="C1" workbookViewId="0">
      <selection activeCell="H10" sqref="H10"/>
    </sheetView>
  </sheetViews>
  <sheetFormatPr baseColWidth="10" defaultColWidth="11" defaultRowHeight="16"/>
  <cols>
    <col min="1" max="1" width="14" customWidth="1"/>
    <col min="6" max="6" width="14.1640625" customWidth="1"/>
    <col min="7" max="7" width="13.832031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95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f>1-G1/100</f>
        <v>5.0000000000000044E-2</v>
      </c>
    </row>
    <row r="3" spans="1:8">
      <c r="A3" t="s">
        <v>11</v>
      </c>
      <c r="B3" t="s">
        <v>12</v>
      </c>
      <c r="C3" t="s">
        <v>13</v>
      </c>
      <c r="D3" t="s">
        <v>14</v>
      </c>
    </row>
    <row r="4" spans="1:8">
      <c r="A4" t="s">
        <v>15</v>
      </c>
      <c r="B4" t="s">
        <v>16</v>
      </c>
      <c r="C4" t="s">
        <v>17</v>
      </c>
      <c r="F4" t="s">
        <v>18</v>
      </c>
    </row>
    <row r="5" spans="1:8">
      <c r="F5" t="s">
        <v>19</v>
      </c>
    </row>
    <row r="7" spans="1:8">
      <c r="F7" t="s">
        <v>20</v>
      </c>
    </row>
    <row r="8" spans="1:8">
      <c r="A8">
        <f>4882.92-2031</f>
        <v>2851.92</v>
      </c>
      <c r="B8">
        <f>A8/8</f>
        <v>356.49</v>
      </c>
      <c r="F8" t="s">
        <v>21</v>
      </c>
    </row>
    <row r="9" spans="1:8">
      <c r="A9">
        <f>6242.12-A8</f>
        <v>3390.2</v>
      </c>
      <c r="B9">
        <f>2031/10</f>
        <v>203.1</v>
      </c>
      <c r="H9">
        <f>_xlfn.F.INV.RT(0.1,8,10)</f>
        <v>2.3771500226405129</v>
      </c>
    </row>
    <row r="10" spans="1:8">
      <c r="F10" t="s">
        <v>22</v>
      </c>
      <c r="G10" t="s">
        <v>23</v>
      </c>
    </row>
    <row r="14" spans="1:8">
      <c r="A14" t="s">
        <v>24</v>
      </c>
      <c r="B14" t="s">
        <v>25</v>
      </c>
      <c r="C14" t="s">
        <v>26</v>
      </c>
      <c r="F14" t="s">
        <v>27</v>
      </c>
    </row>
    <row r="15" spans="1:8">
      <c r="A15">
        <v>18</v>
      </c>
      <c r="B15">
        <v>18</v>
      </c>
      <c r="C15">
        <v>21</v>
      </c>
    </row>
    <row r="16" spans="1:8" ht="17" thickBot="1">
      <c r="A16">
        <v>19</v>
      </c>
      <c r="B16">
        <v>20</v>
      </c>
      <c r="C16">
        <v>22</v>
      </c>
      <c r="F16" t="s">
        <v>28</v>
      </c>
    </row>
    <row r="17" spans="1:12">
      <c r="A17">
        <v>20</v>
      </c>
      <c r="B17">
        <v>16</v>
      </c>
      <c r="C17">
        <v>17</v>
      </c>
      <c r="F17" s="3" t="s">
        <v>29</v>
      </c>
      <c r="G17" s="3" t="s">
        <v>30</v>
      </c>
      <c r="H17" s="3" t="s">
        <v>31</v>
      </c>
      <c r="I17" s="3" t="s">
        <v>32</v>
      </c>
      <c r="J17" s="3" t="s">
        <v>33</v>
      </c>
    </row>
    <row r="18" spans="1:12">
      <c r="A18">
        <v>21</v>
      </c>
      <c r="B18">
        <v>20</v>
      </c>
      <c r="C18">
        <v>18</v>
      </c>
      <c r="F18" s="1" t="s">
        <v>24</v>
      </c>
      <c r="G18" s="1">
        <v>10</v>
      </c>
      <c r="H18" s="1">
        <v>201</v>
      </c>
      <c r="I18" s="1">
        <v>20.100000000000001</v>
      </c>
      <c r="J18" s="1">
        <v>2.7666666666666675</v>
      </c>
    </row>
    <row r="19" spans="1:12">
      <c r="A19">
        <v>22</v>
      </c>
      <c r="B19">
        <v>21</v>
      </c>
      <c r="C19">
        <v>22</v>
      </c>
      <c r="F19" s="1" t="s">
        <v>25</v>
      </c>
      <c r="G19" s="1">
        <v>10</v>
      </c>
      <c r="H19" s="1">
        <v>182</v>
      </c>
      <c r="I19" s="1">
        <v>18.2</v>
      </c>
      <c r="J19" s="1">
        <v>5.7333333333333236</v>
      </c>
    </row>
    <row r="20" spans="1:12" ht="17" thickBot="1">
      <c r="A20">
        <v>23</v>
      </c>
      <c r="B20">
        <v>20</v>
      </c>
      <c r="C20">
        <v>19</v>
      </c>
      <c r="F20" s="2" t="s">
        <v>26</v>
      </c>
      <c r="G20" s="2">
        <v>10</v>
      </c>
      <c r="H20" s="2">
        <v>201</v>
      </c>
      <c r="I20" s="2">
        <v>20.100000000000001</v>
      </c>
      <c r="J20" s="2">
        <v>4.1000000000000005</v>
      </c>
    </row>
    <row r="21" spans="1:12">
      <c r="A21">
        <v>18</v>
      </c>
      <c r="B21">
        <v>18</v>
      </c>
      <c r="C21">
        <v>21</v>
      </c>
    </row>
    <row r="22" spans="1:12">
      <c r="A22">
        <v>19</v>
      </c>
      <c r="B22">
        <v>19</v>
      </c>
      <c r="C22">
        <v>20</v>
      </c>
    </row>
    <row r="23" spans="1:12" ht="17" thickBot="1">
      <c r="A23">
        <v>20</v>
      </c>
      <c r="B23">
        <v>17</v>
      </c>
      <c r="C23">
        <v>18</v>
      </c>
      <c r="F23" t="s">
        <v>34</v>
      </c>
    </row>
    <row r="24" spans="1:12">
      <c r="A24">
        <v>21</v>
      </c>
      <c r="B24">
        <v>13</v>
      </c>
      <c r="C24">
        <v>23</v>
      </c>
      <c r="F24" s="3" t="s">
        <v>35</v>
      </c>
      <c r="G24" s="3" t="s">
        <v>0</v>
      </c>
      <c r="H24" s="3" t="s">
        <v>1</v>
      </c>
      <c r="I24" s="3" t="s">
        <v>2</v>
      </c>
      <c r="J24" s="3" t="s">
        <v>3</v>
      </c>
      <c r="K24" s="3" t="s">
        <v>36</v>
      </c>
      <c r="L24" s="3" t="s">
        <v>37</v>
      </c>
    </row>
    <row r="25" spans="1:12">
      <c r="F25" s="1" t="s">
        <v>38</v>
      </c>
      <c r="G25" s="1">
        <v>24.066666666666663</v>
      </c>
      <c r="H25" s="1">
        <v>2</v>
      </c>
      <c r="I25" s="1">
        <v>12.033333333333331</v>
      </c>
      <c r="J25" s="1">
        <v>2.8650793650793647</v>
      </c>
      <c r="K25" s="1">
        <v>7.4406574475270854E-2</v>
      </c>
      <c r="L25" s="1">
        <v>2.5106086665585408</v>
      </c>
    </row>
    <row r="26" spans="1:12">
      <c r="F26" s="1" t="s">
        <v>39</v>
      </c>
      <c r="G26" s="1">
        <v>113.4</v>
      </c>
      <c r="H26" s="1">
        <v>27</v>
      </c>
      <c r="I26" s="1">
        <v>4.2</v>
      </c>
      <c r="J26" s="1"/>
      <c r="K26" s="1"/>
      <c r="L26" s="1"/>
    </row>
    <row r="27" spans="1:12">
      <c r="F27" s="1"/>
      <c r="G27" s="1"/>
      <c r="H27" s="1"/>
      <c r="I27" s="1"/>
      <c r="J27" s="1"/>
      <c r="K27" s="1"/>
      <c r="L27" s="1"/>
    </row>
    <row r="28" spans="1:12" ht="17" thickBot="1">
      <c r="F28" s="2" t="s">
        <v>15</v>
      </c>
      <c r="G28" s="2">
        <v>137.46666666666667</v>
      </c>
      <c r="H28" s="2">
        <v>29</v>
      </c>
      <c r="I28" s="2"/>
      <c r="J28" s="2"/>
      <c r="K28" s="2"/>
      <c r="L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E29D-B793-403D-8B38-499C6B5B1482}">
  <dimension ref="A1:V51"/>
  <sheetViews>
    <sheetView tabSelected="1" zoomScaleNormal="100" workbookViewId="0">
      <selection activeCell="I20" sqref="I20"/>
    </sheetView>
  </sheetViews>
  <sheetFormatPr baseColWidth="10" defaultColWidth="8.83203125" defaultRowHeight="16"/>
  <cols>
    <col min="1" max="1" width="11.5" customWidth="1"/>
    <col min="2" max="2" width="12.1640625" customWidth="1"/>
    <col min="3" max="3" width="10.5" customWidth="1"/>
    <col min="4" max="4" width="12.83203125" customWidth="1"/>
    <col min="5" max="5" width="15.5" customWidth="1"/>
    <col min="6" max="6" width="7.5" customWidth="1"/>
    <col min="7" max="7" width="37.6640625" customWidth="1"/>
    <col min="8" max="8" width="39.1640625" customWidth="1"/>
    <col min="10" max="10" width="7.1640625" customWidth="1"/>
    <col min="11" max="11" width="35.1640625" customWidth="1"/>
    <col min="12" max="12" width="11.1640625" customWidth="1"/>
    <col min="13" max="13" width="11" customWidth="1"/>
  </cols>
  <sheetData>
    <row r="1" spans="1:22">
      <c r="A1" t="s">
        <v>134</v>
      </c>
      <c r="B1" t="s">
        <v>154</v>
      </c>
      <c r="C1" t="s">
        <v>131</v>
      </c>
      <c r="D1" t="s">
        <v>132</v>
      </c>
      <c r="E1" t="s">
        <v>94</v>
      </c>
      <c r="F1" t="s">
        <v>130</v>
      </c>
      <c r="G1" t="s">
        <v>12</v>
      </c>
      <c r="H1" t="s">
        <v>53</v>
      </c>
      <c r="L1" s="5" t="s">
        <v>57</v>
      </c>
      <c r="T1" t="s">
        <v>40</v>
      </c>
      <c r="U1" t="s">
        <v>41</v>
      </c>
      <c r="V1" t="s">
        <v>42</v>
      </c>
    </row>
    <row r="2" spans="1:22" ht="17">
      <c r="A2">
        <v>0.5</v>
      </c>
      <c r="B2">
        <v>63</v>
      </c>
      <c r="C2">
        <f>$I$20*A2+$I$21</f>
        <v>60.977011494252871</v>
      </c>
      <c r="D2">
        <f>B2-($I$20*A2+$I$21)</f>
        <v>2.0229885057471293</v>
      </c>
      <c r="E2">
        <f>D2^2</f>
        <v>4.0924824943850027</v>
      </c>
      <c r="F2">
        <f>A2-$G$11</f>
        <v>-1.7857142857142856</v>
      </c>
      <c r="G2" s="7">
        <f>SUMSQ(D2:D8)</f>
        <v>118.91954022988503</v>
      </c>
      <c r="H2" s="4" t="s">
        <v>54</v>
      </c>
      <c r="L2" t="s">
        <v>60</v>
      </c>
      <c r="S2" t="s">
        <v>43</v>
      </c>
      <c r="T2">
        <v>46</v>
      </c>
      <c r="U2">
        <v>3</v>
      </c>
      <c r="V2">
        <v>110.6</v>
      </c>
    </row>
    <row r="3" spans="1:22">
      <c r="A3">
        <v>1</v>
      </c>
      <c r="B3">
        <v>66</v>
      </c>
      <c r="C3">
        <f>$I$20*A3+$I$21</f>
        <v>65.103448275862064</v>
      </c>
      <c r="D3">
        <f>B3-($I$20*A3+$I$21)</f>
        <v>0.89655172413793593</v>
      </c>
      <c r="E3">
        <f t="shared" ref="E3:E8" si="0">D3^2</f>
        <v>0.80380499405470562</v>
      </c>
      <c r="F3">
        <f t="shared" ref="F3:F8" si="1">A3-$G$11</f>
        <v>-1.2857142857142856</v>
      </c>
      <c r="L3" t="s">
        <v>61</v>
      </c>
      <c r="S3" t="s">
        <v>44</v>
      </c>
      <c r="T3">
        <v>18</v>
      </c>
      <c r="U3">
        <v>12.5</v>
      </c>
      <c r="V3">
        <v>84.9</v>
      </c>
    </row>
    <row r="4" spans="1:22">
      <c r="A4">
        <v>1.5</v>
      </c>
      <c r="B4">
        <v>68</v>
      </c>
      <c r="C4">
        <f>$I$20*A4+$I$21</f>
        <v>69.229885057471265</v>
      </c>
      <c r="D4">
        <f>B4-($I$20*A4+$I$21)</f>
        <v>-1.2298850574712645</v>
      </c>
      <c r="E4">
        <f t="shared" si="0"/>
        <v>1.5126172545910956</v>
      </c>
      <c r="F4">
        <f t="shared" si="1"/>
        <v>-0.78571428571428559</v>
      </c>
      <c r="G4" t="s">
        <v>96</v>
      </c>
      <c r="H4" t="s">
        <v>4</v>
      </c>
      <c r="I4" s="7">
        <v>99</v>
      </c>
      <c r="L4" s="5" t="s">
        <v>58</v>
      </c>
      <c r="S4" t="s">
        <v>45</v>
      </c>
      <c r="T4">
        <v>27</v>
      </c>
      <c r="U4">
        <v>10.199999999999999</v>
      </c>
      <c r="V4">
        <v>88.7</v>
      </c>
    </row>
    <row r="5" spans="1:22">
      <c r="A5">
        <v>2</v>
      </c>
      <c r="B5">
        <v>72</v>
      </c>
      <c r="C5">
        <f>$I$20*A5+$I$21</f>
        <v>73.356321839080465</v>
      </c>
      <c r="D5">
        <f>B5-($I$20*A5+$I$21)</f>
        <v>-1.356321839080465</v>
      </c>
      <c r="E5">
        <f t="shared" si="0"/>
        <v>1.8396089311666148</v>
      </c>
      <c r="F5">
        <f t="shared" si="1"/>
        <v>-0.28571428571428559</v>
      </c>
      <c r="G5">
        <f>SQRT(G2/I8)</f>
        <v>4.8768748236936537</v>
      </c>
      <c r="H5" t="s">
        <v>10</v>
      </c>
      <c r="I5">
        <f>1-I4/100</f>
        <v>1.0000000000000009E-2</v>
      </c>
      <c r="L5" t="s">
        <v>62</v>
      </c>
      <c r="S5" t="s">
        <v>46</v>
      </c>
      <c r="T5">
        <v>31</v>
      </c>
      <c r="U5">
        <v>0.82499999999999996</v>
      </c>
      <c r="V5">
        <v>102.5</v>
      </c>
    </row>
    <row r="6" spans="1:22">
      <c r="A6">
        <v>3</v>
      </c>
      <c r="B6">
        <v>74</v>
      </c>
      <c r="C6">
        <f>$I$20*A6+$I$21</f>
        <v>81.609195402298852</v>
      </c>
      <c r="D6">
        <f>B6-($I$20*A6+$I$21)</f>
        <v>-7.6091954022988517</v>
      </c>
      <c r="E6">
        <f t="shared" si="0"/>
        <v>57.899854670365983</v>
      </c>
      <c r="F6">
        <f t="shared" si="1"/>
        <v>0.71428571428571441</v>
      </c>
      <c r="G6" t="s">
        <v>128</v>
      </c>
      <c r="H6" t="s">
        <v>68</v>
      </c>
      <c r="I6">
        <f>(_xlfn.T.INV(1-I5/2,I8))/SQRT((_xlfn.T.INV(1-I5/2,I8))^2+I8)</f>
        <v>0.87452637990131188</v>
      </c>
      <c r="L6" t="s">
        <v>63</v>
      </c>
      <c r="S6" t="s">
        <v>47</v>
      </c>
      <c r="T6">
        <v>45</v>
      </c>
      <c r="U6">
        <v>8</v>
      </c>
      <c r="V6">
        <v>122.5</v>
      </c>
    </row>
    <row r="7" spans="1:22">
      <c r="A7">
        <v>3.5</v>
      </c>
      <c r="B7">
        <v>93</v>
      </c>
      <c r="C7">
        <f t="shared" ref="C7:C8" si="2">$I$20*A7+$I$21</f>
        <v>85.735632183908052</v>
      </c>
      <c r="D7">
        <f t="shared" ref="D7:D8" si="3">B7-($I$20*A7+$I$21)</f>
        <v>7.2643678160919478</v>
      </c>
      <c r="E7">
        <f t="shared" si="0"/>
        <v>52.771039767472494</v>
      </c>
      <c r="F7">
        <f t="shared" si="1"/>
        <v>1.2142857142857144</v>
      </c>
      <c r="G7">
        <f>G5^2</f>
        <v>23.783908045977004</v>
      </c>
      <c r="H7" t="s">
        <v>55</v>
      </c>
      <c r="I7" s="7">
        <f>ROWS(A2:A8)</f>
        <v>7</v>
      </c>
      <c r="L7" s="5" t="s">
        <v>59</v>
      </c>
      <c r="S7" t="s">
        <v>48</v>
      </c>
      <c r="T7">
        <v>13</v>
      </c>
      <c r="U7">
        <v>7.7</v>
      </c>
      <c r="V7">
        <v>85.7</v>
      </c>
    </row>
    <row r="8" spans="1:22">
      <c r="A8">
        <v>4.5</v>
      </c>
      <c r="B8">
        <v>94</v>
      </c>
      <c r="C8">
        <f t="shared" si="2"/>
        <v>93.988505747126425</v>
      </c>
      <c r="D8">
        <f t="shared" si="3"/>
        <v>1.1494252873575306E-2</v>
      </c>
      <c r="E8">
        <f t="shared" si="0"/>
        <v>1.3211784912169416E-4</v>
      </c>
      <c r="F8">
        <f t="shared" si="1"/>
        <v>2.2142857142857144</v>
      </c>
      <c r="G8" t="s">
        <v>129</v>
      </c>
      <c r="H8" t="s">
        <v>1</v>
      </c>
      <c r="I8">
        <f>I7-2</f>
        <v>5</v>
      </c>
      <c r="L8" t="s">
        <v>64</v>
      </c>
      <c r="S8" t="s">
        <v>49</v>
      </c>
      <c r="T8">
        <v>17</v>
      </c>
      <c r="U8">
        <v>5</v>
      </c>
      <c r="V8">
        <v>90.7</v>
      </c>
    </row>
    <row r="9" spans="1:22">
      <c r="G9">
        <f>G7/G21</f>
        <v>1.9136477738142414</v>
      </c>
      <c r="H9" t="s">
        <v>85</v>
      </c>
      <c r="I9" s="7">
        <f>PEARSON(A2:A8,B2:B8)</f>
        <v>0.93638775145233644</v>
      </c>
      <c r="L9" t="s">
        <v>65</v>
      </c>
      <c r="S9" t="s">
        <v>50</v>
      </c>
      <c r="T9">
        <v>29</v>
      </c>
      <c r="U9">
        <v>1.75</v>
      </c>
      <c r="V9">
        <v>92.9</v>
      </c>
    </row>
    <row r="10" spans="1:22">
      <c r="G10" t="s">
        <v>97</v>
      </c>
      <c r="H10" t="s">
        <v>72</v>
      </c>
      <c r="S10" t="s">
        <v>51</v>
      </c>
      <c r="T10">
        <v>12</v>
      </c>
      <c r="U10">
        <v>2.1</v>
      </c>
      <c r="V10">
        <v>72.900000000000006</v>
      </c>
    </row>
    <row r="11" spans="1:22">
      <c r="G11" s="7">
        <f>AVERAGE(A2:A8)</f>
        <v>2.2857142857142856</v>
      </c>
      <c r="H11" t="s">
        <v>56</v>
      </c>
      <c r="J11" t="b">
        <f>ABS(I9)&gt;=I6</f>
        <v>1</v>
      </c>
      <c r="L11" s="5" t="s">
        <v>57</v>
      </c>
      <c r="S11" t="s">
        <v>52</v>
      </c>
      <c r="T11">
        <v>39</v>
      </c>
      <c r="U11">
        <v>0.95</v>
      </c>
      <c r="V11">
        <v>105.6</v>
      </c>
    </row>
    <row r="12" spans="1:22">
      <c r="G12" t="s">
        <v>98</v>
      </c>
      <c r="H12" t="s">
        <v>66</v>
      </c>
      <c r="I12">
        <f>I9/SQRT((1-I9^2)/I8)</f>
        <v>5.9658755467397322</v>
      </c>
      <c r="L12" t="s">
        <v>70</v>
      </c>
    </row>
    <row r="13" spans="1:22">
      <c r="G13" s="7">
        <f>SUMSQ(A2:A8)</f>
        <v>49</v>
      </c>
      <c r="H13" t="s">
        <v>67</v>
      </c>
      <c r="L13" s="5" t="s">
        <v>58</v>
      </c>
    </row>
    <row r="14" spans="1:22">
      <c r="G14" t="s">
        <v>99</v>
      </c>
      <c r="L14" t="s">
        <v>69</v>
      </c>
    </row>
    <row r="15" spans="1:22">
      <c r="G15" s="7">
        <f>SUM(A2:A8)</f>
        <v>16</v>
      </c>
      <c r="H15" t="s">
        <v>82</v>
      </c>
      <c r="I15">
        <f>I9^2</f>
        <v>0.87682202106996254</v>
      </c>
      <c r="L15" s="5" t="s">
        <v>59</v>
      </c>
    </row>
    <row r="16" spans="1:22">
      <c r="G16" t="s">
        <v>104</v>
      </c>
      <c r="H16" t="s">
        <v>83</v>
      </c>
      <c r="L16" t="s">
        <v>71</v>
      </c>
    </row>
    <row r="17" spans="1:16">
      <c r="G17" s="8">
        <v>5</v>
      </c>
      <c r="H17" t="s">
        <v>84</v>
      </c>
    </row>
    <row r="18" spans="1:16">
      <c r="G18" t="s">
        <v>95</v>
      </c>
      <c r="L18" t="s">
        <v>73</v>
      </c>
    </row>
    <row r="19" spans="1:16">
      <c r="G19">
        <f>M25*G5*SQRT(1+1/I7+I7*(G13-G11)^2/(I7*G13-G15^2))</f>
        <v>261.41196922818165</v>
      </c>
      <c r="H19" t="s">
        <v>92</v>
      </c>
      <c r="L19" t="s">
        <v>74</v>
      </c>
      <c r="M19">
        <f>_xlfn.T.INV(I5,I8)</f>
        <v>-3.3649299989072183</v>
      </c>
      <c r="N19" t="e">
        <f>M20&lt;=I17</f>
        <v>#NUM!</v>
      </c>
      <c r="O19" t="s">
        <v>75</v>
      </c>
      <c r="P19" t="s">
        <v>76</v>
      </c>
    </row>
    <row r="20" spans="1:16">
      <c r="G20" t="s">
        <v>133</v>
      </c>
      <c r="H20" t="s">
        <v>86</v>
      </c>
      <c r="I20" s="7">
        <f>SLOPE(B2:B8,A2:A8)</f>
        <v>8.2528735632183903</v>
      </c>
      <c r="L20" t="s">
        <v>77</v>
      </c>
      <c r="M20" t="e">
        <f>(TDIST(-ABS(I12),I8,1))</f>
        <v>#NUM!</v>
      </c>
      <c r="O20" t="s">
        <v>78</v>
      </c>
      <c r="P20" t="s">
        <v>79</v>
      </c>
    </row>
    <row r="21" spans="1:16">
      <c r="G21" s="7">
        <f>SUMSQ(F2:F8)</f>
        <v>12.428571428571431</v>
      </c>
      <c r="H21" t="s">
        <v>87</v>
      </c>
      <c r="I21" s="7">
        <f>INTERCEPT(B2:B8,A2:A8)</f>
        <v>56.850574712643677</v>
      </c>
      <c r="L21" t="s">
        <v>80</v>
      </c>
    </row>
    <row r="22" spans="1:16">
      <c r="H22" s="6" t="str">
        <f>"y="&amp;I20&amp;"*x+"&amp;I21</f>
        <v>y=8.25287356321839*x+56.8505747126437</v>
      </c>
      <c r="L22" t="s">
        <v>74</v>
      </c>
      <c r="M22">
        <f>-_xlfn.T.INV(I5,I8)</f>
        <v>3.3649299989072183</v>
      </c>
      <c r="N22" t="b">
        <f>M23&lt;=I17</f>
        <v>0</v>
      </c>
      <c r="O22" t="s">
        <v>75</v>
      </c>
      <c r="P22" t="s">
        <v>76</v>
      </c>
    </row>
    <row r="23" spans="1:16">
      <c r="F23" t="s">
        <v>100</v>
      </c>
      <c r="G23" t="s">
        <v>101</v>
      </c>
      <c r="L23" t="s">
        <v>77</v>
      </c>
      <c r="M23">
        <f>(TDIST(ABS(I18),I8,1))</f>
        <v>0.5</v>
      </c>
      <c r="O23" t="s">
        <v>78</v>
      </c>
      <c r="P23" t="s">
        <v>79</v>
      </c>
    </row>
    <row r="24" spans="1:16">
      <c r="F24" t="s">
        <v>102</v>
      </c>
      <c r="G24">
        <f>$I$20*G17+$I$21-G19</f>
        <v>-163.29702669944601</v>
      </c>
      <c r="L24" t="s">
        <v>81</v>
      </c>
    </row>
    <row r="25" spans="1:16">
      <c r="F25" t="s">
        <v>103</v>
      </c>
      <c r="G25">
        <f>$I$20*G17+$I$21+G19</f>
        <v>359.52691175691729</v>
      </c>
      <c r="H25" t="s">
        <v>88</v>
      </c>
      <c r="L25" t="s">
        <v>74</v>
      </c>
      <c r="M25">
        <f>_xlfn.T.INV.2T(I5,I8)</f>
        <v>4.0321429835552269</v>
      </c>
      <c r="N25" t="b">
        <f>M26&lt;=I17</f>
        <v>0</v>
      </c>
      <c r="O25" t="s">
        <v>75</v>
      </c>
      <c r="P25" t="s">
        <v>76</v>
      </c>
    </row>
    <row r="26" spans="1:16">
      <c r="H26" t="s">
        <v>89</v>
      </c>
      <c r="I26">
        <v>2</v>
      </c>
      <c r="L26" t="s">
        <v>77</v>
      </c>
      <c r="M26">
        <f>(TDIST(ABS(I18),I8,2))</f>
        <v>1</v>
      </c>
      <c r="O26" t="s">
        <v>78</v>
      </c>
      <c r="P26" t="s">
        <v>79</v>
      </c>
    </row>
    <row r="27" spans="1:16">
      <c r="A27" t="s">
        <v>105</v>
      </c>
      <c r="B27" t="s">
        <v>106</v>
      </c>
      <c r="H27" t="s">
        <v>90</v>
      </c>
      <c r="I27">
        <f>I20*I26+I21</f>
        <v>73.356321839080465</v>
      </c>
    </row>
    <row r="28" spans="1:16">
      <c r="B28" t="s">
        <v>107</v>
      </c>
    </row>
    <row r="29" spans="1:16">
      <c r="B29" t="s">
        <v>108</v>
      </c>
      <c r="H29" t="s">
        <v>91</v>
      </c>
    </row>
    <row r="30" spans="1:16">
      <c r="B30" t="s">
        <v>109</v>
      </c>
      <c r="H30" t="s">
        <v>90</v>
      </c>
      <c r="I30">
        <v>2000</v>
      </c>
    </row>
    <row r="31" spans="1:16">
      <c r="H31" t="s">
        <v>89</v>
      </c>
      <c r="I31">
        <f>(I30-I21)/I20</f>
        <v>235.45125348189416</v>
      </c>
    </row>
    <row r="33" spans="1:11">
      <c r="H33" t="s">
        <v>93</v>
      </c>
      <c r="I33">
        <f>I20*1+I21-I21</f>
        <v>8.2528735632183867</v>
      </c>
    </row>
    <row r="34" spans="1:11">
      <c r="A34" t="s">
        <v>110</v>
      </c>
    </row>
    <row r="35" spans="1:11" ht="17" thickBot="1"/>
    <row r="36" spans="1:11">
      <c r="A36" s="9" t="s">
        <v>111</v>
      </c>
      <c r="B36" s="9"/>
    </row>
    <row r="37" spans="1:11">
      <c r="A37" s="1" t="s">
        <v>112</v>
      </c>
      <c r="B37" s="1">
        <v>0.91879950503548102</v>
      </c>
    </row>
    <row r="38" spans="1:11">
      <c r="A38" s="1" t="s">
        <v>113</v>
      </c>
      <c r="B38" s="1">
        <v>0.844192530453445</v>
      </c>
    </row>
    <row r="39" spans="1:11">
      <c r="A39" s="1" t="s">
        <v>114</v>
      </c>
      <c r="B39" s="1">
        <v>0.79225670727125996</v>
      </c>
    </row>
    <row r="40" spans="1:11">
      <c r="A40" s="1" t="s">
        <v>115</v>
      </c>
      <c r="B40" s="1">
        <v>1.1797796664134188</v>
      </c>
    </row>
    <row r="41" spans="1:11" ht="17" thickBot="1">
      <c r="A41" s="2" t="s">
        <v>116</v>
      </c>
      <c r="B41" s="2">
        <v>5</v>
      </c>
    </row>
    <row r="43" spans="1:11" ht="17" thickBot="1">
      <c r="A43" t="s">
        <v>34</v>
      </c>
    </row>
    <row r="44" spans="1:11">
      <c r="A44" s="3"/>
      <c r="B44" s="3" t="s">
        <v>1</v>
      </c>
      <c r="C44" s="3" t="s">
        <v>0</v>
      </c>
      <c r="D44" s="3" t="s">
        <v>2</v>
      </c>
      <c r="E44" s="3" t="s">
        <v>3</v>
      </c>
      <c r="F44" s="3" t="s">
        <v>120</v>
      </c>
    </row>
    <row r="45" spans="1:11">
      <c r="A45" s="1" t="s">
        <v>117</v>
      </c>
      <c r="B45" s="1">
        <v>1</v>
      </c>
      <c r="C45" s="1">
        <v>22.624359816152328</v>
      </c>
      <c r="D45" s="1">
        <v>22.624359816152328</v>
      </c>
      <c r="E45" s="1">
        <v>16.25453258904</v>
      </c>
      <c r="F45" s="1">
        <v>2.743533091879987E-2</v>
      </c>
    </row>
    <row r="46" spans="1:11">
      <c r="A46" s="1" t="s">
        <v>118</v>
      </c>
      <c r="B46" s="1">
        <v>3</v>
      </c>
      <c r="C46" s="1">
        <v>4.1756401838476735</v>
      </c>
      <c r="D46" s="1">
        <v>1.3918800612825579</v>
      </c>
      <c r="E46" s="1"/>
      <c r="F46" s="1"/>
    </row>
    <row r="47" spans="1:11" ht="17" thickBot="1">
      <c r="A47" s="2" t="s">
        <v>15</v>
      </c>
      <c r="B47" s="2">
        <v>4</v>
      </c>
      <c r="C47" s="2">
        <v>26.8</v>
      </c>
      <c r="D47" s="2"/>
      <c r="E47" s="2"/>
      <c r="F47" s="2"/>
    </row>
    <row r="48" spans="1:11" ht="17" thickBot="1">
      <c r="K48" t="s">
        <v>127</v>
      </c>
    </row>
    <row r="49" spans="1:13">
      <c r="A49" s="3"/>
      <c r="B49" s="3" t="s">
        <v>121</v>
      </c>
      <c r="C49" s="3" t="s">
        <v>115</v>
      </c>
      <c r="D49" s="3" t="s">
        <v>122</v>
      </c>
      <c r="E49" s="3" t="s">
        <v>36</v>
      </c>
      <c r="F49" s="3" t="s">
        <v>123</v>
      </c>
      <c r="G49" s="3" t="s">
        <v>124</v>
      </c>
      <c r="H49" s="3" t="s">
        <v>156</v>
      </c>
      <c r="I49" s="3" t="s">
        <v>157</v>
      </c>
      <c r="K49" t="s">
        <v>125</v>
      </c>
      <c r="L49" s="10" t="s">
        <v>102</v>
      </c>
      <c r="M49" s="10" t="s">
        <v>103</v>
      </c>
    </row>
    <row r="50" spans="1:13">
      <c r="A50" s="1" t="s">
        <v>119</v>
      </c>
      <c r="B50" s="1">
        <v>-2.0219960604070915</v>
      </c>
      <c r="C50" s="1">
        <v>1.7724431263146971</v>
      </c>
      <c r="D50" s="1">
        <v>-1.1407960178735157</v>
      </c>
      <c r="E50" s="1">
        <v>0.33677679065382277</v>
      </c>
      <c r="F50" s="1">
        <v>-7.6627011390728059</v>
      </c>
      <c r="G50" s="1">
        <v>3.618709018258623</v>
      </c>
      <c r="H50" s="1">
        <v>-10.070133630713677</v>
      </c>
      <c r="I50" s="1">
        <v>6.0261415098994933</v>
      </c>
      <c r="K50" t="s">
        <v>126</v>
      </c>
      <c r="L50">
        <f>H50</f>
        <v>-10.070133630713677</v>
      </c>
      <c r="M50">
        <f>I50</f>
        <v>6.0261415098994933</v>
      </c>
    </row>
    <row r="51" spans="1:13" ht="17" thickBot="1">
      <c r="A51" s="2" t="s">
        <v>155</v>
      </c>
      <c r="B51" s="2">
        <v>0.19271175311884439</v>
      </c>
      <c r="C51" s="2">
        <v>4.7799236479411512E-2</v>
      </c>
      <c r="D51" s="2">
        <v>4.0316910334300173</v>
      </c>
      <c r="E51" s="2">
        <v>2.743533091879987E-2</v>
      </c>
      <c r="F51" s="2">
        <v>4.0593249589558927E-2</v>
      </c>
      <c r="G51" s="2">
        <v>0.34483025664812983</v>
      </c>
      <c r="H51" s="2">
        <v>-2.4330376600593673E-2</v>
      </c>
      <c r="I51" s="2">
        <v>0.40975388283828246</v>
      </c>
      <c r="L51">
        <f>H51</f>
        <v>-2.4330376600593673E-2</v>
      </c>
      <c r="M51">
        <f>I51</f>
        <v>0.40975388283828246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960D-DAAF-7244-BCEF-843008AAF808}">
  <dimension ref="A1:I43"/>
  <sheetViews>
    <sheetView topLeftCell="A16" workbookViewId="0">
      <selection activeCell="F36" sqref="F36"/>
    </sheetView>
  </sheetViews>
  <sheetFormatPr baseColWidth="10" defaultRowHeight="16"/>
  <sheetData>
    <row r="1" spans="1:8">
      <c r="A1" t="s">
        <v>149</v>
      </c>
      <c r="B1" t="s">
        <v>146</v>
      </c>
      <c r="C1" t="s">
        <v>151</v>
      </c>
      <c r="G1" t="s">
        <v>135</v>
      </c>
    </row>
    <row r="2" spans="1:8">
      <c r="A2">
        <v>22</v>
      </c>
      <c r="B2">
        <v>4</v>
      </c>
      <c r="C2">
        <v>9</v>
      </c>
      <c r="G2" t="s">
        <v>136</v>
      </c>
      <c r="H2" t="s">
        <v>112</v>
      </c>
    </row>
    <row r="3" spans="1:8">
      <c r="A3">
        <v>21</v>
      </c>
      <c r="B3">
        <v>4</v>
      </c>
      <c r="C3">
        <v>7</v>
      </c>
      <c r="G3" t="s">
        <v>137</v>
      </c>
      <c r="H3" t="s">
        <v>138</v>
      </c>
    </row>
    <row r="4" spans="1:8">
      <c r="A4">
        <v>24</v>
      </c>
      <c r="B4">
        <v>3</v>
      </c>
      <c r="C4">
        <v>5</v>
      </c>
      <c r="H4" t="s">
        <v>139</v>
      </c>
    </row>
    <row r="5" spans="1:8">
      <c r="A5">
        <v>20</v>
      </c>
      <c r="B5">
        <v>4</v>
      </c>
      <c r="C5">
        <v>7</v>
      </c>
    </row>
    <row r="6" spans="1:8">
      <c r="A6">
        <v>20</v>
      </c>
      <c r="B6">
        <v>4</v>
      </c>
      <c r="C6">
        <v>6</v>
      </c>
      <c r="G6" t="s">
        <v>140</v>
      </c>
    </row>
    <row r="7" spans="1:8">
      <c r="A7">
        <v>21</v>
      </c>
      <c r="B7">
        <v>4</v>
      </c>
      <c r="C7">
        <v>1</v>
      </c>
      <c r="G7" t="s">
        <v>141</v>
      </c>
    </row>
    <row r="8" spans="1:8">
      <c r="A8">
        <v>24</v>
      </c>
      <c r="B8">
        <v>3</v>
      </c>
      <c r="C8">
        <v>3</v>
      </c>
    </row>
    <row r="9" spans="1:8">
      <c r="A9">
        <v>24</v>
      </c>
      <c r="B9">
        <v>2</v>
      </c>
      <c r="C9">
        <v>5</v>
      </c>
      <c r="G9" t="s">
        <v>142</v>
      </c>
    </row>
    <row r="10" spans="1:8">
      <c r="A10">
        <v>19</v>
      </c>
      <c r="B10">
        <v>3</v>
      </c>
      <c r="C10">
        <v>2</v>
      </c>
      <c r="G10" t="s">
        <v>143</v>
      </c>
    </row>
    <row r="12" spans="1:8">
      <c r="G12" t="s">
        <v>144</v>
      </c>
    </row>
    <row r="14" spans="1:8">
      <c r="G14" t="s">
        <v>145</v>
      </c>
    </row>
    <row r="16" spans="1:8">
      <c r="G16" t="s">
        <v>4</v>
      </c>
      <c r="H16" s="7">
        <v>99</v>
      </c>
    </row>
    <row r="17" spans="1:9">
      <c r="G17" t="s">
        <v>10</v>
      </c>
      <c r="H17">
        <f>1-H16/100</f>
        <v>1.0000000000000009E-2</v>
      </c>
    </row>
    <row r="18" spans="1:9">
      <c r="A18" t="s">
        <v>148</v>
      </c>
    </row>
    <row r="19" spans="1:9">
      <c r="A19" s="7" t="b">
        <f>I23&lt;=H17</f>
        <v>0</v>
      </c>
      <c r="G19" t="s">
        <v>18</v>
      </c>
    </row>
    <row r="20" spans="1:9">
      <c r="G20" t="s">
        <v>19</v>
      </c>
    </row>
    <row r="21" spans="1:9">
      <c r="A21" t="s">
        <v>150</v>
      </c>
    </row>
    <row r="22" spans="1:9">
      <c r="G22" t="s">
        <v>20</v>
      </c>
      <c r="I22" t="s">
        <v>147</v>
      </c>
    </row>
    <row r="23" spans="1:9">
      <c r="G23" t="s">
        <v>21</v>
      </c>
      <c r="H23" t="s">
        <v>77</v>
      </c>
      <c r="I23">
        <f>F36</f>
        <v>0.54157279441342943</v>
      </c>
    </row>
    <row r="25" spans="1:9">
      <c r="A25" t="s">
        <v>110</v>
      </c>
    </row>
    <row r="26" spans="1:9" ht="17" thickBot="1"/>
    <row r="27" spans="1:9">
      <c r="A27" s="9" t="s">
        <v>111</v>
      </c>
      <c r="B27" s="9"/>
    </row>
    <row r="28" spans="1:9">
      <c r="A28" s="1" t="s">
        <v>112</v>
      </c>
      <c r="B28" s="1">
        <v>0.42998242392554265</v>
      </c>
    </row>
    <row r="29" spans="1:9">
      <c r="A29" s="1" t="s">
        <v>113</v>
      </c>
      <c r="B29" s="1">
        <v>0.18488488488488505</v>
      </c>
    </row>
    <row r="30" spans="1:9">
      <c r="A30" s="1" t="s">
        <v>114</v>
      </c>
      <c r="B30" s="1">
        <v>-8.6820153486819929E-2</v>
      </c>
    </row>
    <row r="31" spans="1:9">
      <c r="A31" s="1" t="s">
        <v>115</v>
      </c>
      <c r="B31" s="1">
        <v>2.7085117751333545</v>
      </c>
    </row>
    <row r="32" spans="1:9" ht="17" thickBot="1">
      <c r="A32" s="2" t="s">
        <v>116</v>
      </c>
      <c r="B32" s="2">
        <v>9</v>
      </c>
    </row>
    <row r="34" spans="1:9" ht="17" thickBot="1">
      <c r="A34" t="s">
        <v>34</v>
      </c>
    </row>
    <row r="35" spans="1:9">
      <c r="A35" s="3"/>
      <c r="B35" s="3" t="s">
        <v>1</v>
      </c>
      <c r="C35" s="3" t="s">
        <v>0</v>
      </c>
      <c r="D35" s="3" t="s">
        <v>2</v>
      </c>
      <c r="E35" s="3" t="s">
        <v>3</v>
      </c>
      <c r="F35" s="3" t="s">
        <v>120</v>
      </c>
    </row>
    <row r="36" spans="1:9">
      <c r="A36" s="1" t="s">
        <v>117</v>
      </c>
      <c r="B36" s="1">
        <v>2</v>
      </c>
      <c r="C36" s="1">
        <v>9.9837837837837924</v>
      </c>
      <c r="D36" s="1">
        <v>4.9918918918918962</v>
      </c>
      <c r="E36" s="1">
        <v>0.68046174628515366</v>
      </c>
      <c r="F36" s="1">
        <v>0.54157279441342943</v>
      </c>
    </row>
    <row r="37" spans="1:9">
      <c r="A37" s="1" t="s">
        <v>118</v>
      </c>
      <c r="B37" s="1">
        <v>6</v>
      </c>
      <c r="C37" s="1">
        <v>44.016216216216208</v>
      </c>
      <c r="D37" s="1">
        <v>7.3360360360360346</v>
      </c>
      <c r="E37" s="1"/>
      <c r="F37" s="1"/>
    </row>
    <row r="38" spans="1:9" ht="17" thickBot="1">
      <c r="A38" s="2" t="s">
        <v>15</v>
      </c>
      <c r="B38" s="2">
        <v>8</v>
      </c>
      <c r="C38" s="2">
        <v>54</v>
      </c>
      <c r="D38" s="2"/>
      <c r="E38" s="2"/>
      <c r="F38" s="2"/>
    </row>
    <row r="39" spans="1:9" ht="17" thickBot="1"/>
    <row r="40" spans="1:9">
      <c r="A40" s="3"/>
      <c r="B40" s="3" t="s">
        <v>121</v>
      </c>
      <c r="C40" s="3" t="s">
        <v>115</v>
      </c>
      <c r="D40" s="3" t="s">
        <v>122</v>
      </c>
      <c r="E40" s="3" t="s">
        <v>36</v>
      </c>
      <c r="F40" s="3" t="s">
        <v>123</v>
      </c>
      <c r="G40" s="3" t="s">
        <v>124</v>
      </c>
      <c r="H40" s="3" t="s">
        <v>152</v>
      </c>
      <c r="I40" s="3" t="s">
        <v>153</v>
      </c>
    </row>
    <row r="41" spans="1:9">
      <c r="A41" s="1" t="s">
        <v>119</v>
      </c>
      <c r="B41" s="1">
        <v>-11.459459459459465</v>
      </c>
      <c r="C41" s="1">
        <v>17.26846696446022</v>
      </c>
      <c r="D41" s="1">
        <v>-0.66360606781388753</v>
      </c>
      <c r="E41" s="1">
        <v>0.53159791061464512</v>
      </c>
      <c r="F41" s="1">
        <v>-53.713875925902578</v>
      </c>
      <c r="G41" s="1">
        <v>30.794957006983644</v>
      </c>
      <c r="H41" s="1">
        <v>-45.015203939528526</v>
      </c>
      <c r="I41" s="1">
        <v>22.096285020609592</v>
      </c>
    </row>
    <row r="42" spans="1:9">
      <c r="A42" s="1" t="s">
        <v>149</v>
      </c>
      <c r="B42" s="1">
        <v>0.45675675675675687</v>
      </c>
      <c r="C42" s="1">
        <v>0.61377142652021632</v>
      </c>
      <c r="D42" s="1">
        <v>0.74418054836202496</v>
      </c>
      <c r="E42" s="1">
        <v>0.48488071339864769</v>
      </c>
      <c r="F42" s="1">
        <v>-1.0450878206897145</v>
      </c>
      <c r="G42" s="1">
        <v>1.958601334203228</v>
      </c>
      <c r="H42" s="1">
        <v>-0.73591177600107482</v>
      </c>
      <c r="I42" s="1">
        <v>1.6494252895145887</v>
      </c>
    </row>
    <row r="43" spans="1:9" ht="17" thickBot="1">
      <c r="A43" s="2" t="s">
        <v>146</v>
      </c>
      <c r="B43" s="2">
        <v>1.9054054054054059</v>
      </c>
      <c r="C43" s="2">
        <v>1.636050670649313</v>
      </c>
      <c r="D43" s="2">
        <v>1.1646371592202531</v>
      </c>
      <c r="E43" s="2">
        <v>0.28837311787820918</v>
      </c>
      <c r="F43" s="2">
        <v>-2.097866369680073</v>
      </c>
      <c r="G43" s="2">
        <v>5.9086771804908853</v>
      </c>
      <c r="H43" s="2">
        <v>-1.2737359957241761</v>
      </c>
      <c r="I43" s="2">
        <v>5.0845468065349877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scatter plots and regression</vt:lpstr>
      <vt:lpstr>multiple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jmonzon000@citymail.cuny.edu</dc:creator>
  <cp:keywords/>
  <dc:description/>
  <cp:lastModifiedBy>jmonzon000@citymail.cuny.edu</cp:lastModifiedBy>
  <cp:revision/>
  <dcterms:created xsi:type="dcterms:W3CDTF">2019-01-12T17:47:58Z</dcterms:created>
  <dcterms:modified xsi:type="dcterms:W3CDTF">2019-01-16T17:17:56Z</dcterms:modified>
  <cp:category/>
  <cp:contentStatus/>
</cp:coreProperties>
</file>