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cnymailcuny-my.sharepoint.com/personal/jmonzon000_citymail_cuny_edu/Documents/"/>
    </mc:Choice>
  </mc:AlternateContent>
  <xr:revisionPtr revIDLastSave="1268" documentId="11_E60897F41BE170836B02CE998F75CCDC64E183C8" xr6:coauthVersionLast="43" xr6:coauthVersionMax="43" xr10:uidLastSave="{AFB3ABA6-8444-4058-AD74-A1D6156E072A}"/>
  <bookViews>
    <workbookView xWindow="12800" yWindow="460" windowWidth="12800" windowHeight="14180" firstSheet="5" activeTab="5" xr2:uid="{00000000-000D-0000-FFFF-FFFF00000000}"/>
  </bookViews>
  <sheets>
    <sheet name="sigma unknown" sheetId="2" r:id="rId1"/>
    <sheet name="sigma known" sheetId="1" r:id="rId2"/>
    <sheet name="population proportion" sheetId="3" r:id="rId3"/>
    <sheet name="population variances" sheetId="4" r:id="rId4"/>
    <sheet name="chi square" sheetId="5" r:id="rId5"/>
    <sheet name="chi test association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26" i="6" l="1"/>
  <c r="AU17" i="6"/>
  <c r="AU15" i="6"/>
  <c r="AU9" i="6"/>
  <c r="AV9" i="6"/>
  <c r="AW9" i="6"/>
  <c r="AX9" i="6"/>
  <c r="AU10" i="6"/>
  <c r="AV10" i="6"/>
  <c r="AW10" i="6"/>
  <c r="AX10" i="6"/>
  <c r="AV8" i="6"/>
  <c r="AW8" i="6"/>
  <c r="AX8" i="6"/>
  <c r="AU8" i="6"/>
  <c r="AY5" i="6"/>
  <c r="AV5" i="6"/>
  <c r="AW5" i="6"/>
  <c r="AX5" i="6"/>
  <c r="AU5" i="6"/>
  <c r="AY3" i="6"/>
  <c r="AY4" i="6"/>
  <c r="AY2" i="6"/>
  <c r="AU34" i="6"/>
  <c r="AV15" i="6"/>
  <c r="AW15" i="6"/>
  <c r="AX15" i="6"/>
  <c r="AU16" i="6"/>
  <c r="AV16" i="6"/>
  <c r="AW16" i="6"/>
  <c r="AX16" i="6"/>
  <c r="AV17" i="6"/>
  <c r="AW17" i="6"/>
  <c r="AX17" i="6"/>
  <c r="AU21" i="6"/>
  <c r="AU32" i="6"/>
  <c r="AU38" i="6"/>
  <c r="AO9" i="6"/>
  <c r="AO16" i="6"/>
  <c r="AP9" i="6"/>
  <c r="AP16" i="6"/>
  <c r="AO10" i="6"/>
  <c r="AO17" i="6"/>
  <c r="AP10" i="6"/>
  <c r="AP17" i="6"/>
  <c r="AO22" i="6"/>
  <c r="B2" i="4"/>
  <c r="AE32" i="6"/>
  <c r="AO33" i="6"/>
  <c r="Y9" i="6"/>
  <c r="AO35" i="6"/>
  <c r="AO31" i="6"/>
  <c r="AO46" i="6"/>
  <c r="AO27" i="6"/>
  <c r="AO39" i="6"/>
  <c r="AR15" i="5"/>
  <c r="AR13" i="5"/>
  <c r="AR10" i="5"/>
  <c r="AT6" i="5"/>
  <c r="AU6" i="5"/>
  <c r="AS3" i="5"/>
  <c r="AS2" i="5"/>
  <c r="AT5" i="5"/>
  <c r="AU5" i="5"/>
  <c r="AT3" i="5"/>
  <c r="AU3" i="5"/>
  <c r="AT2" i="5"/>
  <c r="AU2" i="5"/>
  <c r="AT4" i="5"/>
  <c r="AU4" i="5"/>
  <c r="AR18" i="5"/>
  <c r="AR21" i="5"/>
  <c r="AR28" i="5"/>
  <c r="AR30" i="5"/>
  <c r="AR24" i="5"/>
  <c r="F9" i="2"/>
  <c r="AE34" i="6"/>
  <c r="AE26" i="6"/>
  <c r="AE8" i="6"/>
  <c r="AE15" i="6"/>
  <c r="AF8" i="6"/>
  <c r="AF15" i="6"/>
  <c r="AG8" i="6"/>
  <c r="AG15" i="6"/>
  <c r="AE9" i="6"/>
  <c r="AE16" i="6"/>
  <c r="AF9" i="6"/>
  <c r="AF16" i="6"/>
  <c r="AG9" i="6"/>
  <c r="AG16" i="6"/>
  <c r="AE10" i="6"/>
  <c r="AE17" i="6"/>
  <c r="AF10" i="6"/>
  <c r="AF17" i="6"/>
  <c r="AG10" i="6"/>
  <c r="AG17" i="6"/>
  <c r="AE21" i="6"/>
  <c r="B4" i="6"/>
  <c r="F2" i="6"/>
  <c r="C4" i="6"/>
  <c r="D4" i="6"/>
  <c r="E4" i="6"/>
  <c r="F4" i="6"/>
  <c r="B7" i="6"/>
  <c r="G11" i="4"/>
  <c r="B9" i="2"/>
  <c r="J16" i="2"/>
  <c r="J11" i="2"/>
  <c r="J13" i="2"/>
  <c r="J12" i="2"/>
  <c r="J14" i="2"/>
  <c r="B9" i="1"/>
  <c r="AL2" i="5"/>
  <c r="AL3" i="5"/>
  <c r="AK15" i="5"/>
  <c r="AK10" i="5"/>
  <c r="AM2" i="5"/>
  <c r="AN2" i="5"/>
  <c r="AM3" i="5"/>
  <c r="AN3" i="5"/>
  <c r="AM4" i="5"/>
  <c r="AN4" i="5"/>
  <c r="AM5" i="5"/>
  <c r="AN5" i="5"/>
  <c r="AM6" i="5"/>
  <c r="AN6" i="5"/>
  <c r="AK21" i="5"/>
  <c r="AK13" i="5"/>
  <c r="AK28" i="5"/>
  <c r="AK30" i="5"/>
  <c r="AK18" i="5"/>
  <c r="AK24" i="5"/>
  <c r="AJ7" i="6"/>
  <c r="AE30" i="6"/>
  <c r="AE38" i="6"/>
  <c r="Y33" i="6"/>
  <c r="Y16" i="6"/>
  <c r="Z9" i="6"/>
  <c r="Z16" i="6"/>
  <c r="Y10" i="6"/>
  <c r="Y17" i="6"/>
  <c r="Z10" i="6"/>
  <c r="Z17" i="6"/>
  <c r="Y11" i="6"/>
  <c r="Y18" i="6"/>
  <c r="Z11" i="6"/>
  <c r="Z18" i="6"/>
  <c r="Y12" i="6"/>
  <c r="Y19" i="6"/>
  <c r="Z12" i="6"/>
  <c r="Z19" i="6"/>
  <c r="Y35" i="6"/>
  <c r="Y27" i="6"/>
  <c r="Q33" i="6"/>
  <c r="Q9" i="6"/>
  <c r="Q16" i="6"/>
  <c r="R9" i="6"/>
  <c r="R16" i="6"/>
  <c r="S9" i="6"/>
  <c r="S16" i="6"/>
  <c r="T9" i="6"/>
  <c r="T16" i="6"/>
  <c r="Q10" i="6"/>
  <c r="Q17" i="6"/>
  <c r="R10" i="6"/>
  <c r="R17" i="6"/>
  <c r="S10" i="6"/>
  <c r="S17" i="6"/>
  <c r="T10" i="6"/>
  <c r="T17" i="6"/>
  <c r="Q11" i="6"/>
  <c r="Q18" i="6"/>
  <c r="R11" i="6"/>
  <c r="R18" i="6"/>
  <c r="S11" i="6"/>
  <c r="S18" i="6"/>
  <c r="T11" i="6"/>
  <c r="T18" i="6"/>
  <c r="Q12" i="6"/>
  <c r="Q19" i="6"/>
  <c r="R12" i="6"/>
  <c r="R19" i="6"/>
  <c r="S12" i="6"/>
  <c r="S19" i="6"/>
  <c r="T12" i="6"/>
  <c r="T19" i="6"/>
  <c r="Q22" i="6"/>
  <c r="Q35" i="6"/>
  <c r="Q27" i="6"/>
  <c r="Q39" i="6"/>
  <c r="J25" i="6"/>
  <c r="J27" i="6"/>
  <c r="J19" i="6"/>
  <c r="J7" i="6"/>
  <c r="J11" i="6"/>
  <c r="K7" i="6"/>
  <c r="K11" i="6"/>
  <c r="L7" i="6"/>
  <c r="L11" i="6"/>
  <c r="J8" i="6"/>
  <c r="J12" i="6"/>
  <c r="K8" i="6"/>
  <c r="K12" i="6"/>
  <c r="L8" i="6"/>
  <c r="L12" i="6"/>
  <c r="J14" i="6"/>
  <c r="F3" i="6"/>
  <c r="J31" i="6"/>
  <c r="B27" i="6"/>
  <c r="B11" i="6"/>
  <c r="C7" i="6"/>
  <c r="C11" i="6"/>
  <c r="D7" i="6"/>
  <c r="D11" i="6"/>
  <c r="E7" i="6"/>
  <c r="E11" i="6"/>
  <c r="B8" i="6"/>
  <c r="B12" i="6"/>
  <c r="C8" i="6"/>
  <c r="C12" i="6"/>
  <c r="D8" i="6"/>
  <c r="D12" i="6"/>
  <c r="E8" i="6"/>
  <c r="E12" i="6"/>
  <c r="B14" i="6"/>
  <c r="B25" i="6"/>
  <c r="B19" i="6"/>
  <c r="B31" i="6"/>
  <c r="AB14" i="5"/>
  <c r="AB11" i="5"/>
  <c r="AB12" i="5"/>
  <c r="AB17" i="5"/>
  <c r="AE5" i="5"/>
  <c r="AE4" i="5"/>
  <c r="AE3" i="5"/>
  <c r="AD3" i="5"/>
  <c r="AF3" i="5"/>
  <c r="AD4" i="5"/>
  <c r="AF4" i="5"/>
  <c r="AD5" i="5"/>
  <c r="AF5" i="5"/>
  <c r="AE2" i="5"/>
  <c r="AD2" i="5"/>
  <c r="AF2" i="5"/>
  <c r="AB9" i="5"/>
  <c r="AB7" i="5"/>
  <c r="AB20" i="5"/>
  <c r="AB27" i="5"/>
  <c r="AB29" i="5"/>
  <c r="AB23" i="5"/>
  <c r="W17" i="5"/>
  <c r="W15" i="5"/>
  <c r="X4" i="5"/>
  <c r="Y4" i="5"/>
  <c r="X13" i="5"/>
  <c r="X12" i="5"/>
  <c r="X11" i="5"/>
  <c r="X10" i="5"/>
  <c r="X9" i="5"/>
  <c r="X8" i="5"/>
  <c r="X7" i="5"/>
  <c r="X6" i="5"/>
  <c r="X5" i="5"/>
  <c r="X2" i="5"/>
  <c r="W19" i="5"/>
  <c r="W20" i="5"/>
  <c r="Y5" i="5"/>
  <c r="Y2" i="5"/>
  <c r="X3" i="5"/>
  <c r="Y3" i="5"/>
  <c r="Y6" i="5"/>
  <c r="Y7" i="5"/>
  <c r="Y8" i="5"/>
  <c r="Y9" i="5"/>
  <c r="Y10" i="5"/>
  <c r="Y11" i="5"/>
  <c r="Y12" i="5"/>
  <c r="Y13" i="5"/>
  <c r="W28" i="5"/>
  <c r="W22" i="5"/>
  <c r="W25" i="5"/>
  <c r="W35" i="5"/>
  <c r="W37" i="5"/>
  <c r="W31" i="5"/>
  <c r="N10" i="5"/>
  <c r="P2" i="5"/>
  <c r="Q2" i="5"/>
  <c r="P3" i="5"/>
  <c r="Q3" i="5"/>
  <c r="P4" i="5"/>
  <c r="Q4" i="5"/>
  <c r="N21" i="5"/>
  <c r="N15" i="5"/>
  <c r="N13" i="5"/>
  <c r="N28" i="5"/>
  <c r="N30" i="5"/>
  <c r="N18" i="5"/>
  <c r="N24" i="5"/>
  <c r="H15" i="5"/>
  <c r="H10" i="5"/>
  <c r="J2" i="5"/>
  <c r="K2" i="5"/>
  <c r="J3" i="5"/>
  <c r="K3" i="5"/>
  <c r="J4" i="5"/>
  <c r="K4" i="5"/>
  <c r="J5" i="5"/>
  <c r="K5" i="5"/>
  <c r="J6" i="5"/>
  <c r="K6" i="5"/>
  <c r="H21" i="5"/>
  <c r="H13" i="5"/>
  <c r="H28" i="5"/>
  <c r="H30" i="5"/>
  <c r="H18" i="5"/>
  <c r="H24" i="5"/>
  <c r="B7" i="5"/>
  <c r="B9" i="5"/>
  <c r="B12" i="5"/>
  <c r="B4" i="5"/>
  <c r="C4" i="5"/>
  <c r="D4" i="5"/>
  <c r="E4" i="5"/>
  <c r="B15" i="5"/>
  <c r="B18" i="5"/>
  <c r="B12" i="1"/>
  <c r="B13" i="1"/>
  <c r="B6" i="4"/>
  <c r="B4" i="4"/>
  <c r="B12" i="4"/>
  <c r="G3" i="4"/>
  <c r="G2" i="4"/>
  <c r="B6" i="3"/>
  <c r="B7" i="3"/>
  <c r="E7" i="3"/>
  <c r="B9" i="3"/>
  <c r="J9" i="1"/>
  <c r="J12" i="1"/>
  <c r="J13" i="1"/>
  <c r="B4" i="3"/>
  <c r="B1" i="3"/>
  <c r="B12" i="2"/>
  <c r="B11" i="2"/>
  <c r="B14" i="2"/>
  <c r="B16" i="2"/>
  <c r="B22" i="2"/>
  <c r="J22" i="2"/>
  <c r="F12" i="2"/>
  <c r="F11" i="2"/>
  <c r="F14" i="2"/>
  <c r="F16" i="2"/>
  <c r="J18" i="2"/>
  <c r="J16" i="1"/>
  <c r="J18" i="1"/>
  <c r="F12" i="1"/>
  <c r="F13" i="1"/>
  <c r="F16" i="1"/>
  <c r="F18" i="1"/>
  <c r="B16" i="1"/>
  <c r="B18" i="1"/>
  <c r="B23" i="6"/>
  <c r="B38" i="6"/>
  <c r="J23" i="6"/>
  <c r="J38" i="6"/>
  <c r="AE45" i="6"/>
  <c r="Y31" i="6"/>
  <c r="Y46" i="6"/>
  <c r="Q31" i="6"/>
  <c r="Q46" i="6"/>
  <c r="Y22" i="6"/>
  <c r="Y39" i="6"/>
  <c r="E10" i="4"/>
  <c r="C9" i="4"/>
  <c r="C15" i="4"/>
  <c r="E9" i="4"/>
  <c r="B9" i="4"/>
  <c r="B15" i="4"/>
  <c r="F22" i="2"/>
  <c r="F13" i="2"/>
  <c r="F18" i="2"/>
  <c r="B13" i="2"/>
  <c r="B18" i="2"/>
  <c r="B12" i="3"/>
  <c r="C12" i="3"/>
  <c r="B15" i="3"/>
  <c r="C15" i="3"/>
  <c r="B18" i="3"/>
  <c r="C18" i="3"/>
  <c r="D15" i="4"/>
  <c r="AU30" i="6"/>
  <c r="AU45" i="6"/>
</calcChain>
</file>

<file path=xl/sharedStrings.xml><?xml version="1.0" encoding="utf-8"?>
<sst xmlns="http://schemas.openxmlformats.org/spreadsheetml/2006/main" count="574" uniqueCount="171">
  <si>
    <t>H_a</t>
  </si>
  <si>
    <t>stdev=sqrt(var)</t>
  </si>
  <si>
    <t>x&lt;b</t>
  </si>
  <si>
    <t>left tailed test</t>
  </si>
  <si>
    <t>x&gt;b</t>
  </si>
  <si>
    <t>right tailed</t>
  </si>
  <si>
    <t>df=n-1</t>
  </si>
  <si>
    <t>x!=b</t>
  </si>
  <si>
    <t>two tailed</t>
  </si>
  <si>
    <t>n=df+1</t>
  </si>
  <si>
    <t>x (sample mean)</t>
  </si>
  <si>
    <t>mu (pop. mean)</t>
  </si>
  <si>
    <t>s (std dev)</t>
  </si>
  <si>
    <t>n (sample size)</t>
  </si>
  <si>
    <t>df</t>
  </si>
  <si>
    <t>t</t>
  </si>
  <si>
    <t>crticial t</t>
  </si>
  <si>
    <t>p-value</t>
  </si>
  <si>
    <t>confidence</t>
  </si>
  <si>
    <t>a</t>
  </si>
  <si>
    <t>t-test</t>
  </si>
  <si>
    <t>left tailed</t>
  </si>
  <si>
    <t>If true</t>
  </si>
  <si>
    <t>null hypo rejected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</si>
  <si>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</si>
  <si>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if false</t>
  </si>
  <si>
    <t>fail to reject null hypo</t>
  </si>
  <si>
    <t>p-test</t>
  </si>
  <si>
    <t>if true</t>
  </si>
  <si>
    <t>sigma (std dev)</t>
  </si>
  <si>
    <t>z (test statistic)</t>
  </si>
  <si>
    <t>z</t>
  </si>
  <si>
    <t>H_0 is true</t>
  </si>
  <si>
    <t>H_0 is false</t>
  </si>
  <si>
    <t>Reject H_0</t>
  </si>
  <si>
    <t>Type I error</t>
  </si>
  <si>
    <t>Correct decision</t>
  </si>
  <si>
    <t>Fail to reject H_0</t>
  </si>
  <si>
    <t>Type II Error</t>
  </si>
  <si>
    <t>CAN TEST BE USED</t>
  </si>
  <si>
    <t>x&lt;p</t>
  </si>
  <si>
    <t>p (population proportion)</t>
  </si>
  <si>
    <t>x&gt;p</t>
  </si>
  <si>
    <t>x!=p</t>
  </si>
  <si>
    <t>x (pos sample size)</t>
  </si>
  <si>
    <t>if given sample proportion, x=</t>
  </si>
  <si>
    <t>sample proportion</t>
  </si>
  <si>
    <t>sample prop</t>
  </si>
  <si>
    <t>x</t>
  </si>
  <si>
    <t>a (level of significance)</t>
  </si>
  <si>
    <t>two-tailed</t>
  </si>
  <si>
    <t>s^2 (sample variance)</t>
  </si>
  <si>
    <t>sample std</t>
  </si>
  <si>
    <t>population variance</t>
  </si>
  <si>
    <t>pop std</t>
  </si>
  <si>
    <t>if given stds, calc variance for H_a and H_0</t>
  </si>
  <si>
    <t>using area</t>
  </si>
  <si>
    <t>If question asks "State the hypotheses in terms of the standard deviation" use sigma and remember to square root the population variance</t>
  </si>
  <si>
    <t>x^2 (critical values)</t>
  </si>
  <si>
    <t>left x^2</t>
  </si>
  <si>
    <t>right x^2</t>
  </si>
  <si>
    <t>variance</t>
  </si>
  <si>
    <t>stdev</t>
  </si>
  <si>
    <t>using variance</t>
  </si>
  <si>
    <t>x^2 (test statistic)</t>
  </si>
  <si>
    <t>reject null?</t>
  </si>
  <si>
    <t>if true, reject</t>
  </si>
  <si>
    <t>if false, fail to reject</t>
  </si>
  <si>
    <t>Red</t>
  </si>
  <si>
    <t>Green</t>
  </si>
  <si>
    <t>Blue</t>
  </si>
  <si>
    <t>Pink</t>
  </si>
  <si>
    <t>Number Sold</t>
  </si>
  <si>
    <t>probabilities</t>
  </si>
  <si>
    <t>expectation</t>
  </si>
  <si>
    <t>(Sales−Expected Sales)^2/(Expected Sales)</t>
  </si>
  <si>
    <t>FOR EQUAL PROB</t>
  </si>
  <si>
    <t>Month</t>
  </si>
  <si>
    <t>Fatal Accidents</t>
  </si>
  <si>
    <t>(observed−Expected )^2/(Expected )</t>
  </si>
  <si>
    <t>Attitude</t>
  </si>
  <si>
    <t>1st Survey</t>
  </si>
  <si>
    <t>2nd Survey</t>
  </si>
  <si>
    <t>expected</t>
  </si>
  <si>
    <t>observed</t>
  </si>
  <si>
    <t>Days of the Week</t>
  </si>
  <si>
    <t>Number of Calls</t>
  </si>
  <si>
    <t>Sales</t>
  </si>
  <si>
    <t>Spicy Garlic</t>
  </si>
  <si>
    <t>whole</t>
  </si>
  <si>
    <t>Jan</t>
  </si>
  <si>
    <t>Optimistic</t>
  </si>
  <si>
    <t>Mon</t>
  </si>
  <si>
    <t>Expected Sales</t>
  </si>
  <si>
    <t>Classic Medium</t>
  </si>
  <si>
    <t>universal</t>
  </si>
  <si>
    <t>Feb</t>
  </si>
  <si>
    <t>Slightly Optimistic</t>
  </si>
  <si>
    <t>Tue</t>
  </si>
  <si>
    <t>Teriyaki</t>
  </si>
  <si>
    <t>annuities</t>
  </si>
  <si>
    <t>Mar</t>
  </si>
  <si>
    <t>Slightly Pessimistic</t>
  </si>
  <si>
    <t>Wed</t>
  </si>
  <si>
    <t>Hot BBQ</t>
  </si>
  <si>
    <t>Apr</t>
  </si>
  <si>
    <t>Pessimistic</t>
  </si>
  <si>
    <t>Thu</t>
  </si>
  <si>
    <t>k (possible outcomes)</t>
  </si>
  <si>
    <t>Asian Zing</t>
  </si>
  <si>
    <t>May</t>
  </si>
  <si>
    <t>sample size</t>
  </si>
  <si>
    <t>Fri</t>
  </si>
  <si>
    <t>Jun</t>
  </si>
  <si>
    <t>prob</t>
  </si>
  <si>
    <t>Jul</t>
  </si>
  <si>
    <t>Aug</t>
  </si>
  <si>
    <t>n (sum)</t>
  </si>
  <si>
    <t>Sep</t>
  </si>
  <si>
    <t>Oct</t>
  </si>
  <si>
    <t>Nov</t>
  </si>
  <si>
    <t>Dec</t>
  </si>
  <si>
    <t>Test Statistic (Sum)</t>
  </si>
  <si>
    <t>area test</t>
  </si>
  <si>
    <t>using p-values</t>
  </si>
  <si>
    <t>Under 18</t>
  </si>
  <si>
    <t>18 to 44</t>
  </si>
  <si>
    <t>45 to 64</t>
  </si>
  <si>
    <t>65 and Over</t>
  </si>
  <si>
    <t>Total</t>
  </si>
  <si>
    <t>Location</t>
  </si>
  <si>
    <t>Average</t>
  </si>
  <si>
    <t>Below Average</t>
  </si>
  <si>
    <t>Above Average</t>
  </si>
  <si>
    <t>Blonde</t>
  </si>
  <si>
    <t>Brown</t>
  </si>
  <si>
    <t>Black</t>
  </si>
  <si>
    <t>Income</t>
  </si>
  <si>
    <t>Male</t>
  </si>
  <si>
    <t>Female</t>
  </si>
  <si>
    <t>Age</t>
  </si>
  <si>
    <t>Favorable</t>
  </si>
  <si>
    <t>Unfavorable</t>
  </si>
  <si>
    <t>Neutral</t>
  </si>
  <si>
    <t>Vaccination Status</t>
  </si>
  <si>
    <t>Diseased</t>
  </si>
  <si>
    <t>Not Diseased</t>
  </si>
  <si>
    <t>b1</t>
  </si>
  <si>
    <t>b2</t>
  </si>
  <si>
    <t>b3</t>
  </si>
  <si>
    <t>b4</t>
  </si>
  <si>
    <t>On campus</t>
  </si>
  <si>
    <t>Single Women</t>
  </si>
  <si>
    <t>Below $25,000</t>
  </si>
  <si>
    <t>18-30</t>
  </si>
  <si>
    <t>Vaccinated</t>
  </si>
  <si>
    <t>a1</t>
  </si>
  <si>
    <t>Off campus</t>
  </si>
  <si>
    <t>Married Women</t>
  </si>
  <si>
    <t>$25,000-$50,000</t>
  </si>
  <si>
    <t>30-45</t>
  </si>
  <si>
    <t>Not Vaccinated</t>
  </si>
  <si>
    <t>a2</t>
  </si>
  <si>
    <t>Single Men</t>
  </si>
  <si>
    <t>$50,000-$75,000</t>
  </si>
  <si>
    <t>Over 45</t>
  </si>
  <si>
    <t>a3</t>
  </si>
  <si>
    <t>Married Men</t>
  </si>
  <si>
    <t>Above $75,000</t>
  </si>
  <si>
    <t>chi squared terms</t>
  </si>
  <si>
    <t>x^2 Test Statistic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</si>
</sst>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B5C64-8E50-4AC5-A70B-E2B883D20C1C}">
  <dimension ref="A1:J24"/>
  <sheetViews>
    <sheetView workbookViewId="0" xr3:uid="{31831D94-C9ED-5A9C-A7CD-D73D7C6E7892}">
      <selection activeCell="F9" sqref="F9"/>
    </sheetView>
  </sheetViews>
  <sheetFormatPr defaultColWidth="8.85546875" defaultRowHeight="15"/>
  <cols>
    <col min="1" max="1" width="15.42578125" customWidth="1"/>
    <col min="2" max="2" width="19.85546875" customWidth="1"/>
    <col min="6" max="6" width="12.140625" bestFit="1" customWidth="1"/>
  </cols>
  <sheetData>
    <row r="1" spans="1:10">
      <c r="A1" t="s">
        <v>0</v>
      </c>
      <c r="D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  <c r="D3" t="s">
        <v>6</v>
      </c>
    </row>
    <row r="4" spans="1:10">
      <c r="A4" t="s">
        <v>7</v>
      </c>
      <c r="B4" t="s">
        <v>8</v>
      </c>
      <c r="D4" t="s">
        <v>9</v>
      </c>
    </row>
    <row r="7" spans="1:10">
      <c r="A7" t="s">
        <v>10</v>
      </c>
      <c r="B7">
        <v>2069</v>
      </c>
      <c r="E7" t="s">
        <v>10</v>
      </c>
      <c r="F7">
        <v>2069</v>
      </c>
      <c r="I7" t="s">
        <v>10</v>
      </c>
      <c r="J7">
        <v>11.4</v>
      </c>
    </row>
    <row r="8" spans="1:10">
      <c r="A8" t="s">
        <v>11</v>
      </c>
      <c r="B8">
        <v>2058</v>
      </c>
      <c r="E8" t="s">
        <v>11</v>
      </c>
      <c r="F8">
        <v>2058</v>
      </c>
      <c r="I8" t="s">
        <v>11</v>
      </c>
      <c r="J8">
        <v>11.2</v>
      </c>
    </row>
    <row r="9" spans="1:10">
      <c r="A9" t="s">
        <v>12</v>
      </c>
      <c r="B9">
        <f>SQRT(729)</f>
        <v>27</v>
      </c>
      <c r="E9" t="s">
        <v>12</v>
      </c>
      <c r="F9">
        <f>SQRT(784)</f>
        <v>28</v>
      </c>
      <c r="I9" t="s">
        <v>12</v>
      </c>
      <c r="J9">
        <v>1.6</v>
      </c>
    </row>
    <row r="10" spans="1:10">
      <c r="A10" t="s">
        <v>13</v>
      </c>
      <c r="B10">
        <v>16</v>
      </c>
      <c r="E10" t="s">
        <v>13</v>
      </c>
      <c r="F10">
        <v>21</v>
      </c>
      <c r="I10" t="s">
        <v>13</v>
      </c>
      <c r="J10">
        <v>16</v>
      </c>
    </row>
    <row r="11" spans="1:10">
      <c r="A11" t="s">
        <v>14</v>
      </c>
      <c r="B11">
        <f>B10-1</f>
        <v>15</v>
      </c>
      <c r="E11" t="s">
        <v>14</v>
      </c>
      <c r="F11">
        <f>F10-1</f>
        <v>20</v>
      </c>
      <c r="I11" t="s">
        <v>14</v>
      </c>
      <c r="J11">
        <f>J10-1</f>
        <v>15</v>
      </c>
    </row>
    <row r="12" spans="1:10">
      <c r="A12" t="s">
        <v>15</v>
      </c>
      <c r="B12">
        <f>(B7-B8)/(B9/SQRT(B10))</f>
        <v>1.6296296296296295</v>
      </c>
      <c r="E12" t="s">
        <v>15</v>
      </c>
      <c r="F12">
        <f>(F7-F8)/(F9/SQRT(F10))</f>
        <v>1.800297594446937</v>
      </c>
      <c r="I12" t="s">
        <v>15</v>
      </c>
      <c r="J12">
        <f>(J7-J8)/(J9/SQRT(J10))</f>
        <v>0.50000000000000266</v>
      </c>
    </row>
    <row r="13" spans="1:10">
      <c r="A13" t="s">
        <v>16</v>
      </c>
      <c r="B13">
        <f>_xlfn.T.INV(B16,B11)</f>
        <v>-1.3406056078504547</v>
      </c>
      <c r="E13" t="s">
        <v>16</v>
      </c>
      <c r="F13">
        <f>-_xlfn.T.INV(F16,F11)</f>
        <v>1.7247182429207868</v>
      </c>
      <c r="I13" t="s">
        <v>16</v>
      </c>
      <c r="J13">
        <f>_xlfn.T.INV.2T(J16,J11)</f>
        <v>1.7530503556925723</v>
      </c>
    </row>
    <row r="14" spans="1:10">
      <c r="A14" t="s">
        <v>17</v>
      </c>
      <c r="B14" t="e">
        <f>(TDIST(-B12,B11,1))</f>
        <v>#NUM!</v>
      </c>
      <c r="E14" t="s">
        <v>17</v>
      </c>
      <c r="F14">
        <f>(TDIST(F12,F11,1))</f>
        <v>4.3458121692221241E-2</v>
      </c>
      <c r="I14" t="s">
        <v>17</v>
      </c>
      <c r="J14">
        <f>(TDIST(J12,J11,2))</f>
        <v>0.62433011352007439</v>
      </c>
    </row>
    <row r="15" spans="1:10">
      <c r="A15" t="s">
        <v>18</v>
      </c>
      <c r="B15">
        <v>90</v>
      </c>
      <c r="E15" t="s">
        <v>18</v>
      </c>
      <c r="F15">
        <v>95</v>
      </c>
      <c r="I15" t="s">
        <v>18</v>
      </c>
      <c r="J15">
        <v>90</v>
      </c>
    </row>
    <row r="16" spans="1:10">
      <c r="A16" t="s">
        <v>19</v>
      </c>
      <c r="B16">
        <f>1-B15/100</f>
        <v>9.9999999999999978E-2</v>
      </c>
      <c r="E16" t="s">
        <v>19</v>
      </c>
      <c r="F16">
        <f>1-(F15)/100</f>
        <v>5.0000000000000044E-2</v>
      </c>
      <c r="I16" t="s">
        <v>19</v>
      </c>
      <c r="J16">
        <f>1-J15/100</f>
        <v>9.9999999999999978E-2</v>
      </c>
    </row>
    <row r="17" spans="1:10">
      <c r="A17" t="s">
        <v>20</v>
      </c>
      <c r="E17" t="s">
        <v>20</v>
      </c>
      <c r="I17" t="s">
        <v>20</v>
      </c>
    </row>
    <row r="18" spans="1:10">
      <c r="A18" t="s">
        <v>21</v>
      </c>
      <c r="B18" t="b">
        <f>B12&lt;=B13</f>
        <v>0</v>
      </c>
      <c r="E18" t="s">
        <v>5</v>
      </c>
      <c r="F18" t="b">
        <f>F12&gt;=F13</f>
        <v>1</v>
      </c>
      <c r="I18" t="s">
        <v>8</v>
      </c>
      <c r="J18" t="b">
        <f>ABS(J12)&gt;=J13/2</f>
        <v>0</v>
      </c>
    </row>
    <row r="19" spans="1:10">
      <c r="A19" t="s">
        <v>22</v>
      </c>
      <c r="B19" t="s">
        <v>23</v>
      </c>
      <c r="E19" t="s">
        <v>24</v>
      </c>
      <c r="F19" t="s">
        <v>23</v>
      </c>
      <c r="I19" t="s">
        <v>24</v>
      </c>
      <c r="J19" t="s">
        <v>23</v>
      </c>
    </row>
    <row r="20" spans="1:10">
      <c r="A20" t="s">
        <v>25</v>
      </c>
      <c r="B20" t="s">
        <v>26</v>
      </c>
      <c r="E20" t="s">
        <v>25</v>
      </c>
      <c r="F20" t="s">
        <v>26</v>
      </c>
      <c r="I20" t="s">
        <v>25</v>
      </c>
      <c r="J20" t="s">
        <v>26</v>
      </c>
    </row>
    <row r="21" spans="1:10">
      <c r="A21" t="s">
        <v>27</v>
      </c>
      <c r="E21" t="s">
        <v>27</v>
      </c>
      <c r="I21" t="s">
        <v>27</v>
      </c>
    </row>
    <row r="22" spans="1:10">
      <c r="A22" t="s">
        <v>21</v>
      </c>
      <c r="B22" t="e">
        <f>B14&lt;=B16</f>
        <v>#NUM!</v>
      </c>
      <c r="E22" t="s">
        <v>5</v>
      </c>
      <c r="F22" t="b">
        <f>F14&lt;=F16</f>
        <v>1</v>
      </c>
      <c r="I22" t="s">
        <v>5</v>
      </c>
      <c r="J22" t="b">
        <f>J14&lt;=J16</f>
        <v>0</v>
      </c>
    </row>
    <row r="23" spans="1:10">
      <c r="A23" t="s">
        <v>22</v>
      </c>
      <c r="B23" t="s">
        <v>23</v>
      </c>
      <c r="E23" t="s">
        <v>28</v>
      </c>
      <c r="F23" t="s">
        <v>23</v>
      </c>
      <c r="I23" t="s">
        <v>28</v>
      </c>
      <c r="J23" t="s">
        <v>23</v>
      </c>
    </row>
    <row r="24" spans="1:10">
      <c r="A24" t="s">
        <v>25</v>
      </c>
      <c r="B24" t="s">
        <v>26</v>
      </c>
      <c r="E24" t="s">
        <v>25</v>
      </c>
      <c r="F24" t="s">
        <v>26</v>
      </c>
      <c r="I24" t="s">
        <v>25</v>
      </c>
      <c r="J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workbookViewId="0" xr3:uid="{AEA406A1-0E4B-5B11-9CD5-51D6E497D94C}">
      <selection activeCell="B7" sqref="B7"/>
    </sheetView>
  </sheetViews>
  <sheetFormatPr defaultColWidth="8.85546875" defaultRowHeight="15"/>
  <cols>
    <col min="1" max="1" width="15.42578125" customWidth="1"/>
    <col min="2" max="2" width="19.85546875" customWidth="1"/>
    <col min="3" max="3" width="14.42578125" customWidth="1"/>
  </cols>
  <sheetData>
    <row r="1" spans="1:10">
      <c r="A1" t="s">
        <v>0</v>
      </c>
      <c r="D1" t="s">
        <v>1</v>
      </c>
    </row>
    <row r="2" spans="1:10">
      <c r="A2" t="s">
        <v>2</v>
      </c>
      <c r="B2" t="s">
        <v>3</v>
      </c>
    </row>
    <row r="3" spans="1:10">
      <c r="A3" t="s">
        <v>4</v>
      </c>
      <c r="B3" t="s">
        <v>5</v>
      </c>
    </row>
    <row r="4" spans="1:10">
      <c r="A4" t="s">
        <v>7</v>
      </c>
      <c r="B4" t="s">
        <v>8</v>
      </c>
    </row>
    <row r="7" spans="1:10">
      <c r="A7" t="s">
        <v>10</v>
      </c>
      <c r="B7">
        <v>380</v>
      </c>
      <c r="E7" t="s">
        <v>10</v>
      </c>
      <c r="F7">
        <v>366</v>
      </c>
      <c r="I7" t="s">
        <v>10</v>
      </c>
      <c r="J7">
        <v>48.9</v>
      </c>
    </row>
    <row r="8" spans="1:10">
      <c r="A8" t="s">
        <v>11</v>
      </c>
      <c r="B8">
        <v>376</v>
      </c>
      <c r="E8" t="s">
        <v>11</v>
      </c>
      <c r="F8">
        <v>363</v>
      </c>
      <c r="I8" t="s">
        <v>11</v>
      </c>
      <c r="J8">
        <v>48.7</v>
      </c>
    </row>
    <row r="9" spans="1:10">
      <c r="A9" t="s">
        <v>29</v>
      </c>
      <c r="B9">
        <f>SQRT(484)</f>
        <v>22</v>
      </c>
      <c r="E9" t="s">
        <v>29</v>
      </c>
      <c r="F9">
        <v>17</v>
      </c>
      <c r="I9" t="s">
        <v>29</v>
      </c>
      <c r="J9">
        <f>SQRT(2.56)</f>
        <v>1.6</v>
      </c>
    </row>
    <row r="10" spans="1:10">
      <c r="A10" t="s">
        <v>13</v>
      </c>
      <c r="B10">
        <v>96</v>
      </c>
      <c r="E10" t="s">
        <v>13</v>
      </c>
      <c r="F10">
        <v>47</v>
      </c>
      <c r="I10" t="s">
        <v>13</v>
      </c>
      <c r="J10">
        <v>250</v>
      </c>
    </row>
    <row r="12" spans="1:10">
      <c r="A12" t="s">
        <v>30</v>
      </c>
      <c r="B12">
        <f>(B7-B8)/(B9/SQRT(B10))</f>
        <v>1.7814470856604929</v>
      </c>
      <c r="E12" t="s">
        <v>31</v>
      </c>
      <c r="F12">
        <f>(F7-F8)/(F9/SQRT(F10))</f>
        <v>1.2098214000707725</v>
      </c>
      <c r="I12" t="s">
        <v>31</v>
      </c>
      <c r="J12">
        <f>(J7-J8)/(J9/SQRT(J10))</f>
        <v>1.9764235376051948</v>
      </c>
    </row>
    <row r="13" spans="1:10">
      <c r="A13" t="s">
        <v>17</v>
      </c>
      <c r="B13">
        <f>_xlfn.NORM.S.DIST(B12,TRUE)</f>
        <v>0.96258027903906263</v>
      </c>
      <c r="E13" t="s">
        <v>17</v>
      </c>
      <c r="F13">
        <f>1-_xlfn.NORM.S.DIST(F12,TRUE)</f>
        <v>0.1131737163566805</v>
      </c>
      <c r="I13" t="s">
        <v>17</v>
      </c>
      <c r="J13">
        <f>(1-_xlfn.NORM.S.DIST(-1*J12, TRUE))+(_xlfn.NORM.S.DIST(J12, TRUE))</f>
        <v>1.9518931721114758</v>
      </c>
    </row>
    <row r="15" spans="1:10">
      <c r="A15" t="s">
        <v>18</v>
      </c>
      <c r="B15">
        <v>97.5</v>
      </c>
      <c r="E15" t="s">
        <v>18</v>
      </c>
      <c r="F15">
        <v>99</v>
      </c>
      <c r="I15" t="s">
        <v>18</v>
      </c>
      <c r="J15">
        <v>99</v>
      </c>
    </row>
    <row r="16" spans="1:10">
      <c r="A16" t="s">
        <v>19</v>
      </c>
      <c r="B16">
        <f>1-B15/100</f>
        <v>2.5000000000000022E-2</v>
      </c>
      <c r="E16" t="s">
        <v>19</v>
      </c>
      <c r="F16">
        <f>1-F15/100</f>
        <v>1.0000000000000009E-2</v>
      </c>
      <c r="I16" t="s">
        <v>19</v>
      </c>
      <c r="J16">
        <f>1-J15/100</f>
        <v>1.0000000000000009E-2</v>
      </c>
    </row>
    <row r="18" spans="1:10">
      <c r="A18" t="s">
        <v>21</v>
      </c>
      <c r="B18" t="b">
        <f>B13&lt;=B16</f>
        <v>0</v>
      </c>
      <c r="E18" t="s">
        <v>5</v>
      </c>
      <c r="F18" t="b">
        <f>F13&lt;=F16</f>
        <v>0</v>
      </c>
      <c r="I18" t="s">
        <v>8</v>
      </c>
      <c r="J18" t="b">
        <f>J13&lt;=J16</f>
        <v>0</v>
      </c>
    </row>
    <row r="19" spans="1:10">
      <c r="A19" t="s">
        <v>22</v>
      </c>
      <c r="B19" t="s">
        <v>23</v>
      </c>
      <c r="E19" t="s">
        <v>28</v>
      </c>
      <c r="F19" t="s">
        <v>23</v>
      </c>
      <c r="I19" t="s">
        <v>28</v>
      </c>
      <c r="J19" t="s">
        <v>23</v>
      </c>
    </row>
    <row r="20" spans="1:10">
      <c r="A20" t="s">
        <v>25</v>
      </c>
      <c r="B20" t="s">
        <v>26</v>
      </c>
      <c r="E20" t="s">
        <v>25</v>
      </c>
      <c r="F20" t="s">
        <v>26</v>
      </c>
      <c r="I20" t="s">
        <v>25</v>
      </c>
      <c r="J20" t="s">
        <v>26</v>
      </c>
    </row>
    <row r="27" spans="1:10">
      <c r="B27" t="s">
        <v>32</v>
      </c>
      <c r="C27" t="s">
        <v>33</v>
      </c>
    </row>
    <row r="28" spans="1:10">
      <c r="A28" t="s">
        <v>34</v>
      </c>
      <c r="B28" t="s">
        <v>35</v>
      </c>
      <c r="C28" t="s">
        <v>36</v>
      </c>
    </row>
    <row r="29" spans="1:10">
      <c r="A29" t="s">
        <v>37</v>
      </c>
      <c r="B29" t="s">
        <v>36</v>
      </c>
      <c r="C2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B9FC-5BE3-4C40-B7D8-3BC4FC8A07A2}">
  <dimension ref="A1:E19"/>
  <sheetViews>
    <sheetView workbookViewId="0" xr3:uid="{2CE27F97-3DF5-50B9-9D06-6287730B21FC}">
      <selection activeCell="B9" sqref="B9"/>
    </sheetView>
  </sheetViews>
  <sheetFormatPr defaultColWidth="8.85546875" defaultRowHeight="15"/>
  <cols>
    <col min="1" max="1" width="22.42578125" customWidth="1"/>
    <col min="4" max="4" width="29.28515625" customWidth="1"/>
  </cols>
  <sheetData>
    <row r="1" spans="1:5">
      <c r="A1" t="s">
        <v>39</v>
      </c>
      <c r="B1" t="b">
        <f>AND((B2*B3&gt;=5), (B2*(1-B3)&gt;=5))</f>
        <v>1</v>
      </c>
      <c r="D1" t="s">
        <v>0</v>
      </c>
    </row>
    <row r="2" spans="1:5">
      <c r="A2" t="s">
        <v>13</v>
      </c>
      <c r="B2">
        <v>900</v>
      </c>
      <c r="D2" t="s">
        <v>40</v>
      </c>
      <c r="E2" t="s">
        <v>3</v>
      </c>
    </row>
    <row r="3" spans="1:5">
      <c r="A3" t="s">
        <v>41</v>
      </c>
      <c r="B3">
        <v>0.62</v>
      </c>
      <c r="D3" t="s">
        <v>42</v>
      </c>
      <c r="E3" t="s">
        <v>5</v>
      </c>
    </row>
    <row r="4" spans="1:5">
      <c r="A4" t="s">
        <v>14</v>
      </c>
      <c r="B4">
        <f>B2-1</f>
        <v>899</v>
      </c>
      <c r="D4" t="s">
        <v>43</v>
      </c>
      <c r="E4" t="s">
        <v>8</v>
      </c>
    </row>
    <row r="5" spans="1:5">
      <c r="A5" t="s">
        <v>44</v>
      </c>
      <c r="B5">
        <v>585</v>
      </c>
      <c r="D5" t="s">
        <v>45</v>
      </c>
    </row>
    <row r="6" spans="1:5">
      <c r="A6" t="s">
        <v>46</v>
      </c>
      <c r="B6">
        <f>B5/B2</f>
        <v>0.65</v>
      </c>
      <c r="D6" t="s">
        <v>47</v>
      </c>
      <c r="E6">
        <v>0.65</v>
      </c>
    </row>
    <row r="7" spans="1:5">
      <c r="A7" t="s">
        <v>30</v>
      </c>
      <c r="B7">
        <f>(B6-B3)/SQRT(B3*(1-B3)/B2)</f>
        <v>1.8541926977182426</v>
      </c>
      <c r="D7" t="s">
        <v>48</v>
      </c>
      <c r="E7">
        <f>B2*E6</f>
        <v>585</v>
      </c>
    </row>
    <row r="8" spans="1:5">
      <c r="A8" t="s">
        <v>18</v>
      </c>
      <c r="B8">
        <v>90</v>
      </c>
    </row>
    <row r="9" spans="1:5">
      <c r="A9" t="s">
        <v>49</v>
      </c>
      <c r="B9">
        <f>1-(B8)/100</f>
        <v>9.9999999999999978E-2</v>
      </c>
    </row>
    <row r="11" spans="1:5">
      <c r="A11" t="s">
        <v>21</v>
      </c>
    </row>
    <row r="12" spans="1:5">
      <c r="A12" t="s">
        <v>17</v>
      </c>
      <c r="B12">
        <f>_xlfn.NORM.S.DIST(B7, TRUE)</f>
        <v>0.96814420178506622</v>
      </c>
      <c r="C12" t="b">
        <f>B12&lt;=B9</f>
        <v>0</v>
      </c>
      <c r="D12" t="s">
        <v>28</v>
      </c>
      <c r="E12" t="s">
        <v>23</v>
      </c>
    </row>
    <row r="13" spans="1:5">
      <c r="D13" t="s">
        <v>25</v>
      </c>
      <c r="E13" t="s">
        <v>26</v>
      </c>
    </row>
    <row r="14" spans="1:5">
      <c r="A14" t="s">
        <v>5</v>
      </c>
    </row>
    <row r="15" spans="1:5">
      <c r="A15" t="s">
        <v>17</v>
      </c>
      <c r="B15">
        <f>(1-_xlfn.NORM.S.DIST(B7, TRUE))</f>
        <v>3.1855798214933784E-2</v>
      </c>
      <c r="C15" t="b">
        <f>B15&lt;=B9</f>
        <v>1</v>
      </c>
      <c r="D15" t="s">
        <v>28</v>
      </c>
      <c r="E15" t="s">
        <v>23</v>
      </c>
    </row>
    <row r="16" spans="1:5">
      <c r="D16" t="s">
        <v>25</v>
      </c>
      <c r="E16" t="s">
        <v>26</v>
      </c>
    </row>
    <row r="17" spans="1:5">
      <c r="A17" t="s">
        <v>50</v>
      </c>
    </row>
    <row r="18" spans="1:5">
      <c r="A18" t="s">
        <v>17</v>
      </c>
      <c r="B18">
        <f>2*(1-_xlfn.NORM.S.DIST(ABS(B7), TRUE))</f>
        <v>6.3711596429867567E-2</v>
      </c>
      <c r="C18" t="b">
        <f>B18&lt;=B9</f>
        <v>1</v>
      </c>
      <c r="D18" t="s">
        <v>28</v>
      </c>
      <c r="E18" t="s">
        <v>23</v>
      </c>
    </row>
    <row r="19" spans="1:5">
      <c r="D19" t="s">
        <v>25</v>
      </c>
      <c r="E19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84DCC-1F59-4BF0-8A18-6C2495053051}">
  <dimension ref="A1:G22"/>
  <sheetViews>
    <sheetView workbookViewId="0" xr3:uid="{B7009279-A789-5443-99EC-EAF7B7CAAFF0}">
      <selection activeCell="B5" sqref="B5"/>
    </sheetView>
  </sheetViews>
  <sheetFormatPr defaultColWidth="8.85546875" defaultRowHeight="15"/>
  <cols>
    <col min="1" max="1" width="19.42578125" customWidth="1"/>
    <col min="2" max="2" width="12.140625" bestFit="1" customWidth="1"/>
    <col min="3" max="3" width="10.42578125" customWidth="1"/>
    <col min="4" max="4" width="10.28515625" customWidth="1"/>
    <col min="6" max="6" width="21.140625" customWidth="1"/>
  </cols>
  <sheetData>
    <row r="1" spans="1:7">
      <c r="A1" t="s">
        <v>13</v>
      </c>
      <c r="B1">
        <v>13</v>
      </c>
    </row>
    <row r="2" spans="1:7">
      <c r="A2" t="s">
        <v>51</v>
      </c>
      <c r="B2">
        <f>0.0774^2</f>
        <v>5.9907599999999995E-3</v>
      </c>
      <c r="D2" t="s">
        <v>52</v>
      </c>
      <c r="E2">
        <v>41.441600000000001</v>
      </c>
      <c r="F2" t="s">
        <v>51</v>
      </c>
      <c r="G2">
        <f>E2*E2</f>
        <v>1717.4062105600001</v>
      </c>
    </row>
    <row r="3" spans="1:7">
      <c r="A3" t="s">
        <v>53</v>
      </c>
      <c r="B3">
        <v>2.5000000000000001E-2</v>
      </c>
      <c r="D3" t="s">
        <v>54</v>
      </c>
      <c r="E3">
        <v>25</v>
      </c>
      <c r="F3" t="s">
        <v>53</v>
      </c>
      <c r="G3">
        <f>E3*E3</f>
        <v>625</v>
      </c>
    </row>
    <row r="4" spans="1:7">
      <c r="A4" t="s">
        <v>14</v>
      </c>
      <c r="B4">
        <f>B1-1</f>
        <v>12</v>
      </c>
    </row>
    <row r="5" spans="1:7">
      <c r="A5" t="s">
        <v>18</v>
      </c>
      <c r="B5">
        <v>95</v>
      </c>
    </row>
    <row r="6" spans="1:7">
      <c r="A6" t="s">
        <v>19</v>
      </c>
      <c r="B6">
        <f>1-(B5)/100</f>
        <v>5.0000000000000044E-2</v>
      </c>
      <c r="F6" t="s">
        <v>55</v>
      </c>
    </row>
    <row r="8" spans="1:7">
      <c r="A8" t="s">
        <v>56</v>
      </c>
      <c r="B8" t="s">
        <v>5</v>
      </c>
      <c r="C8" t="s">
        <v>21</v>
      </c>
      <c r="D8" t="s">
        <v>8</v>
      </c>
      <c r="F8" t="s">
        <v>57</v>
      </c>
    </row>
    <row r="9" spans="1:7">
      <c r="A9" t="s">
        <v>58</v>
      </c>
      <c r="B9">
        <f>_xlfn.CHISQ.INV.RT(B6,B4)</f>
        <v>21.026069817483062</v>
      </c>
      <c r="C9">
        <f>_xlfn.CHISQ.INV(B6,B4)</f>
        <v>5.2260294883926397</v>
      </c>
      <c r="D9" t="s">
        <v>59</v>
      </c>
      <c r="E9">
        <f>_xlfn.CHISQ.INV((B6/2),B4)</f>
        <v>4.4037885069817024</v>
      </c>
    </row>
    <row r="10" spans="1:7">
      <c r="D10" t="s">
        <v>60</v>
      </c>
      <c r="E10">
        <f>_xlfn.CHISQ.INV.RT(B6/2,B4)</f>
        <v>23.336664158645338</v>
      </c>
      <c r="F10" t="s">
        <v>61</v>
      </c>
      <c r="G10" t="s">
        <v>62</v>
      </c>
    </row>
    <row r="11" spans="1:7">
      <c r="A11" t="s">
        <v>63</v>
      </c>
      <c r="F11">
        <v>2.5000000000000001E-2</v>
      </c>
      <c r="G11">
        <f>SQRT(F11)</f>
        <v>0.15811388300841897</v>
      </c>
    </row>
    <row r="12" spans="1:7">
      <c r="A12" t="s">
        <v>64</v>
      </c>
      <c r="B12">
        <f>(B1-1)*B2/B3</f>
        <v>2.8755647999999998</v>
      </c>
    </row>
    <row r="14" spans="1:7">
      <c r="A14" t="s">
        <v>65</v>
      </c>
      <c r="B14" t="s">
        <v>5</v>
      </c>
      <c r="C14" t="s">
        <v>21</v>
      </c>
      <c r="D14" t="s">
        <v>8</v>
      </c>
    </row>
    <row r="15" spans="1:7">
      <c r="A15" t="s">
        <v>66</v>
      </c>
      <c r="B15" t="b">
        <f>B12&gt;=B9</f>
        <v>0</v>
      </c>
      <c r="C15" t="b">
        <f>B12&lt;=C9</f>
        <v>1</v>
      </c>
      <c r="D15" t="b">
        <f>OR(B12&lt;=E9,E10&gt;=55.578)</f>
        <v>1</v>
      </c>
    </row>
    <row r="16" spans="1:7">
      <c r="A16" t="s">
        <v>67</v>
      </c>
    </row>
    <row r="19" spans="1:2">
      <c r="A19" t="s">
        <v>0</v>
      </c>
    </row>
    <row r="20" spans="1:2">
      <c r="A20" t="s">
        <v>40</v>
      </c>
      <c r="B20" t="s">
        <v>3</v>
      </c>
    </row>
    <row r="21" spans="1:2">
      <c r="A21" t="s">
        <v>42</v>
      </c>
      <c r="B21" t="s">
        <v>5</v>
      </c>
    </row>
    <row r="22" spans="1:2">
      <c r="A22" t="s">
        <v>43</v>
      </c>
      <c r="B2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0AE6-BA13-45C3-B623-6AA9D7D33D3F}">
  <dimension ref="A1:AU38"/>
  <sheetViews>
    <sheetView topLeftCell="AM1" workbookViewId="0" xr3:uid="{8E09C216-4F86-51D5-87DD-4BD0C274BEA3}">
      <selection activeCell="AR15" sqref="AR15"/>
    </sheetView>
  </sheetViews>
  <sheetFormatPr defaultColWidth="8.85546875" defaultRowHeight="15"/>
  <cols>
    <col min="1" max="1" width="36.28515625" customWidth="1"/>
    <col min="7" max="7" width="17.7109375" customWidth="1"/>
    <col min="8" max="8" width="12.42578125" customWidth="1"/>
    <col min="9" max="9" width="11" customWidth="1"/>
    <col min="10" max="10" width="10.42578125" customWidth="1"/>
    <col min="11" max="11" width="35.42578125" customWidth="1"/>
    <col min="21" max="21" width="19.140625" customWidth="1"/>
    <col min="23" max="23" width="17.42578125" customWidth="1"/>
    <col min="24" max="24" width="11" customWidth="1"/>
    <col min="25" max="25" width="31" customWidth="1"/>
  </cols>
  <sheetData>
    <row r="1" spans="1:47">
      <c r="B1" t="s">
        <v>68</v>
      </c>
      <c r="C1" t="s">
        <v>69</v>
      </c>
      <c r="D1" t="s">
        <v>70</v>
      </c>
      <c r="E1" t="s">
        <v>71</v>
      </c>
      <c r="H1" t="s">
        <v>72</v>
      </c>
      <c r="I1" t="s">
        <v>73</v>
      </c>
      <c r="J1" t="s">
        <v>74</v>
      </c>
      <c r="K1" t="s">
        <v>75</v>
      </c>
      <c r="N1" t="s">
        <v>72</v>
      </c>
      <c r="O1" t="s">
        <v>73</v>
      </c>
      <c r="P1" t="s">
        <v>74</v>
      </c>
      <c r="Q1" t="s">
        <v>75</v>
      </c>
      <c r="U1" t="s">
        <v>76</v>
      </c>
      <c r="V1" t="s">
        <v>77</v>
      </c>
      <c r="W1" t="s">
        <v>78</v>
      </c>
      <c r="X1" t="s">
        <v>74</v>
      </c>
      <c r="Y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79</v>
      </c>
      <c r="AK1" t="s">
        <v>72</v>
      </c>
      <c r="AL1" t="s">
        <v>73</v>
      </c>
      <c r="AM1" t="s">
        <v>74</v>
      </c>
      <c r="AN1" t="s">
        <v>75</v>
      </c>
      <c r="AQ1" t="s">
        <v>85</v>
      </c>
      <c r="AR1" t="s">
        <v>86</v>
      </c>
      <c r="AS1" t="s">
        <v>73</v>
      </c>
      <c r="AT1" t="s">
        <v>74</v>
      </c>
      <c r="AU1" t="s">
        <v>75</v>
      </c>
    </row>
    <row r="2" spans="1:47">
      <c r="A2" t="s">
        <v>87</v>
      </c>
      <c r="B2">
        <v>27</v>
      </c>
      <c r="C2">
        <v>25</v>
      </c>
      <c r="D2">
        <v>26</v>
      </c>
      <c r="E2">
        <v>17</v>
      </c>
      <c r="G2" t="s">
        <v>88</v>
      </c>
      <c r="H2">
        <v>251</v>
      </c>
      <c r="I2">
        <v>0.2</v>
      </c>
      <c r="J2">
        <f>H10*I2</f>
        <v>251.60000000000002</v>
      </c>
      <c r="K2">
        <f>(H2-J2)^2/J2</f>
        <v>1.4308426073133039E-3</v>
      </c>
      <c r="M2" t="s">
        <v>89</v>
      </c>
      <c r="N2">
        <v>106</v>
      </c>
      <c r="O2">
        <v>0.3</v>
      </c>
      <c r="P2">
        <f>N10*O2</f>
        <v>72.3</v>
      </c>
      <c r="Q2">
        <f>(N2-P2)^2/P2</f>
        <v>15.708022130013836</v>
      </c>
      <c r="V2" t="s">
        <v>90</v>
      </c>
      <c r="W2">
        <v>16</v>
      </c>
      <c r="X2">
        <f>W17*W15</f>
        <v>13.416666666666666</v>
      </c>
      <c r="Y2">
        <f>(W2-X4)^2/X4</f>
        <v>0.49741200828157378</v>
      </c>
      <c r="AA2" t="s">
        <v>91</v>
      </c>
      <c r="AB2">
        <v>0.49</v>
      </c>
      <c r="AC2">
        <v>0.43</v>
      </c>
      <c r="AD2">
        <f>AB2*AB6</f>
        <v>127.39999999999999</v>
      </c>
      <c r="AE2">
        <f>AB6*AC2</f>
        <v>111.8</v>
      </c>
      <c r="AF2">
        <f>(AE2-AD2)^2/AD2</f>
        <v>1.9102040816326518</v>
      </c>
      <c r="AJ2" t="s">
        <v>88</v>
      </c>
      <c r="AK2">
        <v>25</v>
      </c>
      <c r="AL2">
        <f>0.2</f>
        <v>0.2</v>
      </c>
      <c r="AM2">
        <f>AK10*AL2</f>
        <v>21.8</v>
      </c>
      <c r="AN2">
        <f>(AK2-AM2)^2/AM2</f>
        <v>0.46972477064220158</v>
      </c>
      <c r="AQ2" t="s">
        <v>92</v>
      </c>
      <c r="AR2">
        <v>18</v>
      </c>
      <c r="AS2">
        <f>0.2</f>
        <v>0.2</v>
      </c>
      <c r="AT2">
        <f>AR10*AS2</f>
        <v>16.2</v>
      </c>
      <c r="AU2">
        <f>(AR2-AT2)^2/AT2</f>
        <v>0.20000000000000015</v>
      </c>
    </row>
    <row r="3" spans="1:47">
      <c r="A3" t="s">
        <v>93</v>
      </c>
      <c r="B3">
        <v>23.75</v>
      </c>
      <c r="C3">
        <v>23.75</v>
      </c>
      <c r="D3">
        <v>23.75</v>
      </c>
      <c r="E3">
        <v>23.75</v>
      </c>
      <c r="G3" t="s">
        <v>94</v>
      </c>
      <c r="H3">
        <v>630</v>
      </c>
      <c r="I3">
        <v>0.5</v>
      </c>
      <c r="J3">
        <f>H10*I3</f>
        <v>629</v>
      </c>
      <c r="K3">
        <f t="shared" ref="K3:K6" si="0">(H3-J3)^2/J3</f>
        <v>1.589825119236884E-3</v>
      </c>
      <c r="M3" t="s">
        <v>95</v>
      </c>
      <c r="N3">
        <v>41</v>
      </c>
      <c r="O3">
        <v>0.1</v>
      </c>
      <c r="P3">
        <f>N10*O3</f>
        <v>24.1</v>
      </c>
      <c r="Q3">
        <f t="shared" ref="Q3:Q4" si="1">(N3-P3)^2/P3</f>
        <v>11.851037344398337</v>
      </c>
      <c r="V3" t="s">
        <v>96</v>
      </c>
      <c r="W3">
        <v>11</v>
      </c>
      <c r="X3">
        <f>W15*W17</f>
        <v>13.416666666666666</v>
      </c>
      <c r="Y3">
        <f t="shared" ref="Y3:Y13" si="2">(W3-X3)^2/X3</f>
        <v>0.43530020703933731</v>
      </c>
      <c r="AA3" t="s">
        <v>97</v>
      </c>
      <c r="AB3">
        <v>0.18</v>
      </c>
      <c r="AC3">
        <v>0.27</v>
      </c>
      <c r="AD3">
        <f>AB3*AB6</f>
        <v>46.8</v>
      </c>
      <c r="AE3">
        <f>AB6*AC3</f>
        <v>70.2</v>
      </c>
      <c r="AF3">
        <f t="shared" ref="AF3:AF5" si="3">(AE3-AD3)^2/AD3</f>
        <v>11.700000000000006</v>
      </c>
      <c r="AJ3" t="s">
        <v>94</v>
      </c>
      <c r="AK3">
        <v>24</v>
      </c>
      <c r="AL3">
        <f>0.2</f>
        <v>0.2</v>
      </c>
      <c r="AM3">
        <f>AK10*AL3</f>
        <v>21.8</v>
      </c>
      <c r="AN3">
        <f t="shared" ref="AN3:AN6" si="4">(AK3-AM3)^2/AM3</f>
        <v>0.22201834862385308</v>
      </c>
      <c r="AQ3" t="s">
        <v>98</v>
      </c>
      <c r="AR3">
        <v>14</v>
      </c>
      <c r="AS3">
        <f>0.2</f>
        <v>0.2</v>
      </c>
      <c r="AT3">
        <f>AR10*AS3</f>
        <v>16.2</v>
      </c>
      <c r="AU3">
        <f t="shared" ref="AU3:AU6" si="5">(AR3-AT3)^2/AT3</f>
        <v>0.29876543209876527</v>
      </c>
    </row>
    <row r="4" spans="1:47">
      <c r="A4" t="s">
        <v>75</v>
      </c>
      <c r="B4">
        <f>(B3-B2)^2/B3</f>
        <v>0.44473684210526315</v>
      </c>
      <c r="C4">
        <f t="shared" ref="C4:E4" si="6">(C3-C2)^2/C3</f>
        <v>6.5789473684210523E-2</v>
      </c>
      <c r="D4">
        <f t="shared" si="6"/>
        <v>0.2131578947368421</v>
      </c>
      <c r="E4">
        <f t="shared" si="6"/>
        <v>1.918421052631579</v>
      </c>
      <c r="G4" t="s">
        <v>99</v>
      </c>
      <c r="H4">
        <v>115</v>
      </c>
      <c r="I4">
        <v>0.1</v>
      </c>
      <c r="J4">
        <f>H10*I4</f>
        <v>125.80000000000001</v>
      </c>
      <c r="K4">
        <f t="shared" si="0"/>
        <v>0.92718600953895258</v>
      </c>
      <c r="M4" t="s">
        <v>100</v>
      </c>
      <c r="N4">
        <v>94</v>
      </c>
      <c r="O4">
        <v>0.6</v>
      </c>
      <c r="P4">
        <f>N10*O4</f>
        <v>144.6</v>
      </c>
      <c r="Q4">
        <f t="shared" si="1"/>
        <v>17.706500691562926</v>
      </c>
      <c r="V4" t="s">
        <v>101</v>
      </c>
      <c r="W4">
        <v>19</v>
      </c>
      <c r="X4">
        <f>W17*W15</f>
        <v>13.416666666666666</v>
      </c>
      <c r="Y4">
        <f>(W4-X4)^2/X4</f>
        <v>2.3234989648033131</v>
      </c>
      <c r="AA4" t="s">
        <v>102</v>
      </c>
      <c r="AB4">
        <v>0.06</v>
      </c>
      <c r="AC4">
        <v>0.03</v>
      </c>
      <c r="AD4">
        <f>AB4*AB6</f>
        <v>15.6</v>
      </c>
      <c r="AE4">
        <f>AB6*AC4</f>
        <v>7.8</v>
      </c>
      <c r="AF4">
        <f t="shared" si="3"/>
        <v>3.9</v>
      </c>
      <c r="AJ4" t="s">
        <v>99</v>
      </c>
      <c r="AK4">
        <v>23</v>
      </c>
      <c r="AL4">
        <v>0.2</v>
      </c>
      <c r="AM4">
        <f>AK10*AL4</f>
        <v>21.8</v>
      </c>
      <c r="AN4">
        <f t="shared" si="4"/>
        <v>6.6055045871559553E-2</v>
      </c>
      <c r="AQ4" t="s">
        <v>103</v>
      </c>
      <c r="AR4">
        <v>12</v>
      </c>
      <c r="AS4">
        <v>0.2</v>
      </c>
      <c r="AT4">
        <f>AR10*AS4</f>
        <v>16.2</v>
      </c>
      <c r="AU4">
        <f t="shared" si="5"/>
        <v>1.0888888888888886</v>
      </c>
    </row>
    <row r="5" spans="1:47">
      <c r="G5" t="s">
        <v>104</v>
      </c>
      <c r="H5">
        <v>141</v>
      </c>
      <c r="I5">
        <v>0.1</v>
      </c>
      <c r="J5">
        <f>H10*I5</f>
        <v>125.80000000000001</v>
      </c>
      <c r="K5">
        <f t="shared" si="0"/>
        <v>1.8365659777424455</v>
      </c>
      <c r="V5" t="s">
        <v>105</v>
      </c>
      <c r="W5">
        <v>11</v>
      </c>
      <c r="X5">
        <f>W15*W17</f>
        <v>13.416666666666666</v>
      </c>
      <c r="Y5">
        <f t="shared" si="2"/>
        <v>0.43530020703933731</v>
      </c>
      <c r="AA5" t="s">
        <v>106</v>
      </c>
      <c r="AB5">
        <v>0.27</v>
      </c>
      <c r="AC5">
        <v>0.27</v>
      </c>
      <c r="AD5">
        <f>AB5*AB6</f>
        <v>70.2</v>
      </c>
      <c r="AE5">
        <f>AB6*AC5</f>
        <v>70.2</v>
      </c>
      <c r="AF5">
        <f t="shared" si="3"/>
        <v>0</v>
      </c>
      <c r="AJ5" t="s">
        <v>104</v>
      </c>
      <c r="AK5">
        <v>23</v>
      </c>
      <c r="AL5">
        <v>0.2</v>
      </c>
      <c r="AM5">
        <f>AK10*AL5</f>
        <v>21.8</v>
      </c>
      <c r="AN5">
        <f t="shared" si="4"/>
        <v>6.6055045871559553E-2</v>
      </c>
      <c r="AQ5" t="s">
        <v>107</v>
      </c>
      <c r="AR5">
        <v>18</v>
      </c>
      <c r="AS5">
        <v>0.2</v>
      </c>
      <c r="AT5">
        <f>AR10*AS5</f>
        <v>16.2</v>
      </c>
      <c r="AU5">
        <f t="shared" si="5"/>
        <v>0.20000000000000015</v>
      </c>
    </row>
    <row r="6" spans="1:47">
      <c r="A6" t="s">
        <v>108</v>
      </c>
      <c r="B6">
        <v>6</v>
      </c>
      <c r="G6" t="s">
        <v>109</v>
      </c>
      <c r="H6">
        <v>121</v>
      </c>
      <c r="I6">
        <v>0.1</v>
      </c>
      <c r="J6">
        <f>H10*I6</f>
        <v>125.80000000000001</v>
      </c>
      <c r="K6">
        <f t="shared" si="0"/>
        <v>0.18314785373608988</v>
      </c>
      <c r="V6" t="s">
        <v>110</v>
      </c>
      <c r="W6">
        <v>10</v>
      </c>
      <c r="X6">
        <f>W15*W17</f>
        <v>13.416666666666666</v>
      </c>
      <c r="Y6">
        <f t="shared" si="2"/>
        <v>0.87008281573498936</v>
      </c>
      <c r="AA6" t="s">
        <v>111</v>
      </c>
      <c r="AB6">
        <v>260</v>
      </c>
      <c r="AJ6" t="s">
        <v>109</v>
      </c>
      <c r="AK6">
        <v>14</v>
      </c>
      <c r="AL6">
        <v>0.2</v>
      </c>
      <c r="AM6">
        <f>AK10*AL6</f>
        <v>21.8</v>
      </c>
      <c r="AN6">
        <f t="shared" si="4"/>
        <v>2.790825688073395</v>
      </c>
      <c r="AQ6" t="s">
        <v>112</v>
      </c>
      <c r="AR6">
        <v>19</v>
      </c>
      <c r="AS6">
        <v>0.2</v>
      </c>
      <c r="AT6">
        <f>AR10*AS6</f>
        <v>16.2</v>
      </c>
      <c r="AU6">
        <f t="shared" si="5"/>
        <v>0.48395061728395089</v>
      </c>
    </row>
    <row r="7" spans="1:47">
      <c r="A7" t="s">
        <v>14</v>
      </c>
      <c r="B7">
        <f>B6-1</f>
        <v>5</v>
      </c>
      <c r="V7" t="s">
        <v>113</v>
      </c>
      <c r="W7">
        <v>13</v>
      </c>
      <c r="X7">
        <f>W15*W17</f>
        <v>13.416666666666666</v>
      </c>
      <c r="Y7">
        <f t="shared" si="2"/>
        <v>1.2939958592132468E-2</v>
      </c>
      <c r="AA7" t="s">
        <v>114</v>
      </c>
      <c r="AB7">
        <f>1/ROWS(AB2:AB5)</f>
        <v>0.25</v>
      </c>
    </row>
    <row r="8" spans="1:47">
      <c r="A8" t="s">
        <v>18</v>
      </c>
      <c r="B8">
        <v>90</v>
      </c>
      <c r="V8" t="s">
        <v>115</v>
      </c>
      <c r="W8">
        <v>13</v>
      </c>
      <c r="X8">
        <f>W15*W17</f>
        <v>13.416666666666666</v>
      </c>
      <c r="Y8">
        <f t="shared" si="2"/>
        <v>1.2939958592132468E-2</v>
      </c>
    </row>
    <row r="9" spans="1:47">
      <c r="A9" t="s">
        <v>19</v>
      </c>
      <c r="B9">
        <f>1-(B8)/100</f>
        <v>9.9999999999999978E-2</v>
      </c>
      <c r="V9" t="s">
        <v>116</v>
      </c>
      <c r="W9">
        <v>10</v>
      </c>
      <c r="X9">
        <f>W15*W17</f>
        <v>13.416666666666666</v>
      </c>
      <c r="Y9">
        <f t="shared" si="2"/>
        <v>0.87008281573498936</v>
      </c>
      <c r="AA9" t="s">
        <v>117</v>
      </c>
      <c r="AB9">
        <f>SUM(AB2:AB5)</f>
        <v>1</v>
      </c>
    </row>
    <row r="10" spans="1:47">
      <c r="G10" t="s">
        <v>117</v>
      </c>
      <c r="H10">
        <f>SUM(H2:H6)</f>
        <v>1258</v>
      </c>
      <c r="M10" t="s">
        <v>117</v>
      </c>
      <c r="N10">
        <f>SUM(N2:N4)</f>
        <v>241</v>
      </c>
      <c r="V10" t="s">
        <v>118</v>
      </c>
      <c r="W10">
        <v>13</v>
      </c>
      <c r="X10">
        <f>W15*W17</f>
        <v>13.416666666666666</v>
      </c>
      <c r="Y10">
        <f t="shared" si="2"/>
        <v>1.2939958592132468E-2</v>
      </c>
      <c r="AJ10" t="s">
        <v>117</v>
      </c>
      <c r="AK10">
        <f>SUM(AK2:AK6)</f>
        <v>109</v>
      </c>
      <c r="AQ10" t="s">
        <v>117</v>
      </c>
      <c r="AR10">
        <f>SUM(AR2:AR6)</f>
        <v>81</v>
      </c>
    </row>
    <row r="11" spans="1:47">
      <c r="A11" t="s">
        <v>56</v>
      </c>
      <c r="V11" t="s">
        <v>119</v>
      </c>
      <c r="W11">
        <v>16</v>
      </c>
      <c r="X11">
        <f>W15*W17</f>
        <v>13.416666666666666</v>
      </c>
      <c r="Y11">
        <f t="shared" si="2"/>
        <v>0.49741200828157378</v>
      </c>
      <c r="AA11" t="s">
        <v>108</v>
      </c>
      <c r="AB11">
        <f>ROWS(AB2:AB5)</f>
        <v>4</v>
      </c>
    </row>
    <row r="12" spans="1:47">
      <c r="A12" t="s">
        <v>58</v>
      </c>
      <c r="B12">
        <f>_xlfn.CHISQ.INV.RT(B9,B7)</f>
        <v>9.2363568997811178</v>
      </c>
      <c r="G12" t="s">
        <v>108</v>
      </c>
      <c r="H12">
        <v>5</v>
      </c>
      <c r="M12" t="s">
        <v>108</v>
      </c>
      <c r="N12">
        <v>3</v>
      </c>
      <c r="V12" t="s">
        <v>120</v>
      </c>
      <c r="W12">
        <v>18</v>
      </c>
      <c r="X12">
        <f>W15*W17</f>
        <v>13.416666666666666</v>
      </c>
      <c r="Y12">
        <f t="shared" si="2"/>
        <v>1.5657349896480337</v>
      </c>
      <c r="AA12" t="s">
        <v>14</v>
      </c>
      <c r="AB12">
        <f>AB11-1</f>
        <v>3</v>
      </c>
      <c r="AJ12" t="s">
        <v>108</v>
      </c>
      <c r="AK12">
        <v>5</v>
      </c>
      <c r="AQ12" t="s">
        <v>108</v>
      </c>
      <c r="AR12">
        <v>5</v>
      </c>
    </row>
    <row r="13" spans="1:47">
      <c r="G13" t="s">
        <v>14</v>
      </c>
      <c r="H13">
        <f>H12-1</f>
        <v>4</v>
      </c>
      <c r="M13" t="s">
        <v>14</v>
      </c>
      <c r="N13">
        <f>N12-1</f>
        <v>2</v>
      </c>
      <c r="V13" t="s">
        <v>121</v>
      </c>
      <c r="W13">
        <v>11</v>
      </c>
      <c r="X13">
        <f>W15*W17</f>
        <v>13.416666666666666</v>
      </c>
      <c r="Y13">
        <f t="shared" si="2"/>
        <v>0.43530020703933731</v>
      </c>
      <c r="AA13" t="s">
        <v>18</v>
      </c>
      <c r="AB13">
        <v>97.5</v>
      </c>
      <c r="AJ13" t="s">
        <v>14</v>
      </c>
      <c r="AK13">
        <f>AK12-1</f>
        <v>4</v>
      </c>
      <c r="AQ13" t="s">
        <v>14</v>
      </c>
      <c r="AR13">
        <f>AR12-1</f>
        <v>4</v>
      </c>
    </row>
    <row r="14" spans="1:47">
      <c r="G14" t="s">
        <v>18</v>
      </c>
      <c r="H14">
        <v>90</v>
      </c>
      <c r="M14" t="s">
        <v>18</v>
      </c>
      <c r="N14">
        <v>99</v>
      </c>
      <c r="AA14" t="s">
        <v>19</v>
      </c>
      <c r="AB14">
        <f>1-(AB13)/100</f>
        <v>2.5000000000000022E-2</v>
      </c>
      <c r="AJ14" t="s">
        <v>18</v>
      </c>
      <c r="AK14">
        <v>99</v>
      </c>
      <c r="AQ14" t="s">
        <v>18</v>
      </c>
      <c r="AR14">
        <v>99</v>
      </c>
    </row>
    <row r="15" spans="1:47">
      <c r="A15" t="s">
        <v>122</v>
      </c>
      <c r="B15">
        <f>SUM(B4:E4)</f>
        <v>2.642105263157895</v>
      </c>
      <c r="G15" t="s">
        <v>19</v>
      </c>
      <c r="H15">
        <f>1-(H14)/100</f>
        <v>9.9999999999999978E-2</v>
      </c>
      <c r="M15" t="s">
        <v>19</v>
      </c>
      <c r="N15">
        <f>1-(N14)/100</f>
        <v>1.0000000000000009E-2</v>
      </c>
      <c r="V15" t="s">
        <v>114</v>
      </c>
      <c r="W15">
        <f>1/ROWS(W2:W13)</f>
        <v>8.3333333333333329E-2</v>
      </c>
      <c r="AJ15" t="s">
        <v>19</v>
      </c>
      <c r="AK15">
        <f>1-(AK14)/100</f>
        <v>1.0000000000000009E-2</v>
      </c>
      <c r="AQ15" t="s">
        <v>19</v>
      </c>
      <c r="AR15">
        <f>1-(AR14)/100</f>
        <v>1.0000000000000009E-2</v>
      </c>
    </row>
    <row r="16" spans="1:47">
      <c r="AA16" t="s">
        <v>56</v>
      </c>
    </row>
    <row r="17" spans="1:44">
      <c r="A17" t="s">
        <v>65</v>
      </c>
      <c r="G17" t="s">
        <v>56</v>
      </c>
      <c r="M17" t="s">
        <v>56</v>
      </c>
      <c r="V17" t="s">
        <v>117</v>
      </c>
      <c r="W17">
        <f>SUM(W2:W13)</f>
        <v>161</v>
      </c>
      <c r="AA17" t="s">
        <v>58</v>
      </c>
      <c r="AB17">
        <f>_xlfn.CHISQ.INV.RT(AB14,AB12)</f>
        <v>9.3484036044961467</v>
      </c>
      <c r="AJ17" t="s">
        <v>56</v>
      </c>
      <c r="AQ17" t="s">
        <v>56</v>
      </c>
    </row>
    <row r="18" spans="1:44">
      <c r="A18" t="s">
        <v>66</v>
      </c>
      <c r="B18" t="b">
        <f>B15&gt;=B12</f>
        <v>0</v>
      </c>
      <c r="G18" t="s">
        <v>58</v>
      </c>
      <c r="H18">
        <f>_xlfn.CHISQ.INV.RT(H15,H13)</f>
        <v>7.779440339734859</v>
      </c>
      <c r="M18" t="s">
        <v>58</v>
      </c>
      <c r="N18">
        <f>_xlfn.CHISQ.INV.RT(N15,N13)</f>
        <v>9.2103403719761818</v>
      </c>
      <c r="AJ18" t="s">
        <v>58</v>
      </c>
      <c r="AK18">
        <f>_xlfn.CHISQ.INV.RT(AK15,AK13)</f>
        <v>13.276704135987622</v>
      </c>
      <c r="AQ18" t="s">
        <v>58</v>
      </c>
      <c r="AR18">
        <f>_xlfn.CHISQ.INV.RT(AR15,AR13)</f>
        <v>13.276704135987622</v>
      </c>
    </row>
    <row r="19" spans="1:44">
      <c r="A19" t="s">
        <v>67</v>
      </c>
      <c r="V19" t="s">
        <v>108</v>
      </c>
      <c r="W19">
        <f>ROWS(W2:W13)</f>
        <v>12</v>
      </c>
    </row>
    <row r="20" spans="1:44">
      <c r="V20" t="s">
        <v>14</v>
      </c>
      <c r="W20">
        <f>W19-1</f>
        <v>11</v>
      </c>
      <c r="AA20" t="s">
        <v>122</v>
      </c>
      <c r="AB20">
        <f>SUM(AF2:AF5)</f>
        <v>17.510204081632658</v>
      </c>
    </row>
    <row r="21" spans="1:44">
      <c r="G21" t="s">
        <v>122</v>
      </c>
      <c r="H21">
        <f>SUM(K2:K6)</f>
        <v>2.9499205087440381</v>
      </c>
      <c r="M21" t="s">
        <v>122</v>
      </c>
      <c r="N21">
        <f>SUM(Q2:Q4)</f>
        <v>45.265560165975103</v>
      </c>
      <c r="V21" t="s">
        <v>18</v>
      </c>
      <c r="W21">
        <v>97.5</v>
      </c>
      <c r="AA21" t="s">
        <v>123</v>
      </c>
      <c r="AJ21" t="s">
        <v>122</v>
      </c>
      <c r="AK21">
        <f>SUM(AN2:AN6)</f>
        <v>3.6146788990825689</v>
      </c>
      <c r="AQ21" t="s">
        <v>122</v>
      </c>
      <c r="AR21">
        <f>SUM(AU2:AU6)</f>
        <v>2.2716049382716048</v>
      </c>
    </row>
    <row r="22" spans="1:44">
      <c r="A22" t="s">
        <v>0</v>
      </c>
      <c r="G22" t="s">
        <v>123</v>
      </c>
      <c r="M22" t="s">
        <v>123</v>
      </c>
      <c r="V22" t="s">
        <v>19</v>
      </c>
      <c r="W22">
        <f>1-(W21)/100</f>
        <v>2.5000000000000022E-2</v>
      </c>
      <c r="AA22" t="s">
        <v>65</v>
      </c>
      <c r="AJ22" t="s">
        <v>123</v>
      </c>
      <c r="AQ22" t="s">
        <v>123</v>
      </c>
    </row>
    <row r="23" spans="1:44">
      <c r="A23" t="s">
        <v>40</v>
      </c>
      <c r="B23" t="s">
        <v>3</v>
      </c>
      <c r="G23" t="s">
        <v>65</v>
      </c>
      <c r="M23" t="s">
        <v>65</v>
      </c>
      <c r="AA23" t="s">
        <v>66</v>
      </c>
      <c r="AB23" t="b">
        <f>AB20&gt;=AB17</f>
        <v>1</v>
      </c>
      <c r="AJ23" t="s">
        <v>65</v>
      </c>
      <c r="AQ23" t="s">
        <v>65</v>
      </c>
    </row>
    <row r="24" spans="1:44">
      <c r="A24" t="s">
        <v>42</v>
      </c>
      <c r="B24" t="s">
        <v>5</v>
      </c>
      <c r="G24" t="s">
        <v>66</v>
      </c>
      <c r="H24" t="b">
        <f>H21&gt;=H18</f>
        <v>0</v>
      </c>
      <c r="M24" t="s">
        <v>66</v>
      </c>
      <c r="N24" t="b">
        <f>N21&gt;=N18</f>
        <v>1</v>
      </c>
      <c r="V24" t="s">
        <v>56</v>
      </c>
      <c r="AA24" t="s">
        <v>67</v>
      </c>
      <c r="AJ24" t="s">
        <v>66</v>
      </c>
      <c r="AK24" t="b">
        <f>AK21&gt;=AK18</f>
        <v>0</v>
      </c>
      <c r="AQ24" t="s">
        <v>66</v>
      </c>
      <c r="AR24" t="b">
        <f>AR21&gt;=AR18</f>
        <v>0</v>
      </c>
    </row>
    <row r="25" spans="1:44">
      <c r="A25" t="s">
        <v>43</v>
      </c>
      <c r="B25" t="s">
        <v>8</v>
      </c>
      <c r="G25" t="s">
        <v>67</v>
      </c>
      <c r="M25" t="s">
        <v>67</v>
      </c>
      <c r="V25" t="s">
        <v>58</v>
      </c>
      <c r="W25">
        <f>_xlfn.CHISQ.INV.RT(W22,W20)</f>
        <v>21.920049261021202</v>
      </c>
      <c r="AJ25" t="s">
        <v>67</v>
      </c>
      <c r="AQ25" t="s">
        <v>67</v>
      </c>
    </row>
    <row r="26" spans="1:44">
      <c r="AA26" t="s">
        <v>124</v>
      </c>
    </row>
    <row r="27" spans="1:44">
      <c r="G27" t="s">
        <v>124</v>
      </c>
      <c r="M27" t="s">
        <v>124</v>
      </c>
      <c r="AA27" t="s">
        <v>17</v>
      </c>
      <c r="AB27">
        <f>_xlfn.CHISQ.DIST.RT(AB20,AB12)</f>
        <v>5.5494944435659937E-4</v>
      </c>
      <c r="AJ27" t="s">
        <v>124</v>
      </c>
      <c r="AQ27" t="s">
        <v>124</v>
      </c>
    </row>
    <row r="28" spans="1:44">
      <c r="G28" t="s">
        <v>17</v>
      </c>
      <c r="H28">
        <f>_xlfn.CHISQ.DIST.RT(H21,H13)</f>
        <v>0.56624076163016623</v>
      </c>
      <c r="M28" t="s">
        <v>17</v>
      </c>
      <c r="N28">
        <f>_xlfn.CHISQ.DIST.RT(N21,N13)</f>
        <v>1.481523347026049E-10</v>
      </c>
      <c r="V28" t="s">
        <v>122</v>
      </c>
      <c r="W28">
        <f>SUM(Y2:Y13)</f>
        <v>7.9689440993788807</v>
      </c>
      <c r="AA28" t="s">
        <v>65</v>
      </c>
      <c r="AJ28" t="s">
        <v>17</v>
      </c>
      <c r="AK28">
        <f>_xlfn.CHISQ.DIST.RT(AK21,AK13)</f>
        <v>0.46065668574257101</v>
      </c>
      <c r="AQ28" t="s">
        <v>17</v>
      </c>
      <c r="AR28">
        <f>_xlfn.CHISQ.DIST.RT(AR21,AR13)</f>
        <v>0.68594349098239493</v>
      </c>
    </row>
    <row r="29" spans="1:44">
      <c r="G29" t="s">
        <v>65</v>
      </c>
      <c r="M29" t="s">
        <v>65</v>
      </c>
      <c r="V29" t="s">
        <v>123</v>
      </c>
      <c r="AA29" t="s">
        <v>66</v>
      </c>
      <c r="AB29" t="b">
        <f>AB14&gt;=AB27</f>
        <v>1</v>
      </c>
      <c r="AJ29" t="s">
        <v>65</v>
      </c>
      <c r="AQ29" t="s">
        <v>65</v>
      </c>
    </row>
    <row r="30" spans="1:44">
      <c r="G30" t="s">
        <v>66</v>
      </c>
      <c r="H30" t="b">
        <f>H15&gt;=H28</f>
        <v>0</v>
      </c>
      <c r="M30" t="s">
        <v>66</v>
      </c>
      <c r="N30" t="b">
        <f>N15&gt;=N28</f>
        <v>1</v>
      </c>
      <c r="V30" t="s">
        <v>65</v>
      </c>
      <c r="AA30" t="s">
        <v>67</v>
      </c>
      <c r="AJ30" t="s">
        <v>66</v>
      </c>
      <c r="AK30" t="b">
        <f>AK15&gt;=AK28</f>
        <v>0</v>
      </c>
      <c r="AQ30" t="s">
        <v>66</v>
      </c>
      <c r="AR30" t="b">
        <f>AR15&gt;=AR28</f>
        <v>0</v>
      </c>
    </row>
    <row r="31" spans="1:44">
      <c r="G31" t="s">
        <v>67</v>
      </c>
      <c r="M31" t="s">
        <v>67</v>
      </c>
      <c r="V31" t="s">
        <v>66</v>
      </c>
      <c r="W31" t="b">
        <f>W28&gt;=W25</f>
        <v>0</v>
      </c>
      <c r="AJ31" t="s">
        <v>67</v>
      </c>
      <c r="AQ31" t="s">
        <v>67</v>
      </c>
    </row>
    <row r="32" spans="1:44">
      <c r="V32" t="s">
        <v>67</v>
      </c>
    </row>
    <row r="34" spans="22:23">
      <c r="V34" t="s">
        <v>124</v>
      </c>
    </row>
    <row r="35" spans="22:23">
      <c r="V35" t="s">
        <v>17</v>
      </c>
      <c r="W35">
        <f>_xlfn.CHISQ.DIST.RT(W28,W20)</f>
        <v>0.71608305055209365</v>
      </c>
    </row>
    <row r="36" spans="22:23">
      <c r="V36" t="s">
        <v>65</v>
      </c>
    </row>
    <row r="37" spans="22:23">
      <c r="V37" t="s">
        <v>66</v>
      </c>
      <c r="W37" t="b">
        <f>W22&gt;=W35</f>
        <v>0</v>
      </c>
    </row>
    <row r="38" spans="22:23">
      <c r="V38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E50C9-CAE2-4C90-A5B8-84ED16F981CB}">
  <dimension ref="A1:AY47"/>
  <sheetViews>
    <sheetView tabSelected="1" topLeftCell="AR21" workbookViewId="0" xr3:uid="{781FFFDA-EE8F-5C4F-8C0C-89D3AA393E61}">
      <selection activeCell="AU26" sqref="AU26"/>
    </sheetView>
  </sheetViews>
  <sheetFormatPr defaultColWidth="8.85546875" defaultRowHeight="15"/>
  <cols>
    <col min="1" max="1" width="20.140625" customWidth="1"/>
    <col min="2" max="2" width="12.140625" bestFit="1" customWidth="1"/>
    <col min="8" max="8" width="21" customWidth="1"/>
    <col min="9" max="9" width="17.140625" customWidth="1"/>
    <col min="25" max="25" width="12.140625" bestFit="1" customWidth="1"/>
    <col min="41" max="41" width="9.140625" bestFit="1" customWidth="1"/>
    <col min="47" max="47" width="9.140625" bestFit="1" customWidth="1"/>
  </cols>
  <sheetData>
    <row r="1" spans="1:51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129</v>
      </c>
      <c r="Q1" t="s">
        <v>134</v>
      </c>
      <c r="R1" t="s">
        <v>135</v>
      </c>
      <c r="S1" t="s">
        <v>68</v>
      </c>
      <c r="T1" t="s">
        <v>136</v>
      </c>
      <c r="U1" t="s">
        <v>129</v>
      </c>
      <c r="X1" t="s">
        <v>137</v>
      </c>
      <c r="Y1" t="s">
        <v>138</v>
      </c>
      <c r="Z1" t="s">
        <v>139</v>
      </c>
      <c r="AA1" t="s">
        <v>129</v>
      </c>
      <c r="AD1" t="s">
        <v>140</v>
      </c>
      <c r="AE1" t="s">
        <v>141</v>
      </c>
      <c r="AF1" t="s">
        <v>142</v>
      </c>
      <c r="AG1" t="s">
        <v>143</v>
      </c>
      <c r="AH1" t="s">
        <v>129</v>
      </c>
      <c r="AN1" t="s">
        <v>144</v>
      </c>
      <c r="AO1" t="s">
        <v>145</v>
      </c>
      <c r="AP1" t="s">
        <v>146</v>
      </c>
      <c r="AQ1" t="s">
        <v>129</v>
      </c>
      <c r="AU1" t="s">
        <v>147</v>
      </c>
      <c r="AV1" t="s">
        <v>148</v>
      </c>
      <c r="AW1" t="s">
        <v>149</v>
      </c>
      <c r="AX1" t="s">
        <v>150</v>
      </c>
      <c r="AY1" t="s">
        <v>129</v>
      </c>
    </row>
    <row r="2" spans="1:51">
      <c r="A2" t="s">
        <v>138</v>
      </c>
      <c r="B2" s="1">
        <v>33022</v>
      </c>
      <c r="C2" s="1">
        <v>74659</v>
      </c>
      <c r="D2" s="1">
        <v>43116</v>
      </c>
      <c r="E2" s="1">
        <v>19074</v>
      </c>
      <c r="F2" s="1">
        <f>SUM(B2:E2)</f>
        <v>169871</v>
      </c>
      <c r="I2" t="s">
        <v>151</v>
      </c>
      <c r="J2" s="1">
        <v>84</v>
      </c>
      <c r="K2" s="1">
        <v>30</v>
      </c>
      <c r="L2" s="1">
        <v>31</v>
      </c>
      <c r="M2" s="1">
        <v>145</v>
      </c>
      <c r="P2" t="s">
        <v>152</v>
      </c>
      <c r="Q2" s="1">
        <v>18</v>
      </c>
      <c r="R2" s="1">
        <v>19</v>
      </c>
      <c r="S2" s="1">
        <v>8</v>
      </c>
      <c r="T2" s="1">
        <v>14</v>
      </c>
      <c r="U2">
        <v>59</v>
      </c>
      <c r="X2" t="s">
        <v>153</v>
      </c>
      <c r="Y2" s="1">
        <v>18</v>
      </c>
      <c r="Z2" s="1">
        <v>12</v>
      </c>
      <c r="AA2" s="1">
        <v>30</v>
      </c>
      <c r="AB2" s="1"/>
      <c r="AD2" t="s">
        <v>154</v>
      </c>
      <c r="AE2" s="1">
        <v>48</v>
      </c>
      <c r="AF2" s="1">
        <v>14</v>
      </c>
      <c r="AG2" s="1">
        <v>14</v>
      </c>
      <c r="AH2" s="1">
        <v>76</v>
      </c>
      <c r="AN2" t="s">
        <v>155</v>
      </c>
      <c r="AO2" s="1">
        <v>54</v>
      </c>
      <c r="AP2" s="1">
        <v>55</v>
      </c>
      <c r="AQ2" s="1">
        <v>109</v>
      </c>
      <c r="AR2" s="1"/>
      <c r="AT2" t="s">
        <v>156</v>
      </c>
      <c r="AU2" s="1">
        <v>10</v>
      </c>
      <c r="AV2" s="1">
        <v>21</v>
      </c>
      <c r="AW2" s="1">
        <v>15</v>
      </c>
      <c r="AX2" s="1">
        <v>6</v>
      </c>
      <c r="AY2" s="1">
        <f>SUM(AU2:AX2)</f>
        <v>52</v>
      </c>
    </row>
    <row r="3" spans="1:51">
      <c r="A3" t="s">
        <v>139</v>
      </c>
      <c r="B3" s="1">
        <v>35722</v>
      </c>
      <c r="C3" s="1">
        <v>71044</v>
      </c>
      <c r="D3" s="1">
        <v>47925</v>
      </c>
      <c r="E3" s="1">
        <v>25647</v>
      </c>
      <c r="F3" s="1">
        <f t="shared" ref="F3:F4" si="0">SUM(B3:E3)</f>
        <v>180338</v>
      </c>
      <c r="I3" t="s">
        <v>157</v>
      </c>
      <c r="J3" s="1">
        <v>31</v>
      </c>
      <c r="K3" s="1">
        <v>36</v>
      </c>
      <c r="L3" s="1">
        <v>36</v>
      </c>
      <c r="M3" s="1">
        <v>103</v>
      </c>
      <c r="P3" t="s">
        <v>158</v>
      </c>
      <c r="Q3" s="1">
        <v>20</v>
      </c>
      <c r="R3" s="1">
        <v>18</v>
      </c>
      <c r="S3" s="1">
        <v>9</v>
      </c>
      <c r="T3" s="1">
        <v>17</v>
      </c>
      <c r="U3">
        <v>64</v>
      </c>
      <c r="X3" t="s">
        <v>159</v>
      </c>
      <c r="Y3" s="1">
        <v>35</v>
      </c>
      <c r="Z3" s="1">
        <v>23</v>
      </c>
      <c r="AA3" s="1">
        <v>58</v>
      </c>
      <c r="AB3" s="1"/>
      <c r="AD3" t="s">
        <v>160</v>
      </c>
      <c r="AE3" s="1">
        <v>45</v>
      </c>
      <c r="AF3" s="1">
        <v>17</v>
      </c>
      <c r="AG3" s="1">
        <v>17</v>
      </c>
      <c r="AH3" s="1">
        <v>79</v>
      </c>
      <c r="AN3" t="s">
        <v>161</v>
      </c>
      <c r="AO3" s="1">
        <v>71</v>
      </c>
      <c r="AP3" s="1">
        <v>72</v>
      </c>
      <c r="AQ3" s="1">
        <v>143</v>
      </c>
      <c r="AR3" s="1"/>
      <c r="AT3" t="s">
        <v>162</v>
      </c>
      <c r="AU3" s="1">
        <v>11</v>
      </c>
      <c r="AV3" s="1">
        <v>27</v>
      </c>
      <c r="AW3" s="1">
        <v>21</v>
      </c>
      <c r="AX3" s="1">
        <v>13</v>
      </c>
      <c r="AY3" s="1">
        <f t="shared" ref="AY3:AY4" si="1">SUM(AU3:AX3)</f>
        <v>72</v>
      </c>
    </row>
    <row r="4" spans="1:51">
      <c r="A4" t="s">
        <v>129</v>
      </c>
      <c r="B4" s="1">
        <f>SUM(B2:B3)</f>
        <v>68744</v>
      </c>
      <c r="C4" s="1">
        <f t="shared" ref="C4:E4" si="2">SUM(C2:C3)</f>
        <v>145703</v>
      </c>
      <c r="D4" s="1">
        <f t="shared" si="2"/>
        <v>91041</v>
      </c>
      <c r="E4" s="1">
        <f t="shared" si="2"/>
        <v>44721</v>
      </c>
      <c r="F4" s="1">
        <f t="shared" si="0"/>
        <v>350209</v>
      </c>
      <c r="I4" t="s">
        <v>129</v>
      </c>
      <c r="J4" s="1">
        <v>115</v>
      </c>
      <c r="K4" s="1">
        <v>66</v>
      </c>
      <c r="L4" s="1">
        <v>67</v>
      </c>
      <c r="M4" s="1">
        <v>248</v>
      </c>
      <c r="P4" t="s">
        <v>163</v>
      </c>
      <c r="Q4" s="1">
        <v>13</v>
      </c>
      <c r="R4" s="1">
        <v>22</v>
      </c>
      <c r="S4" s="1">
        <v>4</v>
      </c>
      <c r="T4" s="1">
        <v>16</v>
      </c>
      <c r="U4">
        <v>55</v>
      </c>
      <c r="X4" t="s">
        <v>164</v>
      </c>
      <c r="Y4" s="1">
        <v>26</v>
      </c>
      <c r="Z4" s="1">
        <v>60</v>
      </c>
      <c r="AA4" s="1">
        <v>86</v>
      </c>
      <c r="AB4" s="1"/>
      <c r="AD4" t="s">
        <v>165</v>
      </c>
      <c r="AE4" s="1">
        <v>40</v>
      </c>
      <c r="AF4" s="1">
        <v>11</v>
      </c>
      <c r="AG4" s="1">
        <v>15</v>
      </c>
      <c r="AH4" s="1">
        <v>66</v>
      </c>
      <c r="AN4" t="s">
        <v>129</v>
      </c>
      <c r="AO4" s="1">
        <v>125</v>
      </c>
      <c r="AP4" s="1">
        <v>127</v>
      </c>
      <c r="AQ4" s="1">
        <v>252</v>
      </c>
      <c r="AR4" s="1"/>
      <c r="AT4" t="s">
        <v>166</v>
      </c>
      <c r="AU4" s="1">
        <v>6</v>
      </c>
      <c r="AV4" s="1">
        <v>19</v>
      </c>
      <c r="AW4" s="1">
        <v>27</v>
      </c>
      <c r="AX4" s="1">
        <v>24</v>
      </c>
      <c r="AY4" s="1">
        <f t="shared" si="1"/>
        <v>76</v>
      </c>
    </row>
    <row r="5" spans="1:51">
      <c r="P5" t="s">
        <v>167</v>
      </c>
      <c r="Q5">
        <v>12</v>
      </c>
      <c r="R5">
        <v>24</v>
      </c>
      <c r="S5">
        <v>3</v>
      </c>
      <c r="T5">
        <v>15</v>
      </c>
      <c r="U5">
        <v>54</v>
      </c>
      <c r="X5" t="s">
        <v>168</v>
      </c>
      <c r="Y5">
        <v>26</v>
      </c>
      <c r="Z5">
        <v>18</v>
      </c>
      <c r="AA5">
        <v>44</v>
      </c>
      <c r="AD5" t="s">
        <v>129</v>
      </c>
      <c r="AE5">
        <v>133</v>
      </c>
      <c r="AF5">
        <v>42</v>
      </c>
      <c r="AG5">
        <v>46</v>
      </c>
      <c r="AH5">
        <v>221</v>
      </c>
      <c r="AT5" t="s">
        <v>129</v>
      </c>
      <c r="AU5" s="1">
        <f>SUM(AU2:AU4)</f>
        <v>27</v>
      </c>
      <c r="AV5" s="1">
        <f t="shared" ref="AV5:AX5" si="3">SUM(AV2:AV4)</f>
        <v>67</v>
      </c>
      <c r="AW5" s="1">
        <f t="shared" si="3"/>
        <v>63</v>
      </c>
      <c r="AX5" s="1">
        <f t="shared" si="3"/>
        <v>43</v>
      </c>
      <c r="AY5" s="1">
        <f>SUM(AU5:AX5)</f>
        <v>200</v>
      </c>
    </row>
    <row r="6" spans="1:51">
      <c r="A6" t="s">
        <v>83</v>
      </c>
      <c r="I6" t="s">
        <v>83</v>
      </c>
      <c r="P6" t="s">
        <v>129</v>
      </c>
      <c r="Q6">
        <v>63</v>
      </c>
      <c r="R6">
        <v>83</v>
      </c>
      <c r="S6">
        <v>24</v>
      </c>
      <c r="T6">
        <v>62</v>
      </c>
      <c r="U6">
        <v>232</v>
      </c>
      <c r="X6" t="s">
        <v>129</v>
      </c>
      <c r="Y6">
        <v>105</v>
      </c>
      <c r="Z6">
        <v>113</v>
      </c>
      <c r="AA6">
        <v>218</v>
      </c>
    </row>
    <row r="7" spans="1:51">
      <c r="B7">
        <f>B$4*$F2/$F$4</f>
        <v>33344.694236869982</v>
      </c>
      <c r="C7">
        <f t="shared" ref="C7:E7" si="4">C$4*$F2/$F$4</f>
        <v>70674.124060204049</v>
      </c>
      <c r="D7">
        <f t="shared" si="4"/>
        <v>44159.989352072618</v>
      </c>
      <c r="E7">
        <f t="shared" si="4"/>
        <v>21692.192350853347</v>
      </c>
      <c r="J7">
        <f>J$4*$M2/$M$4</f>
        <v>67.237903225806448</v>
      </c>
      <c r="K7">
        <f t="shared" ref="K7:L7" si="5">K$4*$M2/$M$4</f>
        <v>38.588709677419352</v>
      </c>
      <c r="L7">
        <f t="shared" si="5"/>
        <v>39.173387096774192</v>
      </c>
      <c r="AD7" t="s">
        <v>83</v>
      </c>
      <c r="AJ7">
        <f>107*86/207</f>
        <v>44.454106280193237</v>
      </c>
      <c r="AT7" t="s">
        <v>83</v>
      </c>
    </row>
    <row r="8" spans="1:51">
      <c r="B8">
        <f>B$4*$F3/$F$4</f>
        <v>35399.305763130018</v>
      </c>
      <c r="C8">
        <f t="shared" ref="C8:E8" si="6">C$4*$F3/$F$4</f>
        <v>75028.875939795951</v>
      </c>
      <c r="D8">
        <f t="shared" si="6"/>
        <v>46881.010647927382</v>
      </c>
      <c r="E8">
        <f t="shared" si="6"/>
        <v>23028.807649146653</v>
      </c>
      <c r="J8">
        <f>J$4*$M3/$M$4</f>
        <v>47.762096774193552</v>
      </c>
      <c r="K8">
        <f t="shared" ref="K8:L8" si="7">K$4*$M3/$M$4</f>
        <v>27.411290322580644</v>
      </c>
      <c r="L8">
        <f t="shared" si="7"/>
        <v>27.826612903225808</v>
      </c>
      <c r="P8" t="s">
        <v>83</v>
      </c>
      <c r="X8" t="s">
        <v>83</v>
      </c>
      <c r="AE8">
        <f>AE$5*$AH2/$AH$5</f>
        <v>45.737556561085974</v>
      </c>
      <c r="AF8">
        <f>AF$5*$AH2/$AH$5</f>
        <v>14.44343891402715</v>
      </c>
      <c r="AG8">
        <f t="shared" ref="AG8" si="8">AG$5*$AH2/$AH$5</f>
        <v>15.819004524886878</v>
      </c>
      <c r="AN8" t="s">
        <v>83</v>
      </c>
      <c r="AU8">
        <f>AU$5*$AY2/$AY$5</f>
        <v>7.02</v>
      </c>
      <c r="AV8">
        <f t="shared" ref="AV8:AX8" si="9">AV$5*$AY2/$AY$5</f>
        <v>17.420000000000002</v>
      </c>
      <c r="AW8">
        <f t="shared" si="9"/>
        <v>16.38</v>
      </c>
      <c r="AX8">
        <f t="shared" si="9"/>
        <v>11.18</v>
      </c>
    </row>
    <row r="9" spans="1:51">
      <c r="Q9">
        <f>Q$6*$U2/$U$6</f>
        <v>16.021551724137932</v>
      </c>
      <c r="R9">
        <f t="shared" ref="R9:T9" si="10">R$6*$U2/$U$6</f>
        <v>21.107758620689655</v>
      </c>
      <c r="S9">
        <f t="shared" si="10"/>
        <v>6.1034482758620694</v>
      </c>
      <c r="T9">
        <f t="shared" si="10"/>
        <v>15.767241379310345</v>
      </c>
      <c r="Y9">
        <f>Y$6*$AA2/$AA$6</f>
        <v>14.44954128440367</v>
      </c>
      <c r="Z9">
        <f>Z$6*$AA2/$AA$6</f>
        <v>15.55045871559633</v>
      </c>
      <c r="AE9">
        <f t="shared" ref="AE9:AG10" si="11">AE$5*$AH3/$AH$5</f>
        <v>47.542986425339365</v>
      </c>
      <c r="AF9">
        <f t="shared" si="11"/>
        <v>15.013574660633484</v>
      </c>
      <c r="AG9">
        <f t="shared" si="11"/>
        <v>16.443438914027148</v>
      </c>
      <c r="AO9">
        <f>AO$4*$AQ2/$AQ$4</f>
        <v>54.067460317460316</v>
      </c>
      <c r="AP9">
        <f>AP$4*$AQ2/$AQ$4</f>
        <v>54.932539682539684</v>
      </c>
      <c r="AU9">
        <f t="shared" ref="AU9:AX9" si="12">AU$5*$AY3/$AY$5</f>
        <v>9.7200000000000006</v>
      </c>
      <c r="AV9">
        <f t="shared" si="12"/>
        <v>24.12</v>
      </c>
      <c r="AW9">
        <f t="shared" si="12"/>
        <v>22.68</v>
      </c>
      <c r="AX9">
        <f t="shared" si="12"/>
        <v>15.48</v>
      </c>
    </row>
    <row r="10" spans="1:51">
      <c r="A10" t="s">
        <v>169</v>
      </c>
      <c r="I10" t="s">
        <v>169</v>
      </c>
      <c r="Q10">
        <f>Q$6*$U3/$U$6</f>
        <v>17.379310344827587</v>
      </c>
      <c r="R10">
        <f t="shared" ref="R10:T10" si="13">R$6*$U3/$U$6</f>
        <v>22.896551724137932</v>
      </c>
      <c r="S10">
        <f t="shared" si="13"/>
        <v>6.6206896551724137</v>
      </c>
      <c r="T10">
        <f t="shared" si="13"/>
        <v>17.103448275862068</v>
      </c>
      <c r="Y10">
        <f t="shared" ref="Y10:Z12" si="14">Y$6*$AA3/$AA$6</f>
        <v>27.935779816513762</v>
      </c>
      <c r="Z10">
        <f>Z$6*$AA3/$AA$6</f>
        <v>30.064220183486238</v>
      </c>
      <c r="AE10">
        <f t="shared" si="11"/>
        <v>39.719457013574662</v>
      </c>
      <c r="AF10">
        <f t="shared" si="11"/>
        <v>12.542986425339366</v>
      </c>
      <c r="AG10">
        <f t="shared" si="11"/>
        <v>13.737556561085972</v>
      </c>
      <c r="AO10">
        <f>AO$4*$AQ3/$AQ$4</f>
        <v>70.932539682539684</v>
      </c>
      <c r="AP10">
        <f>AP$4*$AQ3/$AQ$4</f>
        <v>72.067460317460316</v>
      </c>
      <c r="AU10">
        <f t="shared" ref="AU10:AX10" si="15">AU$5*$AY4/$AY$5</f>
        <v>10.26</v>
      </c>
      <c r="AV10">
        <f t="shared" si="15"/>
        <v>25.46</v>
      </c>
      <c r="AW10">
        <f t="shared" si="15"/>
        <v>23.94</v>
      </c>
      <c r="AX10">
        <f t="shared" si="15"/>
        <v>16.34</v>
      </c>
    </row>
    <row r="11" spans="1:51">
      <c r="B11">
        <f t="shared" ref="B11:E12" si="16">(B2-B7)^2/B7</f>
        <v>3.1228827521818872</v>
      </c>
      <c r="C11">
        <f t="shared" si="16"/>
        <v>224.68246287761374</v>
      </c>
      <c r="D11">
        <f t="shared" si="16"/>
        <v>24.681024231040734</v>
      </c>
      <c r="E11">
        <f t="shared" si="16"/>
        <v>316.00914629531729</v>
      </c>
      <c r="J11">
        <f t="shared" ref="J11:L12" si="17">(J2-J7)^2/J7</f>
        <v>4.1787128210088529</v>
      </c>
      <c r="K11">
        <f t="shared" si="17"/>
        <v>1.9115936899585388</v>
      </c>
      <c r="L11">
        <f t="shared" si="17"/>
        <v>1.7053479820032202</v>
      </c>
      <c r="Q11">
        <f t="shared" ref="Q11:T12" si="18">Q$6*$U4/$U$6</f>
        <v>14.935344827586206</v>
      </c>
      <c r="R11">
        <f t="shared" si="18"/>
        <v>19.676724137931036</v>
      </c>
      <c r="S11">
        <f t="shared" si="18"/>
        <v>5.6896551724137927</v>
      </c>
      <c r="T11">
        <f t="shared" si="18"/>
        <v>14.698275862068966</v>
      </c>
      <c r="Y11">
        <f t="shared" si="14"/>
        <v>41.422018348623851</v>
      </c>
      <c r="Z11">
        <f t="shared" si="14"/>
        <v>44.577981651376149</v>
      </c>
    </row>
    <row r="12" spans="1:51">
      <c r="B12">
        <f t="shared" si="16"/>
        <v>2.941627477269845</v>
      </c>
      <c r="C12">
        <f t="shared" si="16"/>
        <v>211.6416653810241</v>
      </c>
      <c r="D12">
        <f t="shared" si="16"/>
        <v>23.248512610493187</v>
      </c>
      <c r="E12">
        <f t="shared" si="16"/>
        <v>297.66765568173008</v>
      </c>
      <c r="J12">
        <f t="shared" si="17"/>
        <v>5.8826539713231414</v>
      </c>
      <c r="K12">
        <f t="shared" si="17"/>
        <v>2.6910784955727025</v>
      </c>
      <c r="L12">
        <f t="shared" si="17"/>
        <v>2.4007325960239507</v>
      </c>
      <c r="Q12">
        <f t="shared" si="18"/>
        <v>14.663793103448276</v>
      </c>
      <c r="R12">
        <f t="shared" si="18"/>
        <v>19.318965517241381</v>
      </c>
      <c r="S12">
        <f t="shared" si="18"/>
        <v>5.5862068965517242</v>
      </c>
      <c r="T12">
        <f t="shared" si="18"/>
        <v>14.431034482758621</v>
      </c>
      <c r="Y12">
        <f>Y$6*$AA5/$AA$6</f>
        <v>21.192660550458715</v>
      </c>
      <c r="Z12">
        <f t="shared" si="14"/>
        <v>22.807339449541285</v>
      </c>
    </row>
    <row r="14" spans="1:51">
      <c r="A14" t="s">
        <v>170</v>
      </c>
      <c r="B14">
        <f>SUM(B11:E12)</f>
        <v>1103.994977306671</v>
      </c>
      <c r="I14" t="s">
        <v>170</v>
      </c>
      <c r="J14">
        <f>SUM(J11:L12)</f>
        <v>18.770119555890407</v>
      </c>
      <c r="AD14" t="s">
        <v>169</v>
      </c>
      <c r="AT14" t="s">
        <v>169</v>
      </c>
    </row>
    <row r="15" spans="1:51">
      <c r="P15" t="s">
        <v>169</v>
      </c>
      <c r="X15" t="s">
        <v>169</v>
      </c>
      <c r="AE15">
        <f t="shared" ref="AE15:AG17" si="19">(AE2-AE8)^2/AE8</f>
        <v>0.11191350608003686</v>
      </c>
      <c r="AF15">
        <f t="shared" si="19"/>
        <v>1.3614352623640561E-2</v>
      </c>
      <c r="AG15">
        <f t="shared" si="19"/>
        <v>0.20916470795323952</v>
      </c>
      <c r="AN15" t="s">
        <v>169</v>
      </c>
      <c r="AU15">
        <f>(AU2-AU8)^2/AU8</f>
        <v>1.2650142450142456</v>
      </c>
      <c r="AV15">
        <f>(AV2-AV8)^2/AV8</f>
        <v>0.73572904707232989</v>
      </c>
      <c r="AW15">
        <f>(AW2-AW8)^2/AW8</f>
        <v>0.11626373626373609</v>
      </c>
      <c r="AX15">
        <f>(AX2-AX8)^2/AX8</f>
        <v>2.400035778175313</v>
      </c>
    </row>
    <row r="16" spans="1:51">
      <c r="Q16">
        <f t="shared" ref="Q16:T19" si="20">(Q2-Q9)^2/Q9</f>
        <v>0.24431201469483141</v>
      </c>
      <c r="R16">
        <f t="shared" si="20"/>
        <v>0.21047456922957752</v>
      </c>
      <c r="S16">
        <f t="shared" si="20"/>
        <v>0.58932398207675785</v>
      </c>
      <c r="T16">
        <f t="shared" si="20"/>
        <v>0.19807790200033942</v>
      </c>
      <c r="Y16">
        <f t="shared" ref="Y16:Z19" si="21">(Y2-Y9)^2/Y9</f>
        <v>0.87239842726081218</v>
      </c>
      <c r="Z16">
        <f t="shared" si="21"/>
        <v>0.81063570674677243</v>
      </c>
      <c r="AE16">
        <f t="shared" si="19"/>
        <v>0.1360196412906369</v>
      </c>
      <c r="AF16">
        <f t="shared" si="19"/>
        <v>0.26282119469014481</v>
      </c>
      <c r="AG16">
        <f t="shared" si="19"/>
        <v>1.8837923383230881E-2</v>
      </c>
      <c r="AO16">
        <f>(AO2-AO9)^2/AO9</f>
        <v>8.417067132663182E-5</v>
      </c>
      <c r="AP16">
        <f t="shared" ref="AO16:AP16" si="22">(AP2-AP9)^2/AP9</f>
        <v>8.284514894353525E-5</v>
      </c>
      <c r="AU16">
        <f>(AU3-AU9)^2/AU9</f>
        <v>0.16855967078189282</v>
      </c>
      <c r="AV16">
        <f>(AV3-AV9)^2/AV9</f>
        <v>0.34388059701492513</v>
      </c>
      <c r="AW16">
        <f>(AW3-AW9)^2/AW9</f>
        <v>0.12444444444444441</v>
      </c>
      <c r="AX16">
        <f>(AX3-AX9)^2/AX9</f>
        <v>0.39731266149870814</v>
      </c>
    </row>
    <row r="17" spans="1:50">
      <c r="Q17">
        <f t="shared" si="20"/>
        <v>0.39518336070060178</v>
      </c>
      <c r="R17">
        <f t="shared" si="20"/>
        <v>1.0471541337764858</v>
      </c>
      <c r="S17">
        <f t="shared" si="20"/>
        <v>0.85506465517241381</v>
      </c>
      <c r="T17">
        <f t="shared" si="20"/>
        <v>6.2569521690765894E-4</v>
      </c>
      <c r="Y17">
        <f t="shared" si="21"/>
        <v>1.7863545291574394</v>
      </c>
      <c r="Z17">
        <f t="shared" si="21"/>
        <v>1.659886951871957</v>
      </c>
      <c r="AE17">
        <f t="shared" si="19"/>
        <v>1.9815066254694597E-3</v>
      </c>
      <c r="AF17">
        <f t="shared" si="19"/>
        <v>0.18981182216476331</v>
      </c>
      <c r="AG17">
        <f t="shared" si="19"/>
        <v>0.11601505910968843</v>
      </c>
      <c r="AO17">
        <f>(AO3-AO10)^2/AO10</f>
        <v>6.4158064158062006E-5</v>
      </c>
      <c r="AP17">
        <f t="shared" ref="AO17:AP17" si="23">(AP3-AP10)^2/AP10</f>
        <v>6.3147700942974423E-5</v>
      </c>
      <c r="AU17">
        <f>(AU4-AU10)^2/AU10</f>
        <v>1.7687719298245612</v>
      </c>
      <c r="AV17">
        <f>(AV4-AV10)^2/AV10</f>
        <v>1.6391044776119408</v>
      </c>
      <c r="AW17">
        <f>(AW4-AW10)^2/AW10</f>
        <v>0.39112781954887188</v>
      </c>
      <c r="AX17">
        <f>(AX4-AX10)^2/AX10</f>
        <v>3.5909179926560588</v>
      </c>
    </row>
    <row r="18" spans="1:50">
      <c r="A18" t="s">
        <v>56</v>
      </c>
      <c r="I18" t="s">
        <v>56</v>
      </c>
      <c r="Q18">
        <f t="shared" si="20"/>
        <v>0.2507849430263222</v>
      </c>
      <c r="R18">
        <f t="shared" si="20"/>
        <v>0.27431449937681734</v>
      </c>
      <c r="S18">
        <f t="shared" si="20"/>
        <v>0.50177638453500506</v>
      </c>
      <c r="T18">
        <f t="shared" si="20"/>
        <v>0.11528465972292434</v>
      </c>
      <c r="Y18">
        <f t="shared" si="21"/>
        <v>5.741841161469921</v>
      </c>
      <c r="Z18">
        <f t="shared" si="21"/>
        <v>5.335339132339306</v>
      </c>
    </row>
    <row r="19" spans="1:50">
      <c r="A19" t="s">
        <v>58</v>
      </c>
      <c r="B19">
        <f>_xlfn.CHISQ.INV.RT(B27,B25)</f>
        <v>11.34486673014437</v>
      </c>
      <c r="I19" t="s">
        <v>58</v>
      </c>
      <c r="J19">
        <f>_xlfn.CHISQ.INV.RT(J27,J25)</f>
        <v>9.2103403719761818</v>
      </c>
      <c r="Q19">
        <f t="shared" si="20"/>
        <v>0.48389892355409592</v>
      </c>
      <c r="R19">
        <f t="shared" si="20"/>
        <v>1.1342265614180855</v>
      </c>
      <c r="S19">
        <f t="shared" si="20"/>
        <v>1.1973180076628351</v>
      </c>
      <c r="T19">
        <f t="shared" si="20"/>
        <v>2.2432332220986256E-2</v>
      </c>
      <c r="Y19">
        <f t="shared" si="21"/>
        <v>1.0904960482942136</v>
      </c>
      <c r="Z19">
        <f t="shared" si="21"/>
        <v>1.0132927882379863</v>
      </c>
    </row>
    <row r="21" spans="1:50">
      <c r="AD21" t="s">
        <v>170</v>
      </c>
      <c r="AE21">
        <f>SUM(AE15:AG17)</f>
        <v>1.0601797139208509</v>
      </c>
      <c r="AT21" t="s">
        <v>170</v>
      </c>
      <c r="AU21">
        <f>SUM(AU15:AX18)</f>
        <v>12.941162399907029</v>
      </c>
    </row>
    <row r="22" spans="1:50">
      <c r="P22" t="s">
        <v>170</v>
      </c>
      <c r="Q22">
        <f>SUM(Q16:T19)</f>
        <v>7.5202526243849865</v>
      </c>
      <c r="X22" t="s">
        <v>170</v>
      </c>
      <c r="Y22">
        <f>SUM(Y16:Z19)</f>
        <v>18.310244745378409</v>
      </c>
      <c r="AN22" t="s">
        <v>170</v>
      </c>
      <c r="AO22">
        <f>SUM(AO16:AP19)</f>
        <v>2.943215853712035E-4</v>
      </c>
    </row>
    <row r="23" spans="1:50">
      <c r="A23" t="s">
        <v>17</v>
      </c>
      <c r="B23">
        <f>_xlfn.CHISQ.TEST(B2:E3, B7:E8)</f>
        <v>4.9471276328113702E-239</v>
      </c>
      <c r="I23" t="s">
        <v>17</v>
      </c>
      <c r="J23">
        <f>_xlfn.CHISQ.TEST(J2:M3, J7:M8)</f>
        <v>3.0501043120958365E-4</v>
      </c>
    </row>
    <row r="25" spans="1:50">
      <c r="A25" t="s">
        <v>14</v>
      </c>
      <c r="B25">
        <f>(ROWS(B2:B3)-1)*(COLUMNS(B2:E2)-1)</f>
        <v>3</v>
      </c>
      <c r="I25" t="s">
        <v>14</v>
      </c>
      <c r="J25">
        <f>(ROWS(J2:J3)-1)*(COLUMNS(J2:L2)-1)</f>
        <v>2</v>
      </c>
      <c r="AD25" t="s">
        <v>56</v>
      </c>
      <c r="AT25" t="s">
        <v>56</v>
      </c>
    </row>
    <row r="26" spans="1:50">
      <c r="A26" t="s">
        <v>18</v>
      </c>
      <c r="B26">
        <v>99</v>
      </c>
      <c r="I26" t="s">
        <v>18</v>
      </c>
      <c r="J26">
        <v>99</v>
      </c>
      <c r="P26" t="s">
        <v>56</v>
      </c>
      <c r="X26" t="s">
        <v>56</v>
      </c>
      <c r="AD26" t="s">
        <v>58</v>
      </c>
      <c r="AE26">
        <f>_xlfn.CHISQ.INV.RT(AE34,AE32)</f>
        <v>9.487729036781154</v>
      </c>
      <c r="AN26" t="s">
        <v>56</v>
      </c>
      <c r="AT26" t="s">
        <v>58</v>
      </c>
      <c r="AU26">
        <f>_xlfn.CHISQ.INV.RT(AU34,AU32)</f>
        <v>12.591587243743977</v>
      </c>
    </row>
    <row r="27" spans="1:50">
      <c r="A27" t="s">
        <v>19</v>
      </c>
      <c r="B27">
        <f>1-(B26)/100</f>
        <v>1.0000000000000009E-2</v>
      </c>
      <c r="I27" t="s">
        <v>19</v>
      </c>
      <c r="J27">
        <f>1-(J26)/100</f>
        <v>1.0000000000000009E-2</v>
      </c>
      <c r="P27" t="s">
        <v>58</v>
      </c>
      <c r="Q27">
        <f>_xlfn.CHISQ.INV.RT(Q35,Q33)</f>
        <v>16.918977604620448</v>
      </c>
      <c r="X27" t="s">
        <v>58</v>
      </c>
      <c r="Y27">
        <f>_xlfn.CHISQ.INV.RT(Y35,Y33)</f>
        <v>12.838156466598649</v>
      </c>
      <c r="AN27" t="s">
        <v>58</v>
      </c>
      <c r="AO27">
        <f>_xlfn.CHISQ.INV.RT(AO35,AO33)</f>
        <v>6.6348966010212118</v>
      </c>
    </row>
    <row r="29" spans="1:50">
      <c r="A29" t="s">
        <v>56</v>
      </c>
      <c r="I29" t="s">
        <v>56</v>
      </c>
    </row>
    <row r="30" spans="1:50">
      <c r="A30" t="s">
        <v>65</v>
      </c>
      <c r="I30" t="s">
        <v>65</v>
      </c>
      <c r="AD30" t="s">
        <v>17</v>
      </c>
      <c r="AE30">
        <f>_xlfn.CHISQ.TEST(AE2:AG4, AE8:AG10)</f>
        <v>0.90053757065679974</v>
      </c>
      <c r="AT30" t="s">
        <v>17</v>
      </c>
      <c r="AU30" t="e">
        <f>_xlfn.CHISQ.TEST(AU2:AX4, AU8:AX11)</f>
        <v>#N/A</v>
      </c>
    </row>
    <row r="31" spans="1:50">
      <c r="A31" t="s">
        <v>66</v>
      </c>
      <c r="B31" t="b">
        <f>B14&gt;=B19</f>
        <v>1</v>
      </c>
      <c r="I31" t="s">
        <v>66</v>
      </c>
      <c r="J31" t="b">
        <f>J14&gt;=J19</f>
        <v>1</v>
      </c>
      <c r="P31" t="s">
        <v>17</v>
      </c>
      <c r="Q31">
        <f>_xlfn.CHISQ.TEST(Q2:T5, Q9:T12)</f>
        <v>0.58311868528950739</v>
      </c>
      <c r="X31" t="s">
        <v>17</v>
      </c>
      <c r="Y31">
        <f>_xlfn.CHISQ.TEST(Y2:Z5, Y9:Z12)</f>
        <v>3.795707372853714E-4</v>
      </c>
      <c r="AN31" t="s">
        <v>17</v>
      </c>
      <c r="AO31">
        <f>_xlfn.CHISQ.TEST(AO2:AP5, AO9:AP12)</f>
        <v>0.99999865719289138</v>
      </c>
    </row>
    <row r="32" spans="1:50">
      <c r="A32" t="s">
        <v>67</v>
      </c>
      <c r="I32" t="s">
        <v>67</v>
      </c>
      <c r="AD32" t="s">
        <v>14</v>
      </c>
      <c r="AE32">
        <f>(ROWS(AE2:AE4)-1)*(COLUMNS(AE2:AG2)-1)</f>
        <v>4</v>
      </c>
      <c r="AT32" t="s">
        <v>14</v>
      </c>
      <c r="AU32">
        <f>(ROWS(AU2:AU4)-1)*(COLUMNS(AU2:AX2)-1)</f>
        <v>6</v>
      </c>
    </row>
    <row r="33" spans="1:47">
      <c r="P33" t="s">
        <v>14</v>
      </c>
      <c r="Q33">
        <f>(ROWS(Q2:Q5)-1)*(COLUMNS(Q2:T2)-1)</f>
        <v>9</v>
      </c>
      <c r="X33" t="s">
        <v>14</v>
      </c>
      <c r="Y33">
        <f>(ROWS(Y2:Y5)-1)*(COLUMNS(Y2:Z2)-1)</f>
        <v>3</v>
      </c>
      <c r="AD33" t="s">
        <v>18</v>
      </c>
      <c r="AE33">
        <v>95</v>
      </c>
      <c r="AN33" t="s">
        <v>14</v>
      </c>
      <c r="AO33">
        <f>(ROWS(AO2:AO3)-1)*(COLUMNS(AO2:AP2)-1)</f>
        <v>1</v>
      </c>
      <c r="AT33" t="s">
        <v>18</v>
      </c>
      <c r="AU33">
        <v>95</v>
      </c>
    </row>
    <row r="34" spans="1:47">
      <c r="P34" t="s">
        <v>18</v>
      </c>
      <c r="Q34">
        <v>95</v>
      </c>
      <c r="X34" t="s">
        <v>18</v>
      </c>
      <c r="Y34">
        <v>99.5</v>
      </c>
      <c r="AD34" t="s">
        <v>19</v>
      </c>
      <c r="AE34">
        <f>1-(AE33)/100</f>
        <v>5.0000000000000044E-2</v>
      </c>
      <c r="AN34" t="s">
        <v>18</v>
      </c>
      <c r="AO34">
        <v>99</v>
      </c>
      <c r="AT34" t="s">
        <v>19</v>
      </c>
      <c r="AU34">
        <f>1-(AU33)/100</f>
        <v>5.0000000000000044E-2</v>
      </c>
    </row>
    <row r="35" spans="1:47">
      <c r="P35" t="s">
        <v>19</v>
      </c>
      <c r="Q35">
        <f>1-(Q34)/100</f>
        <v>5.0000000000000044E-2</v>
      </c>
      <c r="X35" t="s">
        <v>19</v>
      </c>
      <c r="Y35">
        <f>1-(Y34)/100</f>
        <v>5.0000000000000044E-3</v>
      </c>
      <c r="AN35" t="s">
        <v>19</v>
      </c>
      <c r="AO35">
        <f>1-(AO34)/100</f>
        <v>1.0000000000000009E-2</v>
      </c>
    </row>
    <row r="36" spans="1:47">
      <c r="A36" t="s">
        <v>124</v>
      </c>
      <c r="I36" t="s">
        <v>124</v>
      </c>
      <c r="AD36" t="s">
        <v>56</v>
      </c>
      <c r="AT36" t="s">
        <v>56</v>
      </c>
    </row>
    <row r="37" spans="1:47">
      <c r="A37" t="s">
        <v>65</v>
      </c>
      <c r="I37" t="s">
        <v>65</v>
      </c>
      <c r="P37" t="s">
        <v>56</v>
      </c>
      <c r="X37" t="s">
        <v>56</v>
      </c>
      <c r="AD37" t="s">
        <v>65</v>
      </c>
      <c r="AN37" t="s">
        <v>56</v>
      </c>
      <c r="AT37" t="s">
        <v>65</v>
      </c>
    </row>
    <row r="38" spans="1:47">
      <c r="A38" t="s">
        <v>66</v>
      </c>
      <c r="B38" t="b">
        <f>B27&gt;=B23</f>
        <v>1</v>
      </c>
      <c r="I38" t="s">
        <v>66</v>
      </c>
      <c r="J38" t="b">
        <f>J27&gt;=J23</f>
        <v>1</v>
      </c>
      <c r="P38" t="s">
        <v>65</v>
      </c>
      <c r="X38" t="s">
        <v>65</v>
      </c>
      <c r="AD38" t="s">
        <v>66</v>
      </c>
      <c r="AE38" t="b">
        <f>AE21&gt;=AE26</f>
        <v>0</v>
      </c>
      <c r="AN38" t="s">
        <v>65</v>
      </c>
      <c r="AT38" t="s">
        <v>66</v>
      </c>
      <c r="AU38" t="b">
        <f>AU21&gt;=AU26</f>
        <v>1</v>
      </c>
    </row>
    <row r="39" spans="1:47">
      <c r="A39" t="s">
        <v>67</v>
      </c>
      <c r="I39" t="s">
        <v>67</v>
      </c>
      <c r="P39" t="s">
        <v>66</v>
      </c>
      <c r="Q39" t="b">
        <f>Q22&gt;=Q27</f>
        <v>0</v>
      </c>
      <c r="X39" t="s">
        <v>66</v>
      </c>
      <c r="Y39" t="b">
        <f>Y22&gt;=Y27</f>
        <v>1</v>
      </c>
      <c r="AD39" t="s">
        <v>67</v>
      </c>
      <c r="AN39" t="s">
        <v>66</v>
      </c>
      <c r="AO39" t="b">
        <f>AO22&gt;=AO27</f>
        <v>0</v>
      </c>
      <c r="AT39" t="s">
        <v>67</v>
      </c>
    </row>
    <row r="40" spans="1:47">
      <c r="P40" t="s">
        <v>67</v>
      </c>
      <c r="X40" t="s">
        <v>67</v>
      </c>
      <c r="AN40" t="s">
        <v>67</v>
      </c>
    </row>
    <row r="43" spans="1:47">
      <c r="AD43" t="s">
        <v>124</v>
      </c>
      <c r="AT43" t="s">
        <v>124</v>
      </c>
    </row>
    <row r="44" spans="1:47">
      <c r="P44" t="s">
        <v>124</v>
      </c>
      <c r="X44" t="s">
        <v>124</v>
      </c>
      <c r="AD44" t="s">
        <v>65</v>
      </c>
      <c r="AN44" t="s">
        <v>124</v>
      </c>
      <c r="AT44" t="s">
        <v>65</v>
      </c>
    </row>
    <row r="45" spans="1:47">
      <c r="P45" t="s">
        <v>65</v>
      </c>
      <c r="X45" t="s">
        <v>65</v>
      </c>
      <c r="AD45" t="s">
        <v>66</v>
      </c>
      <c r="AE45" t="b">
        <f>AE34&gt;=AE30</f>
        <v>0</v>
      </c>
      <c r="AN45" t="s">
        <v>65</v>
      </c>
      <c r="AT45" t="s">
        <v>66</v>
      </c>
      <c r="AU45" t="e">
        <f>AU34&gt;=AU30</f>
        <v>#N/A</v>
      </c>
    </row>
    <row r="46" spans="1:47">
      <c r="P46" t="s">
        <v>66</v>
      </c>
      <c r="Q46" t="b">
        <f>Q35&gt;=Q31</f>
        <v>0</v>
      </c>
      <c r="X46" t="s">
        <v>66</v>
      </c>
      <c r="Y46" t="b">
        <f>Y35&gt;=Y31</f>
        <v>1</v>
      </c>
      <c r="AD46" t="s">
        <v>67</v>
      </c>
      <c r="AN46" t="s">
        <v>66</v>
      </c>
      <c r="AO46" t="b">
        <f>AO35&gt;=AO31</f>
        <v>0</v>
      </c>
      <c r="AT46" t="s">
        <v>67</v>
      </c>
    </row>
    <row r="47" spans="1:47">
      <c r="P47" t="s">
        <v>67</v>
      </c>
      <c r="X47" t="s">
        <v>67</v>
      </c>
      <c r="AN4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jmonzon000@citymail.cuny.edu</cp:lastModifiedBy>
  <cp:revision/>
  <dcterms:created xsi:type="dcterms:W3CDTF">2019-01-07T18:06:18Z</dcterms:created>
  <dcterms:modified xsi:type="dcterms:W3CDTF">2019-04-03T22:23:05Z</dcterms:modified>
  <cp:category/>
  <cp:contentStatus/>
</cp:coreProperties>
</file>