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nymailcuny-my.sharepoint.com/personal/jmonzon000_citymail_cuny_edu/Documents/"/>
    </mc:Choice>
  </mc:AlternateContent>
  <xr:revisionPtr revIDLastSave="803" documentId="11_7C7CF2E731D2DB5744EDBF7BDD2189AE81D8663B" xr6:coauthVersionLast="40" xr6:coauthVersionMax="40" xr10:uidLastSave="{170F9035-803F-8848-88DD-F7F8BE934B10}"/>
  <bookViews>
    <workbookView xWindow="12800" yWindow="460" windowWidth="12800" windowHeight="14180" firstSheet="2" activeTab="2" xr2:uid="{00000000-000D-0000-FFFF-FFFF00000000}"/>
  </bookViews>
  <sheets>
    <sheet name="key" sheetId="7" r:id="rId1"/>
    <sheet name="2 pop sigma known" sheetId="1" r:id="rId2"/>
    <sheet name="2 pop sigma unknown" sheetId="2" r:id="rId3"/>
    <sheet name="2 pop dependent sigma unknown" sheetId="9" r:id="rId4"/>
    <sheet name="2 population proportion" sheetId="3" r:id="rId5"/>
    <sheet name="2 population variances" sheetId="4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1" i="1" l="1"/>
  <c r="D25" i="1"/>
  <c r="D19" i="1"/>
  <c r="B32" i="1"/>
  <c r="D47" i="9" l="1"/>
  <c r="D46" i="9"/>
  <c r="D45" i="9"/>
  <c r="D44" i="9"/>
  <c r="D43" i="9"/>
  <c r="D42" i="9"/>
  <c r="D41" i="9"/>
  <c r="D40" i="9"/>
  <c r="D39" i="9"/>
  <c r="D38" i="9"/>
  <c r="H35" i="9"/>
  <c r="H31" i="9"/>
  <c r="H29" i="9"/>
  <c r="H33" i="9" s="1"/>
  <c r="H28" i="9"/>
  <c r="H30" i="9" s="1"/>
  <c r="H43" i="9" l="1"/>
  <c r="I43" i="9" s="1"/>
  <c r="H46" i="9"/>
  <c r="I46" i="9" s="1"/>
  <c r="H40" i="9"/>
  <c r="I40" i="9" s="1"/>
  <c r="H47" i="9"/>
  <c r="H41" i="9"/>
  <c r="H44" i="9"/>
  <c r="B7" i="9" l="1"/>
  <c r="I4" i="9" l="1"/>
  <c r="B11" i="9"/>
  <c r="F18" i="9"/>
  <c r="G3" i="2"/>
  <c r="B4" i="3" l="1"/>
  <c r="B7" i="3"/>
  <c r="B5" i="9"/>
  <c r="B3" i="9"/>
  <c r="D23" i="9"/>
  <c r="D22" i="9"/>
  <c r="D21" i="9" l="1"/>
  <c r="B9" i="9" l="1"/>
  <c r="B13" i="4"/>
  <c r="B4" i="4"/>
  <c r="C4" i="4"/>
  <c r="B7" i="4"/>
  <c r="C7" i="3"/>
  <c r="B8" i="3" s="1"/>
  <c r="I7" i="3"/>
  <c r="B4" i="9"/>
  <c r="D3" i="3"/>
  <c r="D14" i="9"/>
  <c r="D15" i="9"/>
  <c r="D16" i="9"/>
  <c r="D17" i="9"/>
  <c r="D18" i="9"/>
  <c r="D19" i="9"/>
  <c r="D20" i="9"/>
  <c r="B10" i="3"/>
  <c r="H7" i="3"/>
  <c r="B12" i="2"/>
  <c r="B11" i="2"/>
  <c r="B14" i="2"/>
  <c r="I12" i="2"/>
  <c r="I11" i="2"/>
  <c r="I14" i="2"/>
  <c r="K9" i="2"/>
  <c r="D9" i="2"/>
  <c r="B12" i="1"/>
  <c r="B25" i="1" s="1"/>
  <c r="D9" i="1"/>
  <c r="I3" i="4"/>
  <c r="I2" i="4"/>
  <c r="B15" i="1"/>
  <c r="B19" i="3" l="1"/>
  <c r="B16" i="3"/>
  <c r="B13" i="3"/>
  <c r="I31" i="2"/>
  <c r="I30" i="2" s="1"/>
  <c r="I18" i="2"/>
  <c r="I19" i="2" s="1"/>
  <c r="I25" i="2"/>
  <c r="I24" i="2" s="1"/>
  <c r="C18" i="2"/>
  <c r="C25" i="2"/>
  <c r="C31" i="2"/>
  <c r="C10" i="4"/>
  <c r="C16" i="4" s="1"/>
  <c r="B12" i="3"/>
  <c r="C11" i="3" s="1"/>
  <c r="B25" i="2"/>
  <c r="B24" i="2" s="1"/>
  <c r="B26" i="1"/>
  <c r="B19" i="1"/>
  <c r="B20" i="1" s="1"/>
  <c r="B31" i="1"/>
  <c r="B5" i="4"/>
  <c r="B10" i="4"/>
  <c r="B16" i="4" s="1"/>
  <c r="E10" i="4"/>
  <c r="E11" i="4"/>
  <c r="B31" i="2"/>
  <c r="B30" i="2" s="1"/>
  <c r="B18" i="2"/>
  <c r="B19" i="2" s="1"/>
  <c r="F14" i="9"/>
  <c r="G17" i="9"/>
  <c r="F12" i="9"/>
  <c r="G11" i="9" s="1"/>
  <c r="F17" i="9"/>
  <c r="F15" i="9"/>
  <c r="G14" i="9" s="1"/>
  <c r="F11" i="9"/>
  <c r="D16" i="4" l="1"/>
  <c r="B15" i="3"/>
  <c r="C14" i="3" s="1"/>
  <c r="B18" i="3"/>
  <c r="C17" i="3" s="1"/>
</calcChain>
</file>

<file path=xl/sharedStrings.xml><?xml version="1.0" encoding="utf-8"?>
<sst xmlns="http://schemas.openxmlformats.org/spreadsheetml/2006/main" count="320" uniqueCount="111">
  <si>
    <t>Hypothesis Test</t>
  </si>
  <si>
    <t>Excel Data Analysis Tool</t>
  </si>
  <si>
    <t>H_0 is true</t>
  </si>
  <si>
    <t>H_0 is false</t>
  </si>
  <si>
    <r>
      <t>Two Population Means (</t>
    </r>
    <r>
      <rPr>
        <i/>
        <sz val="14"/>
        <color rgb="FF4D4D4D"/>
        <rFont val="Times New Roman"/>
        <family val="1"/>
      </rPr>
      <t>σ</t>
    </r>
    <r>
      <rPr>
        <sz val="10.45"/>
        <color rgb="FF4D4D4D"/>
        <rFont val="Times New Roman"/>
        <family val="1"/>
      </rPr>
      <t> Known)</t>
    </r>
  </si>
  <si>
    <r>
      <t>z</t>
    </r>
    <r>
      <rPr>
        <sz val="10.45"/>
        <color rgb="FF4D4D4D"/>
        <rFont val="Times New Roman"/>
        <family val="1"/>
      </rPr>
      <t>-test: Two Sample for Means</t>
    </r>
  </si>
  <si>
    <t>Reject H_0</t>
  </si>
  <si>
    <t>Type I error</t>
  </si>
  <si>
    <t>Correct decision</t>
  </si>
  <si>
    <r>
      <t>Two Population Means (</t>
    </r>
    <r>
      <rPr>
        <i/>
        <sz val="14"/>
        <color rgb="FF4D4D4D"/>
        <rFont val="Times New Roman"/>
        <family val="1"/>
      </rPr>
      <t>σ</t>
    </r>
    <r>
      <rPr>
        <sz val="10.45"/>
        <color rgb="FF4D4D4D"/>
        <rFont val="Times New Roman"/>
        <family val="1"/>
      </rPr>
      <t> Unknown, Unequal Variances)</t>
    </r>
  </si>
  <si>
    <r>
      <t>t</t>
    </r>
    <r>
      <rPr>
        <sz val="10.45"/>
        <color rgb="FF4D4D4D"/>
        <rFont val="Times New Roman"/>
        <family val="1"/>
      </rPr>
      <t>-test: Two-Sample Assuming Unequal Variances</t>
    </r>
  </si>
  <si>
    <t>Fail to reject H_0</t>
  </si>
  <si>
    <t>Type II Error</t>
  </si>
  <si>
    <r>
      <t>Two Population Means (</t>
    </r>
    <r>
      <rPr>
        <i/>
        <sz val="14"/>
        <color rgb="FF4D4D4D"/>
        <rFont val="Times New Roman"/>
        <family val="1"/>
      </rPr>
      <t>σ</t>
    </r>
    <r>
      <rPr>
        <sz val="10.45"/>
        <color rgb="FF4D4D4D"/>
        <rFont val="Times New Roman"/>
        <family val="1"/>
      </rPr>
      <t> Unknown, Equal Variances)</t>
    </r>
  </si>
  <si>
    <r>
      <t>t</t>
    </r>
    <r>
      <rPr>
        <sz val="10.45"/>
        <color rgb="FF4D4D4D"/>
        <rFont val="Times New Roman"/>
        <family val="1"/>
      </rPr>
      <t>-test: Two-Sample Assuming Equal Variances</t>
    </r>
  </si>
  <si>
    <t>Mean of the Paired Differences for Two Populations</t>
  </si>
  <si>
    <r>
      <t>t</t>
    </r>
    <r>
      <rPr>
        <sz val="10.45"/>
        <color rgb="FF4D4D4D"/>
        <rFont val="Times New Roman"/>
        <family val="1"/>
      </rPr>
      <t>-test: Paired Two Sample for Means</t>
    </r>
  </si>
  <si>
    <r>
      <t>(</t>
    </r>
    <r>
      <rPr>
        <i/>
        <sz val="14"/>
        <color rgb="FF4D4D4D"/>
        <rFont val="Times New Roman"/>
        <family val="1"/>
      </rPr>
      <t>σ</t>
    </r>
    <r>
      <rPr>
        <sz val="10.45"/>
        <color rgb="FF4D4D4D"/>
        <rFont val="Times New Roman"/>
        <family val="1"/>
      </rPr>
      <t> Unknown, Dependent Samples)</t>
    </r>
  </si>
  <si>
    <t>Two Population Variances</t>
  </si>
  <si>
    <r>
      <t>F</t>
    </r>
    <r>
      <rPr>
        <sz val="10.45"/>
        <color rgb="FF4D4D4D"/>
        <rFont val="Times New Roman"/>
        <family val="1"/>
      </rPr>
      <t>-test Two-Sample for Variances</t>
    </r>
  </si>
  <si>
    <t>ANOVA</t>
  </si>
  <si>
    <t>ANOVA: Single Factor</t>
  </si>
  <si>
    <t>H_a</t>
  </si>
  <si>
    <t>stdev=sqrt(var)</t>
  </si>
  <si>
    <t>raw data</t>
  </si>
  <si>
    <t>x&lt;b</t>
  </si>
  <si>
    <t>left tailed test</t>
  </si>
  <si>
    <t>var 1</t>
  </si>
  <si>
    <t>var 2</t>
  </si>
  <si>
    <t>x&gt;b</t>
  </si>
  <si>
    <t>right tailed</t>
  </si>
  <si>
    <t>x!=b</t>
  </si>
  <si>
    <t>two tailed</t>
  </si>
  <si>
    <t>x (sample mean)</t>
  </si>
  <si>
    <t>ex: u_1-u_2&gt;b</t>
  </si>
  <si>
    <t>b is difference</t>
  </si>
  <si>
    <t>mu (pop. mean)</t>
  </si>
  <si>
    <t>difference (u1-u2)</t>
  </si>
  <si>
    <t>Insert here</t>
  </si>
  <si>
    <t>sigma (std dev)</t>
  </si>
  <si>
    <t>n (sample size)</t>
  </si>
  <si>
    <t>z (test statistic)</t>
  </si>
  <si>
    <t>confidence</t>
  </si>
  <si>
    <t>a</t>
  </si>
  <si>
    <t>left tailed</t>
  </si>
  <si>
    <t>p-value</t>
  </si>
  <si>
    <t>If true</t>
  </si>
  <si>
    <t>null hypo rejected</t>
  </si>
  <si>
    <t>if false</t>
  </si>
  <si>
    <t>fail to reject null hypo</t>
  </si>
  <si>
    <t>if true</t>
  </si>
  <si>
    <t>two-tailed</t>
  </si>
  <si>
    <t>df=n-1</t>
  </si>
  <si>
    <t>n=df+1</t>
  </si>
  <si>
    <t>EQUAL VARIANCE</t>
  </si>
  <si>
    <t>UNEQUAL VARIANCE</t>
  </si>
  <si>
    <t>s (std dev)</t>
  </si>
  <si>
    <t>df</t>
  </si>
  <si>
    <t>t (test statistic)</t>
  </si>
  <si>
    <t>crticial t</t>
  </si>
  <si>
    <t>t-test</t>
  </si>
  <si>
    <t>x&lt;p</t>
  </si>
  <si>
    <t>d (sample mean of paired diff)</t>
  </si>
  <si>
    <t>x&gt;p</t>
  </si>
  <si>
    <t>x!=p</t>
  </si>
  <si>
    <t>stdev (of paired differences)</t>
  </si>
  <si>
    <t>u_d (mean from null hypo)</t>
  </si>
  <si>
    <t>given test stat (previous ans. button)</t>
  </si>
  <si>
    <t>critical t</t>
  </si>
  <si>
    <t>Data</t>
  </si>
  <si>
    <t>Paired Difference, d=x2−x1</t>
  </si>
  <si>
    <t>A</t>
  </si>
  <si>
    <t>B</t>
  </si>
  <si>
    <t>p1-p2 (diff in pop prop.)</t>
  </si>
  <si>
    <t>p-bar (weighted population proportion)</t>
  </si>
  <si>
    <t>if given sample proportion, x=</t>
  </si>
  <si>
    <t>x (pos sample size)</t>
  </si>
  <si>
    <t>sample prop</t>
  </si>
  <si>
    <t>p-hat (sample proportion)</t>
  </si>
  <si>
    <t>x</t>
  </si>
  <si>
    <t>sample std</t>
  </si>
  <si>
    <t>s^2 (sample variance)</t>
  </si>
  <si>
    <t>pop std</t>
  </si>
  <si>
    <t>population variance</t>
  </si>
  <si>
    <t>df_i</t>
  </si>
  <si>
    <t>if given stds, calc variance for H_a and H_0</t>
  </si>
  <si>
    <t>using area</t>
  </si>
  <si>
    <t>F (critical values)</t>
  </si>
  <si>
    <t>left F</t>
  </si>
  <si>
    <t>right F</t>
  </si>
  <si>
    <t>using variance</t>
  </si>
  <si>
    <t>F (test statistic)</t>
  </si>
  <si>
    <t>reject null?</t>
  </si>
  <si>
    <t>if true, reject</t>
  </si>
  <si>
    <t>if false, fail to reject</t>
  </si>
  <si>
    <t>Golfer</t>
  </si>
  <si>
    <t>z-value (critical)</t>
  </si>
  <si>
    <t>Sit-ups before</t>
  </si>
  <si>
    <t>Sit-ups after</t>
  </si>
  <si>
    <t>tdist(x,df,tails)</t>
  </si>
  <si>
    <t>reject if abs(z)&gt;z-crtical</t>
  </si>
  <si>
    <t>General Template</t>
  </si>
  <si>
    <t>Hypothesis test</t>
  </si>
  <si>
    <t>Calculated data</t>
  </si>
  <si>
    <t>KEY</t>
  </si>
  <si>
    <t>UPDATE FORMULA/VALUE MANUALLY FROM DATA</t>
  </si>
  <si>
    <t>Calculated data with hawkes t</t>
  </si>
  <si>
    <t>MANUALLY UPDATE WITH HAWKES T</t>
  </si>
  <si>
    <t>Raw Data</t>
  </si>
  <si>
    <t>Calculated</t>
  </si>
  <si>
    <t>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</si>
</sst>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4D4D4D"/>
      <name val="Arial"/>
      <family val="2"/>
    </font>
    <font>
      <sz val="10.45"/>
      <color rgb="FF4D4D4D"/>
      <name val="Times New Roman"/>
      <family val="1"/>
    </font>
    <font>
      <i/>
      <sz val="14"/>
      <color rgb="FF4D4D4D"/>
      <name val="Times New Roman"/>
      <family val="1"/>
    </font>
    <font>
      <sz val="13"/>
      <color rgb="FF4D4D4D"/>
      <name val="STIXMathJax_Main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rgb="FFE5E5E5"/>
      </bottom>
      <diagonal/>
    </border>
    <border>
      <left/>
      <right/>
      <top/>
      <bottom style="medium">
        <color rgb="FFE5E5E5"/>
      </bottom>
      <diagonal/>
    </border>
    <border>
      <left/>
      <right/>
      <top style="medium">
        <color rgb="FFE5E5E5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8" fillId="3" borderId="5" applyNumberFormat="0" applyAlignment="0" applyProtection="0"/>
    <xf numFmtId="0" fontId="9" fillId="0" borderId="6" applyNumberFormat="0" applyFill="0" applyAlignment="0" applyProtection="0"/>
    <xf numFmtId="0" fontId="7" fillId="4" borderId="7" applyNumberFormat="0" applyFont="0" applyAlignment="0" applyProtection="0"/>
    <xf numFmtId="0" fontId="1" fillId="5" borderId="0" applyNumberFormat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5" fillId="0" borderId="0" xfId="0" applyFont="1"/>
    <xf numFmtId="0" fontId="4" fillId="2" borderId="2" xfId="0" applyFont="1" applyFill="1" applyBorder="1" applyAlignment="1">
      <alignment vertical="center" wrapText="1"/>
    </xf>
    <xf numFmtId="0" fontId="6" fillId="0" borderId="0" xfId="0" applyFont="1"/>
    <xf numFmtId="0" fontId="9" fillId="0" borderId="6" xfId="2"/>
    <xf numFmtId="0" fontId="8" fillId="3" borderId="5" xfId="1"/>
    <xf numFmtId="0" fontId="0" fillId="4" borderId="7" xfId="3" applyFont="1"/>
    <xf numFmtId="0" fontId="1" fillId="5" borderId="4" xfId="4" applyBorder="1"/>
    <xf numFmtId="0" fontId="8" fillId="4" borderId="7" xfId="3" applyFont="1"/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</cellXfs>
  <cellStyles count="5">
    <cellStyle name="20% - Accent1" xfId="4" builtinId="30"/>
    <cellStyle name="Input" xfId="1" builtinId="20"/>
    <cellStyle name="Linked Cell" xfId="2" builtinId="24"/>
    <cellStyle name="Normal" xfId="0" builtinId="0"/>
    <cellStyle name="Note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opLeftCell="A3" workbookViewId="0">
      <selection activeCell="C1" sqref="C1:E3"/>
    </sheetView>
  </sheetViews>
  <sheetFormatPr baseColWidth="10" defaultColWidth="8.83203125" defaultRowHeight="15"/>
  <cols>
    <col min="1" max="1" width="28" customWidth="1"/>
    <col min="2" max="2" width="27.1640625" customWidth="1"/>
  </cols>
  <sheetData>
    <row r="1" spans="1:5" ht="19" thickBot="1">
      <c r="A1" s="1" t="s">
        <v>0</v>
      </c>
      <c r="B1" s="1" t="s">
        <v>1</v>
      </c>
      <c r="D1" t="s">
        <v>2</v>
      </c>
      <c r="E1" t="s">
        <v>3</v>
      </c>
    </row>
    <row r="2" spans="1:5" ht="21" thickTop="1" thickBot="1">
      <c r="A2" s="2" t="s">
        <v>4</v>
      </c>
      <c r="B2" s="5" t="s">
        <v>5</v>
      </c>
      <c r="C2" t="s">
        <v>6</v>
      </c>
      <c r="D2" t="s">
        <v>7</v>
      </c>
      <c r="E2" t="s">
        <v>8</v>
      </c>
    </row>
    <row r="3" spans="1:5" ht="114" customHeight="1" thickBot="1">
      <c r="A3" s="2" t="s">
        <v>9</v>
      </c>
      <c r="B3" s="5" t="s">
        <v>10</v>
      </c>
      <c r="C3" t="s">
        <v>11</v>
      </c>
      <c r="D3" t="s">
        <v>8</v>
      </c>
      <c r="E3" t="s">
        <v>12</v>
      </c>
    </row>
    <row r="4" spans="1:5" ht="114" customHeight="1" thickBot="1">
      <c r="A4" s="2" t="s">
        <v>13</v>
      </c>
      <c r="B4" s="5" t="s">
        <v>14</v>
      </c>
    </row>
    <row r="5" spans="1:5" ht="94.5" customHeight="1">
      <c r="A5" s="3" t="s">
        <v>15</v>
      </c>
      <c r="B5" s="12" t="s">
        <v>16</v>
      </c>
    </row>
    <row r="6" spans="1:5" ht="73.5" customHeight="1" thickBot="1">
      <c r="A6" s="2" t="s">
        <v>17</v>
      </c>
      <c r="B6" s="13"/>
    </row>
    <row r="7" spans="1:5" ht="20" thickBot="1">
      <c r="A7" s="2" t="s">
        <v>18</v>
      </c>
      <c r="B7" s="5" t="s">
        <v>19</v>
      </c>
    </row>
    <row r="8" spans="1:5" ht="16" thickBot="1">
      <c r="A8" s="2" t="s">
        <v>20</v>
      </c>
      <c r="B8" s="2" t="s">
        <v>21</v>
      </c>
    </row>
  </sheetData>
  <mergeCells count="1"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workbookViewId="0">
      <selection activeCell="D32" sqref="D32"/>
    </sheetView>
  </sheetViews>
  <sheetFormatPr baseColWidth="10" defaultColWidth="8.83203125" defaultRowHeight="15"/>
  <cols>
    <col min="1" max="1" width="15.5" customWidth="1"/>
    <col min="2" max="2" width="19.83203125" customWidth="1"/>
    <col min="3" max="3" width="14.5" customWidth="1"/>
    <col min="4" max="4" width="17.5" customWidth="1"/>
    <col min="5" max="5" width="12" customWidth="1"/>
  </cols>
  <sheetData>
    <row r="1" spans="1:8">
      <c r="A1" t="s">
        <v>22</v>
      </c>
      <c r="D1" t="s">
        <v>23</v>
      </c>
      <c r="G1" t="s">
        <v>24</v>
      </c>
    </row>
    <row r="2" spans="1:8">
      <c r="A2" t="s">
        <v>25</v>
      </c>
      <c r="B2" t="s">
        <v>26</v>
      </c>
      <c r="G2" t="s">
        <v>27</v>
      </c>
      <c r="H2" t="s">
        <v>28</v>
      </c>
    </row>
    <row r="3" spans="1:8" ht="17">
      <c r="A3" t="s">
        <v>29</v>
      </c>
      <c r="B3" t="s">
        <v>30</v>
      </c>
      <c r="G3" s="4">
        <v>35</v>
      </c>
      <c r="H3">
        <v>2</v>
      </c>
    </row>
    <row r="4" spans="1:8">
      <c r="A4" t="s">
        <v>31</v>
      </c>
      <c r="B4" t="s">
        <v>32</v>
      </c>
      <c r="G4">
        <v>32</v>
      </c>
      <c r="H4">
        <v>3</v>
      </c>
    </row>
    <row r="5" spans="1:8">
      <c r="G5">
        <v>36</v>
      </c>
      <c r="H5">
        <v>6</v>
      </c>
    </row>
    <row r="6" spans="1:8">
      <c r="B6">
        <v>1</v>
      </c>
      <c r="C6">
        <v>2</v>
      </c>
      <c r="G6">
        <v>29</v>
      </c>
      <c r="H6">
        <v>5</v>
      </c>
    </row>
    <row r="7" spans="1:8">
      <c r="A7" t="s">
        <v>33</v>
      </c>
      <c r="B7">
        <v>75</v>
      </c>
      <c r="C7">
        <v>72</v>
      </c>
      <c r="D7" t="s">
        <v>34</v>
      </c>
      <c r="E7" t="s">
        <v>35</v>
      </c>
      <c r="G7">
        <v>34</v>
      </c>
      <c r="H7">
        <v>4</v>
      </c>
    </row>
    <row r="8" spans="1:8">
      <c r="A8" t="s">
        <v>36</v>
      </c>
      <c r="D8" t="s">
        <v>37</v>
      </c>
      <c r="E8" t="s">
        <v>38</v>
      </c>
    </row>
    <row r="9" spans="1:8">
      <c r="A9" t="s">
        <v>39</v>
      </c>
      <c r="B9">
        <v>6</v>
      </c>
      <c r="C9">
        <v>9</v>
      </c>
      <c r="D9">
        <f>B8-C8</f>
        <v>0</v>
      </c>
      <c r="E9">
        <v>0</v>
      </c>
    </row>
    <row r="10" spans="1:8">
      <c r="A10" t="s">
        <v>40</v>
      </c>
      <c r="B10">
        <v>72</v>
      </c>
      <c r="C10">
        <v>81</v>
      </c>
    </row>
    <row r="12" spans="1:8">
      <c r="A12" t="s">
        <v>41</v>
      </c>
      <c r="B12">
        <f>((B7-C7)-(E9))/SQRT(B9^2/B10+C9^2/C10)</f>
        <v>2.4494897427831783</v>
      </c>
    </row>
    <row r="14" spans="1:8">
      <c r="A14" t="s">
        <v>42</v>
      </c>
      <c r="B14">
        <v>95</v>
      </c>
    </row>
    <row r="15" spans="1:8">
      <c r="A15" t="s">
        <v>43</v>
      </c>
      <c r="B15">
        <f>1-B14/100</f>
        <v>5.0000000000000044E-2</v>
      </c>
    </row>
    <row r="18" spans="1:4">
      <c r="A18" t="s">
        <v>44</v>
      </c>
    </row>
    <row r="19" spans="1:4">
      <c r="A19" t="s">
        <v>45</v>
      </c>
      <c r="B19">
        <f>_xlfn.NORM.S.DIST(B12,TRUE)</f>
        <v>0.99284706078228524</v>
      </c>
      <c r="C19" t="s">
        <v>96</v>
      </c>
      <c r="D19">
        <f>_xlfn.NORM.S.INV(B15)</f>
        <v>-1.6448536269514715</v>
      </c>
    </row>
    <row r="20" spans="1:4">
      <c r="A20" t="s">
        <v>44</v>
      </c>
      <c r="B20" t="b">
        <f>B19&lt;=B15</f>
        <v>0</v>
      </c>
    </row>
    <row r="21" spans="1:4">
      <c r="A21" t="s">
        <v>46</v>
      </c>
      <c r="B21" t="s">
        <v>47</v>
      </c>
    </row>
    <row r="22" spans="1:4">
      <c r="A22" t="s">
        <v>48</v>
      </c>
      <c r="B22" t="s">
        <v>49</v>
      </c>
    </row>
    <row r="24" spans="1:4">
      <c r="A24" t="s">
        <v>30</v>
      </c>
    </row>
    <row r="25" spans="1:4">
      <c r="A25" t="s">
        <v>45</v>
      </c>
      <c r="B25">
        <f>1-_xlfn.NORM.S.DIST(B12,TRUE)</f>
        <v>7.1529392177147599E-3</v>
      </c>
      <c r="C25" s="6" t="s">
        <v>96</v>
      </c>
      <c r="D25">
        <f>_xlfn.NORM.S.INV(1-B15)</f>
        <v>1.6448536269514715</v>
      </c>
    </row>
    <row r="26" spans="1:4">
      <c r="B26" t="b">
        <f>B25&lt;=B15</f>
        <v>1</v>
      </c>
    </row>
    <row r="27" spans="1:4">
      <c r="A27" t="s">
        <v>50</v>
      </c>
      <c r="B27" t="s">
        <v>47</v>
      </c>
    </row>
    <row r="28" spans="1:4">
      <c r="A28" t="s">
        <v>48</v>
      </c>
      <c r="B28" t="s">
        <v>49</v>
      </c>
    </row>
    <row r="30" spans="1:4">
      <c r="A30" t="s">
        <v>51</v>
      </c>
    </row>
    <row r="31" spans="1:4">
      <c r="A31" t="s">
        <v>45</v>
      </c>
      <c r="B31">
        <f>2*(1-_xlfn.NORM.S.DIST(ABS(B12), TRUE))</f>
        <v>1.430587843542952E-2</v>
      </c>
      <c r="C31" t="s">
        <v>96</v>
      </c>
      <c r="D31">
        <f>_xlfn.NORM.S.INV(1-B15/2)</f>
        <v>1.9599639845400536</v>
      </c>
    </row>
    <row r="32" spans="1:4">
      <c r="B32" t="b">
        <f>B31&lt;=B15</f>
        <v>1</v>
      </c>
    </row>
    <row r="33" spans="1:2">
      <c r="A33" t="s">
        <v>50</v>
      </c>
      <c r="B33" t="s">
        <v>47</v>
      </c>
    </row>
    <row r="34" spans="1:2">
      <c r="A34" t="s">
        <v>48</v>
      </c>
      <c r="B34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3"/>
  <sheetViews>
    <sheetView tabSelected="1" topLeftCell="F7" workbookViewId="0">
      <selection activeCell="I14" sqref="I14"/>
    </sheetView>
  </sheetViews>
  <sheetFormatPr baseColWidth="10" defaultColWidth="8.83203125" defaultRowHeight="15"/>
  <cols>
    <col min="1" max="1" width="15.5" customWidth="1"/>
    <col min="2" max="2" width="19.83203125" customWidth="1"/>
    <col min="6" max="6" width="12.1640625" bestFit="1" customWidth="1"/>
  </cols>
  <sheetData>
    <row r="1" spans="1:12">
      <c r="A1" t="s">
        <v>22</v>
      </c>
      <c r="D1" t="s">
        <v>23</v>
      </c>
    </row>
    <row r="2" spans="1:12">
      <c r="A2" t="s">
        <v>25</v>
      </c>
      <c r="B2" t="s">
        <v>26</v>
      </c>
    </row>
    <row r="3" spans="1:12">
      <c r="A3" t="s">
        <v>29</v>
      </c>
      <c r="B3" t="s">
        <v>30</v>
      </c>
      <c r="D3" t="s">
        <v>52</v>
      </c>
      <c r="G3">
        <f>TDIST(1.234539,6,2)</f>
        <v>0.26315562326818498</v>
      </c>
    </row>
    <row r="4" spans="1:12">
      <c r="A4" t="s">
        <v>31</v>
      </c>
      <c r="B4" t="s">
        <v>32</v>
      </c>
      <c r="D4" t="s">
        <v>53</v>
      </c>
    </row>
    <row r="5" spans="1:12">
      <c r="A5" t="s">
        <v>54</v>
      </c>
      <c r="H5" t="s">
        <v>55</v>
      </c>
    </row>
    <row r="6" spans="1:12">
      <c r="B6">
        <v>1</v>
      </c>
      <c r="C6">
        <v>2</v>
      </c>
      <c r="I6">
        <v>1</v>
      </c>
      <c r="J6">
        <v>2</v>
      </c>
    </row>
    <row r="7" spans="1:12">
      <c r="A7" t="s">
        <v>33</v>
      </c>
      <c r="B7">
        <v>8</v>
      </c>
      <c r="C7">
        <v>7</v>
      </c>
      <c r="H7" t="s">
        <v>33</v>
      </c>
      <c r="I7">
        <v>83800</v>
      </c>
      <c r="J7">
        <v>74420</v>
      </c>
    </row>
    <row r="8" spans="1:12">
      <c r="A8" t="s">
        <v>36</v>
      </c>
      <c r="B8">
        <v>0</v>
      </c>
      <c r="C8">
        <v>0</v>
      </c>
      <c r="D8" t="s">
        <v>37</v>
      </c>
      <c r="E8" t="s">
        <v>38</v>
      </c>
      <c r="H8" t="s">
        <v>36</v>
      </c>
      <c r="I8">
        <v>0</v>
      </c>
      <c r="J8">
        <v>0</v>
      </c>
      <c r="K8" t="s">
        <v>37</v>
      </c>
      <c r="L8" t="s">
        <v>38</v>
      </c>
    </row>
    <row r="9" spans="1:12">
      <c r="A9" t="s">
        <v>56</v>
      </c>
      <c r="B9">
        <v>33</v>
      </c>
      <c r="C9">
        <v>23</v>
      </c>
      <c r="D9">
        <f>B8-C8</f>
        <v>0</v>
      </c>
      <c r="E9">
        <v>0</v>
      </c>
      <c r="H9" t="s">
        <v>56</v>
      </c>
      <c r="I9">
        <v>9100</v>
      </c>
      <c r="J9">
        <v>10400</v>
      </c>
      <c r="K9">
        <f>I8-J8</f>
        <v>0</v>
      </c>
      <c r="L9">
        <v>0</v>
      </c>
    </row>
    <row r="10" spans="1:12">
      <c r="A10" t="s">
        <v>40</v>
      </c>
      <c r="B10">
        <v>78</v>
      </c>
      <c r="C10">
        <v>86</v>
      </c>
      <c r="H10" t="s">
        <v>40</v>
      </c>
      <c r="I10">
        <v>10</v>
      </c>
      <c r="J10">
        <v>18</v>
      </c>
    </row>
    <row r="11" spans="1:12">
      <c r="A11" t="s">
        <v>57</v>
      </c>
      <c r="B11">
        <f>B10+C10-2</f>
        <v>162</v>
      </c>
      <c r="H11" t="s">
        <v>57</v>
      </c>
      <c r="I11">
        <f>MIN(I10-1,J10-1)</f>
        <v>9</v>
      </c>
    </row>
    <row r="12" spans="1:12">
      <c r="A12" t="s">
        <v>58</v>
      </c>
      <c r="B12">
        <f>((B7-C7)-E9)/(SQRT(((B10-1)*B9^2+(C10-1)*C9^2)/(B10+C10-2))*SQRT(1/B10+1/C10))</f>
        <v>0.22680040939336613</v>
      </c>
      <c r="H12" t="s">
        <v>58</v>
      </c>
      <c r="I12">
        <f>((I7-J7)-L9)/(SQRT(I9^2/I10+J9^2/J10))</f>
        <v>2.4813522031337789</v>
      </c>
    </row>
    <row r="13" spans="1:12">
      <c r="A13" t="s">
        <v>42</v>
      </c>
      <c r="B13">
        <v>99</v>
      </c>
      <c r="H13" t="s">
        <v>42</v>
      </c>
      <c r="I13">
        <v>95</v>
      </c>
    </row>
    <row r="14" spans="1:12">
      <c r="A14" t="s">
        <v>43</v>
      </c>
      <c r="B14">
        <f>1-B13/100</f>
        <v>1.0000000000000009E-2</v>
      </c>
      <c r="H14" t="s">
        <v>43</v>
      </c>
      <c r="I14">
        <f>1-I13/100</f>
        <v>5.0000000000000044E-2</v>
      </c>
    </row>
    <row r="15" spans="1:12">
      <c r="D15" t="s">
        <v>45</v>
      </c>
      <c r="E15" t="s">
        <v>99</v>
      </c>
    </row>
    <row r="17" spans="1:9">
      <c r="A17" t="s">
        <v>44</v>
      </c>
      <c r="C17" t="s">
        <v>45</v>
      </c>
      <c r="H17" t="s">
        <v>44</v>
      </c>
    </row>
    <row r="18" spans="1:9">
      <c r="A18" t="s">
        <v>59</v>
      </c>
      <c r="B18">
        <f>_xlfn.T.INV(B14,B11)</f>
        <v>-2.3495863842276443</v>
      </c>
      <c r="C18" t="e">
        <f>TDIST(-ABS(B12),B11,1)</f>
        <v>#NUM!</v>
      </c>
      <c r="H18" t="s">
        <v>59</v>
      </c>
      <c r="I18">
        <f>_xlfn.T.INV(I14,I11)</f>
        <v>-1.8331129326562368</v>
      </c>
    </row>
    <row r="19" spans="1:9">
      <c r="A19" t="s">
        <v>60</v>
      </c>
      <c r="B19" t="b">
        <f>B12&lt;=B18</f>
        <v>0</v>
      </c>
      <c r="H19" t="s">
        <v>60</v>
      </c>
      <c r="I19" t="b">
        <f>I12&lt;=I18</f>
        <v>0</v>
      </c>
    </row>
    <row r="20" spans="1:9">
      <c r="A20" t="s">
        <v>46</v>
      </c>
      <c r="B20" t="s">
        <v>47</v>
      </c>
      <c r="H20" t="s">
        <v>46</v>
      </c>
      <c r="I20" t="s">
        <v>47</v>
      </c>
    </row>
    <row r="21" spans="1:9">
      <c r="A21" t="s">
        <v>48</v>
      </c>
      <c r="B21" t="s">
        <v>49</v>
      </c>
      <c r="H21" t="s">
        <v>48</v>
      </c>
      <c r="I21" t="s">
        <v>49</v>
      </c>
    </row>
    <row r="24" spans="1:9">
      <c r="A24" t="s">
        <v>30</v>
      </c>
      <c r="B24" t="b">
        <f>B12&gt;=B25</f>
        <v>0</v>
      </c>
      <c r="C24" t="s">
        <v>45</v>
      </c>
      <c r="H24" t="s">
        <v>30</v>
      </c>
      <c r="I24" t="b">
        <f>I12&gt;=I25</f>
        <v>1</v>
      </c>
    </row>
    <row r="25" spans="1:9">
      <c r="A25" t="s">
        <v>59</v>
      </c>
      <c r="B25">
        <f>-_xlfn.T.INV(B14,B11)</f>
        <v>2.3495863842276443</v>
      </c>
      <c r="C25" s="6">
        <f>TDIST(ABS(B12),B11,1)</f>
        <v>0.41043244186212324</v>
      </c>
      <c r="H25" t="s">
        <v>59</v>
      </c>
      <c r="I25">
        <f>-_xlfn.T.INV(I14,I11)</f>
        <v>1.8331129326562368</v>
      </c>
    </row>
    <row r="26" spans="1:9">
      <c r="A26" t="s">
        <v>50</v>
      </c>
      <c r="B26" t="s">
        <v>47</v>
      </c>
      <c r="H26" t="s">
        <v>50</v>
      </c>
      <c r="I26" t="s">
        <v>47</v>
      </c>
    </row>
    <row r="27" spans="1:9">
      <c r="A27" t="s">
        <v>48</v>
      </c>
      <c r="B27" t="s">
        <v>49</v>
      </c>
      <c r="H27" t="s">
        <v>48</v>
      </c>
      <c r="I27" t="s">
        <v>49</v>
      </c>
    </row>
    <row r="30" spans="1:9">
      <c r="A30" t="s">
        <v>32</v>
      </c>
      <c r="B30" t="b">
        <f>B12&gt;=B31</f>
        <v>0</v>
      </c>
      <c r="C30" t="s">
        <v>45</v>
      </c>
      <c r="H30" t="s">
        <v>32</v>
      </c>
      <c r="I30" t="b">
        <f>I12&gt;=I31</f>
        <v>1</v>
      </c>
    </row>
    <row r="31" spans="1:9">
      <c r="A31" t="s">
        <v>59</v>
      </c>
      <c r="B31">
        <f>_xlfn.T.INV.2T(B14,B11)</f>
        <v>2.6065178761434487</v>
      </c>
      <c r="C31" s="6">
        <f>TDIST(ABS(B12),B11,2)</f>
        <v>0.82086488372424649</v>
      </c>
      <c r="H31" t="s">
        <v>59</v>
      </c>
      <c r="I31">
        <f>_xlfn.T.INV.2T(I14,I11)</f>
        <v>2.2621571627982049</v>
      </c>
    </row>
    <row r="32" spans="1:9">
      <c r="A32" t="s">
        <v>50</v>
      </c>
      <c r="B32" t="s">
        <v>47</v>
      </c>
      <c r="H32" t="s">
        <v>50</v>
      </c>
      <c r="I32" t="s">
        <v>47</v>
      </c>
    </row>
    <row r="33" spans="1:9">
      <c r="A33" t="s">
        <v>48</v>
      </c>
      <c r="B33" t="s">
        <v>49</v>
      </c>
      <c r="H33" t="s">
        <v>48</v>
      </c>
      <c r="I33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4F6D-FA3C-44EB-9D84-85F600ADFFAD}">
  <dimension ref="A1:K47"/>
  <sheetViews>
    <sheetView workbookViewId="0">
      <selection activeCell="D35" sqref="D35"/>
    </sheetView>
  </sheetViews>
  <sheetFormatPr baseColWidth="10" defaultColWidth="8.83203125" defaultRowHeight="15"/>
  <cols>
    <col min="1" max="1" width="35" customWidth="1"/>
    <col min="3" max="4" width="29.33203125" customWidth="1"/>
    <col min="6" max="6" width="12.1640625" bestFit="1" customWidth="1"/>
  </cols>
  <sheetData>
    <row r="1" spans="1:9">
      <c r="D1" t="s">
        <v>22</v>
      </c>
    </row>
    <row r="2" spans="1:9">
      <c r="A2" t="s">
        <v>40</v>
      </c>
      <c r="B2">
        <v>7</v>
      </c>
      <c r="D2" t="s">
        <v>61</v>
      </c>
      <c r="E2" t="s">
        <v>26</v>
      </c>
    </row>
    <row r="3" spans="1:9">
      <c r="A3" t="s">
        <v>62</v>
      </c>
      <c r="B3">
        <f>AVERAGE(D14:D23)</f>
        <v>8.4</v>
      </c>
      <c r="D3" t="s">
        <v>63</v>
      </c>
      <c r="E3" t="s">
        <v>30</v>
      </c>
    </row>
    <row r="4" spans="1:9">
      <c r="A4" t="s">
        <v>57</v>
      </c>
      <c r="B4">
        <f>B2-1</f>
        <v>6</v>
      </c>
      <c r="D4" t="s">
        <v>64</v>
      </c>
      <c r="E4" t="s">
        <v>32</v>
      </c>
      <c r="I4">
        <f>(TDIST(1.234539,6,2))</f>
        <v>0.26315562326818498</v>
      </c>
    </row>
    <row r="5" spans="1:9">
      <c r="A5" t="s">
        <v>65</v>
      </c>
      <c r="B5">
        <f>_xlfn.STDEV.S(D14:D23)</f>
        <v>4.8808013913928336</v>
      </c>
    </row>
    <row r="6" spans="1:9">
      <c r="A6" t="s">
        <v>66</v>
      </c>
      <c r="B6">
        <v>0</v>
      </c>
    </row>
    <row r="7" spans="1:9">
      <c r="A7" t="s">
        <v>58</v>
      </c>
      <c r="B7">
        <f>(B3-B6)/(B5/SQRT(B2))</f>
        <v>4.5534143331737607</v>
      </c>
    </row>
    <row r="8" spans="1:9">
      <c r="A8" t="s">
        <v>42</v>
      </c>
      <c r="B8">
        <v>95</v>
      </c>
    </row>
    <row r="9" spans="1:9">
      <c r="A9" t="s">
        <v>43</v>
      </c>
      <c r="B9">
        <f>1-B8/100</f>
        <v>5.0000000000000044E-2</v>
      </c>
    </row>
    <row r="10" spans="1:9">
      <c r="A10" t="s">
        <v>67</v>
      </c>
      <c r="B10">
        <v>1.24539</v>
      </c>
      <c r="E10" t="s">
        <v>44</v>
      </c>
    </row>
    <row r="11" spans="1:9">
      <c r="A11" t="s">
        <v>45</v>
      </c>
      <c r="B11">
        <f>TDIST(B10,B4,2)</f>
        <v>0.25941771714121414</v>
      </c>
      <c r="E11" t="s">
        <v>68</v>
      </c>
      <c r="F11">
        <f>_xlfn.T.INV(B9,B4)</f>
        <v>-1.9431802805153022</v>
      </c>
      <c r="G11" t="e">
        <f>F12&lt;=B9</f>
        <v>#NUM!</v>
      </c>
      <c r="H11" t="s">
        <v>50</v>
      </c>
      <c r="I11" t="s">
        <v>47</v>
      </c>
    </row>
    <row r="12" spans="1:9">
      <c r="A12" t="s">
        <v>69</v>
      </c>
      <c r="E12" t="s">
        <v>45</v>
      </c>
      <c r="F12" t="e">
        <f>(TDIST(-ABS(B10),B4,1))</f>
        <v>#NUM!</v>
      </c>
      <c r="H12" t="s">
        <v>48</v>
      </c>
      <c r="I12" t="s">
        <v>49</v>
      </c>
    </row>
    <row r="13" spans="1:9">
      <c r="A13" t="s">
        <v>95</v>
      </c>
      <c r="B13" t="s">
        <v>97</v>
      </c>
      <c r="C13" t="s">
        <v>98</v>
      </c>
      <c r="D13" t="s">
        <v>70</v>
      </c>
      <c r="E13" t="s">
        <v>30</v>
      </c>
    </row>
    <row r="14" spans="1:9">
      <c r="A14">
        <v>1</v>
      </c>
      <c r="B14">
        <v>42</v>
      </c>
      <c r="C14">
        <v>57</v>
      </c>
      <c r="D14">
        <f t="shared" ref="D14:D19" si="0">C14-B14</f>
        <v>15</v>
      </c>
      <c r="E14" t="s">
        <v>68</v>
      </c>
      <c r="F14">
        <f>-_xlfn.T.INV(B9,B4)</f>
        <v>1.9431802805153022</v>
      </c>
      <c r="G14" t="b">
        <f>F15&lt;=B9</f>
        <v>0</v>
      </c>
      <c r="H14" t="s">
        <v>50</v>
      </c>
      <c r="I14" t="s">
        <v>47</v>
      </c>
    </row>
    <row r="15" spans="1:9">
      <c r="A15">
        <v>2</v>
      </c>
      <c r="B15">
        <v>42</v>
      </c>
      <c r="C15">
        <v>48</v>
      </c>
      <c r="D15">
        <f t="shared" si="0"/>
        <v>6</v>
      </c>
      <c r="E15" t="s">
        <v>45</v>
      </c>
      <c r="F15">
        <f>(TDIST(ABS(B10),B4,1))</f>
        <v>0.12970885857060707</v>
      </c>
      <c r="H15" t="s">
        <v>48</v>
      </c>
      <c r="I15" t="s">
        <v>49</v>
      </c>
    </row>
    <row r="16" spans="1:9">
      <c r="A16">
        <v>3</v>
      </c>
      <c r="B16">
        <v>23</v>
      </c>
      <c r="C16">
        <v>29</v>
      </c>
      <c r="D16">
        <f t="shared" si="0"/>
        <v>6</v>
      </c>
      <c r="E16" t="s">
        <v>51</v>
      </c>
    </row>
    <row r="17" spans="1:9">
      <c r="A17">
        <v>4</v>
      </c>
      <c r="B17">
        <v>32</v>
      </c>
      <c r="C17">
        <v>41</v>
      </c>
      <c r="D17">
        <f t="shared" si="0"/>
        <v>9</v>
      </c>
      <c r="E17" t="s">
        <v>68</v>
      </c>
      <c r="F17">
        <f>_xlfn.T.INV.2T(B9,B4)</f>
        <v>2.4469118511449688</v>
      </c>
      <c r="G17" t="b">
        <f>F18&lt;=B9</f>
        <v>0</v>
      </c>
      <c r="H17" t="s">
        <v>50</v>
      </c>
      <c r="I17" t="s">
        <v>47</v>
      </c>
    </row>
    <row r="18" spans="1:9">
      <c r="A18">
        <v>5</v>
      </c>
      <c r="B18">
        <v>30</v>
      </c>
      <c r="C18">
        <v>36</v>
      </c>
      <c r="D18">
        <f t="shared" si="0"/>
        <v>6</v>
      </c>
      <c r="E18" t="s">
        <v>45</v>
      </c>
      <c r="F18">
        <f>TDIST(B10,B4,2)</f>
        <v>0.25941771714121414</v>
      </c>
      <c r="H18" t="s">
        <v>48</v>
      </c>
      <c r="I18" t="s">
        <v>49</v>
      </c>
    </row>
    <row r="19" spans="1:9">
      <c r="A19">
        <v>6</v>
      </c>
      <c r="B19">
        <v>42</v>
      </c>
      <c r="C19">
        <v>57</v>
      </c>
      <c r="D19">
        <f t="shared" si="0"/>
        <v>15</v>
      </c>
    </row>
    <row r="20" spans="1:9">
      <c r="A20">
        <v>7</v>
      </c>
      <c r="B20">
        <v>25</v>
      </c>
      <c r="C20">
        <v>40</v>
      </c>
      <c r="D20">
        <f>C20-B20</f>
        <v>15</v>
      </c>
    </row>
    <row r="21" spans="1:9">
      <c r="A21">
        <v>8</v>
      </c>
      <c r="B21">
        <v>47</v>
      </c>
      <c r="C21">
        <v>51</v>
      </c>
      <c r="D21">
        <f>C21-B21</f>
        <v>4</v>
      </c>
    </row>
    <row r="22" spans="1:9">
      <c r="A22">
        <v>9</v>
      </c>
      <c r="B22">
        <v>35</v>
      </c>
      <c r="C22">
        <v>41</v>
      </c>
      <c r="D22">
        <f>C22-B22</f>
        <v>6</v>
      </c>
    </row>
    <row r="23" spans="1:9">
      <c r="A23">
        <v>10</v>
      </c>
      <c r="B23">
        <v>38</v>
      </c>
      <c r="C23">
        <v>40</v>
      </c>
      <c r="D23">
        <f>C23-B23</f>
        <v>2</v>
      </c>
    </row>
    <row r="28" spans="1:9" ht="17" thickBot="1">
      <c r="A28" t="s">
        <v>101</v>
      </c>
      <c r="C28" t="s">
        <v>102</v>
      </c>
      <c r="F28" t="s">
        <v>103</v>
      </c>
      <c r="G28" t="s">
        <v>40</v>
      </c>
      <c r="H28" s="7">
        <f>ROWS(D38:D47)</f>
        <v>10</v>
      </c>
    </row>
    <row r="29" spans="1:9" ht="18" thickTop="1" thickBot="1">
      <c r="C29" t="s">
        <v>22</v>
      </c>
      <c r="G29" t="s">
        <v>62</v>
      </c>
      <c r="H29" s="7">
        <f>AVERAGE(D38:D47)</f>
        <v>8.4</v>
      </c>
    </row>
    <row r="30" spans="1:9" ht="18" thickTop="1" thickBot="1">
      <c r="A30" t="s">
        <v>104</v>
      </c>
      <c r="B30" s="7" t="s">
        <v>105</v>
      </c>
      <c r="C30" t="s">
        <v>61</v>
      </c>
      <c r="D30" t="s">
        <v>26</v>
      </c>
      <c r="G30" t="s">
        <v>57</v>
      </c>
      <c r="H30">
        <f>H28-1</f>
        <v>9</v>
      </c>
    </row>
    <row r="31" spans="1:9" ht="18" thickTop="1" thickBot="1">
      <c r="B31" s="8" t="s">
        <v>103</v>
      </c>
      <c r="C31" t="s">
        <v>63</v>
      </c>
      <c r="D31" t="s">
        <v>30</v>
      </c>
      <c r="G31" t="s">
        <v>65</v>
      </c>
      <c r="H31" s="7">
        <f>_xlfn.STDEV.S(D38:D47)</f>
        <v>4.8808013913928336</v>
      </c>
    </row>
    <row r="32" spans="1:9" ht="16" thickTop="1">
      <c r="B32" s="9" t="s">
        <v>106</v>
      </c>
      <c r="C32" t="s">
        <v>64</v>
      </c>
      <c r="D32" t="s">
        <v>32</v>
      </c>
      <c r="G32" t="s">
        <v>66</v>
      </c>
      <c r="H32">
        <v>0</v>
      </c>
    </row>
    <row r="33" spans="1:11" ht="17" thickBot="1">
      <c r="B33" s="10" t="s">
        <v>107</v>
      </c>
      <c r="G33" s="8" t="s">
        <v>58</v>
      </c>
      <c r="H33" s="8">
        <f>(H29-H32)/(H31/SQRT(H28))</f>
        <v>5.4423710811625696</v>
      </c>
      <c r="I33" s="11" t="s">
        <v>58</v>
      </c>
      <c r="J33" s="10">
        <v>5.4</v>
      </c>
    </row>
    <row r="34" spans="1:11" ht="18" thickTop="1" thickBot="1">
      <c r="G34" t="s">
        <v>42</v>
      </c>
      <c r="H34" s="7">
        <v>95</v>
      </c>
    </row>
    <row r="35" spans="1:11" ht="16" thickTop="1">
      <c r="G35" t="s">
        <v>43</v>
      </c>
      <c r="H35">
        <f>1-H34/100</f>
        <v>5.0000000000000044E-2</v>
      </c>
    </row>
    <row r="36" spans="1:11">
      <c r="A36" t="s">
        <v>108</v>
      </c>
    </row>
    <row r="37" spans="1:11">
      <c r="A37" t="s">
        <v>95</v>
      </c>
      <c r="B37" t="s">
        <v>97</v>
      </c>
      <c r="C37" t="s">
        <v>98</v>
      </c>
      <c r="D37" t="s">
        <v>70</v>
      </c>
    </row>
    <row r="38" spans="1:11">
      <c r="A38">
        <v>1</v>
      </c>
      <c r="B38">
        <v>42</v>
      </c>
      <c r="C38">
        <v>57</v>
      </c>
      <c r="D38">
        <f t="shared" ref="D38:D43" si="1">C38-B38</f>
        <v>15</v>
      </c>
    </row>
    <row r="39" spans="1:11">
      <c r="A39">
        <v>2</v>
      </c>
      <c r="B39">
        <v>42</v>
      </c>
      <c r="C39">
        <v>48</v>
      </c>
      <c r="D39">
        <f t="shared" si="1"/>
        <v>6</v>
      </c>
      <c r="G39" t="s">
        <v>44</v>
      </c>
    </row>
    <row r="40" spans="1:11" ht="16">
      <c r="A40">
        <v>3</v>
      </c>
      <c r="B40">
        <v>23</v>
      </c>
      <c r="C40">
        <v>29</v>
      </c>
      <c r="D40">
        <f t="shared" si="1"/>
        <v>6</v>
      </c>
      <c r="F40" s="8" t="s">
        <v>109</v>
      </c>
      <c r="G40" s="8" t="s">
        <v>45</v>
      </c>
      <c r="H40" s="8">
        <f>(TDIST(ABS(H33),H30,1))</f>
        <v>2.0485729387207424E-4</v>
      </c>
      <c r="I40" t="b">
        <f>H40&lt;=H35</f>
        <v>1</v>
      </c>
      <c r="J40" t="s">
        <v>50</v>
      </c>
      <c r="K40" t="s">
        <v>47</v>
      </c>
    </row>
    <row r="41" spans="1:11" ht="16">
      <c r="A41">
        <v>4</v>
      </c>
      <c r="B41">
        <v>32</v>
      </c>
      <c r="C41">
        <v>41</v>
      </c>
      <c r="D41">
        <f t="shared" si="1"/>
        <v>9</v>
      </c>
      <c r="F41" s="9" t="s">
        <v>110</v>
      </c>
      <c r="G41" s="9" t="s">
        <v>45</v>
      </c>
      <c r="H41" s="11">
        <f>(TDIST(ABS(J33),H30,1))</f>
        <v>2.1650321600178522E-4</v>
      </c>
      <c r="J41" t="s">
        <v>48</v>
      </c>
      <c r="K41" t="s">
        <v>49</v>
      </c>
    </row>
    <row r="42" spans="1:11">
      <c r="A42">
        <v>5</v>
      </c>
      <c r="B42">
        <v>30</v>
      </c>
      <c r="C42">
        <v>36</v>
      </c>
      <c r="D42">
        <f t="shared" si="1"/>
        <v>6</v>
      </c>
      <c r="G42" t="s">
        <v>30</v>
      </c>
    </row>
    <row r="43" spans="1:11" ht="16">
      <c r="A43">
        <v>6</v>
      </c>
      <c r="B43">
        <v>42</v>
      </c>
      <c r="C43">
        <v>57</v>
      </c>
      <c r="D43">
        <f t="shared" si="1"/>
        <v>15</v>
      </c>
      <c r="F43" s="8" t="s">
        <v>109</v>
      </c>
      <c r="G43" s="8" t="s">
        <v>45</v>
      </c>
      <c r="H43" s="8">
        <f>(TDIST(H33,H30,1))</f>
        <v>2.0485729387207424E-4</v>
      </c>
      <c r="I43" t="b">
        <f>H43&lt;=H35</f>
        <v>1</v>
      </c>
      <c r="J43" t="s">
        <v>50</v>
      </c>
      <c r="K43" t="s">
        <v>47</v>
      </c>
    </row>
    <row r="44" spans="1:11">
      <c r="A44">
        <v>7</v>
      </c>
      <c r="B44">
        <v>25</v>
      </c>
      <c r="C44">
        <v>40</v>
      </c>
      <c r="D44">
        <f>C44-B44</f>
        <v>15</v>
      </c>
      <c r="F44" s="9" t="s">
        <v>110</v>
      </c>
      <c r="G44" s="9" t="s">
        <v>45</v>
      </c>
      <c r="H44" s="9">
        <f>(TDIST(J33,H30,1))</f>
        <v>2.1650321600178522E-4</v>
      </c>
      <c r="J44" t="s">
        <v>48</v>
      </c>
      <c r="K44" t="s">
        <v>49</v>
      </c>
    </row>
    <row r="45" spans="1:11">
      <c r="A45">
        <v>8</v>
      </c>
      <c r="B45">
        <v>47</v>
      </c>
      <c r="C45">
        <v>51</v>
      </c>
      <c r="D45">
        <f>C45-B45</f>
        <v>4</v>
      </c>
      <c r="G45" t="s">
        <v>51</v>
      </c>
    </row>
    <row r="46" spans="1:11" ht="16">
      <c r="A46">
        <v>9</v>
      </c>
      <c r="B46">
        <v>35</v>
      </c>
      <c r="C46">
        <v>41</v>
      </c>
      <c r="D46">
        <f>C46-B46</f>
        <v>6</v>
      </c>
      <c r="F46" s="8" t="s">
        <v>109</v>
      </c>
      <c r="G46" s="8" t="s">
        <v>45</v>
      </c>
      <c r="H46" s="8">
        <f>TDIST(ABS(H33),H30,2)</f>
        <v>4.0971458774414848E-4</v>
      </c>
      <c r="I46" t="b">
        <f>H46&lt;=H35</f>
        <v>1</v>
      </c>
      <c r="J46" t="s">
        <v>50</v>
      </c>
      <c r="K46" t="s">
        <v>47</v>
      </c>
    </row>
    <row r="47" spans="1:11">
      <c r="A47">
        <v>10</v>
      </c>
      <c r="B47">
        <v>38</v>
      </c>
      <c r="C47">
        <v>40</v>
      </c>
      <c r="D47">
        <f>C47-B47</f>
        <v>2</v>
      </c>
      <c r="F47" s="9" t="s">
        <v>110</v>
      </c>
      <c r="G47" s="9" t="s">
        <v>45</v>
      </c>
      <c r="H47" s="9">
        <f>(TDIST(ABS(J33),H30,2))</f>
        <v>4.3300643200357044E-4</v>
      </c>
      <c r="J47" t="s">
        <v>48</v>
      </c>
      <c r="K47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workbookViewId="0">
      <selection activeCell="B10" sqref="B10"/>
    </sheetView>
  </sheetViews>
  <sheetFormatPr baseColWidth="10" defaultColWidth="8.83203125" defaultRowHeight="15"/>
  <cols>
    <col min="1" max="1" width="33.1640625" customWidth="1"/>
    <col min="2" max="2" width="12.1640625" bestFit="1" customWidth="1"/>
    <col min="3" max="4" width="29.33203125" customWidth="1"/>
  </cols>
  <sheetData>
    <row r="1" spans="1:9">
      <c r="B1" t="s">
        <v>71</v>
      </c>
      <c r="C1" t="s">
        <v>72</v>
      </c>
      <c r="G1" t="s">
        <v>22</v>
      </c>
    </row>
    <row r="2" spans="1:9">
      <c r="A2" t="s">
        <v>73</v>
      </c>
      <c r="B2">
        <v>0</v>
      </c>
      <c r="C2">
        <v>0</v>
      </c>
      <c r="D2" t="s">
        <v>37</v>
      </c>
      <c r="E2" t="s">
        <v>38</v>
      </c>
      <c r="G2" t="s">
        <v>61</v>
      </c>
      <c r="H2" t="s">
        <v>26</v>
      </c>
    </row>
    <row r="3" spans="1:9">
      <c r="A3" t="s">
        <v>40</v>
      </c>
      <c r="B3">
        <v>220</v>
      </c>
      <c r="C3">
        <v>220</v>
      </c>
      <c r="D3">
        <f>'2 population proportion'!B2-'2 population proportion'!C2</f>
        <v>0</v>
      </c>
      <c r="E3">
        <v>0</v>
      </c>
      <c r="G3" t="s">
        <v>63</v>
      </c>
      <c r="H3" t="s">
        <v>30</v>
      </c>
    </row>
    <row r="4" spans="1:9">
      <c r="A4" t="s">
        <v>74</v>
      </c>
      <c r="B4">
        <f>(B6+C6)/(B3+C3)</f>
        <v>0.115</v>
      </c>
      <c r="G4" t="s">
        <v>64</v>
      </c>
      <c r="H4" t="s">
        <v>32</v>
      </c>
    </row>
    <row r="5" spans="1:9">
      <c r="G5" t="s">
        <v>75</v>
      </c>
    </row>
    <row r="6" spans="1:9">
      <c r="A6" t="s">
        <v>76</v>
      </c>
      <c r="B6">
        <v>22</v>
      </c>
      <c r="C6">
        <v>28.6</v>
      </c>
      <c r="G6" t="s">
        <v>77</v>
      </c>
      <c r="H6">
        <v>0.1</v>
      </c>
      <c r="I6">
        <v>0.13</v>
      </c>
    </row>
    <row r="7" spans="1:9">
      <c r="A7" t="s">
        <v>78</v>
      </c>
      <c r="B7">
        <f>B6/B3</f>
        <v>0.1</v>
      </c>
      <c r="C7">
        <f>C6/C3</f>
        <v>0.13</v>
      </c>
      <c r="G7" t="s">
        <v>79</v>
      </c>
      <c r="H7">
        <f>B3*H6</f>
        <v>22</v>
      </c>
      <c r="I7">
        <f>C3*I6</f>
        <v>28.6</v>
      </c>
    </row>
    <row r="8" spans="1:9">
      <c r="A8" t="s">
        <v>41</v>
      </c>
      <c r="B8">
        <f>(B7-C7-E3)/SQRT((1-B4)*B4*(1/B3+1/C3))</f>
        <v>-0.9862727675430627</v>
      </c>
    </row>
    <row r="9" spans="1:9">
      <c r="A9" t="s">
        <v>42</v>
      </c>
      <c r="B9">
        <v>98</v>
      </c>
    </row>
    <row r="10" spans="1:9">
      <c r="A10" t="s">
        <v>43</v>
      </c>
      <c r="B10">
        <f>1-(B9)/100</f>
        <v>2.0000000000000018E-2</v>
      </c>
    </row>
    <row r="11" spans="1:9">
      <c r="A11" t="s">
        <v>44</v>
      </c>
      <c r="C11" t="b">
        <f>B12&lt;=B10</f>
        <v>0</v>
      </c>
      <c r="D11" t="s">
        <v>50</v>
      </c>
      <c r="E11" t="s">
        <v>47</v>
      </c>
    </row>
    <row r="12" spans="1:9">
      <c r="A12" t="s">
        <v>45</v>
      </c>
      <c r="B12">
        <f>_xlfn.NORM.S.DIST(B8,TRUE)</f>
        <v>0.16199963970468342</v>
      </c>
      <c r="D12" t="s">
        <v>48</v>
      </c>
      <c r="E12" t="s">
        <v>49</v>
      </c>
    </row>
    <row r="13" spans="1:9">
      <c r="A13" t="s">
        <v>96</v>
      </c>
      <c r="B13">
        <f>_xlfn.NORM.S.INV(B10)</f>
        <v>-2.0537489106318221</v>
      </c>
    </row>
    <row r="14" spans="1:9">
      <c r="A14" t="s">
        <v>30</v>
      </c>
      <c r="C14" t="b">
        <f>B15&lt;=B10</f>
        <v>0</v>
      </c>
      <c r="D14" t="s">
        <v>50</v>
      </c>
      <c r="E14" t="s">
        <v>47</v>
      </c>
    </row>
    <row r="15" spans="1:9">
      <c r="A15" t="s">
        <v>45</v>
      </c>
      <c r="B15">
        <f>1-_xlfn.NORM.S.DIST(B8,TRUE)</f>
        <v>0.83800036029531655</v>
      </c>
      <c r="D15" t="s">
        <v>48</v>
      </c>
      <c r="E15" t="s">
        <v>49</v>
      </c>
    </row>
    <row r="16" spans="1:9">
      <c r="A16" t="s">
        <v>96</v>
      </c>
      <c r="B16">
        <f>_xlfn.NORM.S.INV(1-B10)</f>
        <v>2.0537489106318221</v>
      </c>
    </row>
    <row r="17" spans="1:5">
      <c r="A17" t="s">
        <v>51</v>
      </c>
      <c r="C17" t="b">
        <f>B18&lt;=B10</f>
        <v>0</v>
      </c>
      <c r="D17" t="s">
        <v>50</v>
      </c>
      <c r="E17" t="s">
        <v>47</v>
      </c>
    </row>
    <row r="18" spans="1:5">
      <c r="A18" t="s">
        <v>45</v>
      </c>
      <c r="B18">
        <f>2*(1-_xlfn.NORM.S.DIST(ABS(B8), TRUE))</f>
        <v>0.3239992794093669</v>
      </c>
      <c r="D18" t="s">
        <v>48</v>
      </c>
      <c r="E18" t="s">
        <v>49</v>
      </c>
    </row>
    <row r="19" spans="1:5">
      <c r="A19" t="s">
        <v>96</v>
      </c>
      <c r="B19">
        <f>_xlfn.NORM.S.INV(1-B10/2)</f>
        <v>2.3263478740408408</v>
      </c>
    </row>
    <row r="20" spans="1:5">
      <c r="A20" t="s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"/>
  <sheetViews>
    <sheetView workbookViewId="0">
      <selection activeCell="B5" sqref="B5"/>
    </sheetView>
  </sheetViews>
  <sheetFormatPr baseColWidth="10" defaultColWidth="8.83203125" defaultRowHeight="15"/>
  <cols>
    <col min="1" max="1" width="19.5" customWidth="1"/>
    <col min="2" max="2" width="12.1640625" bestFit="1" customWidth="1"/>
    <col min="3" max="3" width="10.5" customWidth="1"/>
    <col min="4" max="4" width="10.33203125" customWidth="1"/>
    <col min="6" max="6" width="21.1640625" customWidth="1"/>
  </cols>
  <sheetData>
    <row r="1" spans="1:9">
      <c r="B1" t="s">
        <v>71</v>
      </c>
      <c r="C1" t="s">
        <v>72</v>
      </c>
    </row>
    <row r="2" spans="1:9">
      <c r="A2" t="s">
        <v>40</v>
      </c>
      <c r="B2">
        <v>20</v>
      </c>
      <c r="C2">
        <v>21</v>
      </c>
      <c r="F2" t="s">
        <v>80</v>
      </c>
      <c r="G2">
        <v>41.441600000000001</v>
      </c>
      <c r="H2" t="s">
        <v>81</v>
      </c>
      <c r="I2">
        <f>G2*G2</f>
        <v>1717.4062105600001</v>
      </c>
    </row>
    <row r="3" spans="1:9">
      <c r="A3" t="s">
        <v>81</v>
      </c>
      <c r="B3">
        <v>0.47899999999999998</v>
      </c>
      <c r="C3">
        <v>1.5369999999999999</v>
      </c>
      <c r="F3" t="s">
        <v>82</v>
      </c>
      <c r="G3">
        <v>25</v>
      </c>
      <c r="H3" t="s">
        <v>83</v>
      </c>
      <c r="I3">
        <f>G3*G3</f>
        <v>625</v>
      </c>
    </row>
    <row r="4" spans="1:9">
      <c r="A4" t="s">
        <v>84</v>
      </c>
      <c r="B4">
        <f>B2-1</f>
        <v>19</v>
      </c>
      <c r="C4">
        <f>C2-1</f>
        <v>20</v>
      </c>
    </row>
    <row r="5" spans="1:9">
      <c r="A5" t="s">
        <v>57</v>
      </c>
      <c r="B5">
        <f>B4/C4</f>
        <v>0.95</v>
      </c>
    </row>
    <row r="6" spans="1:9">
      <c r="A6" t="s">
        <v>42</v>
      </c>
      <c r="B6">
        <v>95</v>
      </c>
      <c r="H6" t="s">
        <v>85</v>
      </c>
    </row>
    <row r="7" spans="1:9">
      <c r="A7" t="s">
        <v>43</v>
      </c>
      <c r="B7">
        <f>1-(B6)/100</f>
        <v>5.0000000000000044E-2</v>
      </c>
    </row>
    <row r="9" spans="1:9">
      <c r="A9" t="s">
        <v>86</v>
      </c>
      <c r="B9" t="s">
        <v>30</v>
      </c>
      <c r="C9" t="s">
        <v>44</v>
      </c>
      <c r="D9" t="s">
        <v>32</v>
      </c>
    </row>
    <row r="10" spans="1:9">
      <c r="A10" t="s">
        <v>87</v>
      </c>
      <c r="B10">
        <f>_xlfn.F.INV.RT(B7,B4,C4)</f>
        <v>2.1370089585834027</v>
      </c>
      <c r="C10">
        <f>_xlfn.F.INV(B7,B4,C4)</f>
        <v>0.46393020651184141</v>
      </c>
      <c r="D10" t="s">
        <v>88</v>
      </c>
      <c r="E10">
        <f>_xlfn.F.INV((B7/2),B4,C4)</f>
        <v>0.39857428049422011</v>
      </c>
    </row>
    <row r="11" spans="1:9">
      <c r="D11" t="s">
        <v>89</v>
      </c>
      <c r="E11">
        <f>_xlfn.F.INV.RT(B7/2,B4,C4)</f>
        <v>2.482074835313449</v>
      </c>
    </row>
    <row r="12" spans="1:9">
      <c r="A12" t="s">
        <v>90</v>
      </c>
    </row>
    <row r="13" spans="1:9">
      <c r="A13" t="s">
        <v>91</v>
      </c>
      <c r="B13">
        <f>B3/C3</f>
        <v>0.31164606376057252</v>
      </c>
    </row>
    <row r="15" spans="1:9">
      <c r="A15" t="s">
        <v>92</v>
      </c>
      <c r="B15" t="s">
        <v>30</v>
      </c>
      <c r="C15" t="s">
        <v>44</v>
      </c>
      <c r="D15" t="s">
        <v>32</v>
      </c>
    </row>
    <row r="16" spans="1:9">
      <c r="A16" t="s">
        <v>93</v>
      </c>
      <c r="B16" t="b">
        <f>B13&gt;=B10</f>
        <v>0</v>
      </c>
      <c r="C16" t="b">
        <f>B13&lt;=C10</f>
        <v>1</v>
      </c>
      <c r="D16" t="b">
        <f>OR(B13&lt;=E10,E11&gt;=B13)</f>
        <v>1</v>
      </c>
    </row>
    <row r="17" spans="1:2">
      <c r="A17" t="s">
        <v>94</v>
      </c>
    </row>
    <row r="20" spans="1:2">
      <c r="A20" t="s">
        <v>22</v>
      </c>
    </row>
    <row r="21" spans="1:2">
      <c r="A21" t="s">
        <v>61</v>
      </c>
      <c r="B21" t="s">
        <v>26</v>
      </c>
    </row>
    <row r="22" spans="1:2">
      <c r="A22" t="s">
        <v>63</v>
      </c>
      <c r="B22" t="s">
        <v>30</v>
      </c>
    </row>
    <row r="23" spans="1:2">
      <c r="A23" t="s">
        <v>64</v>
      </c>
      <c r="B2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</vt:lpstr>
      <vt:lpstr>2 pop sigma known</vt:lpstr>
      <vt:lpstr>2 pop sigma unknown</vt:lpstr>
      <vt:lpstr>2 pop dependent sigma unknown</vt:lpstr>
      <vt:lpstr>2 population proportion</vt:lpstr>
      <vt:lpstr>2 population variances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jmonzon000@citymail.cuny.edu</cp:lastModifiedBy>
  <cp:revision/>
  <dcterms:created xsi:type="dcterms:W3CDTF">2019-01-07T18:06:18Z</dcterms:created>
  <dcterms:modified xsi:type="dcterms:W3CDTF">2019-01-16T17:03:15Z</dcterms:modified>
  <cp:category/>
  <cp:contentStatus/>
</cp:coreProperties>
</file>