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502755\Documents\INA\"/>
    </mc:Choice>
  </mc:AlternateContent>
  <xr:revisionPtr revIDLastSave="0" documentId="13_ncr:1_{42AA8AC0-F1E8-426B-801C-438ADF46C00F}" xr6:coauthVersionLast="36" xr6:coauthVersionMax="36" xr10:uidLastSave="{00000000-0000-0000-0000-000000000000}"/>
  <workbookProtection workbookAlgorithmName="SHA-512" workbookHashValue="BUYjqlkk7+wJoJrkTj3iQfJ/jf5O3paCxU0WRaUJTEIakfV/V1viYtf4Jf++xigi4RXDWcmyIOjccY9h922DCA==" workbookSaltValue="q6AOddomaD4te4H81ICToA==" workbookSpinCount="100000" lockStructure="1"/>
  <bookViews>
    <workbookView xWindow="0" yWindow="0" windowWidth="28800" windowHeight="12225" activeTab="1" xr2:uid="{50870FFA-C79D-4C7F-A578-979B3941F80F}"/>
  </bookViews>
  <sheets>
    <sheet name="INA226" sheetId="1" r:id="rId1"/>
    <sheet name="INA228" sheetId="4" r:id="rId2"/>
    <sheet name="ADCRANGE" sheetId="5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4" l="1"/>
  <c r="C11" i="4"/>
  <c r="E29" i="4"/>
  <c r="E28" i="4"/>
  <c r="E27" i="4"/>
  <c r="E26" i="4"/>
  <c r="E25" i="4"/>
  <c r="E24" i="4"/>
  <c r="I24" i="4" s="1"/>
  <c r="E23" i="4"/>
  <c r="C17" i="1" l="1"/>
  <c r="F24" i="4"/>
  <c r="C3" i="4"/>
  <c r="F23" i="4" s="1"/>
  <c r="D22" i="1"/>
  <c r="G22" i="1" l="1"/>
  <c r="I25" i="4" l="1"/>
  <c r="C9" i="4"/>
  <c r="C2" i="4"/>
  <c r="I29" i="4" l="1"/>
  <c r="K29" i="4" s="1"/>
  <c r="C12" i="4"/>
  <c r="I23" i="4"/>
  <c r="K23" i="4" s="1"/>
  <c r="I27" i="4"/>
  <c r="I28" i="4"/>
  <c r="K28" i="4" s="1"/>
  <c r="K24" i="4" l="1"/>
  <c r="C18" i="4"/>
  <c r="C19" i="4" s="1"/>
  <c r="C15" i="4"/>
  <c r="C13" i="4" s="1"/>
  <c r="K25" i="4" l="1"/>
  <c r="D23" i="1"/>
  <c r="K27" i="4" l="1"/>
  <c r="I22" i="1"/>
  <c r="C8" i="1"/>
  <c r="I26" i="4" l="1"/>
  <c r="K26" i="4" s="1"/>
  <c r="C11" i="1"/>
  <c r="C14" i="1" l="1"/>
  <c r="G25" i="1" l="1"/>
  <c r="I25" i="1" s="1"/>
  <c r="C18" i="1"/>
  <c r="C15" i="1" l="1"/>
  <c r="D24" i="1"/>
  <c r="G24" i="1" s="1"/>
  <c r="I24" i="1" s="1"/>
  <c r="G23" i="1" l="1"/>
  <c r="I23" i="1" s="1"/>
</calcChain>
</file>

<file path=xl/sharedStrings.xml><?xml version="1.0" encoding="utf-8"?>
<sst xmlns="http://schemas.openxmlformats.org/spreadsheetml/2006/main" count="188" uniqueCount="109">
  <si>
    <t>LSB Value</t>
  </si>
  <si>
    <t>Calculated Value</t>
  </si>
  <si>
    <t>Unit</t>
  </si>
  <si>
    <t>μA/LSB</t>
  </si>
  <si>
    <t>Returned Value(in Hex)</t>
  </si>
  <si>
    <t>A</t>
  </si>
  <si>
    <t>μA</t>
  </si>
  <si>
    <t>mV/LSB</t>
  </si>
  <si>
    <t>mV</t>
  </si>
  <si>
    <t>V</t>
  </si>
  <si>
    <t>W</t>
  </si>
  <si>
    <t>Current LSB x 25</t>
  </si>
  <si>
    <t>W/LSB</t>
  </si>
  <si>
    <t>mW</t>
  </si>
  <si>
    <t>μV/LSB</t>
  </si>
  <si>
    <t>μV</t>
  </si>
  <si>
    <t>Type</t>
  </si>
  <si>
    <t>Input from User -&gt;</t>
  </si>
  <si>
    <t>INA226 Parameters</t>
  </si>
  <si>
    <t>Units</t>
  </si>
  <si>
    <t>A/LSB</t>
  </si>
  <si>
    <t>Values</t>
  </si>
  <si>
    <t>Description</t>
  </si>
  <si>
    <t>Max Expected current</t>
  </si>
  <si>
    <t>Recommended value of CURRENT_LSB</t>
  </si>
  <si>
    <t>Ω</t>
  </si>
  <si>
    <r>
      <t>Actual value of Rshunt</t>
    </r>
    <r>
      <rPr>
        <sz val="11"/>
        <color theme="1"/>
        <rFont val="Calibri"/>
        <family val="2"/>
      </rPr>
      <t xml:space="preserve"> used</t>
    </r>
    <r>
      <rPr>
        <sz val="11"/>
        <color theme="1"/>
        <rFont val="Calibri"/>
        <family val="2"/>
        <scheme val="minor"/>
      </rPr>
      <t xml:space="preserve"> in design</t>
    </r>
  </si>
  <si>
    <t>Current (A) - 04h</t>
  </si>
  <si>
    <t>Bus voltage (V) - 02h</t>
  </si>
  <si>
    <t>Power (W) - 03h</t>
  </si>
  <si>
    <t>Value measured by INA226</t>
  </si>
  <si>
    <t>Current through the Shunt resistor</t>
  </si>
  <si>
    <t>Bus voltage as measured by VBUS pin</t>
  </si>
  <si>
    <t>Total power delivered through the Shunt resistor</t>
  </si>
  <si>
    <t>Recommended Rshunt Value should be less than &lt;</t>
  </si>
  <si>
    <t>Shunt voltage input range max</t>
  </si>
  <si>
    <t>Recommendation for design</t>
  </si>
  <si>
    <t>Parameters to check proper usage</t>
  </si>
  <si>
    <t>Registers read from INA226</t>
  </si>
  <si>
    <t>Value of CURRENT_LSB to be used</t>
  </si>
  <si>
    <t>Input from User -&gt;
Read 01h to 04h registers from INA226 and enter in C20, C22, C23, C21.</t>
  </si>
  <si>
    <t>J</t>
  </si>
  <si>
    <t>C</t>
  </si>
  <si>
    <t>m°C/LSB</t>
  </si>
  <si>
    <t>m°C</t>
  </si>
  <si>
    <t>°C</t>
  </si>
  <si>
    <t>INA228 Parameters</t>
  </si>
  <si>
    <t>Value measured by INA228</t>
  </si>
  <si>
    <t>nV/LSB</t>
  </si>
  <si>
    <t>On die temperature measured</t>
  </si>
  <si>
    <t>3.2 x Current LSB</t>
  </si>
  <si>
    <t>16 x 3.2 x Current LSB</t>
  </si>
  <si>
    <t>Current LSB</t>
  </si>
  <si>
    <t>J/LSB</t>
  </si>
  <si>
    <t>nV</t>
  </si>
  <si>
    <t>mJ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</si>
  <si>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C/LSB</t>
    </r>
  </si>
  <si>
    <t>µC</t>
  </si>
  <si>
    <t>VSHUNT[23:4] - 4h</t>
  </si>
  <si>
    <t>VBUS[23:4] - 5h</t>
  </si>
  <si>
    <t>CURRENT[23:4] - 7h</t>
  </si>
  <si>
    <t>DIETEMP[15:0] - 6h</t>
  </si>
  <si>
    <t>POWER[23:0] - 8h</t>
  </si>
  <si>
    <t>ENERGY[39:0] - 9h</t>
  </si>
  <si>
    <t>CHARGE[39:0] - Ah</t>
  </si>
  <si>
    <t>Calculated value of CURRENT_LSB</t>
  </si>
  <si>
    <t>Yellow highlighted cells are inputs required from user used by this excel.</t>
  </si>
  <si>
    <t>Green highlighted cells are INA226 register values read for a programmed calibration register.</t>
  </si>
  <si>
    <t>Calibration register(CAL) value in Hex</t>
  </si>
  <si>
    <t>Calibration register(CAL) value</t>
  </si>
  <si>
    <t>Green highlighted cells are INA228 register values read for a programmed calibration register.</t>
  </si>
  <si>
    <t>Input from User -&gt;
Read registers from INA228 and enter in C19 to C25.</t>
  </si>
  <si>
    <t>SHUNT_CAL[14:0] in Decimal</t>
  </si>
  <si>
    <t>SHUNT_CAL[14:0] in Hex</t>
  </si>
  <si>
    <t>To be programmed into INA226 Calibration Register - 05h -&gt;</t>
  </si>
  <si>
    <t>To be programmed into INA228 SHUNT_CAL Register - 2h -&gt;</t>
  </si>
  <si>
    <t>% of ADC range used based on shunt resistor used</t>
  </si>
  <si>
    <t>0h = ±163.84 mV
1h = ± 40.96 mV</t>
  </si>
  <si>
    <t>ADCRANGE bit in CONFIG[4] register</t>
  </si>
  <si>
    <t>0h = ±163.84 mV</t>
  </si>
  <si>
    <t>1h = ± 40.96 mV</t>
  </si>
  <si>
    <t>ADCRANGE used</t>
  </si>
  <si>
    <t>03BE</t>
  </si>
  <si>
    <t>Bus voltage input range max</t>
  </si>
  <si>
    <t>Shunt voltage LSB</t>
  </si>
  <si>
    <t>Bus voltage LSB</t>
  </si>
  <si>
    <t>Max voltage drop across the shunt resistor</t>
  </si>
  <si>
    <t>Shunt voltage - 01h</t>
  </si>
  <si>
    <t>Shunt voltage across INA+ and INA- pins</t>
  </si>
  <si>
    <t>2.5</t>
  </si>
  <si>
    <t>0.01</t>
  </si>
  <si>
    <t>Orange highlighted cells are INA228 register values to be programmed.</t>
  </si>
  <si>
    <t>Orange highlighted cells are INA226 register values to be programmed.</t>
  </si>
  <si>
    <t>Registers read from INA228</t>
  </si>
  <si>
    <t>Required register bits</t>
  </si>
  <si>
    <t>VSHUNT[23:0] - 4h</t>
  </si>
  <si>
    <t>VBUS[23:0] - 5h</t>
  </si>
  <si>
    <t>CURRENT[23:0] - 7h</t>
  </si>
  <si>
    <t>Required Value(in Hex)</t>
  </si>
  <si>
    <t>071170</t>
  </si>
  <si>
    <t>017DE0</t>
  </si>
  <si>
    <t>1320</t>
  </si>
  <si>
    <t>01F950</t>
  </si>
  <si>
    <t>0000002B69</t>
  </si>
  <si>
    <t>000007692C</t>
  </si>
  <si>
    <t>000BC9</t>
  </si>
  <si>
    <t>0191</t>
  </si>
  <si>
    <t>0E36</t>
  </si>
  <si>
    <t>20B7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</si>
</sst>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3" borderId="0" applyNumberFormat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right" vertical="center" wrapText="1"/>
    </xf>
    <xf numFmtId="0" fontId="2" fillId="2" borderId="2" xfId="1" applyFont="1" applyBorder="1" applyAlignment="1">
      <alignment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0" fontId="0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right" vertical="center" wrapText="1"/>
    </xf>
    <xf numFmtId="0" fontId="0" fillId="0" borderId="4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165" fontId="3" fillId="0" borderId="2" xfId="0" applyNumberFormat="1" applyFont="1" applyBorder="1" applyAlignment="1">
      <alignment horizontal="right" vertical="center" wrapText="1"/>
    </xf>
    <xf numFmtId="0" fontId="0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 wrapText="1"/>
    </xf>
    <xf numFmtId="0" fontId="2" fillId="2" borderId="2" xfId="1" applyFont="1" applyBorder="1" applyAlignment="1">
      <alignment horizontal="left" vertical="center" wrapText="1"/>
    </xf>
    <xf numFmtId="0" fontId="0" fillId="0" borderId="14" xfId="0" applyFont="1" applyBorder="1" applyAlignment="1">
      <alignment horizontal="right" vertical="center" wrapText="1"/>
    </xf>
    <xf numFmtId="0" fontId="2" fillId="2" borderId="11" xfId="1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5" xfId="1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2" fillId="2" borderId="14" xfId="1" applyFont="1" applyBorder="1" applyAlignment="1">
      <alignment horizontal="right" vertical="center" wrapText="1"/>
    </xf>
    <xf numFmtId="0" fontId="0" fillId="0" borderId="15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right" vertical="center" wrapText="1"/>
    </xf>
    <xf numFmtId="166" fontId="3" fillId="0" borderId="2" xfId="0" applyNumberFormat="1" applyFont="1" applyBorder="1" applyAlignment="1">
      <alignment horizontal="right" vertical="center" wrapText="1"/>
    </xf>
    <xf numFmtId="0" fontId="0" fillId="0" borderId="17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2" xfId="0" applyFont="1" applyFill="1" applyBorder="1" applyAlignment="1">
      <alignment horizontal="right" vertical="center" wrapText="1"/>
    </xf>
    <xf numFmtId="0" fontId="4" fillId="6" borderId="2" xfId="0" applyFont="1" applyFill="1" applyBorder="1" applyAlignment="1">
      <alignment horizontal="right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vertical="center" wrapText="1"/>
    </xf>
    <xf numFmtId="0" fontId="8" fillId="0" borderId="4" xfId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horizontal="right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3" borderId="8" xfId="2" applyFont="1" applyBorder="1" applyAlignment="1">
      <alignment horizontal="center" vertical="center" wrapText="1"/>
    </xf>
    <xf numFmtId="0" fontId="7" fillId="3" borderId="9" xfId="2" applyFont="1" applyBorder="1" applyAlignment="1">
      <alignment horizontal="center" vertical="center" wrapText="1"/>
    </xf>
    <xf numFmtId="0" fontId="7" fillId="3" borderId="10" xfId="2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4" fillId="4" borderId="2" xfId="0" applyNumberFormat="1" applyFont="1" applyFill="1" applyBorder="1" applyAlignment="1" applyProtection="1">
      <alignment horizontal="right" vertical="center" wrapText="1"/>
      <protection locked="0"/>
    </xf>
    <xf numFmtId="49" fontId="4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2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Input" xfId="1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4C1F-B598-4080-9ECD-7DE09DBC4461}">
  <dimension ref="A1:J33"/>
  <sheetViews>
    <sheetView zoomScale="120" zoomScaleNormal="120" workbookViewId="0">
      <selection activeCell="C7" sqref="C7"/>
    </sheetView>
  </sheetViews>
  <sheetFormatPr defaultColWidth="9.140625" defaultRowHeight="15" x14ac:dyDescent="0.25"/>
  <cols>
    <col min="1" max="1" width="26.42578125" style="1" customWidth="1"/>
    <col min="2" max="2" width="48.7109375" style="2" bestFit="1" customWidth="1"/>
    <col min="3" max="3" width="22.28515625" style="6" bestFit="1" customWidth="1"/>
    <col min="4" max="4" width="15.140625" style="6" bestFit="1" customWidth="1"/>
    <col min="5" max="5" width="7.85546875" style="1" bestFit="1" customWidth="1"/>
    <col min="6" max="6" width="45.28515625" style="1" bestFit="1" customWidth="1"/>
    <col min="7" max="7" width="16" style="2" bestFit="1" customWidth="1"/>
    <col min="8" max="8" width="4.85546875" style="2" bestFit="1" customWidth="1"/>
    <col min="9" max="9" width="16" style="2" bestFit="1" customWidth="1"/>
    <col min="10" max="10" width="4.85546875" style="2" bestFit="1" customWidth="1"/>
    <col min="11" max="11" width="8.42578125" style="2" bestFit="1" customWidth="1"/>
    <col min="12" max="16384" width="9.140625" style="2"/>
  </cols>
  <sheetData>
    <row r="1" spans="1:10" x14ac:dyDescent="0.25">
      <c r="A1" s="13" t="s">
        <v>16</v>
      </c>
      <c r="B1" s="15" t="s">
        <v>22</v>
      </c>
      <c r="C1" s="13" t="s">
        <v>21</v>
      </c>
      <c r="D1" s="33" t="s">
        <v>19</v>
      </c>
    </row>
    <row r="2" spans="1:10" x14ac:dyDescent="0.25">
      <c r="A2" s="66" t="s">
        <v>18</v>
      </c>
      <c r="B2" s="24" t="s">
        <v>35</v>
      </c>
      <c r="C2" s="19">
        <v>8.1920000000000007E-2</v>
      </c>
      <c r="D2" s="32" t="s">
        <v>9</v>
      </c>
    </row>
    <row r="3" spans="1:10" x14ac:dyDescent="0.25">
      <c r="A3" s="71"/>
      <c r="B3" s="58" t="s">
        <v>84</v>
      </c>
      <c r="C3" s="60">
        <v>2.5</v>
      </c>
      <c r="D3" s="39" t="s">
        <v>14</v>
      </c>
    </row>
    <row r="4" spans="1:10" ht="15" customHeight="1" x14ac:dyDescent="0.25">
      <c r="A4" s="71"/>
      <c r="B4" s="24" t="s">
        <v>83</v>
      </c>
      <c r="C4" s="18">
        <v>40.96</v>
      </c>
      <c r="D4" s="17" t="s">
        <v>9</v>
      </c>
      <c r="F4" s="68" t="s">
        <v>66</v>
      </c>
      <c r="G4" s="68"/>
      <c r="H4" s="68"/>
      <c r="I4" s="68"/>
      <c r="J4" s="68"/>
    </row>
    <row r="5" spans="1:10" ht="15" customHeight="1" x14ac:dyDescent="0.25">
      <c r="A5" s="67"/>
      <c r="B5" s="17" t="s">
        <v>85</v>
      </c>
      <c r="C5" s="26">
        <v>1.25</v>
      </c>
      <c r="D5" s="4" t="s">
        <v>7</v>
      </c>
      <c r="F5" s="69" t="s">
        <v>92</v>
      </c>
      <c r="G5" s="69"/>
      <c r="H5" s="69"/>
      <c r="I5" s="69"/>
      <c r="J5" s="69"/>
    </row>
    <row r="6" spans="1:10" x14ac:dyDescent="0.25">
      <c r="A6" s="10"/>
      <c r="B6" s="21"/>
      <c r="C6" s="20"/>
      <c r="D6" s="11"/>
      <c r="F6" s="70" t="s">
        <v>67</v>
      </c>
      <c r="G6" s="70"/>
      <c r="H6" s="70"/>
      <c r="I6" s="70"/>
      <c r="J6" s="70"/>
    </row>
    <row r="7" spans="1:10" x14ac:dyDescent="0.25">
      <c r="A7" s="8" t="s">
        <v>17</v>
      </c>
      <c r="B7" s="17" t="s">
        <v>23</v>
      </c>
      <c r="C7" s="75">
        <v>2.5</v>
      </c>
      <c r="D7" s="4" t="s">
        <v>5</v>
      </c>
    </row>
    <row r="8" spans="1:10" ht="30" x14ac:dyDescent="0.25">
      <c r="A8" s="9" t="s">
        <v>36</v>
      </c>
      <c r="B8" s="17" t="s">
        <v>24</v>
      </c>
      <c r="C8" s="7">
        <f>(C7/POWER(2,15))</f>
        <v>7.62939453125E-5</v>
      </c>
      <c r="D8" s="4" t="s">
        <v>20</v>
      </c>
    </row>
    <row r="9" spans="1:10" x14ac:dyDescent="0.25">
      <c r="A9" s="8" t="s">
        <v>17</v>
      </c>
      <c r="B9" s="25" t="s">
        <v>39</v>
      </c>
      <c r="C9" s="75">
        <v>1E-4</v>
      </c>
      <c r="D9" s="4" t="s">
        <v>20</v>
      </c>
    </row>
    <row r="10" spans="1:10" x14ac:dyDescent="0.25">
      <c r="A10" s="10"/>
      <c r="B10" s="21"/>
      <c r="C10" s="20"/>
      <c r="D10" s="11"/>
    </row>
    <row r="11" spans="1:10" ht="30" x14ac:dyDescent="0.25">
      <c r="A11" s="9" t="s">
        <v>36</v>
      </c>
      <c r="B11" s="17" t="s">
        <v>34</v>
      </c>
      <c r="C11" s="5">
        <f>(C2)/C7</f>
        <v>3.2768000000000005E-2</v>
      </c>
      <c r="D11" s="4" t="s">
        <v>25</v>
      </c>
    </row>
    <row r="12" spans="1:10" x14ac:dyDescent="0.25">
      <c r="A12" s="8" t="s">
        <v>17</v>
      </c>
      <c r="B12" s="17" t="s">
        <v>26</v>
      </c>
      <c r="C12" s="75">
        <v>0.01</v>
      </c>
      <c r="D12" s="4" t="s">
        <v>25</v>
      </c>
    </row>
    <row r="13" spans="1:10" x14ac:dyDescent="0.25">
      <c r="A13"/>
      <c r="B13"/>
      <c r="C13"/>
      <c r="D13"/>
    </row>
    <row r="14" spans="1:10" x14ac:dyDescent="0.25">
      <c r="A14" s="3"/>
      <c r="B14" s="17" t="s">
        <v>69</v>
      </c>
      <c r="C14" s="5">
        <f>ROUND((0.00512/(C9*C12)),0)</f>
        <v>5120</v>
      </c>
      <c r="D14" s="4"/>
    </row>
    <row r="15" spans="1:10" ht="45" x14ac:dyDescent="0.25">
      <c r="A15" s="45" t="s">
        <v>74</v>
      </c>
      <c r="B15" s="17" t="s">
        <v>68</v>
      </c>
      <c r="C15" s="56" t="str">
        <f>DEC2HEX(C14)</f>
        <v>1400</v>
      </c>
      <c r="D15" s="4"/>
    </row>
    <row r="16" spans="1:10" x14ac:dyDescent="0.25">
      <c r="A16" s="10"/>
      <c r="B16" s="21"/>
      <c r="C16" s="20"/>
      <c r="D16" s="11"/>
    </row>
    <row r="17" spans="1:10" x14ac:dyDescent="0.25">
      <c r="A17" s="66" t="s">
        <v>37</v>
      </c>
      <c r="B17" s="17" t="s">
        <v>86</v>
      </c>
      <c r="C17" s="5">
        <f>C7*C12</f>
        <v>2.5000000000000001E-2</v>
      </c>
      <c r="D17" s="4" t="s">
        <v>9</v>
      </c>
    </row>
    <row r="18" spans="1:10" x14ac:dyDescent="0.25">
      <c r="A18" s="67"/>
      <c r="B18" s="17" t="s">
        <v>76</v>
      </c>
      <c r="C18" s="5">
        <f>(C17/C2)*100</f>
        <v>30.517578125</v>
      </c>
      <c r="D18" s="4"/>
    </row>
    <row r="19" spans="1:10" ht="15.75" thickBot="1" x14ac:dyDescent="0.3">
      <c r="A19" s="22"/>
      <c r="B19" s="12"/>
      <c r="C19" s="20"/>
      <c r="D19" s="11"/>
    </row>
    <row r="20" spans="1:10" x14ac:dyDescent="0.25">
      <c r="A20" s="10"/>
      <c r="B20" s="12"/>
      <c r="C20" s="10"/>
      <c r="D20" s="20"/>
      <c r="F20" s="63" t="s">
        <v>30</v>
      </c>
      <c r="G20" s="64"/>
      <c r="H20" s="64"/>
      <c r="I20" s="64"/>
      <c r="J20" s="65"/>
    </row>
    <row r="21" spans="1:10" x14ac:dyDescent="0.25">
      <c r="A21" s="10"/>
      <c r="B21" s="14" t="s">
        <v>38</v>
      </c>
      <c r="C21" s="13" t="s">
        <v>4</v>
      </c>
      <c r="D21" s="14" t="s">
        <v>0</v>
      </c>
      <c r="E21" s="38" t="s">
        <v>2</v>
      </c>
      <c r="F21" s="40" t="s">
        <v>22</v>
      </c>
      <c r="G21" s="15" t="s">
        <v>1</v>
      </c>
      <c r="H21" s="15" t="s">
        <v>2</v>
      </c>
      <c r="I21" s="15" t="s">
        <v>1</v>
      </c>
      <c r="J21" s="35" t="s">
        <v>2</v>
      </c>
    </row>
    <row r="22" spans="1:10" x14ac:dyDescent="0.25">
      <c r="A22" s="62" t="s">
        <v>40</v>
      </c>
      <c r="B22" s="43" t="s">
        <v>87</v>
      </c>
      <c r="C22" s="76" t="s">
        <v>107</v>
      </c>
      <c r="D22" s="23">
        <f>C3</f>
        <v>2.5</v>
      </c>
      <c r="E22" s="39" t="s">
        <v>14</v>
      </c>
      <c r="F22" s="34" t="s">
        <v>88</v>
      </c>
      <c r="G22" s="18">
        <f>D22*IF((HEX2DEC(C22) &lt;= 32767), HEX2DEC(C22), (HEX2DEC(C22)-65536))</f>
        <v>9095</v>
      </c>
      <c r="H22" s="17" t="s">
        <v>15</v>
      </c>
      <c r="I22" s="37">
        <f>G22/1000000</f>
        <v>9.0950000000000007E-3</v>
      </c>
      <c r="J22" s="27" t="s">
        <v>9</v>
      </c>
    </row>
    <row r="23" spans="1:10" x14ac:dyDescent="0.25">
      <c r="A23" s="62"/>
      <c r="B23" s="44" t="s">
        <v>27</v>
      </c>
      <c r="C23" s="77" t="s">
        <v>108</v>
      </c>
      <c r="D23" s="16">
        <f>C9*1000000</f>
        <v>100</v>
      </c>
      <c r="E23" s="36" t="s">
        <v>3</v>
      </c>
      <c r="F23" s="34" t="s">
        <v>31</v>
      </c>
      <c r="G23" s="18">
        <f>D23*HEX2DEC(C23)</f>
        <v>837500</v>
      </c>
      <c r="H23" s="18" t="s">
        <v>6</v>
      </c>
      <c r="I23" s="37">
        <f>G23/1000000</f>
        <v>0.83750000000000002</v>
      </c>
      <c r="J23" s="28" t="s">
        <v>5</v>
      </c>
    </row>
    <row r="24" spans="1:10" x14ac:dyDescent="0.25">
      <c r="A24" s="62"/>
      <c r="B24" s="44" t="s">
        <v>28</v>
      </c>
      <c r="C24" s="77" t="s">
        <v>82</v>
      </c>
      <c r="D24" s="16">
        <f>C5</f>
        <v>1.25</v>
      </c>
      <c r="E24" s="36" t="s">
        <v>7</v>
      </c>
      <c r="F24" s="34" t="s">
        <v>32</v>
      </c>
      <c r="G24" s="18">
        <f>D24*HEX2DEC(C24)</f>
        <v>1197.5</v>
      </c>
      <c r="H24" s="17" t="s">
        <v>8</v>
      </c>
      <c r="I24" s="37">
        <f>G24/1000</f>
        <v>1.1975</v>
      </c>
      <c r="J24" s="27" t="s">
        <v>9</v>
      </c>
    </row>
    <row r="25" spans="1:10" ht="15.75" thickBot="1" x14ac:dyDescent="0.3">
      <c r="A25" s="62"/>
      <c r="B25" s="44" t="s">
        <v>29</v>
      </c>
      <c r="C25" s="77" t="s">
        <v>106</v>
      </c>
      <c r="D25" s="7" t="s">
        <v>11</v>
      </c>
      <c r="E25" s="36" t="s">
        <v>12</v>
      </c>
      <c r="F25" s="41" t="s">
        <v>33</v>
      </c>
      <c r="G25" s="30">
        <f>D23*25*(HEX2DEC(C25)/1000)</f>
        <v>1002.5000000000001</v>
      </c>
      <c r="H25" s="29" t="s">
        <v>13</v>
      </c>
      <c r="I25" s="42">
        <f>G25/1000</f>
        <v>1.0025000000000002</v>
      </c>
      <c r="J25" s="31" t="s">
        <v>10</v>
      </c>
    </row>
    <row r="27" spans="1:10" x14ac:dyDescent="0.25">
      <c r="E27" s="2"/>
      <c r="F27" s="2"/>
    </row>
    <row r="28" spans="1:10" x14ac:dyDescent="0.25">
      <c r="E28" s="2"/>
      <c r="F28" s="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2" spans="1:10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 spans="1:10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</row>
  </sheetData>
  <sheetProtection algorithmName="SHA-512" hashValue="R1Px95aMsK7MRRwqp1E89zOc7Cx/GM20ERqRhhxmVP6z387m4Zizy+U/CLn9o+Ka4hu+t8VafGaQmVBzaRjlTg==" saltValue="icnG1p8mNmQqM0oHA9bbtA==" spinCount="100000" sheet="1" objects="1" scenarios="1" selectLockedCells="1"/>
  <mergeCells count="7">
    <mergeCell ref="A22:A25"/>
    <mergeCell ref="F20:J20"/>
    <mergeCell ref="A17:A18"/>
    <mergeCell ref="F4:J4"/>
    <mergeCell ref="F5:J5"/>
    <mergeCell ref="F6:J6"/>
    <mergeCell ref="A2:A5"/>
  </mergeCells>
  <dataValidations count="3">
    <dataValidation type="decimal" allowBlank="1" showInputMessage="1" showErrorMessage="1" sqref="C17" xr:uid="{CB4D3F1C-913D-4E65-91EB-D08690FF1978}">
      <formula1>0</formula1>
      <formula2>C2</formula2>
    </dataValidation>
    <dataValidation type="decimal" allowBlank="1" showInputMessage="1" showErrorMessage="1" sqref="C12" xr:uid="{88F4FD44-0B5B-472C-871A-83E1CB11F724}">
      <formula1>0.001</formula1>
      <formula2>C11</formula2>
    </dataValidation>
    <dataValidation type="decimal" allowBlank="1" showInputMessage="1" showErrorMessage="1" sqref="C9" xr:uid="{0A32261A-3E97-4B3D-925C-F4F673219D3A}">
      <formula1>0.0001</formula1>
      <formula2>C8</formula2>
    </dataValidation>
  </dataValidations>
  <pageMargins left="0.7" right="0.7" top="0.75" bottom="0.75" header="0.3" footer="0.3"/>
  <pageSetup orientation="portrait" r:id="rId1"/>
  <ignoredErrors>
    <ignoredError sqref="C25 C22" numberStoredAsText="1"/>
    <ignoredError sqref="D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3924-A429-4764-BB16-4A5B973FBC44}">
  <dimension ref="A1:L34"/>
  <sheetViews>
    <sheetView tabSelected="1" zoomScaleNormal="100" workbookViewId="0">
      <selection activeCell="C23" sqref="C23:C29"/>
    </sheetView>
  </sheetViews>
  <sheetFormatPr defaultColWidth="9.140625" defaultRowHeight="15" x14ac:dyDescent="0.25"/>
  <cols>
    <col min="1" max="1" width="28.5703125" style="1" customWidth="1"/>
    <col min="2" max="2" width="46.7109375" style="2" customWidth="1"/>
    <col min="3" max="3" width="25.7109375" style="2" customWidth="1"/>
    <col min="4" max="4" width="27.28515625" style="2" customWidth="1"/>
    <col min="5" max="5" width="22.28515625" style="6" bestFit="1" customWidth="1"/>
    <col min="6" max="6" width="19.85546875" style="6" bestFit="1" customWidth="1"/>
    <col min="7" max="7" width="8.5703125" style="1" bestFit="1" customWidth="1"/>
    <col min="8" max="8" width="45.28515625" style="1" bestFit="1" customWidth="1"/>
    <col min="9" max="9" width="16" style="2" bestFit="1" customWidth="1"/>
    <col min="10" max="10" width="4.85546875" style="2" bestFit="1" customWidth="1"/>
    <col min="11" max="11" width="16" style="2" bestFit="1" customWidth="1"/>
    <col min="12" max="12" width="4.85546875" style="2" bestFit="1" customWidth="1"/>
    <col min="13" max="13" width="8.42578125" style="2" bestFit="1" customWidth="1"/>
    <col min="14" max="16384" width="9.140625" style="2"/>
  </cols>
  <sheetData>
    <row r="1" spans="1:12" x14ac:dyDescent="0.25">
      <c r="A1" s="13" t="s">
        <v>16</v>
      </c>
      <c r="B1" s="15" t="s">
        <v>22</v>
      </c>
      <c r="C1" s="13" t="s">
        <v>21</v>
      </c>
      <c r="D1" s="33" t="s">
        <v>19</v>
      </c>
    </row>
    <row r="2" spans="1:12" x14ac:dyDescent="0.25">
      <c r="A2" s="66" t="s">
        <v>46</v>
      </c>
      <c r="B2" s="24" t="s">
        <v>35</v>
      </c>
      <c r="C2" s="19">
        <f>IF(C7=0, 0.16384, 0.04096)</f>
        <v>0.16384000000000001</v>
      </c>
      <c r="D2" s="32" t="s">
        <v>9</v>
      </c>
    </row>
    <row r="3" spans="1:12" x14ac:dyDescent="0.25">
      <c r="A3" s="71"/>
      <c r="B3" s="58" t="s">
        <v>84</v>
      </c>
      <c r="C3" s="60">
        <f>IF(C7=0, 312.5, 78.125)</f>
        <v>312.5</v>
      </c>
      <c r="D3" s="59" t="s">
        <v>48</v>
      </c>
    </row>
    <row r="4" spans="1:12" ht="15" customHeight="1" x14ac:dyDescent="0.25">
      <c r="A4" s="71"/>
      <c r="B4" s="24" t="s">
        <v>83</v>
      </c>
      <c r="C4" s="18">
        <v>85</v>
      </c>
      <c r="D4" s="17" t="s">
        <v>9</v>
      </c>
      <c r="H4" s="68" t="s">
        <v>66</v>
      </c>
      <c r="I4" s="68"/>
      <c r="J4" s="68"/>
      <c r="K4" s="68"/>
      <c r="L4" s="68"/>
    </row>
    <row r="5" spans="1:12" ht="15" customHeight="1" x14ac:dyDescent="0.25">
      <c r="A5" s="67"/>
      <c r="B5" s="17" t="s">
        <v>85</v>
      </c>
      <c r="C5" s="26">
        <v>195.3125</v>
      </c>
      <c r="D5" s="39" t="s">
        <v>14</v>
      </c>
      <c r="H5" s="69" t="s">
        <v>91</v>
      </c>
      <c r="I5" s="69"/>
      <c r="J5" s="69"/>
      <c r="K5" s="69"/>
      <c r="L5" s="69"/>
    </row>
    <row r="6" spans="1:12" x14ac:dyDescent="0.25">
      <c r="A6" s="10"/>
      <c r="B6" s="21"/>
      <c r="C6" s="20"/>
      <c r="D6" s="11"/>
      <c r="H6" s="70" t="s">
        <v>70</v>
      </c>
      <c r="I6" s="70"/>
      <c r="J6" s="70"/>
      <c r="K6" s="70"/>
      <c r="L6" s="70"/>
    </row>
    <row r="7" spans="1:12" ht="30" x14ac:dyDescent="0.25">
      <c r="A7" s="9" t="s">
        <v>81</v>
      </c>
      <c r="B7" s="17" t="s">
        <v>78</v>
      </c>
      <c r="C7" s="56">
        <v>0</v>
      </c>
      <c r="D7" s="9" t="s">
        <v>77</v>
      </c>
    </row>
    <row r="8" spans="1:12" x14ac:dyDescent="0.25">
      <c r="A8" s="51" t="s">
        <v>17</v>
      </c>
      <c r="B8" s="17" t="s">
        <v>23</v>
      </c>
      <c r="C8" s="75" t="s">
        <v>89</v>
      </c>
      <c r="D8" s="4" t="s">
        <v>5</v>
      </c>
    </row>
    <row r="9" spans="1:12" x14ac:dyDescent="0.25">
      <c r="A9" s="9" t="s">
        <v>36</v>
      </c>
      <c r="B9" s="17" t="s">
        <v>24</v>
      </c>
      <c r="C9" s="7">
        <f>(C8/POWER(2,19))</f>
        <v>4.76837158203125E-6</v>
      </c>
      <c r="D9" s="4" t="s">
        <v>20</v>
      </c>
    </row>
    <row r="10" spans="1:12" x14ac:dyDescent="0.25">
      <c r="A10" s="52" t="s">
        <v>17</v>
      </c>
      <c r="B10" s="25" t="s">
        <v>39</v>
      </c>
      <c r="C10" s="75">
        <v>1E-4</v>
      </c>
      <c r="D10" s="4" t="s">
        <v>20</v>
      </c>
    </row>
    <row r="11" spans="1:12" x14ac:dyDescent="0.25">
      <c r="A11" s="52"/>
      <c r="B11" s="17" t="s">
        <v>72</v>
      </c>
      <c r="C11" s="55">
        <f>ROUND((13107.2*1000000*C10*C16*IF(C7=0, 1, 4)), 0)</f>
        <v>13107</v>
      </c>
      <c r="D11" s="4" t="s">
        <v>20</v>
      </c>
    </row>
    <row r="12" spans="1:12" ht="45" x14ac:dyDescent="0.25">
      <c r="A12" s="51" t="s">
        <v>75</v>
      </c>
      <c r="B12" s="17" t="s">
        <v>73</v>
      </c>
      <c r="C12" s="56" t="str">
        <f>DEC2HEX(C11)</f>
        <v>3333</v>
      </c>
      <c r="D12" s="4" t="s">
        <v>20</v>
      </c>
    </row>
    <row r="13" spans="1:12" hidden="1" x14ac:dyDescent="0.25">
      <c r="A13" s="9"/>
      <c r="B13" s="17" t="s">
        <v>65</v>
      </c>
      <c r="C13" s="7">
        <f>C12/(13107.2*1000000*C16)</f>
        <v>2.5428771972656251E-5</v>
      </c>
      <c r="D13" s="4" t="s">
        <v>20</v>
      </c>
    </row>
    <row r="14" spans="1:12" x14ac:dyDescent="0.25">
      <c r="A14" s="10"/>
      <c r="B14" s="21"/>
      <c r="C14" s="20"/>
      <c r="D14" s="11"/>
    </row>
    <row r="15" spans="1:12" x14ac:dyDescent="0.25">
      <c r="A15" s="9" t="s">
        <v>36</v>
      </c>
      <c r="B15" s="17" t="s">
        <v>34</v>
      </c>
      <c r="C15" s="5">
        <f>(C2)/C8</f>
        <v>6.5536000000000011E-2</v>
      </c>
      <c r="D15" s="4" t="s">
        <v>25</v>
      </c>
    </row>
    <row r="16" spans="1:12" x14ac:dyDescent="0.25">
      <c r="A16" s="51" t="s">
        <v>17</v>
      </c>
      <c r="B16" s="17" t="s">
        <v>26</v>
      </c>
      <c r="C16" s="75" t="s">
        <v>90</v>
      </c>
      <c r="D16" s="4" t="s">
        <v>25</v>
      </c>
    </row>
    <row r="17" spans="1:12" x14ac:dyDescent="0.25">
      <c r="A17" s="53"/>
      <c r="B17" s="54"/>
      <c r="C17" s="53"/>
      <c r="D17" s="53"/>
    </row>
    <row r="18" spans="1:12" x14ac:dyDescent="0.25">
      <c r="A18" s="66" t="s">
        <v>37</v>
      </c>
      <c r="B18" s="17" t="s">
        <v>86</v>
      </c>
      <c r="C18" s="5">
        <f>C8*C16</f>
        <v>2.5000000000000001E-2</v>
      </c>
      <c r="D18" s="4" t="s">
        <v>9</v>
      </c>
    </row>
    <row r="19" spans="1:12" x14ac:dyDescent="0.25">
      <c r="A19" s="67"/>
      <c r="B19" s="17" t="s">
        <v>76</v>
      </c>
      <c r="C19" s="5">
        <f>(C18/C2)*100</f>
        <v>15.2587890625</v>
      </c>
      <c r="D19" s="4"/>
    </row>
    <row r="20" spans="1:12" ht="15.75" thickBot="1" x14ac:dyDescent="0.3">
      <c r="A20" s="22"/>
      <c r="B20" s="12"/>
      <c r="C20" s="12"/>
      <c r="D20" s="12"/>
      <c r="E20" s="20"/>
      <c r="F20" s="11"/>
    </row>
    <row r="21" spans="1:12" x14ac:dyDescent="0.25">
      <c r="A21" s="10"/>
      <c r="B21" s="12"/>
      <c r="C21" s="12"/>
      <c r="D21" s="12"/>
      <c r="E21" s="10"/>
      <c r="F21" s="20"/>
      <c r="H21" s="63" t="s">
        <v>47</v>
      </c>
      <c r="I21" s="64"/>
      <c r="J21" s="64"/>
      <c r="K21" s="64"/>
      <c r="L21" s="65"/>
    </row>
    <row r="22" spans="1:12" x14ac:dyDescent="0.25">
      <c r="A22" s="10"/>
      <c r="B22" s="14" t="s">
        <v>93</v>
      </c>
      <c r="C22" s="13" t="s">
        <v>4</v>
      </c>
      <c r="D22" s="14" t="s">
        <v>94</v>
      </c>
      <c r="E22" s="13" t="s">
        <v>98</v>
      </c>
      <c r="F22" s="14" t="s">
        <v>0</v>
      </c>
      <c r="G22" s="38" t="s">
        <v>2</v>
      </c>
      <c r="H22" s="40" t="s">
        <v>22</v>
      </c>
      <c r="I22" s="15" t="s">
        <v>1</v>
      </c>
      <c r="J22" s="15" t="s">
        <v>2</v>
      </c>
      <c r="K22" s="15" t="s">
        <v>1</v>
      </c>
      <c r="L22" s="35" t="s">
        <v>2</v>
      </c>
    </row>
    <row r="23" spans="1:12" ht="15" customHeight="1" x14ac:dyDescent="0.25">
      <c r="A23" s="72" t="s">
        <v>71</v>
      </c>
      <c r="B23" s="7" t="s">
        <v>95</v>
      </c>
      <c r="C23" s="76" t="s">
        <v>99</v>
      </c>
      <c r="D23" s="7" t="s">
        <v>58</v>
      </c>
      <c r="E23" s="61" t="str">
        <f>LEFT(C23,LEN(C23)-1)</f>
        <v>07117</v>
      </c>
      <c r="F23" s="46">
        <f>C3</f>
        <v>312.5</v>
      </c>
      <c r="G23" s="39" t="s">
        <v>48</v>
      </c>
      <c r="H23" s="34" t="s">
        <v>88</v>
      </c>
      <c r="I23" s="18">
        <f>F23*IF((HEX2DEC(E23) &lt;= 524287), HEX2DEC(E23), (HEX2DEC(E23)-1048576))</f>
        <v>9047187.5</v>
      </c>
      <c r="J23" s="17" t="s">
        <v>54</v>
      </c>
      <c r="K23" s="37">
        <f>I23/1000000000</f>
        <v>9.0471874999999997E-3</v>
      </c>
      <c r="L23" s="49" t="s">
        <v>9</v>
      </c>
    </row>
    <row r="24" spans="1:12" x14ac:dyDescent="0.25">
      <c r="A24" s="73"/>
      <c r="B24" s="7" t="s">
        <v>96</v>
      </c>
      <c r="C24" s="76" t="s">
        <v>100</v>
      </c>
      <c r="D24" s="7" t="s">
        <v>59</v>
      </c>
      <c r="E24" s="61" t="str">
        <f>LEFT(C24,LEN(C24)-1)</f>
        <v>017DE</v>
      </c>
      <c r="F24" s="46">
        <f>C5</f>
        <v>195.3125</v>
      </c>
      <c r="G24" s="39" t="s">
        <v>14</v>
      </c>
      <c r="H24" s="34" t="s">
        <v>32</v>
      </c>
      <c r="I24" s="18">
        <f>F24*HEX2DEC(E24)</f>
        <v>1193359.375</v>
      </c>
      <c r="J24" s="17" t="s">
        <v>15</v>
      </c>
      <c r="K24" s="37">
        <f>I24/1000000</f>
        <v>1.193359375</v>
      </c>
      <c r="L24" s="49" t="s">
        <v>9</v>
      </c>
    </row>
    <row r="25" spans="1:12" x14ac:dyDescent="0.25">
      <c r="A25" s="73"/>
      <c r="B25" s="7" t="s">
        <v>61</v>
      </c>
      <c r="C25" s="77" t="s">
        <v>101</v>
      </c>
      <c r="D25" s="7" t="s">
        <v>61</v>
      </c>
      <c r="E25" s="57" t="str">
        <f>C25</f>
        <v>1320</v>
      </c>
      <c r="F25" s="7">
        <v>7.8125</v>
      </c>
      <c r="G25" s="36" t="s">
        <v>43</v>
      </c>
      <c r="H25" s="34" t="s">
        <v>49</v>
      </c>
      <c r="I25" s="18">
        <f>(HEX2DEC(E25)*F25)</f>
        <v>38250</v>
      </c>
      <c r="J25" s="17" t="s">
        <v>44</v>
      </c>
      <c r="K25" s="37">
        <f>I25/1000</f>
        <v>38.25</v>
      </c>
      <c r="L25" s="49" t="s">
        <v>45</v>
      </c>
    </row>
    <row r="26" spans="1:12" x14ac:dyDescent="0.25">
      <c r="A26" s="73"/>
      <c r="B26" s="7" t="s">
        <v>97</v>
      </c>
      <c r="C26" s="77" t="s">
        <v>102</v>
      </c>
      <c r="D26" s="7" t="s">
        <v>60</v>
      </c>
      <c r="E26" s="61" t="str">
        <f>LEFT(C26,LEN(C26)-1)</f>
        <v>01F95</v>
      </c>
      <c r="F26" s="47">
        <f>C10*1000000</f>
        <v>100</v>
      </c>
      <c r="G26" s="36" t="s">
        <v>3</v>
      </c>
      <c r="H26" s="34" t="s">
        <v>31</v>
      </c>
      <c r="I26" s="18">
        <f>F26*HEX2DEC(E26)</f>
        <v>808500</v>
      </c>
      <c r="J26" s="18" t="s">
        <v>6</v>
      </c>
      <c r="K26" s="37">
        <f>I26/1000000</f>
        <v>0.8085</v>
      </c>
      <c r="L26" s="49" t="s">
        <v>5</v>
      </c>
    </row>
    <row r="27" spans="1:12" x14ac:dyDescent="0.25">
      <c r="A27" s="73"/>
      <c r="B27" s="7" t="s">
        <v>62</v>
      </c>
      <c r="C27" s="77" t="s">
        <v>105</v>
      </c>
      <c r="D27" s="7" t="s">
        <v>62</v>
      </c>
      <c r="E27" s="57" t="str">
        <f>C27</f>
        <v>000BC9</v>
      </c>
      <c r="F27" s="7" t="s">
        <v>50</v>
      </c>
      <c r="G27" s="36" t="s">
        <v>12</v>
      </c>
      <c r="H27" s="34" t="s">
        <v>33</v>
      </c>
      <c r="I27" s="18">
        <f>F26*3.2*(HEX2DEC(E27)/1000)</f>
        <v>965.43999999999994</v>
      </c>
      <c r="J27" s="17" t="s">
        <v>13</v>
      </c>
      <c r="K27" s="37">
        <f>I27/1000</f>
        <v>0.96543999999999996</v>
      </c>
      <c r="L27" s="49" t="s">
        <v>10</v>
      </c>
    </row>
    <row r="28" spans="1:12" x14ac:dyDescent="0.25">
      <c r="A28" s="73"/>
      <c r="B28" s="7" t="s">
        <v>63</v>
      </c>
      <c r="C28" s="77" t="s">
        <v>103</v>
      </c>
      <c r="D28" s="7" t="s">
        <v>63</v>
      </c>
      <c r="E28" s="57" t="str">
        <f>C28</f>
        <v>0000002B69</v>
      </c>
      <c r="F28" s="7" t="s">
        <v>51</v>
      </c>
      <c r="G28" s="36" t="s">
        <v>53</v>
      </c>
      <c r="H28" s="34" t="s">
        <v>33</v>
      </c>
      <c r="I28" s="18">
        <f>F26*16*3.2*(HEX2DEC(E28)/1000)</f>
        <v>56898.559999999998</v>
      </c>
      <c r="J28" s="36" t="s">
        <v>55</v>
      </c>
      <c r="K28" s="37">
        <f>I28/1000</f>
        <v>56.898559999999996</v>
      </c>
      <c r="L28" s="49" t="s">
        <v>41</v>
      </c>
    </row>
    <row r="29" spans="1:12" ht="15.75" thickBot="1" x14ac:dyDescent="0.3">
      <c r="A29" s="74"/>
      <c r="B29" s="7" t="s">
        <v>64</v>
      </c>
      <c r="C29" s="77" t="s">
        <v>104</v>
      </c>
      <c r="D29" s="7" t="s">
        <v>64</v>
      </c>
      <c r="E29" s="57" t="str">
        <f>C29</f>
        <v>000007692C</v>
      </c>
      <c r="F29" s="7" t="s">
        <v>52</v>
      </c>
      <c r="G29" s="36" t="s">
        <v>56</v>
      </c>
      <c r="H29" s="41" t="s">
        <v>33</v>
      </c>
      <c r="I29" s="30">
        <f>F26*HEX2DEC(E29)</f>
        <v>48567600</v>
      </c>
      <c r="J29" s="48" t="s">
        <v>57</v>
      </c>
      <c r="K29" s="42">
        <f>I29/1000000</f>
        <v>48.567599999999999</v>
      </c>
      <c r="L29" s="50" t="s">
        <v>42</v>
      </c>
    </row>
    <row r="30" spans="1:1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</sheetData>
  <mergeCells count="7">
    <mergeCell ref="A23:A29"/>
    <mergeCell ref="H4:L4"/>
    <mergeCell ref="H5:L5"/>
    <mergeCell ref="A18:A19"/>
    <mergeCell ref="H21:L21"/>
    <mergeCell ref="H6:L6"/>
    <mergeCell ref="A2:A5"/>
  </mergeCells>
  <dataValidations count="1">
    <dataValidation type="decimal" allowBlank="1" showInputMessage="1" showErrorMessage="1" sqref="C10" xr:uid="{A9563047-7ACC-4EE2-9748-8B40C42AEBDB}">
      <formula1>0.0001</formula1>
      <formula2>C9</formula2>
    </dataValidation>
  </dataValidations>
  <pageMargins left="0.7" right="0.7" top="0.75" bottom="0.75" header="0.3" footer="0.3"/>
  <pageSetup orientation="portrait" r:id="rId1"/>
  <ignoredErrors>
    <ignoredError sqref="I25 K25:K26 E25:E26" formula="1"/>
    <ignoredError sqref="C8 C16 C25 C2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ADCRANGE can be only 0 or 1" xr:uid="{56404FD9-6585-4DD3-AEF7-4F338F37A7BE}">
          <x14:formula1>
            <xm:f>ADCRANGE!$A$1:$A$2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326F-B8F6-4E49-9DB0-5DC728787A01}">
  <dimension ref="A1:B2"/>
  <sheetViews>
    <sheetView workbookViewId="0"/>
  </sheetViews>
  <sheetFormatPr defaultRowHeight="15" x14ac:dyDescent="0.25"/>
  <cols>
    <col min="2" max="2" width="15.140625" bestFit="1" customWidth="1"/>
  </cols>
  <sheetData>
    <row r="1" spans="1:2" x14ac:dyDescent="0.25">
      <c r="A1">
        <v>0</v>
      </c>
      <c r="B1" t="s">
        <v>79</v>
      </c>
    </row>
    <row r="2" spans="1:2" x14ac:dyDescent="0.25">
      <c r="A2">
        <v>1</v>
      </c>
      <c r="B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INA226</vt:lpstr>
      <vt:lpstr>INA228</vt:lpstr>
      <vt:lpstr>ADCRANGE</vt:lpstr>
    </vt:vector>
  </TitlesOfParts>
  <Company>Texas Instruments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Kulakarni</dc:creator>
  <cp:lastModifiedBy>H G, Sahana</cp:lastModifiedBy>
  <dcterms:created xsi:type="dcterms:W3CDTF">2022-11-23T13:38:02Z</dcterms:created>
  <dcterms:modified xsi:type="dcterms:W3CDTF">2023-02-28T10:10:19Z</dcterms:modified>
</cp:coreProperties>
</file>