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jaji\Documents\GitHub\TraceCompaction\Traceconstruction\benchmark\results-memory\"/>
    </mc:Choice>
  </mc:AlternateContent>
  <bookViews>
    <workbookView xWindow="0" yWindow="0" windowWidth="19200" windowHeight="11595" activeTab="1"/>
  </bookViews>
  <sheets>
    <sheet name="Memory Results" sheetId="2" r:id="rId1"/>
    <sheet name="DiskSpace Results" sheetId="3" r:id="rId2"/>
    <sheet name="result_traceElement" sheetId="5" r:id="rId3"/>
    <sheet name="memoryOverhead" sheetId="6" r:id="rId4"/>
  </sheets>
  <calcPr calcId="162913"/>
</workbook>
</file>

<file path=xl/calcChain.xml><?xml version="1.0" encoding="utf-8"?>
<calcChain xmlns="http://schemas.openxmlformats.org/spreadsheetml/2006/main">
  <c r="M4" i="3" l="1"/>
  <c r="K3" i="3"/>
  <c r="M3" i="3" s="1"/>
  <c r="K4" i="3"/>
  <c r="K5" i="3"/>
  <c r="M5" i="3" s="1"/>
  <c r="K6" i="3"/>
  <c r="M6" i="3" s="1"/>
  <c r="K7" i="3"/>
  <c r="M7" i="3" s="1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6" i="3"/>
  <c r="M16" i="3" s="1"/>
  <c r="K17" i="3"/>
  <c r="M17" i="3" s="1"/>
  <c r="K18" i="3"/>
  <c r="M18" i="3" s="1"/>
  <c r="K19" i="3"/>
  <c r="M19" i="3" s="1"/>
  <c r="K20" i="3"/>
  <c r="M20" i="3" s="1"/>
  <c r="K21" i="3"/>
  <c r="M21" i="3" s="1"/>
  <c r="K22" i="3"/>
  <c r="M22" i="3" s="1"/>
  <c r="K23" i="3"/>
  <c r="M23" i="3" s="1"/>
  <c r="K24" i="3"/>
  <c r="M24" i="3" s="1"/>
  <c r="K25" i="3"/>
  <c r="M25" i="3" s="1"/>
  <c r="K26" i="3"/>
  <c r="M26" i="3" s="1"/>
  <c r="K27" i="3"/>
  <c r="M27" i="3" s="1"/>
  <c r="K28" i="3"/>
  <c r="M28" i="3" s="1"/>
  <c r="K29" i="3"/>
  <c r="M29" i="3" s="1"/>
  <c r="K30" i="3"/>
  <c r="M30" i="3" s="1"/>
  <c r="K31" i="3"/>
  <c r="M31" i="3" s="1"/>
  <c r="K32" i="3"/>
  <c r="M32" i="3" s="1"/>
  <c r="K33" i="3"/>
  <c r="M33" i="3" s="1"/>
  <c r="K34" i="3"/>
  <c r="M34" i="3" s="1"/>
  <c r="K35" i="3"/>
  <c r="M35" i="3" s="1"/>
  <c r="K36" i="3"/>
  <c r="M36" i="3" s="1"/>
  <c r="K37" i="3"/>
  <c r="M37" i="3" s="1"/>
  <c r="K38" i="3"/>
  <c r="M38" i="3" s="1"/>
  <c r="K39" i="3"/>
  <c r="M39" i="3" s="1"/>
  <c r="K2" i="3"/>
  <c r="M2" i="3" s="1"/>
  <c r="G40" i="3"/>
  <c r="H15" i="3" l="1"/>
  <c r="J15" i="3" s="1"/>
  <c r="O15" i="3" s="1"/>
  <c r="H34" i="3"/>
  <c r="H5" i="3"/>
  <c r="J5" i="3" s="1"/>
  <c r="O5" i="3" s="1"/>
  <c r="H4" i="3"/>
  <c r="H39" i="3"/>
  <c r="J39" i="3" s="1"/>
  <c r="O39" i="3" s="1"/>
  <c r="H17" i="3"/>
  <c r="J17" i="3" s="1"/>
  <c r="O17" i="3" s="1"/>
  <c r="H16" i="3"/>
  <c r="J16" i="3" s="1"/>
  <c r="O16" i="3" s="1"/>
  <c r="H2" i="3"/>
  <c r="H36" i="3"/>
  <c r="J36" i="3" s="1"/>
  <c r="O36" i="3" s="1"/>
  <c r="H38" i="3"/>
  <c r="J38" i="3" s="1"/>
  <c r="O38" i="3" s="1"/>
  <c r="H37" i="3"/>
  <c r="J37" i="3" s="1"/>
  <c r="O37" i="3" s="1"/>
  <c r="H35" i="3"/>
  <c r="H33" i="3"/>
  <c r="H32" i="3"/>
  <c r="J32" i="3" s="1"/>
  <c r="O32" i="3" s="1"/>
  <c r="H31" i="3"/>
  <c r="J31" i="3" s="1"/>
  <c r="O31" i="3" s="1"/>
  <c r="H30" i="3"/>
  <c r="J30" i="3" s="1"/>
  <c r="O30" i="3" s="1"/>
  <c r="H29" i="3"/>
  <c r="J29" i="3" s="1"/>
  <c r="O29" i="3" s="1"/>
  <c r="H28" i="3"/>
  <c r="J28" i="3" s="1"/>
  <c r="O28" i="3" s="1"/>
  <c r="H27" i="3"/>
  <c r="J27" i="3" s="1"/>
  <c r="O27" i="3" s="1"/>
  <c r="H26" i="3"/>
  <c r="J26" i="3" s="1"/>
  <c r="O26" i="3" s="1"/>
  <c r="J33" i="3"/>
  <c r="O33" i="3" s="1"/>
  <c r="J34" i="3"/>
  <c r="J35" i="3"/>
  <c r="O35" i="3" s="1"/>
  <c r="H25" i="3"/>
  <c r="J25" i="3" s="1"/>
  <c r="O25" i="3" s="1"/>
  <c r="H24" i="3"/>
  <c r="J24" i="3" s="1"/>
  <c r="O24" i="3" s="1"/>
  <c r="H23" i="3"/>
  <c r="J23" i="3" s="1"/>
  <c r="O23" i="3" s="1"/>
  <c r="H22" i="3"/>
  <c r="J22" i="3" s="1"/>
  <c r="O22" i="3" s="1"/>
  <c r="H21" i="3"/>
  <c r="J21" i="3" s="1"/>
  <c r="O21" i="3" s="1"/>
  <c r="H20" i="3"/>
  <c r="J20" i="3" s="1"/>
  <c r="O20" i="3" s="1"/>
  <c r="H19" i="3"/>
  <c r="J19" i="3" s="1"/>
  <c r="O19" i="3" s="1"/>
  <c r="H18" i="3"/>
  <c r="J18" i="3" s="1"/>
  <c r="O18" i="3" s="1"/>
  <c r="H14" i="3"/>
  <c r="J14" i="3" s="1"/>
  <c r="O14" i="3" s="1"/>
  <c r="H13" i="3"/>
  <c r="J13" i="3" s="1"/>
  <c r="O13" i="3" s="1"/>
  <c r="H12" i="3"/>
  <c r="J12" i="3" s="1"/>
  <c r="O12" i="3" s="1"/>
  <c r="H11" i="3"/>
  <c r="J11" i="3" s="1"/>
  <c r="O11" i="3" s="1"/>
  <c r="H10" i="3"/>
  <c r="J10" i="3" s="1"/>
  <c r="O10" i="3" s="1"/>
  <c r="H9" i="3"/>
  <c r="J9" i="3" s="1"/>
  <c r="O9" i="3" s="1"/>
  <c r="H8" i="3"/>
  <c r="J8" i="3" s="1"/>
  <c r="O8" i="3" s="1"/>
  <c r="H7" i="3"/>
  <c r="J7" i="3" s="1"/>
  <c r="O7" i="3" s="1"/>
  <c r="H6" i="3"/>
  <c r="J6" i="3" s="1"/>
  <c r="O6" i="3" s="1"/>
  <c r="H3" i="3"/>
  <c r="J3" i="3" s="1"/>
  <c r="O3" i="3" s="1"/>
  <c r="J4" i="3"/>
  <c r="O4" i="3" s="1"/>
  <c r="J2" i="3"/>
  <c r="O2" i="3" s="1"/>
  <c r="I39" i="3" l="1"/>
  <c r="L39" i="3" s="1"/>
  <c r="N39" i="3" s="1"/>
  <c r="J40" i="3"/>
  <c r="O40" i="3" s="1"/>
  <c r="O34" i="3"/>
  <c r="I38" i="3"/>
  <c r="L38" i="3" s="1"/>
  <c r="N38" i="3" s="1"/>
  <c r="I37" i="3"/>
  <c r="L37" i="3" s="1"/>
  <c r="N37" i="3" s="1"/>
  <c r="I36" i="3"/>
  <c r="L36" i="3" s="1"/>
  <c r="N36" i="3" s="1"/>
  <c r="I35" i="3"/>
  <c r="L35" i="3" s="1"/>
  <c r="N35" i="3" s="1"/>
  <c r="I34" i="3"/>
  <c r="L34" i="3" s="1"/>
  <c r="N34" i="3" s="1"/>
  <c r="F40" i="3"/>
  <c r="K40" i="3" s="1"/>
  <c r="M40" i="3" s="1"/>
  <c r="I31" i="3"/>
  <c r="L31" i="3" s="1"/>
  <c r="N31" i="3" s="1"/>
  <c r="I30" i="3"/>
  <c r="L30" i="3" s="1"/>
  <c r="N30" i="3" s="1"/>
  <c r="I29" i="3"/>
  <c r="L29" i="3" s="1"/>
  <c r="N29" i="3" s="1"/>
  <c r="I28" i="3"/>
  <c r="L28" i="3" s="1"/>
  <c r="N28" i="3" s="1"/>
  <c r="I27" i="3"/>
  <c r="L27" i="3" s="1"/>
  <c r="N27" i="3" s="1"/>
  <c r="I26" i="3"/>
  <c r="L26" i="3" s="1"/>
  <c r="N26" i="3" s="1"/>
  <c r="I25" i="3"/>
  <c r="L25" i="3" s="1"/>
  <c r="N25" i="3" s="1"/>
  <c r="I24" i="3"/>
  <c r="L24" i="3" s="1"/>
  <c r="N24" i="3" s="1"/>
  <c r="I23" i="3"/>
  <c r="L23" i="3" s="1"/>
  <c r="N23" i="3" s="1"/>
  <c r="I22" i="3"/>
  <c r="L22" i="3" s="1"/>
  <c r="N22" i="3" s="1"/>
  <c r="I21" i="3"/>
  <c r="L21" i="3" s="1"/>
  <c r="N21" i="3" s="1"/>
  <c r="I20" i="3"/>
  <c r="L20" i="3" s="1"/>
  <c r="N20" i="3" s="1"/>
  <c r="I19" i="3"/>
  <c r="L19" i="3" s="1"/>
  <c r="N19" i="3" s="1"/>
  <c r="I18" i="3"/>
  <c r="L18" i="3" s="1"/>
  <c r="N18" i="3" s="1"/>
  <c r="I17" i="3"/>
  <c r="L17" i="3" s="1"/>
  <c r="N17" i="3" s="1"/>
  <c r="I16" i="3"/>
  <c r="L16" i="3" s="1"/>
  <c r="N16" i="3" s="1"/>
  <c r="I15" i="3"/>
  <c r="L15" i="3" s="1"/>
  <c r="N15" i="3" s="1"/>
  <c r="I14" i="3"/>
  <c r="L14" i="3" s="1"/>
  <c r="N14" i="3" s="1"/>
  <c r="I13" i="3"/>
  <c r="L13" i="3" s="1"/>
  <c r="N13" i="3" s="1"/>
  <c r="I12" i="3"/>
  <c r="L12" i="3" s="1"/>
  <c r="N12" i="3" s="1"/>
  <c r="I11" i="3"/>
  <c r="L11" i="3" s="1"/>
  <c r="N11" i="3" s="1"/>
  <c r="I10" i="3"/>
  <c r="L10" i="3" s="1"/>
  <c r="N10" i="3" s="1"/>
  <c r="I9" i="3"/>
  <c r="L9" i="3" s="1"/>
  <c r="N9" i="3" s="1"/>
  <c r="I8" i="3"/>
  <c r="L8" i="3" s="1"/>
  <c r="N8" i="3" s="1"/>
  <c r="I6" i="3"/>
  <c r="L6" i="3" s="1"/>
  <c r="N6" i="3" s="1"/>
  <c r="I5" i="3"/>
  <c r="L5" i="3" s="1"/>
  <c r="N5" i="3" s="1"/>
  <c r="I4" i="3"/>
  <c r="L4" i="3" s="1"/>
  <c r="N4" i="3" s="1"/>
  <c r="I3" i="3"/>
  <c r="L3" i="3" s="1"/>
  <c r="N3" i="3" s="1"/>
  <c r="I7" i="3"/>
  <c r="L7" i="3" s="1"/>
  <c r="N7" i="3" s="1"/>
  <c r="I32" i="3"/>
  <c r="L32" i="3" s="1"/>
  <c r="N32" i="3" s="1"/>
  <c r="I33" i="3"/>
  <c r="L33" i="3" s="1"/>
  <c r="N33" i="3" s="1"/>
  <c r="I2" i="3"/>
  <c r="K39" i="2"/>
  <c r="H39" i="2"/>
  <c r="I39" i="2" s="1"/>
  <c r="J39" i="2" s="1"/>
  <c r="K38" i="2"/>
  <c r="N38" i="2" s="1"/>
  <c r="H38" i="2"/>
  <c r="I38" i="2" s="1"/>
  <c r="J38" i="2" s="1"/>
  <c r="K37" i="2"/>
  <c r="H37" i="2"/>
  <c r="I37" i="2" s="1"/>
  <c r="J37" i="2" s="1"/>
  <c r="K36" i="2"/>
  <c r="N36" i="2" s="1"/>
  <c r="H36" i="2"/>
  <c r="I36" i="2" s="1"/>
  <c r="J36" i="2" s="1"/>
  <c r="K35" i="2"/>
  <c r="H35" i="2"/>
  <c r="I35" i="2" s="1"/>
  <c r="J35" i="2" s="1"/>
  <c r="K34" i="2"/>
  <c r="N34" i="2" s="1"/>
  <c r="H34" i="2"/>
  <c r="I34" i="2" s="1"/>
  <c r="J34" i="2" s="1"/>
  <c r="K33" i="2"/>
  <c r="H33" i="2"/>
  <c r="I33" i="2" s="1"/>
  <c r="J33" i="2" s="1"/>
  <c r="K32" i="2"/>
  <c r="N32" i="2" s="1"/>
  <c r="H32" i="2"/>
  <c r="I32" i="2" s="1"/>
  <c r="J32" i="2" s="1"/>
  <c r="K31" i="2"/>
  <c r="H31" i="2"/>
  <c r="I31" i="2" s="1"/>
  <c r="J31" i="2" s="1"/>
  <c r="K30" i="2"/>
  <c r="N30" i="2" s="1"/>
  <c r="H30" i="2"/>
  <c r="I30" i="2" s="1"/>
  <c r="J30" i="2" s="1"/>
  <c r="K29" i="2"/>
  <c r="H29" i="2"/>
  <c r="I29" i="2" s="1"/>
  <c r="J29" i="2" s="1"/>
  <c r="K28" i="2"/>
  <c r="N28" i="2" s="1"/>
  <c r="H28" i="2"/>
  <c r="I28" i="2" s="1"/>
  <c r="J28" i="2" s="1"/>
  <c r="K27" i="2"/>
  <c r="H27" i="2"/>
  <c r="I27" i="2" s="1"/>
  <c r="J27" i="2" s="1"/>
  <c r="K26" i="2"/>
  <c r="H26" i="2"/>
  <c r="I26" i="2" s="1"/>
  <c r="J26" i="2" s="1"/>
  <c r="K25" i="2"/>
  <c r="H25" i="2"/>
  <c r="I25" i="2" s="1"/>
  <c r="J25" i="2" s="1"/>
  <c r="K24" i="2"/>
  <c r="H24" i="2"/>
  <c r="I24" i="2" s="1"/>
  <c r="J24" i="2" s="1"/>
  <c r="K23" i="2"/>
  <c r="H23" i="2"/>
  <c r="I23" i="2" s="1"/>
  <c r="J23" i="2" s="1"/>
  <c r="L23" i="2" s="1"/>
  <c r="K22" i="2"/>
  <c r="H22" i="2"/>
  <c r="I22" i="2" s="1"/>
  <c r="J22" i="2" s="1"/>
  <c r="K21" i="2"/>
  <c r="H21" i="2"/>
  <c r="I21" i="2" s="1"/>
  <c r="J21" i="2" s="1"/>
  <c r="K20" i="2"/>
  <c r="N20" i="2" s="1"/>
  <c r="H20" i="2"/>
  <c r="I20" i="2" s="1"/>
  <c r="J20" i="2" s="1"/>
  <c r="L20" i="2" s="1"/>
  <c r="K19" i="2"/>
  <c r="N19" i="2" s="1"/>
  <c r="H19" i="2"/>
  <c r="I19" i="2" s="1"/>
  <c r="J19" i="2" s="1"/>
  <c r="N18" i="2"/>
  <c r="K18" i="2"/>
  <c r="H18" i="2"/>
  <c r="I18" i="2" s="1"/>
  <c r="J18" i="2" s="1"/>
  <c r="N17" i="2"/>
  <c r="K17" i="2"/>
  <c r="H17" i="2"/>
  <c r="I17" i="2" s="1"/>
  <c r="J17" i="2" s="1"/>
  <c r="K16" i="2"/>
  <c r="N16" i="2" s="1"/>
  <c r="H16" i="2"/>
  <c r="I16" i="2" s="1"/>
  <c r="J16" i="2" s="1"/>
  <c r="L16" i="2" s="1"/>
  <c r="M16" i="2" s="1"/>
  <c r="N15" i="2"/>
  <c r="K15" i="2"/>
  <c r="H15" i="2"/>
  <c r="I15" i="2" s="1"/>
  <c r="J15" i="2" s="1"/>
  <c r="K14" i="2"/>
  <c r="N14" i="2" s="1"/>
  <c r="J14" i="2"/>
  <c r="H14" i="2"/>
  <c r="I14" i="2" s="1"/>
  <c r="K13" i="2"/>
  <c r="N13" i="2" s="1"/>
  <c r="I13" i="2"/>
  <c r="J13" i="2" s="1"/>
  <c r="H13" i="2"/>
  <c r="K12" i="2"/>
  <c r="N12" i="2" s="1"/>
  <c r="H12" i="2"/>
  <c r="I12" i="2" s="1"/>
  <c r="J12" i="2" s="1"/>
  <c r="L12" i="2" s="1"/>
  <c r="M12" i="2" s="1"/>
  <c r="K11" i="2"/>
  <c r="N11" i="2" s="1"/>
  <c r="H11" i="2"/>
  <c r="I11" i="2" s="1"/>
  <c r="J11" i="2" s="1"/>
  <c r="K10" i="2"/>
  <c r="N10" i="2" s="1"/>
  <c r="H10" i="2"/>
  <c r="I10" i="2" s="1"/>
  <c r="J10" i="2" s="1"/>
  <c r="K9" i="2"/>
  <c r="N9" i="2" s="1"/>
  <c r="H9" i="2"/>
  <c r="I9" i="2" s="1"/>
  <c r="J9" i="2" s="1"/>
  <c r="K8" i="2"/>
  <c r="N8" i="2" s="1"/>
  <c r="H8" i="2"/>
  <c r="I8" i="2" s="1"/>
  <c r="J8" i="2" s="1"/>
  <c r="L8" i="2" s="1"/>
  <c r="M8" i="2" s="1"/>
  <c r="K7" i="2"/>
  <c r="N7" i="2" s="1"/>
  <c r="H7" i="2"/>
  <c r="I7" i="2" s="1"/>
  <c r="J7" i="2" s="1"/>
  <c r="N6" i="2"/>
  <c r="K6" i="2"/>
  <c r="H6" i="2"/>
  <c r="I6" i="2" s="1"/>
  <c r="J6" i="2" s="1"/>
  <c r="K5" i="2"/>
  <c r="N5" i="2" s="1"/>
  <c r="H5" i="2"/>
  <c r="I5" i="2" s="1"/>
  <c r="J5" i="2" s="1"/>
  <c r="K4" i="2"/>
  <c r="N4" i="2" s="1"/>
  <c r="H4" i="2"/>
  <c r="I4" i="2" s="1"/>
  <c r="J4" i="2" s="1"/>
  <c r="L4" i="2" s="1"/>
  <c r="M4" i="2" s="1"/>
  <c r="K3" i="2"/>
  <c r="N3" i="2" s="1"/>
  <c r="H3" i="2"/>
  <c r="I3" i="2" s="1"/>
  <c r="J3" i="2" s="1"/>
  <c r="N2" i="2"/>
  <c r="K2" i="2"/>
  <c r="H2" i="2"/>
  <c r="I2" i="2" s="1"/>
  <c r="J2" i="2" s="1"/>
  <c r="I12" i="6"/>
  <c r="H12" i="6"/>
  <c r="G12" i="6"/>
  <c r="F12" i="6"/>
  <c r="M11" i="6"/>
  <c r="L11" i="6"/>
  <c r="K11" i="6"/>
  <c r="J11" i="6"/>
  <c r="M10" i="6"/>
  <c r="L10" i="6"/>
  <c r="K10" i="6"/>
  <c r="J10" i="6"/>
  <c r="P11" i="5"/>
  <c r="N11" i="5"/>
  <c r="M11" i="5" s="1"/>
  <c r="K11" i="5"/>
  <c r="J11" i="5"/>
  <c r="H11" i="5"/>
  <c r="G11" i="5" s="1"/>
  <c r="E11" i="5"/>
  <c r="D11" i="5" s="1"/>
  <c r="P10" i="5"/>
  <c r="N10" i="5"/>
  <c r="M10" i="5" s="1"/>
  <c r="K10" i="5"/>
  <c r="J10" i="5" s="1"/>
  <c r="H10" i="5"/>
  <c r="G10" i="5" s="1"/>
  <c r="E10" i="5"/>
  <c r="D10" i="5" s="1"/>
  <c r="P9" i="5"/>
  <c r="N9" i="5"/>
  <c r="M9" i="5" s="1"/>
  <c r="K9" i="5"/>
  <c r="J9" i="5"/>
  <c r="H9" i="5"/>
  <c r="G9" i="5" s="1"/>
  <c r="E9" i="5"/>
  <c r="D9" i="5"/>
  <c r="P8" i="5"/>
  <c r="N8" i="5"/>
  <c r="M8" i="5" s="1"/>
  <c r="K8" i="5"/>
  <c r="J8" i="5" s="1"/>
  <c r="H8" i="5"/>
  <c r="G8" i="5" s="1"/>
  <c r="E8" i="5"/>
  <c r="D8" i="5" s="1"/>
  <c r="P7" i="5"/>
  <c r="N7" i="5"/>
  <c r="M7" i="5" s="1"/>
  <c r="K7" i="5"/>
  <c r="J7" i="5"/>
  <c r="H7" i="5"/>
  <c r="G7" i="5" s="1"/>
  <c r="E7" i="5"/>
  <c r="D7" i="5"/>
  <c r="P6" i="5"/>
  <c r="N6" i="5"/>
  <c r="M6" i="5" s="1"/>
  <c r="K6" i="5"/>
  <c r="J6" i="5"/>
  <c r="H6" i="5"/>
  <c r="G6" i="5" s="1"/>
  <c r="E6" i="5"/>
  <c r="D6" i="5" s="1"/>
  <c r="I5" i="5"/>
  <c r="F5" i="5"/>
  <c r="L4" i="5"/>
  <c r="I4" i="5"/>
  <c r="F4" i="5"/>
  <c r="W3" i="5"/>
  <c r="L3" i="5"/>
  <c r="V3" i="5" s="1"/>
  <c r="I3" i="5"/>
  <c r="F3" i="5"/>
  <c r="N46" i="2"/>
  <c r="P44" i="2"/>
  <c r="P43" i="2"/>
  <c r="P42" i="2"/>
  <c r="N42" i="2"/>
  <c r="P40" i="2"/>
  <c r="M40" i="2"/>
  <c r="D39" i="2"/>
  <c r="D38" i="2"/>
  <c r="D37" i="2"/>
  <c r="D36" i="2"/>
  <c r="D35" i="2"/>
  <c r="D34" i="2"/>
  <c r="D33" i="2"/>
  <c r="D32" i="2"/>
  <c r="D31" i="2"/>
  <c r="D30" i="2"/>
  <c r="D29" i="2"/>
  <c r="D28" i="2"/>
  <c r="P28" i="2" s="1"/>
  <c r="D27" i="2"/>
  <c r="P27" i="2" s="1"/>
  <c r="D26" i="2"/>
  <c r="P26" i="2" s="1"/>
  <c r="D25" i="2"/>
  <c r="P25" i="2" s="1"/>
  <c r="D24" i="2"/>
  <c r="P24" i="2" s="1"/>
  <c r="D23" i="2"/>
  <c r="P23" i="2" s="1"/>
  <c r="D22" i="2"/>
  <c r="P22" i="2" s="1"/>
  <c r="D21" i="2"/>
  <c r="P21" i="2" s="1"/>
  <c r="D20" i="2"/>
  <c r="P20" i="2" s="1"/>
  <c r="D19" i="2"/>
  <c r="P19" i="2" s="1"/>
  <c r="D18" i="2"/>
  <c r="P18" i="2" s="1"/>
  <c r="D17" i="2"/>
  <c r="P17" i="2" s="1"/>
  <c r="D16" i="2"/>
  <c r="P16" i="2" s="1"/>
  <c r="D15" i="2"/>
  <c r="P15" i="2" s="1"/>
  <c r="D14" i="2"/>
  <c r="P14" i="2" s="1"/>
  <c r="D13" i="2"/>
  <c r="P13" i="2" s="1"/>
  <c r="D12" i="2"/>
  <c r="P12" i="2" s="1"/>
  <c r="D11" i="2"/>
  <c r="P11" i="2" s="1"/>
  <c r="D10" i="2"/>
  <c r="P10" i="2" s="1"/>
  <c r="D9" i="2"/>
  <c r="P9" i="2" s="1"/>
  <c r="D8" i="2"/>
  <c r="P8" i="2" s="1"/>
  <c r="D7" i="2"/>
  <c r="P7" i="2" s="1"/>
  <c r="D6" i="2"/>
  <c r="P6" i="2" s="1"/>
  <c r="D5" i="2"/>
  <c r="P5" i="2" s="1"/>
  <c r="D4" i="2"/>
  <c r="P4" i="2" s="1"/>
  <c r="D3" i="2"/>
  <c r="P3" i="2" s="1"/>
  <c r="D2" i="2"/>
  <c r="P2" i="2" s="1"/>
  <c r="T3" i="5" l="1"/>
  <c r="M20" i="2"/>
  <c r="L2" i="3"/>
  <c r="N2" i="3" s="1"/>
  <c r="H40" i="3"/>
  <c r="U3" i="5"/>
  <c r="O23" i="2"/>
  <c r="I40" i="3"/>
  <c r="L40" i="3" s="1"/>
  <c r="N40" i="3" s="1"/>
  <c r="L25" i="2"/>
  <c r="M25" i="2" s="1"/>
  <c r="L14" i="2"/>
  <c r="M14" i="2" s="1"/>
  <c r="L18" i="2"/>
  <c r="M18" i="2" s="1"/>
  <c r="L32" i="2"/>
  <c r="M32" i="2" s="1"/>
  <c r="O32" i="2"/>
  <c r="N33" i="2"/>
  <c r="L35" i="2"/>
  <c r="O35" i="2" s="1"/>
  <c r="L2" i="2"/>
  <c r="M2" i="2" s="1"/>
  <c r="L6" i="2"/>
  <c r="M6" i="2" s="1"/>
  <c r="L10" i="2"/>
  <c r="M10" i="2" s="1"/>
  <c r="L26" i="2"/>
  <c r="M26" i="2" s="1"/>
  <c r="O26" i="2"/>
  <c r="L29" i="2"/>
  <c r="O29" i="2" s="1"/>
  <c r="L34" i="2"/>
  <c r="M34" i="2" s="1"/>
  <c r="O34" i="2"/>
  <c r="N35" i="2"/>
  <c r="M35" i="2"/>
  <c r="L37" i="2"/>
  <c r="O37" i="2" s="1"/>
  <c r="L22" i="2"/>
  <c r="O22" i="2" s="1"/>
  <c r="L27" i="2"/>
  <c r="O27" i="2" s="1"/>
  <c r="O4" i="2"/>
  <c r="O8" i="2"/>
  <c r="O12" i="2"/>
  <c r="O16" i="2"/>
  <c r="O20" i="2"/>
  <c r="L28" i="2"/>
  <c r="M28" i="2" s="1"/>
  <c r="N29" i="2"/>
  <c r="M29" i="2"/>
  <c r="L31" i="2"/>
  <c r="O31" i="2" s="1"/>
  <c r="L36" i="2"/>
  <c r="M36" i="2" s="1"/>
  <c r="N37" i="2"/>
  <c r="M37" i="2"/>
  <c r="L39" i="2"/>
  <c r="O39" i="2" s="1"/>
  <c r="E7" i="6"/>
  <c r="L3" i="2"/>
  <c r="M3" i="2" s="1"/>
  <c r="L5" i="2"/>
  <c r="M5" i="2" s="1"/>
  <c r="L7" i="2"/>
  <c r="M7" i="2" s="1"/>
  <c r="L9" i="2"/>
  <c r="M9" i="2" s="1"/>
  <c r="L11" i="2"/>
  <c r="M11" i="2" s="1"/>
  <c r="L13" i="2"/>
  <c r="M13" i="2" s="1"/>
  <c r="L15" i="2"/>
  <c r="M15" i="2" s="1"/>
  <c r="L17" i="2"/>
  <c r="M17" i="2" s="1"/>
  <c r="L19" i="2"/>
  <c r="M19" i="2" s="1"/>
  <c r="L21" i="2"/>
  <c r="M21" i="2" s="1"/>
  <c r="L24" i="2"/>
  <c r="M24" i="2" s="1"/>
  <c r="L30" i="2"/>
  <c r="M30" i="2" s="1"/>
  <c r="N31" i="2"/>
  <c r="M31" i="2"/>
  <c r="L33" i="2"/>
  <c r="M33" i="2" s="1"/>
  <c r="L38" i="2"/>
  <c r="M38" i="2" s="1"/>
  <c r="N39" i="2"/>
  <c r="M39" i="2"/>
  <c r="M23" i="2"/>
  <c r="E4" i="6"/>
  <c r="E8" i="6"/>
  <c r="E6" i="6" l="1"/>
  <c r="E2" i="6"/>
  <c r="L2" i="6" s="1"/>
  <c r="E5" i="6"/>
  <c r="K5" i="6" s="1"/>
  <c r="O17" i="2"/>
  <c r="O13" i="2"/>
  <c r="O9" i="2"/>
  <c r="O5" i="2"/>
  <c r="N40" i="2"/>
  <c r="N41" i="2" s="1"/>
  <c r="O18" i="2"/>
  <c r="E9" i="6"/>
  <c r="M9" i="6" s="1"/>
  <c r="O6" i="2"/>
  <c r="O30" i="2"/>
  <c r="O15" i="2"/>
  <c r="O11" i="2"/>
  <c r="O7" i="2"/>
  <c r="O3" i="2"/>
  <c r="J7" i="6"/>
  <c r="M7" i="6"/>
  <c r="K7" i="6"/>
  <c r="L7" i="6"/>
  <c r="J8" i="6"/>
  <c r="K8" i="6"/>
  <c r="M8" i="6"/>
  <c r="L8" i="6"/>
  <c r="J6" i="6"/>
  <c r="M6" i="6"/>
  <c r="L6" i="6"/>
  <c r="K6" i="6"/>
  <c r="O21" i="2"/>
  <c r="O36" i="2"/>
  <c r="M22" i="2"/>
  <c r="E3" i="6"/>
  <c r="O14" i="2"/>
  <c r="J4" i="6"/>
  <c r="M4" i="6"/>
  <c r="K4" i="6"/>
  <c r="L4" i="6"/>
  <c r="E12" i="6"/>
  <c r="M27" i="2"/>
  <c r="O33" i="2"/>
  <c r="O28" i="2"/>
  <c r="O10" i="2"/>
  <c r="O2" i="2"/>
  <c r="O25" i="2"/>
  <c r="M5" i="6"/>
  <c r="L5" i="6"/>
  <c r="L9" i="6"/>
  <c r="K9" i="6"/>
  <c r="J9" i="6"/>
  <c r="O38" i="2"/>
  <c r="O19" i="2"/>
  <c r="O24" i="2"/>
  <c r="M2" i="6" l="1"/>
  <c r="J5" i="6"/>
  <c r="K2" i="6"/>
  <c r="K12" i="6" s="1"/>
  <c r="J2" i="6"/>
  <c r="J3" i="6"/>
  <c r="K3" i="6"/>
  <c r="M3" i="6"/>
  <c r="M12" i="6" s="1"/>
  <c r="L3" i="6"/>
  <c r="L12" i="6" s="1"/>
  <c r="O43" i="2"/>
  <c r="O40" i="2"/>
  <c r="R40" i="2" s="1"/>
  <c r="J12" i="6" l="1"/>
</calcChain>
</file>

<file path=xl/sharedStrings.xml><?xml version="1.0" encoding="utf-8"?>
<sst xmlns="http://schemas.openxmlformats.org/spreadsheetml/2006/main" count="280" uniqueCount="100">
  <si>
    <t>languageName</t>
  </si>
  <si>
    <t>traceMetamodel</t>
  </si>
  <si>
    <t>modelName</t>
  </si>
  <si>
    <t>traceMemoryFootprint</t>
  </si>
  <si>
    <t>kB</t>
  </si>
  <si>
    <t>nbStatesGENERIC</t>
  </si>
  <si>
    <t>fuml</t>
  </si>
  <si>
    <t>2557-1_parameter_1.xmi.trace</t>
  </si>
  <si>
    <t>2557-1_parameter_2.xmi.trace</t>
  </si>
  <si>
    <t>2557-1_parameter_3.xmi.trace</t>
  </si>
  <si>
    <t>2557-2_parameter_1.xmi.trace</t>
  </si>
  <si>
    <t>2557-2_parameter_2.xmi.trace</t>
  </si>
  <si>
    <t>2557-2_parameter_3.xmi.trace</t>
  </si>
  <si>
    <t>ExampleAV1_parameter_1_1.xmi.trace</t>
  </si>
  <si>
    <t>ExampleAV1_parameter_1_2.xmi.trace</t>
  </si>
  <si>
    <t>ExampleAV1_parameter_2_1.xmi.trace</t>
  </si>
  <si>
    <t>ExampleAV1_parameter_2_2.xmi.trace</t>
  </si>
  <si>
    <t>ExampleAV2_parameter_1_1.xmi.trace</t>
  </si>
  <si>
    <t>ExampleAV2_parameter_1_2.xmi.trace</t>
  </si>
  <si>
    <t>ExampleAV2_parameter_2_1.xmi.trace</t>
  </si>
  <si>
    <t>ExampleAV2_parameter_2_2.xmi.trace</t>
  </si>
  <si>
    <t>ExampleAV3_parameter_1_1.xmi.trace</t>
  </si>
  <si>
    <t>ExampleAV3_parameter_1_2.xmi.trace</t>
  </si>
  <si>
    <t>ExampleAV3_parameter_2_1.xmi.trace</t>
  </si>
  <si>
    <t>ExampleAV3_parameter_2_2.xmi.trace</t>
  </si>
  <si>
    <t>ExampleAV4_parameter_1_1.xmi.trace</t>
  </si>
  <si>
    <t>ExampleAV4_parameter_1_2.xmi.trace</t>
  </si>
  <si>
    <t>ExampleAV4_parameter_2_1.xmi.trace</t>
  </si>
  <si>
    <t>ExampleAV4_parameter_2_2.xmi.trace</t>
  </si>
  <si>
    <t>ExampleBV1_parameter_false_false.xmi.trace</t>
  </si>
  <si>
    <t>ExampleBV1_parameter_false_true.xmi.trace</t>
  </si>
  <si>
    <t>ExampleBV1_parameter_true_false.xmi.trace</t>
  </si>
  <si>
    <t>ExampleBV1_parameter_true_true.xmi.trace</t>
  </si>
  <si>
    <t>ExampleBV2_parameter_false_false.xmi.trace</t>
  </si>
  <si>
    <t>ExampleBV2_parameter_false_true.xmi.trace</t>
  </si>
  <si>
    <t>ExampleBV2_parameter_true_false.xmi.trace</t>
  </si>
  <si>
    <t>ExampleBV2_parameter_true_true.xmi.trace</t>
  </si>
  <si>
    <t>ExampleBV3_parameter_false_false_false.xmi.trace</t>
  </si>
  <si>
    <t>ExampleBV3_parameter_false_false_true.xmi.trace</t>
  </si>
  <si>
    <t>ExampleBV3_parameter_false_true_false.xmi.trace</t>
  </si>
  <si>
    <t>ExampleBV3_parameter_false_true_true.xmi.trace</t>
  </si>
  <si>
    <t>ExampleBV3_parameter_true_false_false.xmi.trace</t>
  </si>
  <si>
    <t>ExampleBV3_parameter_true_false_true.xmi.trace</t>
  </si>
  <si>
    <t>ExampleBV3_parameter_true_true_false.xmi.trace</t>
  </si>
  <si>
    <t>ExampleBV3_parameter_true_true_true.xmi.trace</t>
  </si>
  <si>
    <t>Nobj DS</t>
  </si>
  <si>
    <t>Kbobj DS</t>
  </si>
  <si>
    <t>Nref DS</t>
  </si>
  <si>
    <t>NobjCTM</t>
  </si>
  <si>
    <t>ds_traces</t>
  </si>
  <si>
    <t>ds trace KB</t>
  </si>
  <si>
    <t>Nb objects</t>
  </si>
  <si>
    <t>Nref CTM</t>
  </si>
  <si>
    <t>CTM KB</t>
  </si>
  <si>
    <t>Obj Compaction Rate</t>
  </si>
  <si>
    <t>Ref Compaction Rate</t>
  </si>
  <si>
    <t>min obj</t>
  </si>
  <si>
    <t>max obj</t>
  </si>
  <si>
    <t>compaction</t>
  </si>
  <si>
    <t>modelname</t>
  </si>
  <si>
    <t>state</t>
  </si>
  <si>
    <t>Kb</t>
  </si>
  <si>
    <t>%C</t>
  </si>
  <si>
    <t>step</t>
  </si>
  <si>
    <t>KB</t>
  </si>
  <si>
    <t>objectstate</t>
  </si>
  <si>
    <t>parameterlist</t>
  </si>
  <si>
    <t>%c</t>
  </si>
  <si>
    <t>no compaction</t>
  </si>
  <si>
    <t>Average</t>
  </si>
  <si>
    <t>%State CR</t>
  </si>
  <si>
    <t>%Step CR</t>
  </si>
  <si>
    <t>%ObjectState CR</t>
  </si>
  <si>
    <t>%ParameterList CR</t>
  </si>
  <si>
    <t>TFSM_simpleTrafficLight.xmi</t>
  </si>
  <si>
    <t>IML_GippingRobot.xmi</t>
  </si>
  <si>
    <t>testmodel</t>
  </si>
  <si>
    <t>2557-2</t>
  </si>
  <si>
    <t>2557-1</t>
  </si>
  <si>
    <t>ExampleAV1</t>
  </si>
  <si>
    <t>ExampleBV1</t>
  </si>
  <si>
    <t>ExampleAV4.uml</t>
  </si>
  <si>
    <t>complexpetrinetsample.xmi</t>
  </si>
  <si>
    <t>CTM Trace</t>
  </si>
  <si>
    <t>Step</t>
  </si>
  <si>
    <t>State</t>
  </si>
  <si>
    <t>ObjecState</t>
  </si>
  <si>
    <t>ParameterList</t>
  </si>
  <si>
    <t>%Step</t>
  </si>
  <si>
    <t>%State</t>
  </si>
  <si>
    <t>%ObjectState</t>
  </si>
  <si>
    <t>%parameterList</t>
  </si>
  <si>
    <t>nbStates</t>
  </si>
  <si>
    <t>EXI compaction rate</t>
  </si>
  <si>
    <t>XML compaction rate</t>
  </si>
  <si>
    <t>domain specific trace</t>
  </si>
  <si>
    <t>CTM trace serialized in XML</t>
  </si>
  <si>
    <t>CTM trace serialized in EXI</t>
  </si>
  <si>
    <t>EXI</t>
  </si>
  <si>
    <t>Ds compaction rate EXI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</si>
</sst>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%"/>
    <numFmt numFmtId="165" formatCode="#,##0.00&quot; &quot;[$€-40C];[Red]&quot;-&quot;#,##0.00&quot; &quot;[$€-40C]"/>
  </numFmts>
  <fonts count="6">
    <font>
      <sz val="11"/>
      <color rgb="FF000000"/>
      <name val="Liberation Sans"/>
    </font>
    <font>
      <sz val="11"/>
      <color rgb="FF000000"/>
      <name val="Liberation Sans"/>
    </font>
    <font>
      <sz val="10"/>
      <color rgb="FF000000"/>
      <name val="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FCE4D6"/>
        <bgColor rgb="FFFCE4D6"/>
      </patternFill>
    </fill>
    <fill>
      <patternFill patternType="solid">
        <fgColor rgb="FFBDD7EE"/>
        <bgColor rgb="FFBDD7EE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Border="0" applyProtection="0"/>
    <xf numFmtId="0" fontId="3" fillId="0" borderId="0" applyNumberFormat="0" applyBorder="0" applyProtection="0">
      <alignment horizontal="center"/>
    </xf>
    <xf numFmtId="0" fontId="3" fillId="0" borderId="0" applyNumberFormat="0" applyBorder="0" applyProtection="0">
      <alignment horizontal="center" textRotation="90"/>
    </xf>
    <xf numFmtId="0" fontId="4" fillId="0" borderId="0" applyNumberFormat="0" applyBorder="0" applyProtection="0"/>
    <xf numFmtId="165" fontId="4" fillId="0" borderId="0" applyBorder="0" applyProtection="0"/>
  </cellStyleXfs>
  <cellXfs count="39">
    <xf numFmtId="0" fontId="0" fillId="0" borderId="0" xfId="0"/>
    <xf numFmtId="0" fontId="5" fillId="0" borderId="0" xfId="0" applyFont="1"/>
    <xf numFmtId="0" fontId="0" fillId="0" borderId="1" xfId="0" applyBorder="1"/>
    <xf numFmtId="0" fontId="0" fillId="2" borderId="2" xfId="0" applyFill="1" applyBorder="1"/>
    <xf numFmtId="1" fontId="0" fillId="0" borderId="1" xfId="0" applyNumberFormat="1" applyBorder="1"/>
    <xf numFmtId="9" fontId="1" fillId="0" borderId="1" xfId="1" applyBorder="1"/>
    <xf numFmtId="9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0" fontId="5" fillId="0" borderId="0" xfId="0" applyFont="1" applyAlignment="1">
      <alignment horizontal="center"/>
    </xf>
    <xf numFmtId="0" fontId="5" fillId="0" borderId="2" xfId="0" applyFont="1" applyBorder="1"/>
    <xf numFmtId="0" fontId="5" fillId="3" borderId="2" xfId="0" applyFont="1" applyFill="1" applyBorder="1"/>
    <xf numFmtId="0" fontId="5" fillId="4" borderId="2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0" fillId="6" borderId="2" xfId="0" applyFill="1" applyBorder="1"/>
    <xf numFmtId="0" fontId="0" fillId="0" borderId="2" xfId="0" applyBorder="1"/>
    <xf numFmtId="0" fontId="0" fillId="3" borderId="2" xfId="0" applyFill="1" applyBorder="1"/>
    <xf numFmtId="9" fontId="1" fillId="3" borderId="2" xfId="1" applyFill="1" applyBorder="1"/>
    <xf numFmtId="0" fontId="0" fillId="4" borderId="2" xfId="0" applyFill="1" applyBorder="1"/>
    <xf numFmtId="9" fontId="1" fillId="4" borderId="2" xfId="1" applyFill="1" applyBorder="1"/>
    <xf numFmtId="0" fontId="0" fillId="5" borderId="2" xfId="0" applyFill="1" applyBorder="1"/>
    <xf numFmtId="9" fontId="1" fillId="5" borderId="2" xfId="1" applyFill="1" applyBorder="1"/>
    <xf numFmtId="0" fontId="0" fillId="2" borderId="0" xfId="0" applyFill="1"/>
    <xf numFmtId="9" fontId="1" fillId="0" borderId="2" xfId="1" applyBorder="1"/>
    <xf numFmtId="0" fontId="0" fillId="2" borderId="3" xfId="0" applyFill="1" applyBorder="1"/>
    <xf numFmtId="1" fontId="0" fillId="2" borderId="2" xfId="0" applyNumberFormat="1" applyFill="1" applyBorder="1"/>
    <xf numFmtId="0" fontId="0" fillId="2" borderId="4" xfId="0" applyFill="1" applyBorder="1"/>
    <xf numFmtId="0" fontId="0" fillId="0" borderId="2" xfId="0" applyFill="1" applyBorder="1"/>
    <xf numFmtId="1" fontId="0" fillId="0" borderId="2" xfId="0" applyNumberFormat="1" applyBorder="1"/>
    <xf numFmtId="9" fontId="1" fillId="0" borderId="0" xfId="1"/>
    <xf numFmtId="0" fontId="0" fillId="0" borderId="5" xfId="0" applyBorder="1"/>
    <xf numFmtId="9" fontId="0" fillId="0" borderId="0" xfId="0" applyNumberFormat="1"/>
    <xf numFmtId="0" fontId="0" fillId="7" borderId="0" xfId="0" applyFill="1"/>
    <xf numFmtId="1" fontId="0" fillId="7" borderId="1" xfId="0" applyNumberFormat="1" applyFill="1" applyBorder="1"/>
    <xf numFmtId="9" fontId="0" fillId="0" borderId="1" xfId="1" applyFont="1" applyBorder="1"/>
    <xf numFmtId="2" fontId="0" fillId="0" borderId="0" xfId="0" applyNumberFormat="1"/>
    <xf numFmtId="0" fontId="5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</cellXfs>
  <cellStyles count="7">
    <cellStyle name="Gnumeric-default" xfId="2"/>
    <cellStyle name="Heading" xfId="3"/>
    <cellStyle name="Heading1" xfId="4"/>
    <cellStyle name="Normal" xfId="0" builtinId="0" customBuiltin="1"/>
    <cellStyle name="Percent" xfId="1" builtinId="5" customBuiltin="1"/>
    <cellStyle name="Result" xfId="5"/>
    <cellStyle name="Result2" xfId="6"/>
  </cellStyles>
  <dxfs count="2">
    <dxf>
      <numFmt numFmtId="2" formatCode="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FFFF"/>
            </a:solidFill>
            <a:ln w="12701" cap="flat">
              <a:solidFill>
                <a:srgbClr val="000000"/>
              </a:solidFill>
              <a:prstDash val="solid"/>
              <a:miter/>
            </a:ln>
          </c:spPr>
          <c:invertIfNegative val="0"/>
          <c:val>
            <c:numRef>
              <c:f>'Memory Results'!$G$2:$G$39</c:f>
              <c:numCache>
                <c:formatCode>General</c:formatCode>
                <c:ptCount val="38"/>
                <c:pt idx="0">
                  <c:v>9469</c:v>
                </c:pt>
                <c:pt idx="1">
                  <c:v>9264</c:v>
                </c:pt>
                <c:pt idx="2">
                  <c:v>9264</c:v>
                </c:pt>
                <c:pt idx="3">
                  <c:v>7976</c:v>
                </c:pt>
                <c:pt idx="4">
                  <c:v>7868</c:v>
                </c:pt>
                <c:pt idx="5">
                  <c:v>7820</c:v>
                </c:pt>
                <c:pt idx="6">
                  <c:v>7610</c:v>
                </c:pt>
                <c:pt idx="7">
                  <c:v>7562</c:v>
                </c:pt>
                <c:pt idx="8">
                  <c:v>7767</c:v>
                </c:pt>
                <c:pt idx="9">
                  <c:v>7707</c:v>
                </c:pt>
                <c:pt idx="10">
                  <c:v>8963</c:v>
                </c:pt>
                <c:pt idx="11">
                  <c:v>8963</c:v>
                </c:pt>
                <c:pt idx="12">
                  <c:v>8975</c:v>
                </c:pt>
                <c:pt idx="13">
                  <c:v>9023</c:v>
                </c:pt>
                <c:pt idx="14">
                  <c:v>14433</c:v>
                </c:pt>
                <c:pt idx="15">
                  <c:v>14433</c:v>
                </c:pt>
                <c:pt idx="16">
                  <c:v>14433</c:v>
                </c:pt>
                <c:pt idx="17">
                  <c:v>14433</c:v>
                </c:pt>
                <c:pt idx="18">
                  <c:v>14003</c:v>
                </c:pt>
                <c:pt idx="19">
                  <c:v>14003</c:v>
                </c:pt>
                <c:pt idx="20">
                  <c:v>14004</c:v>
                </c:pt>
                <c:pt idx="21">
                  <c:v>14003</c:v>
                </c:pt>
                <c:pt idx="22">
                  <c:v>7537</c:v>
                </c:pt>
                <c:pt idx="23">
                  <c:v>7797</c:v>
                </c:pt>
                <c:pt idx="24">
                  <c:v>7177</c:v>
                </c:pt>
                <c:pt idx="25">
                  <c:v>7320</c:v>
                </c:pt>
                <c:pt idx="26">
                  <c:v>7585</c:v>
                </c:pt>
                <c:pt idx="27">
                  <c:v>7737</c:v>
                </c:pt>
                <c:pt idx="28">
                  <c:v>7320</c:v>
                </c:pt>
                <c:pt idx="29">
                  <c:v>7320</c:v>
                </c:pt>
                <c:pt idx="30">
                  <c:v>11558</c:v>
                </c:pt>
                <c:pt idx="31">
                  <c:v>11620</c:v>
                </c:pt>
                <c:pt idx="32">
                  <c:v>10988</c:v>
                </c:pt>
                <c:pt idx="33">
                  <c:v>11191</c:v>
                </c:pt>
                <c:pt idx="34">
                  <c:v>10571</c:v>
                </c:pt>
                <c:pt idx="35">
                  <c:v>10714</c:v>
                </c:pt>
                <c:pt idx="36">
                  <c:v>10619</c:v>
                </c:pt>
                <c:pt idx="37">
                  <c:v>10714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74-442D-B1A1-A510D67084EE}"/>
            </c:ext>
          </c:extLst>
        </c:ser>
        <c:ser>
          <c:idx val="1"/>
          <c:order val="1"/>
          <c:spPr>
            <a:solidFill>
              <a:srgbClr val="A5A5A5"/>
            </a:solidFill>
            <a:ln w="12701" cap="flat">
              <a:solidFill>
                <a:srgbClr val="787878"/>
              </a:solidFill>
              <a:prstDash val="solid"/>
              <a:miter/>
            </a:ln>
          </c:spPr>
          <c:invertIfNegative val="0"/>
          <c:val>
            <c:numRef>
              <c:f>'Memory Results'!$K$2:$K$39</c:f>
              <c:numCache>
                <c:formatCode>0</c:formatCode>
                <c:ptCount val="38"/>
                <c:pt idx="0">
                  <c:v>5207.9500000000007</c:v>
                </c:pt>
                <c:pt idx="1">
                  <c:v>4817.28</c:v>
                </c:pt>
                <c:pt idx="2">
                  <c:v>4817.28</c:v>
                </c:pt>
                <c:pt idx="3">
                  <c:v>4307.04</c:v>
                </c:pt>
                <c:pt idx="4">
                  <c:v>4091.36</c:v>
                </c:pt>
                <c:pt idx="5">
                  <c:v>4105.5</c:v>
                </c:pt>
                <c:pt idx="6">
                  <c:v>4185.5</c:v>
                </c:pt>
                <c:pt idx="7">
                  <c:v>4083.4800000000005</c:v>
                </c:pt>
                <c:pt idx="8">
                  <c:v>4194.18</c:v>
                </c:pt>
                <c:pt idx="9">
                  <c:v>4161.7800000000007</c:v>
                </c:pt>
                <c:pt idx="10">
                  <c:v>4562.1670000000004</c:v>
                </c:pt>
                <c:pt idx="11">
                  <c:v>4391.87</c:v>
                </c:pt>
                <c:pt idx="12">
                  <c:v>5205.5</c:v>
                </c:pt>
                <c:pt idx="13">
                  <c:v>5233.3399999999992</c:v>
                </c:pt>
                <c:pt idx="14">
                  <c:v>6783.5099999999993</c:v>
                </c:pt>
                <c:pt idx="15">
                  <c:v>6560.454545454545</c:v>
                </c:pt>
                <c:pt idx="16">
                  <c:v>7289.393939393939</c:v>
                </c:pt>
                <c:pt idx="17">
                  <c:v>6872.8571428571422</c:v>
                </c:pt>
                <c:pt idx="18">
                  <c:v>6455.3830000000007</c:v>
                </c:pt>
                <c:pt idx="19">
                  <c:v>8121.74</c:v>
                </c:pt>
                <c:pt idx="20">
                  <c:v>8122.32</c:v>
                </c:pt>
                <c:pt idx="21">
                  <c:v>8121.74</c:v>
                </c:pt>
                <c:pt idx="22">
                  <c:v>4145.3500000000004</c:v>
                </c:pt>
                <c:pt idx="23">
                  <c:v>4522.2599999999993</c:v>
                </c:pt>
                <c:pt idx="24">
                  <c:v>4162.66</c:v>
                </c:pt>
                <c:pt idx="25">
                  <c:v>4245.5999999999995</c:v>
                </c:pt>
                <c:pt idx="26">
                  <c:v>4461.7647058823532</c:v>
                </c:pt>
                <c:pt idx="27">
                  <c:v>4551.1764705882351</c:v>
                </c:pt>
                <c:pt idx="28">
                  <c:v>4245.5999999999995</c:v>
                </c:pt>
                <c:pt idx="29">
                  <c:v>4245.5999999999995</c:v>
                </c:pt>
                <c:pt idx="30">
                  <c:v>6083.1578947368425</c:v>
                </c:pt>
                <c:pt idx="31">
                  <c:v>5995.92</c:v>
                </c:pt>
                <c:pt idx="32">
                  <c:v>6104.4444444444443</c:v>
                </c:pt>
                <c:pt idx="33">
                  <c:v>5595.5</c:v>
                </c:pt>
                <c:pt idx="34">
                  <c:v>5563.6842105263158</c:v>
                </c:pt>
                <c:pt idx="35">
                  <c:v>6493.3333333333339</c:v>
                </c:pt>
                <c:pt idx="36">
                  <c:v>6636.875</c:v>
                </c:pt>
                <c:pt idx="37">
                  <c:v>6302.3529411764712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B74-442D-B1A1-A510D6708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6048"/>
        <c:axId val="191421552"/>
      </c:barChart>
      <c:valAx>
        <c:axId val="1914215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vert="horz"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objects used by the trace </a:t>
                </a:r>
                <a:b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</a:br>
                <a:endParaRPr lang="en-US" sz="900" b="0" i="0" u="none" strike="noStrike" kern="1200" cap="none" spc="0" baseline="0">
                  <a:solidFill>
                    <a:srgbClr val="595959"/>
                  </a:solidFill>
                  <a:uFillTx/>
                  <a:latin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96048"/>
        <c:crosses val="autoZero"/>
        <c:crossBetween val="between"/>
      </c:valAx>
      <c:catAx>
        <c:axId val="38960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Model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42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2.5718213488091318E-2"/>
          <c:y val="0.8437481773111693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7.5052525772861881E-2"/>
          <c:y val="0.13881503650887064"/>
          <c:w val="0.92291387231174959"/>
          <c:h val="0.63651345460567754"/>
        </c:manualLayout>
      </c:layout>
      <c:scatterChart>
        <c:scatterStyle val="lineMarker"/>
        <c:varyColors val="0"/>
        <c:ser>
          <c:idx val="0"/>
          <c:order val="0"/>
          <c:tx>
            <c:v>domain specific trace</c:v>
          </c:tx>
          <c:spPr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</c:marker>
          <c:xVal>
            <c:numLit>
              <c:formatCode>General</c:formatCode>
              <c:ptCount val="38"/>
              <c:pt idx="0">
                <c:v>264</c:v>
              </c:pt>
              <c:pt idx="1">
                <c:v>256</c:v>
              </c:pt>
              <c:pt idx="2">
                <c:v>256</c:v>
              </c:pt>
              <c:pt idx="3">
                <c:v>231</c:v>
              </c:pt>
              <c:pt idx="4">
                <c:v>223</c:v>
              </c:pt>
              <c:pt idx="5">
                <c:v>223</c:v>
              </c:pt>
              <c:pt idx="6">
                <c:v>210</c:v>
              </c:pt>
              <c:pt idx="7">
                <c:v>210</c:v>
              </c:pt>
              <c:pt idx="8">
                <c:v>218</c:v>
              </c:pt>
              <c:pt idx="9">
                <c:v>218</c:v>
              </c:pt>
              <c:pt idx="10">
                <c:v>242</c:v>
              </c:pt>
              <c:pt idx="11">
                <c:v>242</c:v>
              </c:pt>
              <c:pt idx="12">
                <c:v>242</c:v>
              </c:pt>
              <c:pt idx="13">
                <c:v>242</c:v>
              </c:pt>
              <c:pt idx="14">
                <c:v>334</c:v>
              </c:pt>
              <c:pt idx="15">
                <c:v>334</c:v>
              </c:pt>
              <c:pt idx="16">
                <c:v>334</c:v>
              </c:pt>
              <c:pt idx="17">
                <c:v>334</c:v>
              </c:pt>
              <c:pt idx="18">
                <c:v>331</c:v>
              </c:pt>
              <c:pt idx="19">
                <c:v>331</c:v>
              </c:pt>
              <c:pt idx="20">
                <c:v>331</c:v>
              </c:pt>
              <c:pt idx="21">
                <c:v>331</c:v>
              </c:pt>
              <c:pt idx="22">
                <c:v>212</c:v>
              </c:pt>
              <c:pt idx="23">
                <c:v>222</c:v>
              </c:pt>
              <c:pt idx="24">
                <c:v>205</c:v>
              </c:pt>
              <c:pt idx="25">
                <c:v>205</c:v>
              </c:pt>
              <c:pt idx="26">
                <c:v>212</c:v>
              </c:pt>
              <c:pt idx="27">
                <c:v>222</c:v>
              </c:pt>
              <c:pt idx="28">
                <c:v>205</c:v>
              </c:pt>
              <c:pt idx="29">
                <c:v>205</c:v>
              </c:pt>
              <c:pt idx="30">
                <c:v>280</c:v>
              </c:pt>
              <c:pt idx="31">
                <c:v>282</c:v>
              </c:pt>
              <c:pt idx="32">
                <c:v>265</c:v>
              </c:pt>
              <c:pt idx="33">
                <c:v>259</c:v>
              </c:pt>
              <c:pt idx="34">
                <c:v>242</c:v>
              </c:pt>
              <c:pt idx="35">
                <c:v>248</c:v>
              </c:pt>
              <c:pt idx="36">
                <c:v>248</c:v>
              </c:pt>
              <c:pt idx="37">
                <c:v>248</c:v>
              </c:pt>
            </c:numLit>
          </c:xVal>
          <c:yVal>
            <c:numLit>
              <c:formatCode>General</c:formatCode>
              <c:ptCount val="38"/>
              <c:pt idx="0">
                <c:v>5207.9500000000007</c:v>
              </c:pt>
              <c:pt idx="1">
                <c:v>4817.28</c:v>
              </c:pt>
              <c:pt idx="2">
                <c:v>4817.28</c:v>
              </c:pt>
              <c:pt idx="3">
                <c:v>4307.04</c:v>
              </c:pt>
              <c:pt idx="4">
                <c:v>4091.36</c:v>
              </c:pt>
              <c:pt idx="5">
                <c:v>4105.5</c:v>
              </c:pt>
              <c:pt idx="6">
                <c:v>4185.5</c:v>
              </c:pt>
              <c:pt idx="7">
                <c:v>4083.4800000000005</c:v>
              </c:pt>
              <c:pt idx="8">
                <c:v>4194.18</c:v>
              </c:pt>
              <c:pt idx="9">
                <c:v>4161.7800000000007</c:v>
              </c:pt>
              <c:pt idx="10">
                <c:v>4562.1670000000004</c:v>
              </c:pt>
              <c:pt idx="11">
                <c:v>4391.87</c:v>
              </c:pt>
              <c:pt idx="12">
                <c:v>5205.5</c:v>
              </c:pt>
              <c:pt idx="13">
                <c:v>5233.3399999999992</c:v>
              </c:pt>
              <c:pt idx="14">
                <c:v>6783.5099999999993</c:v>
              </c:pt>
              <c:pt idx="15">
                <c:v>6870.1079999999993</c:v>
              </c:pt>
              <c:pt idx="16">
                <c:v>8371.14</c:v>
              </c:pt>
              <c:pt idx="17">
                <c:v>8371.14</c:v>
              </c:pt>
              <c:pt idx="18">
                <c:v>6455.3830000000007</c:v>
              </c:pt>
              <c:pt idx="19">
                <c:v>8121.74</c:v>
              </c:pt>
              <c:pt idx="20">
                <c:v>8122.32</c:v>
              </c:pt>
              <c:pt idx="21">
                <c:v>8121.74</c:v>
              </c:pt>
              <c:pt idx="22">
                <c:v>4145.3500000000004</c:v>
              </c:pt>
              <c:pt idx="23">
                <c:v>4522.2599999999993</c:v>
              </c:pt>
              <c:pt idx="24">
                <c:v>4162.66</c:v>
              </c:pt>
              <c:pt idx="25">
                <c:v>4245.5999999999995</c:v>
              </c:pt>
              <c:pt idx="26">
                <c:v>4399.2999999999993</c:v>
              </c:pt>
              <c:pt idx="27">
                <c:v>4487.46</c:v>
              </c:pt>
              <c:pt idx="28">
                <c:v>4245.5999999999995</c:v>
              </c:pt>
              <c:pt idx="29">
                <c:v>4245.5999999999995</c:v>
              </c:pt>
              <c:pt idx="30">
                <c:v>5894.58</c:v>
              </c:pt>
              <c:pt idx="31">
                <c:v>5995.92</c:v>
              </c:pt>
              <c:pt idx="32">
                <c:v>6373.04</c:v>
              </c:pt>
              <c:pt idx="33">
                <c:v>6490.78</c:v>
              </c:pt>
              <c:pt idx="34">
                <c:v>6131.1799999999994</c:v>
              </c:pt>
              <c:pt idx="35">
                <c:v>6214.12</c:v>
              </c:pt>
              <c:pt idx="36">
                <c:v>6159.0199999999995</c:v>
              </c:pt>
              <c:pt idx="37">
                <c:v>6214.12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38-43E0-BF04-265E4EE1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27536"/>
        <c:axId val="156121352"/>
      </c:scatterChart>
      <c:scatterChart>
        <c:scatterStyle val="lineMarker"/>
        <c:varyColors val="0"/>
        <c:ser>
          <c:idx val="1"/>
          <c:order val="1"/>
          <c:tx>
            <c:v>CTM trace</c:v>
          </c:tx>
          <c:spPr>
            <a:ln>
              <a:noFill/>
            </a:ln>
            <a:effectLst>
              <a:outerShdw dist="19046" dir="5400000" algn="tl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</c:marker>
          <c:xVal>
            <c:numLit>
              <c:formatCode>General</c:formatCode>
              <c:ptCount val="38"/>
              <c:pt idx="0">
                <c:v>264</c:v>
              </c:pt>
              <c:pt idx="1">
                <c:v>256</c:v>
              </c:pt>
              <c:pt idx="2">
                <c:v>256</c:v>
              </c:pt>
              <c:pt idx="3">
                <c:v>231</c:v>
              </c:pt>
              <c:pt idx="4">
                <c:v>223</c:v>
              </c:pt>
              <c:pt idx="5">
                <c:v>223</c:v>
              </c:pt>
              <c:pt idx="6">
                <c:v>210</c:v>
              </c:pt>
              <c:pt idx="7">
                <c:v>210</c:v>
              </c:pt>
              <c:pt idx="8">
                <c:v>218</c:v>
              </c:pt>
              <c:pt idx="9">
                <c:v>218</c:v>
              </c:pt>
              <c:pt idx="10">
                <c:v>242</c:v>
              </c:pt>
              <c:pt idx="11">
                <c:v>242</c:v>
              </c:pt>
              <c:pt idx="12">
                <c:v>242</c:v>
              </c:pt>
              <c:pt idx="13">
                <c:v>242</c:v>
              </c:pt>
              <c:pt idx="14">
                <c:v>334</c:v>
              </c:pt>
              <c:pt idx="15">
                <c:v>334</c:v>
              </c:pt>
              <c:pt idx="16">
                <c:v>334</c:v>
              </c:pt>
              <c:pt idx="17">
                <c:v>334</c:v>
              </c:pt>
              <c:pt idx="18">
                <c:v>331</c:v>
              </c:pt>
              <c:pt idx="19">
                <c:v>331</c:v>
              </c:pt>
              <c:pt idx="20">
                <c:v>331</c:v>
              </c:pt>
              <c:pt idx="21">
                <c:v>331</c:v>
              </c:pt>
              <c:pt idx="22">
                <c:v>212</c:v>
              </c:pt>
              <c:pt idx="23">
                <c:v>222</c:v>
              </c:pt>
              <c:pt idx="24">
                <c:v>205</c:v>
              </c:pt>
              <c:pt idx="25">
                <c:v>205</c:v>
              </c:pt>
              <c:pt idx="26">
                <c:v>212</c:v>
              </c:pt>
              <c:pt idx="27">
                <c:v>222</c:v>
              </c:pt>
              <c:pt idx="28">
                <c:v>205</c:v>
              </c:pt>
              <c:pt idx="29">
                <c:v>205</c:v>
              </c:pt>
              <c:pt idx="30">
                <c:v>280</c:v>
              </c:pt>
              <c:pt idx="31">
                <c:v>282</c:v>
              </c:pt>
              <c:pt idx="32">
                <c:v>265</c:v>
              </c:pt>
              <c:pt idx="33">
                <c:v>259</c:v>
              </c:pt>
              <c:pt idx="34">
                <c:v>242</c:v>
              </c:pt>
              <c:pt idx="35">
                <c:v>248</c:v>
              </c:pt>
              <c:pt idx="36">
                <c:v>248</c:v>
              </c:pt>
              <c:pt idx="37">
                <c:v>248</c:v>
              </c:pt>
            </c:numLit>
          </c:xVal>
          <c:yVal>
            <c:numLit>
              <c:formatCode>General</c:formatCode>
              <c:ptCount val="38"/>
              <c:pt idx="0">
                <c:v>9469</c:v>
              </c:pt>
              <c:pt idx="1">
                <c:v>9264</c:v>
              </c:pt>
              <c:pt idx="2">
                <c:v>9264</c:v>
              </c:pt>
              <c:pt idx="3">
                <c:v>7976</c:v>
              </c:pt>
              <c:pt idx="4">
                <c:v>7868</c:v>
              </c:pt>
              <c:pt idx="5">
                <c:v>7820</c:v>
              </c:pt>
              <c:pt idx="6">
                <c:v>7610</c:v>
              </c:pt>
              <c:pt idx="7">
                <c:v>7562</c:v>
              </c:pt>
              <c:pt idx="8">
                <c:v>7767</c:v>
              </c:pt>
              <c:pt idx="9">
                <c:v>7707</c:v>
              </c:pt>
              <c:pt idx="10">
                <c:v>8963</c:v>
              </c:pt>
              <c:pt idx="11">
                <c:v>8963</c:v>
              </c:pt>
              <c:pt idx="12">
                <c:v>8975</c:v>
              </c:pt>
              <c:pt idx="13">
                <c:v>9023</c:v>
              </c:pt>
              <c:pt idx="14">
                <c:v>14433</c:v>
              </c:pt>
              <c:pt idx="15">
                <c:v>14433</c:v>
              </c:pt>
              <c:pt idx="16">
                <c:v>14433</c:v>
              </c:pt>
              <c:pt idx="17">
                <c:v>14433</c:v>
              </c:pt>
              <c:pt idx="18">
                <c:v>14003</c:v>
              </c:pt>
              <c:pt idx="19">
                <c:v>14003</c:v>
              </c:pt>
              <c:pt idx="20">
                <c:v>14004</c:v>
              </c:pt>
              <c:pt idx="21">
                <c:v>14003</c:v>
              </c:pt>
              <c:pt idx="22">
                <c:v>7537</c:v>
              </c:pt>
              <c:pt idx="23">
                <c:v>7797</c:v>
              </c:pt>
              <c:pt idx="24">
                <c:v>7177</c:v>
              </c:pt>
              <c:pt idx="25">
                <c:v>7320</c:v>
              </c:pt>
              <c:pt idx="26">
                <c:v>7585</c:v>
              </c:pt>
              <c:pt idx="27">
                <c:v>7737</c:v>
              </c:pt>
              <c:pt idx="28">
                <c:v>7320</c:v>
              </c:pt>
              <c:pt idx="29">
                <c:v>7320</c:v>
              </c:pt>
              <c:pt idx="30">
                <c:v>11558</c:v>
              </c:pt>
              <c:pt idx="31">
                <c:v>11620</c:v>
              </c:pt>
              <c:pt idx="32">
                <c:v>10988</c:v>
              </c:pt>
              <c:pt idx="33">
                <c:v>11191</c:v>
              </c:pt>
              <c:pt idx="34">
                <c:v>10571</c:v>
              </c:pt>
              <c:pt idx="35">
                <c:v>10714</c:v>
              </c:pt>
              <c:pt idx="36">
                <c:v>10619</c:v>
              </c:pt>
              <c:pt idx="37">
                <c:v>10714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38-43E0-BF04-265E4EE1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72192"/>
        <c:axId val="66638192"/>
      </c:scatterChart>
      <c:valAx>
        <c:axId val="156121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Memory used by the trace (kB)</a:t>
                </a:r>
              </a:p>
            </c:rich>
          </c:tx>
          <c:layout>
            <c:manualLayout>
              <c:xMode val="edge"/>
              <c:yMode val="edge"/>
              <c:x val="2.1086850170739139E-2"/>
              <c:y val="0.16929639465660368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6327536"/>
        <c:crossesAt val="0"/>
        <c:crossBetween val="midCat"/>
      </c:valAx>
      <c:valAx>
        <c:axId val="186327536"/>
        <c:scaling>
          <c:orientation val="minMax"/>
          <c:min val="18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states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121352"/>
        <c:crossesAt val="0"/>
        <c:crossBetween val="midCat"/>
      </c:valAx>
      <c:valAx>
        <c:axId val="666381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2372192"/>
        <c:crosses val="max"/>
        <c:crossBetween val="midCat"/>
      </c:valAx>
      <c:valAx>
        <c:axId val="192372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3819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44546A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Series1</c:v>
          </c:tx>
          <c:spPr>
            <a:ln>
              <a:noFill/>
            </a:ln>
          </c:spPr>
          <c:xVal>
            <c:numLit>
              <c:formatCode>General</c:formatCode>
              <c:ptCount val="3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</c:numLit>
          </c:xVal>
          <c:yVal>
            <c:numLit>
              <c:formatCode>General</c:formatCode>
              <c:ptCount val="38"/>
              <c:pt idx="0">
                <c:v>28883.125</c:v>
              </c:pt>
              <c:pt idx="1">
                <c:v>27975.125</c:v>
              </c:pt>
              <c:pt idx="2">
                <c:v>27962.875</c:v>
              </c:pt>
              <c:pt idx="3">
                <c:v>24304.625</c:v>
              </c:pt>
              <c:pt idx="4">
                <c:v>23182.5</c:v>
              </c:pt>
              <c:pt idx="5">
                <c:v>23299.875</c:v>
              </c:pt>
              <c:pt idx="6">
                <c:v>22604.875</c:v>
              </c:pt>
              <c:pt idx="7">
                <c:v>22583.875</c:v>
              </c:pt>
              <c:pt idx="8">
                <c:v>23474.875</c:v>
              </c:pt>
              <c:pt idx="9">
                <c:v>23477.125</c:v>
              </c:pt>
              <c:pt idx="10">
                <c:v>27313.625</c:v>
              </c:pt>
              <c:pt idx="11">
                <c:v>27294.375</c:v>
              </c:pt>
              <c:pt idx="12">
                <c:v>27313.25</c:v>
              </c:pt>
              <c:pt idx="13">
                <c:v>27298.125</c:v>
              </c:pt>
              <c:pt idx="14">
                <c:v>42820.5</c:v>
              </c:pt>
              <c:pt idx="15">
                <c:v>42836.875</c:v>
              </c:pt>
              <c:pt idx="16">
                <c:v>42798</c:v>
              </c:pt>
              <c:pt idx="17">
                <c:v>42796.375</c:v>
              </c:pt>
              <c:pt idx="18">
                <c:v>42107.875</c:v>
              </c:pt>
              <c:pt idx="19">
                <c:v>42129.75</c:v>
              </c:pt>
              <c:pt idx="20">
                <c:v>42095</c:v>
              </c:pt>
              <c:pt idx="21">
                <c:v>42143.625</c:v>
              </c:pt>
              <c:pt idx="22">
                <c:v>22328.625</c:v>
              </c:pt>
              <c:pt idx="23">
                <c:v>23396.625</c:v>
              </c:pt>
              <c:pt idx="24">
                <c:v>20439.875</c:v>
              </c:pt>
              <c:pt idx="25">
                <c:v>21366.375</c:v>
              </c:pt>
              <c:pt idx="26">
                <c:v>22302</c:v>
              </c:pt>
              <c:pt idx="27">
                <c:v>23445.5</c:v>
              </c:pt>
              <c:pt idx="28">
                <c:v>21372.125</c:v>
              </c:pt>
              <c:pt idx="29">
                <c:v>21373.125</c:v>
              </c:pt>
              <c:pt idx="30">
                <c:v>34367.25</c:v>
              </c:pt>
              <c:pt idx="31">
                <c:v>34570.375</c:v>
              </c:pt>
              <c:pt idx="32">
                <c:v>31187.125</c:v>
              </c:pt>
              <c:pt idx="33">
                <c:v>32226.75</c:v>
              </c:pt>
              <c:pt idx="34">
                <c:v>28828.875</c:v>
              </c:pt>
              <c:pt idx="35">
                <c:v>29872.375</c:v>
              </c:pt>
              <c:pt idx="36">
                <c:v>28858.125</c:v>
              </c:pt>
              <c:pt idx="37">
                <c:v>29852.625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C0E-4D01-B877-DD89E5B2BEE6}"/>
            </c:ext>
          </c:extLst>
        </c:ser>
        <c:ser>
          <c:idx val="1"/>
          <c:order val="1"/>
          <c:tx>
            <c:v>Series2</c:v>
          </c:tx>
          <c:spPr>
            <a:ln>
              <a:noFill/>
            </a:ln>
          </c:spPr>
          <c:xVal>
            <c:numLit>
              <c:formatCode>General</c:formatCode>
              <c:ptCount val="38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</c:numLit>
          </c:xVal>
          <c:yVal>
            <c:numLit>
              <c:formatCode>General</c:formatCode>
              <c:ptCount val="38"/>
              <c:pt idx="0">
                <c:v>11553.25</c:v>
              </c:pt>
              <c:pt idx="1">
                <c:v>10910.29875</c:v>
              </c:pt>
              <c:pt idx="2">
                <c:v>10625.8925</c:v>
              </c:pt>
              <c:pt idx="3">
                <c:v>9308.6713749999999</c:v>
              </c:pt>
              <c:pt idx="4">
                <c:v>8577.5249999999996</c:v>
              </c:pt>
              <c:pt idx="5">
                <c:v>8597.653875</c:v>
              </c:pt>
              <c:pt idx="6">
                <c:v>7911.7062499999993</c:v>
              </c:pt>
              <c:pt idx="7">
                <c:v>7678.5175000000008</c:v>
              </c:pt>
              <c:pt idx="8">
                <c:v>7934.5077500000007</c:v>
              </c:pt>
              <c:pt idx="9">
                <c:v>9390.85</c:v>
              </c:pt>
              <c:pt idx="10">
                <c:v>8740.36</c:v>
              </c:pt>
              <c:pt idx="11">
                <c:v>9034.4381250000006</c:v>
              </c:pt>
              <c:pt idx="12">
                <c:v>8740.24</c:v>
              </c:pt>
              <c:pt idx="13">
                <c:v>10919.25</c:v>
              </c:pt>
              <c:pt idx="14">
                <c:v>17128.2</c:v>
              </c:pt>
              <c:pt idx="15">
                <c:v>16475.721153846152</c:v>
              </c:pt>
              <c:pt idx="16">
                <c:v>17119.2</c:v>
              </c:pt>
              <c:pt idx="17">
                <c:v>17118.55</c:v>
              </c:pt>
              <c:pt idx="18">
                <c:v>12716.57825</c:v>
              </c:pt>
              <c:pt idx="19">
                <c:v>16851.900000000001</c:v>
              </c:pt>
              <c:pt idx="20">
                <c:v>16838</c:v>
              </c:pt>
              <c:pt idx="21">
                <c:v>16857.45</c:v>
              </c:pt>
              <c:pt idx="22">
                <c:v>6921.8737499999997</c:v>
              </c:pt>
              <c:pt idx="23">
                <c:v>9358.65</c:v>
              </c:pt>
              <c:pt idx="24">
                <c:v>8175.9500000000007</c:v>
              </c:pt>
              <c:pt idx="25">
                <c:v>8546.5500000000011</c:v>
              </c:pt>
              <c:pt idx="26">
                <c:v>10137.272727272726</c:v>
              </c:pt>
              <c:pt idx="27">
                <c:v>10193.695652173914</c:v>
              </c:pt>
              <c:pt idx="28">
                <c:v>8548.85</c:v>
              </c:pt>
              <c:pt idx="29">
                <c:v>8549.25</c:v>
              </c:pt>
              <c:pt idx="30">
                <c:v>15621.477272727272</c:v>
              </c:pt>
              <c:pt idx="31">
                <c:v>12825.609124999999</c:v>
              </c:pt>
              <c:pt idx="32">
                <c:v>13442.726293103449</c:v>
              </c:pt>
              <c:pt idx="33">
                <c:v>13427.8125</c:v>
              </c:pt>
              <c:pt idx="34">
                <c:v>11531.55</c:v>
              </c:pt>
              <c:pt idx="35">
                <c:v>13578.352272727272</c:v>
              </c:pt>
              <c:pt idx="36">
                <c:v>13117.329545454544</c:v>
              </c:pt>
              <c:pt idx="37">
                <c:v>14926.3125</c:v>
              </c:pt>
            </c:numLit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C0E-4D01-B877-DD89E5B2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15744"/>
        <c:axId val="189015352"/>
      </c:scatterChart>
      <c:valAx>
        <c:axId val="18901535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vert="horz" lIns="0" tIns="0" rIns="0" bIns="0"/>
              <a:lstStyle/>
              <a:p>
                <a:pPr marL="0" marR="0" indent="0" algn="ctr" defTabSz="914400" rtl="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Number of references used by the trace </a:t>
                </a:r>
                <a:br>
                  <a:rPr lang="en-US" sz="9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</a:br>
                <a:endParaRPr lang="en-US" sz="900" b="0" i="0" u="none" strike="noStrike" kern="1200" cap="none" spc="0" baseline="0">
                  <a:solidFill>
                    <a:srgbClr val="595959"/>
                  </a:solidFill>
                  <a:uFillTx/>
                  <a:latin typeface="Calibri"/>
                </a:endParaRP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9015744"/>
        <c:crosses val="autoZero"/>
        <c:crossBetween val="midCat"/>
      </c:valAx>
      <c:valAx>
        <c:axId val="1890157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Model ID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9015352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5050279208926045E-2"/>
          <c:y val="0.84374817731116936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7181204760503656E-2"/>
          <c:y val="0.13197871099445904"/>
          <c:w val="0.95795170191569501"/>
          <c:h val="0.863969451735199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'Memory Results'!$F$1:$F$1</c:f>
              <c:strCache>
                <c:ptCount val="1"/>
                <c:pt idx="0">
                  <c:v>Nb objects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'Memory Results'!$E$2:$E$40</c:f>
              <c:numCache>
                <c:formatCode>General</c:formatCode>
                <c:ptCount val="39"/>
                <c:pt idx="0">
                  <c:v>264</c:v>
                </c:pt>
                <c:pt idx="1">
                  <c:v>256</c:v>
                </c:pt>
                <c:pt idx="2">
                  <c:v>256</c:v>
                </c:pt>
                <c:pt idx="3">
                  <c:v>231</c:v>
                </c:pt>
                <c:pt idx="4">
                  <c:v>223</c:v>
                </c:pt>
                <c:pt idx="5">
                  <c:v>223</c:v>
                </c:pt>
                <c:pt idx="6">
                  <c:v>210</c:v>
                </c:pt>
                <c:pt idx="7">
                  <c:v>210</c:v>
                </c:pt>
                <c:pt idx="8">
                  <c:v>218</c:v>
                </c:pt>
                <c:pt idx="9">
                  <c:v>218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331</c:v>
                </c:pt>
                <c:pt idx="22">
                  <c:v>212</c:v>
                </c:pt>
                <c:pt idx="23">
                  <c:v>222</c:v>
                </c:pt>
                <c:pt idx="24">
                  <c:v>205</c:v>
                </c:pt>
                <c:pt idx="25">
                  <c:v>205</c:v>
                </c:pt>
                <c:pt idx="26">
                  <c:v>212</c:v>
                </c:pt>
                <c:pt idx="27">
                  <c:v>222</c:v>
                </c:pt>
                <c:pt idx="28">
                  <c:v>205</c:v>
                </c:pt>
                <c:pt idx="29">
                  <c:v>205</c:v>
                </c:pt>
                <c:pt idx="30">
                  <c:v>280</c:v>
                </c:pt>
                <c:pt idx="31">
                  <c:v>282</c:v>
                </c:pt>
                <c:pt idx="32">
                  <c:v>265</c:v>
                </c:pt>
                <c:pt idx="33">
                  <c:v>259</c:v>
                </c:pt>
                <c:pt idx="34">
                  <c:v>242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</c:numCache>
            </c:numRef>
          </c:xVal>
          <c:yVal>
            <c:numRef>
              <c:f>'Memory Results'!$F$2:$F$40</c:f>
              <c:numCache>
                <c:formatCode>General</c:formatCode>
                <c:ptCount val="39"/>
                <c:pt idx="0">
                  <c:v>1448</c:v>
                </c:pt>
                <c:pt idx="1">
                  <c:v>1426</c:v>
                </c:pt>
                <c:pt idx="2">
                  <c:v>1358</c:v>
                </c:pt>
                <c:pt idx="3">
                  <c:v>2643</c:v>
                </c:pt>
                <c:pt idx="4">
                  <c:v>2624</c:v>
                </c:pt>
                <c:pt idx="5">
                  <c:v>2634</c:v>
                </c:pt>
                <c:pt idx="6">
                  <c:v>2643</c:v>
                </c:pt>
                <c:pt idx="7">
                  <c:v>1583</c:v>
                </c:pt>
                <c:pt idx="8">
                  <c:v>1583</c:v>
                </c:pt>
                <c:pt idx="9">
                  <c:v>1661</c:v>
                </c:pt>
                <c:pt idx="10">
                  <c:v>1661</c:v>
                </c:pt>
                <c:pt idx="11">
                  <c:v>1864</c:v>
                </c:pt>
                <c:pt idx="12">
                  <c:v>1864</c:v>
                </c:pt>
                <c:pt idx="13">
                  <c:v>1821</c:v>
                </c:pt>
                <c:pt idx="14">
                  <c:v>1876</c:v>
                </c:pt>
                <c:pt idx="15">
                  <c:v>1634</c:v>
                </c:pt>
                <c:pt idx="16">
                  <c:v>1560</c:v>
                </c:pt>
                <c:pt idx="17">
                  <c:v>1750</c:v>
                </c:pt>
                <c:pt idx="18">
                  <c:v>1528</c:v>
                </c:pt>
                <c:pt idx="19">
                  <c:v>1652</c:v>
                </c:pt>
                <c:pt idx="20">
                  <c:v>1296</c:v>
                </c:pt>
                <c:pt idx="21">
                  <c:v>1296</c:v>
                </c:pt>
                <c:pt idx="22">
                  <c:v>2507</c:v>
                </c:pt>
                <c:pt idx="23">
                  <c:v>2507</c:v>
                </c:pt>
                <c:pt idx="24">
                  <c:v>2504</c:v>
                </c:pt>
                <c:pt idx="25">
                  <c:v>2612</c:v>
                </c:pt>
                <c:pt idx="26">
                  <c:v>2497</c:v>
                </c:pt>
                <c:pt idx="27">
                  <c:v>2530</c:v>
                </c:pt>
                <c:pt idx="28">
                  <c:v>2070</c:v>
                </c:pt>
                <c:pt idx="29">
                  <c:v>1895</c:v>
                </c:pt>
                <c:pt idx="30">
                  <c:v>2497</c:v>
                </c:pt>
                <c:pt idx="31">
                  <c:v>2530</c:v>
                </c:pt>
                <c:pt idx="32">
                  <c:v>1664</c:v>
                </c:pt>
                <c:pt idx="33">
                  <c:v>1664</c:v>
                </c:pt>
                <c:pt idx="34">
                  <c:v>1528</c:v>
                </c:pt>
                <c:pt idx="35">
                  <c:v>1652</c:v>
                </c:pt>
                <c:pt idx="36">
                  <c:v>1296</c:v>
                </c:pt>
                <c:pt idx="37">
                  <c:v>1296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E7-4F10-872F-E6475FFC575D}"/>
            </c:ext>
          </c:extLst>
        </c:ser>
        <c:ser>
          <c:idx val="1"/>
          <c:order val="1"/>
          <c:tx>
            <c:strRef>
              <c:f>'Memory Results'!$K$1:$K$1</c:f>
              <c:strCache>
                <c:ptCount val="1"/>
                <c:pt idx="0">
                  <c:v>NobjCTM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xVal>
            <c:numRef>
              <c:f>'Memory Results'!$E$2:$E$40</c:f>
              <c:numCache>
                <c:formatCode>General</c:formatCode>
                <c:ptCount val="39"/>
                <c:pt idx="0">
                  <c:v>264</c:v>
                </c:pt>
                <c:pt idx="1">
                  <c:v>256</c:v>
                </c:pt>
                <c:pt idx="2">
                  <c:v>256</c:v>
                </c:pt>
                <c:pt idx="3">
                  <c:v>231</c:v>
                </c:pt>
                <c:pt idx="4">
                  <c:v>223</c:v>
                </c:pt>
                <c:pt idx="5">
                  <c:v>223</c:v>
                </c:pt>
                <c:pt idx="6">
                  <c:v>210</c:v>
                </c:pt>
                <c:pt idx="7">
                  <c:v>210</c:v>
                </c:pt>
                <c:pt idx="8">
                  <c:v>218</c:v>
                </c:pt>
                <c:pt idx="9">
                  <c:v>218</c:v>
                </c:pt>
                <c:pt idx="10">
                  <c:v>242</c:v>
                </c:pt>
                <c:pt idx="11">
                  <c:v>242</c:v>
                </c:pt>
                <c:pt idx="12">
                  <c:v>242</c:v>
                </c:pt>
                <c:pt idx="13">
                  <c:v>242</c:v>
                </c:pt>
                <c:pt idx="14">
                  <c:v>334</c:v>
                </c:pt>
                <c:pt idx="15">
                  <c:v>334</c:v>
                </c:pt>
                <c:pt idx="16">
                  <c:v>334</c:v>
                </c:pt>
                <c:pt idx="17">
                  <c:v>334</c:v>
                </c:pt>
                <c:pt idx="18">
                  <c:v>331</c:v>
                </c:pt>
                <c:pt idx="19">
                  <c:v>331</c:v>
                </c:pt>
                <c:pt idx="20">
                  <c:v>331</c:v>
                </c:pt>
                <c:pt idx="21">
                  <c:v>331</c:v>
                </c:pt>
                <c:pt idx="22">
                  <c:v>212</c:v>
                </c:pt>
                <c:pt idx="23">
                  <c:v>222</c:v>
                </c:pt>
                <c:pt idx="24">
                  <c:v>205</c:v>
                </c:pt>
                <c:pt idx="25">
                  <c:v>205</c:v>
                </c:pt>
                <c:pt idx="26">
                  <c:v>212</c:v>
                </c:pt>
                <c:pt idx="27">
                  <c:v>222</c:v>
                </c:pt>
                <c:pt idx="28">
                  <c:v>205</c:v>
                </c:pt>
                <c:pt idx="29">
                  <c:v>205</c:v>
                </c:pt>
                <c:pt idx="30">
                  <c:v>280</c:v>
                </c:pt>
                <c:pt idx="31">
                  <c:v>282</c:v>
                </c:pt>
                <c:pt idx="32">
                  <c:v>265</c:v>
                </c:pt>
                <c:pt idx="33">
                  <c:v>259</c:v>
                </c:pt>
                <c:pt idx="34">
                  <c:v>242</c:v>
                </c:pt>
                <c:pt idx="35">
                  <c:v>248</c:v>
                </c:pt>
                <c:pt idx="36">
                  <c:v>248</c:v>
                </c:pt>
                <c:pt idx="37">
                  <c:v>248</c:v>
                </c:pt>
              </c:numCache>
            </c:numRef>
          </c:xVal>
          <c:yVal>
            <c:numRef>
              <c:f>'Memory Results'!$K$2:$K$40</c:f>
              <c:numCache>
                <c:formatCode>0</c:formatCode>
                <c:ptCount val="39"/>
                <c:pt idx="0">
                  <c:v>5207.9500000000007</c:v>
                </c:pt>
                <c:pt idx="1">
                  <c:v>4817.28</c:v>
                </c:pt>
                <c:pt idx="2">
                  <c:v>4817.28</c:v>
                </c:pt>
                <c:pt idx="3">
                  <c:v>4307.04</c:v>
                </c:pt>
                <c:pt idx="4">
                  <c:v>4091.36</c:v>
                </c:pt>
                <c:pt idx="5">
                  <c:v>4105.5</c:v>
                </c:pt>
                <c:pt idx="6">
                  <c:v>4185.5</c:v>
                </c:pt>
                <c:pt idx="7">
                  <c:v>4083.4800000000005</c:v>
                </c:pt>
                <c:pt idx="8">
                  <c:v>4194.18</c:v>
                </c:pt>
                <c:pt idx="9">
                  <c:v>4161.7800000000007</c:v>
                </c:pt>
                <c:pt idx="10">
                  <c:v>4562.1670000000004</c:v>
                </c:pt>
                <c:pt idx="11">
                  <c:v>4391.87</c:v>
                </c:pt>
                <c:pt idx="12">
                  <c:v>5205.5</c:v>
                </c:pt>
                <c:pt idx="13">
                  <c:v>5233.3399999999992</c:v>
                </c:pt>
                <c:pt idx="14">
                  <c:v>6783.5099999999993</c:v>
                </c:pt>
                <c:pt idx="15">
                  <c:v>6560.454545454545</c:v>
                </c:pt>
                <c:pt idx="16">
                  <c:v>7289.393939393939</c:v>
                </c:pt>
                <c:pt idx="17">
                  <c:v>6872.8571428571422</c:v>
                </c:pt>
                <c:pt idx="18">
                  <c:v>6455.3830000000007</c:v>
                </c:pt>
                <c:pt idx="19">
                  <c:v>8121.74</c:v>
                </c:pt>
                <c:pt idx="20">
                  <c:v>8122.32</c:v>
                </c:pt>
                <c:pt idx="21">
                  <c:v>8121.74</c:v>
                </c:pt>
                <c:pt idx="22">
                  <c:v>4145.3500000000004</c:v>
                </c:pt>
                <c:pt idx="23">
                  <c:v>4522.2599999999993</c:v>
                </c:pt>
                <c:pt idx="24">
                  <c:v>4162.66</c:v>
                </c:pt>
                <c:pt idx="25">
                  <c:v>4245.5999999999995</c:v>
                </c:pt>
                <c:pt idx="26">
                  <c:v>4461.7647058823532</c:v>
                </c:pt>
                <c:pt idx="27">
                  <c:v>4551.1764705882351</c:v>
                </c:pt>
                <c:pt idx="28">
                  <c:v>4245.5999999999995</c:v>
                </c:pt>
                <c:pt idx="29">
                  <c:v>4245.5999999999995</c:v>
                </c:pt>
                <c:pt idx="30">
                  <c:v>6083.1578947368425</c:v>
                </c:pt>
                <c:pt idx="31">
                  <c:v>5995.92</c:v>
                </c:pt>
                <c:pt idx="32">
                  <c:v>6104.4444444444443</c:v>
                </c:pt>
                <c:pt idx="33">
                  <c:v>5595.5</c:v>
                </c:pt>
                <c:pt idx="34">
                  <c:v>5563.6842105263158</c:v>
                </c:pt>
                <c:pt idx="35">
                  <c:v>6493.3333333333339</c:v>
                </c:pt>
                <c:pt idx="36">
                  <c:v>6636.875</c:v>
                </c:pt>
                <c:pt idx="37">
                  <c:v>6302.3529411764712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E7-4F10-872F-E6475FFC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8808"/>
        <c:axId val="190978416"/>
      </c:scatterChart>
      <c:valAx>
        <c:axId val="19097841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0978808"/>
        <c:crosses val="autoZero"/>
        <c:crossBetween val="midCat"/>
      </c:valAx>
      <c:valAx>
        <c:axId val="190978808"/>
        <c:scaling>
          <c:orientation val="minMax"/>
          <c:min val="20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097841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'DiskSpace Results'!$F$1</c:f>
              <c:strCache>
                <c:ptCount val="1"/>
                <c:pt idx="0">
                  <c:v>domain specific trace</c:v>
                </c:pt>
              </c:strCache>
            </c:strRef>
          </c:tx>
          <c:spPr>
            <a:noFill/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'DiskSpace Results'!$F$2:$F$39</c:f>
              <c:numCache>
                <c:formatCode>General</c:formatCode>
                <c:ptCount val="38"/>
                <c:pt idx="0">
                  <c:v>10158</c:v>
                </c:pt>
                <c:pt idx="1">
                  <c:v>9971</c:v>
                </c:pt>
                <c:pt idx="2">
                  <c:v>9970</c:v>
                </c:pt>
                <c:pt idx="3">
                  <c:v>8452</c:v>
                </c:pt>
                <c:pt idx="4">
                  <c:v>7866</c:v>
                </c:pt>
                <c:pt idx="5">
                  <c:v>8051</c:v>
                </c:pt>
                <c:pt idx="6">
                  <c:v>7613</c:v>
                </c:pt>
                <c:pt idx="7">
                  <c:v>7805</c:v>
                </c:pt>
                <c:pt idx="8">
                  <c:v>8015</c:v>
                </c:pt>
                <c:pt idx="9">
                  <c:v>8211</c:v>
                </c:pt>
                <c:pt idx="10">
                  <c:v>9749</c:v>
                </c:pt>
                <c:pt idx="11">
                  <c:v>9488</c:v>
                </c:pt>
                <c:pt idx="12">
                  <c:v>9707</c:v>
                </c:pt>
                <c:pt idx="13">
                  <c:v>9488</c:v>
                </c:pt>
                <c:pt idx="14">
                  <c:v>17206</c:v>
                </c:pt>
                <c:pt idx="15">
                  <c:v>17208</c:v>
                </c:pt>
                <c:pt idx="16">
                  <c:v>17212</c:v>
                </c:pt>
                <c:pt idx="17">
                  <c:v>17210</c:v>
                </c:pt>
                <c:pt idx="18">
                  <c:v>16738</c:v>
                </c:pt>
                <c:pt idx="19">
                  <c:v>16742</c:v>
                </c:pt>
                <c:pt idx="20">
                  <c:v>16789</c:v>
                </c:pt>
                <c:pt idx="21">
                  <c:v>16748</c:v>
                </c:pt>
                <c:pt idx="22">
                  <c:v>7672</c:v>
                </c:pt>
                <c:pt idx="23">
                  <c:v>7954</c:v>
                </c:pt>
                <c:pt idx="24">
                  <c:v>6947</c:v>
                </c:pt>
                <c:pt idx="25">
                  <c:v>7261</c:v>
                </c:pt>
                <c:pt idx="26">
                  <c:v>7508</c:v>
                </c:pt>
                <c:pt idx="27">
                  <c:v>8204</c:v>
                </c:pt>
                <c:pt idx="28">
                  <c:v>7264</c:v>
                </c:pt>
                <c:pt idx="29">
                  <c:v>7264</c:v>
                </c:pt>
                <c:pt idx="30">
                  <c:v>12399</c:v>
                </c:pt>
                <c:pt idx="31">
                  <c:v>12532</c:v>
                </c:pt>
                <c:pt idx="32">
                  <c:v>11371</c:v>
                </c:pt>
                <c:pt idx="33">
                  <c:v>11502</c:v>
                </c:pt>
                <c:pt idx="34">
                  <c:v>10254</c:v>
                </c:pt>
                <c:pt idx="35">
                  <c:v>10645</c:v>
                </c:pt>
                <c:pt idx="36">
                  <c:v>10109</c:v>
                </c:pt>
                <c:pt idx="37">
                  <c:v>10641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F1-4E6E-A227-4A9DA4FEAB6E}"/>
            </c:ext>
          </c:extLst>
        </c:ser>
        <c:ser>
          <c:idx val="1"/>
          <c:order val="1"/>
          <c:tx>
            <c:strRef>
              <c:f>'DiskSpace Results'!$H$1</c:f>
              <c:strCache>
                <c:ptCount val="1"/>
                <c:pt idx="0">
                  <c:v>CTM trace serialized in XML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'DiskSpace Results'!$H$2:$H$39</c:f>
              <c:numCache>
                <c:formatCode>0</c:formatCode>
                <c:ptCount val="38"/>
                <c:pt idx="0">
                  <c:v>3148.98</c:v>
                </c:pt>
                <c:pt idx="1">
                  <c:v>3091.01</c:v>
                </c:pt>
                <c:pt idx="2">
                  <c:v>3290.1</c:v>
                </c:pt>
                <c:pt idx="3">
                  <c:v>2535.6</c:v>
                </c:pt>
                <c:pt idx="4">
                  <c:v>2438.46</c:v>
                </c:pt>
                <c:pt idx="5">
                  <c:v>2254.2800000000002</c:v>
                </c:pt>
                <c:pt idx="6">
                  <c:v>2664.55</c:v>
                </c:pt>
                <c:pt idx="7">
                  <c:v>2575.65</c:v>
                </c:pt>
                <c:pt idx="8">
                  <c:v>2644.9500000000003</c:v>
                </c:pt>
                <c:pt idx="9">
                  <c:v>2545.41</c:v>
                </c:pt>
                <c:pt idx="10">
                  <c:v>2827.21</c:v>
                </c:pt>
                <c:pt idx="11">
                  <c:v>2846.4</c:v>
                </c:pt>
                <c:pt idx="12">
                  <c:v>2912.1</c:v>
                </c:pt>
                <c:pt idx="13">
                  <c:v>2561.7600000000002</c:v>
                </c:pt>
                <c:pt idx="14">
                  <c:v>5677.9800000000005</c:v>
                </c:pt>
                <c:pt idx="15">
                  <c:v>5506.56</c:v>
                </c:pt>
                <c:pt idx="16">
                  <c:v>4647.24</c:v>
                </c:pt>
                <c:pt idx="17">
                  <c:v>4818.8</c:v>
                </c:pt>
                <c:pt idx="18">
                  <c:v>5021.4000000000005</c:v>
                </c:pt>
                <c:pt idx="19">
                  <c:v>4855.18</c:v>
                </c:pt>
                <c:pt idx="20">
                  <c:v>5372.4800000000005</c:v>
                </c:pt>
                <c:pt idx="21">
                  <c:v>5359.36</c:v>
                </c:pt>
                <c:pt idx="22">
                  <c:v>2071.44</c:v>
                </c:pt>
                <c:pt idx="23">
                  <c:v>2624.82</c:v>
                </c:pt>
                <c:pt idx="24">
                  <c:v>2361.98</c:v>
                </c:pt>
                <c:pt idx="25">
                  <c:v>2396.13</c:v>
                </c:pt>
                <c:pt idx="26">
                  <c:v>2627.8</c:v>
                </c:pt>
                <c:pt idx="27">
                  <c:v>2707.32</c:v>
                </c:pt>
                <c:pt idx="28">
                  <c:v>2324.48</c:v>
                </c:pt>
                <c:pt idx="29">
                  <c:v>2179.1999999999998</c:v>
                </c:pt>
                <c:pt idx="30">
                  <c:v>3471.7200000000003</c:v>
                </c:pt>
                <c:pt idx="31">
                  <c:v>3508.96</c:v>
                </c:pt>
                <c:pt idx="32">
                  <c:v>2842.75</c:v>
                </c:pt>
                <c:pt idx="33">
                  <c:v>3105.54</c:v>
                </c:pt>
                <c:pt idx="34">
                  <c:v>3281.28</c:v>
                </c:pt>
                <c:pt idx="35">
                  <c:v>3087.05</c:v>
                </c:pt>
                <c:pt idx="36">
                  <c:v>2729.43</c:v>
                </c:pt>
                <c:pt idx="37">
                  <c:v>2979.48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F1-4E6E-A227-4A9DA4FEAB6E}"/>
            </c:ext>
          </c:extLst>
        </c:ser>
        <c:ser>
          <c:idx val="2"/>
          <c:order val="2"/>
          <c:tx>
            <c:strRef>
              <c:f>'DiskSpace Results'!$I$1</c:f>
              <c:strCache>
                <c:ptCount val="1"/>
                <c:pt idx="0">
                  <c:v>CTM trace serialized in EXI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val>
            <c:numRef>
              <c:f>'DiskSpace Results'!$I$2:$I$39</c:f>
              <c:numCache>
                <c:formatCode>0</c:formatCode>
                <c:ptCount val="38"/>
                <c:pt idx="0">
                  <c:v>755.75519999999995</c:v>
                </c:pt>
                <c:pt idx="1">
                  <c:v>401.83130000000006</c:v>
                </c:pt>
                <c:pt idx="2">
                  <c:v>427.71300000000002</c:v>
                </c:pt>
                <c:pt idx="3">
                  <c:v>329.62799999999999</c:v>
                </c:pt>
                <c:pt idx="4">
                  <c:v>390.15360000000004</c:v>
                </c:pt>
                <c:pt idx="5">
                  <c:v>338.142</c:v>
                </c:pt>
                <c:pt idx="6">
                  <c:v>346.39150000000001</c:v>
                </c:pt>
                <c:pt idx="7">
                  <c:v>360.59100000000007</c:v>
                </c:pt>
                <c:pt idx="8">
                  <c:v>396.74250000000001</c:v>
                </c:pt>
                <c:pt idx="9">
                  <c:v>534.53609999999992</c:v>
                </c:pt>
                <c:pt idx="10">
                  <c:v>537.16989999999998</c:v>
                </c:pt>
                <c:pt idx="11">
                  <c:v>370.03200000000004</c:v>
                </c:pt>
                <c:pt idx="12">
                  <c:v>465.93599999999998</c:v>
                </c:pt>
                <c:pt idx="13">
                  <c:v>333.02880000000005</c:v>
                </c:pt>
                <c:pt idx="14">
                  <c:v>1305.9354000000001</c:v>
                </c:pt>
                <c:pt idx="15">
                  <c:v>1376.64</c:v>
                </c:pt>
                <c:pt idx="16">
                  <c:v>1068.8652</c:v>
                </c:pt>
                <c:pt idx="17">
                  <c:v>1156.5119999999999</c:v>
                </c:pt>
                <c:pt idx="18">
                  <c:v>1205.1360000000002</c:v>
                </c:pt>
                <c:pt idx="19">
                  <c:v>922.4842000000001</c:v>
                </c:pt>
                <c:pt idx="20">
                  <c:v>967.04640000000006</c:v>
                </c:pt>
                <c:pt idx="21">
                  <c:v>964.68479999999988</c:v>
                </c:pt>
                <c:pt idx="22">
                  <c:v>310.71600000000001</c:v>
                </c:pt>
                <c:pt idx="23">
                  <c:v>367.47480000000007</c:v>
                </c:pt>
                <c:pt idx="24">
                  <c:v>307.05740000000003</c:v>
                </c:pt>
                <c:pt idx="25">
                  <c:v>335.45820000000003</c:v>
                </c:pt>
                <c:pt idx="26">
                  <c:v>341.61400000000003</c:v>
                </c:pt>
                <c:pt idx="27">
                  <c:v>351.95160000000004</c:v>
                </c:pt>
                <c:pt idx="28">
                  <c:v>302.18240000000003</c:v>
                </c:pt>
                <c:pt idx="29">
                  <c:v>283.29599999999999</c:v>
                </c:pt>
                <c:pt idx="30">
                  <c:v>590.19240000000013</c:v>
                </c:pt>
                <c:pt idx="31">
                  <c:v>631.61279999999999</c:v>
                </c:pt>
                <c:pt idx="32">
                  <c:v>540.12250000000006</c:v>
                </c:pt>
                <c:pt idx="33">
                  <c:v>590.05259999999998</c:v>
                </c:pt>
                <c:pt idx="34">
                  <c:v>689.06880000000001</c:v>
                </c:pt>
                <c:pt idx="35">
                  <c:v>617.41000000000008</c:v>
                </c:pt>
                <c:pt idx="36">
                  <c:v>600.47460000000001</c:v>
                </c:pt>
                <c:pt idx="37">
                  <c:v>625.69079999999997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1-4E6E-A227-4A9DA4FE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79984"/>
        <c:axId val="190980376"/>
      </c:barChart>
      <c:catAx>
        <c:axId val="19097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0376"/>
        <c:crosses val="autoZero"/>
        <c:auto val="1"/>
        <c:lblAlgn val="ctr"/>
        <c:lblOffset val="100"/>
        <c:noMultiLvlLbl val="0"/>
      </c:catAx>
      <c:valAx>
        <c:axId val="19098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Disk space used by the trace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7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82344280135714E-2"/>
          <c:y val="0.90111881537195915"/>
          <c:w val="0.59492913385826773"/>
          <c:h val="8.3955811493712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view3D>
      <c:rotX val="29"/>
      <c:rotY val="360"/>
      <c:rAngAx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explosion val="5"/>
          <c:dPt>
            <c:idx val="0"/>
            <c:bubble3D val="0"/>
            <c:explosion val="12"/>
            <c:spPr>
              <a:solidFill>
                <a:srgbClr val="5B9BD5"/>
              </a:solidFill>
              <a:ln w="6345" cap="sq">
                <a:solidFill>
                  <a:srgbClr val="FFFFFF"/>
                </a:solidFill>
                <a:prstDash val="solid"/>
                <a:beve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48A-42FB-9FDB-C8904AE81833}"/>
              </c:ext>
            </c:extLst>
          </c:dPt>
          <c:dPt>
            <c:idx val="1"/>
            <c:bubble3D val="0"/>
            <c:explosion val="17"/>
            <c:spPr>
              <a:gradFill>
                <a:gsLst>
                  <a:gs pos="0">
                    <a:srgbClr val="B5D5A7"/>
                  </a:gs>
                  <a:gs pos="100000">
                    <a:srgbClr val="AACE99"/>
                  </a:gs>
                </a:gsLst>
                <a:lin ang="5400000"/>
              </a:gradFill>
              <a:ln w="6345" cap="flat">
                <a:solidFill>
                  <a:srgbClr val="70AD47"/>
                </a:solidFill>
                <a:prstDash val="solid"/>
                <a:miter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48A-42FB-9FDB-C8904AE81833}"/>
              </c:ext>
            </c:extLst>
          </c:dPt>
          <c:dPt>
            <c:idx val="2"/>
            <c:bubble3D val="0"/>
            <c:explosion val="14"/>
            <c:spPr>
              <a:gradFill>
                <a:gsLst>
                  <a:gs pos="0">
                    <a:srgbClr val="F7BDA4"/>
                  </a:gs>
                  <a:gs pos="100000">
                    <a:srgbClr val="F5B195"/>
                  </a:gs>
                </a:gsLst>
                <a:lin ang="5400000"/>
              </a:gradFill>
              <a:ln w="6345" cap="flat">
                <a:solidFill>
                  <a:srgbClr val="ED7D31"/>
                </a:solidFill>
                <a:prstDash val="solid"/>
                <a:miter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D48A-42FB-9FDB-C8904AE81833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FFDD9C"/>
                  </a:gs>
                  <a:gs pos="100000">
                    <a:srgbClr val="FFD78E"/>
                  </a:gs>
                </a:gsLst>
                <a:lin ang="5400000"/>
              </a:gradFill>
              <a:ln w="6345" cap="flat">
                <a:solidFill>
                  <a:srgbClr val="FFC000"/>
                </a:solidFill>
                <a:prstDash val="solid"/>
                <a:miter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48A-42FB-9FDB-C8904AE81833}"/>
              </c:ext>
            </c:extLst>
          </c:dPt>
          <c:dLbls>
            <c:dLbl>
              <c:idx val="0"/>
              <c:layout>
                <c:manualLayout>
                  <c:x val="-0.16689296388287034"/>
                  <c:y val="3.76140601054552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50" b="1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48A-42FB-9FDB-C8904AE81833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1"/>
              <c:layout>
                <c:manualLayout>
                  <c:x val="-7.4174285261322526E-3"/>
                  <c:y val="-0.268993023271622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50" b="1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D48A-42FB-9FDB-C8904AE81833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2"/>
              <c:layout>
                <c:manualLayout>
                  <c:x val="0.17082210361288733"/>
                  <c:y val="3.52756438386582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50" b="1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D48A-42FB-9FDB-C8904AE81833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layout>
                <c:manualLayout>
                  <c:x val="-3.9348000962966923E-2"/>
                  <c:y val="2.57822478252955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lIns="0" tIns="0" rIns="0" bIns="0"/>
                <a:lstStyle/>
                <a:p>
                  <a:pPr marL="0" marR="0" indent="0" algn="ctr" defTabSz="914400" fontAlgn="auto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tabLst/>
                    <a:defRPr sz="1050" b="1" i="0" u="none" strike="noStrike" kern="1200" baseline="0">
                      <a:solidFill>
                        <a:srgbClr val="404040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D48A-42FB-9FDB-C8904AE81833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50" b="1" i="0" u="none" strike="noStrike" kern="1200" baseline="0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result_traceElement!$T$2:$W$2</c:f>
              <c:strCache>
                <c:ptCount val="4"/>
                <c:pt idx="0">
                  <c:v>%State CR</c:v>
                </c:pt>
                <c:pt idx="1">
                  <c:v>%Step CR</c:v>
                </c:pt>
                <c:pt idx="2">
                  <c:v>%ObjectState CR</c:v>
                </c:pt>
                <c:pt idx="3">
                  <c:v>%ParameterList CR</c:v>
                </c:pt>
              </c:strCache>
            </c:strRef>
          </c:cat>
          <c:val>
            <c:numRef>
              <c:f>result_traceElement!$T$3:$W$3</c:f>
              <c:numCache>
                <c:formatCode>0%</c:formatCode>
                <c:ptCount val="4"/>
                <c:pt idx="0">
                  <c:v>0.71652114708452741</c:v>
                </c:pt>
                <c:pt idx="1">
                  <c:v>0.60608147199696505</c:v>
                </c:pt>
                <c:pt idx="2">
                  <c:v>0.57505097927633142</c:v>
                </c:pt>
                <c:pt idx="3">
                  <c:v>0.14555555555555555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8F2-46BA-A6A8-5A2D5313C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view3D>
      <c:rotX val="49"/>
      <c:rotY val="360"/>
      <c:rAngAx val="0"/>
    </c:view3D>
    <c:floor>
      <c:thickness val="0"/>
      <c:spPr>
        <a:noFill/>
        <a:ln>
          <a:noFill/>
        </a:ln>
      </c:spPr>
    </c:floor>
    <c:sideWall>
      <c:thickness val="0"/>
      <c:spPr>
        <a:noFill/>
        <a:ln>
          <a:noFill/>
        </a:ln>
      </c:spPr>
    </c:sideWall>
    <c:backWall>
      <c:thickness val="0"/>
      <c:spPr>
        <a:noFill/>
        <a:ln>
          <a:noFill/>
        </a:ln>
      </c:spPr>
    </c:backWall>
    <c:plotArea>
      <c:layout/>
      <c:pie3DChart>
        <c:varyColors val="1"/>
        <c:ser>
          <c:idx val="0"/>
          <c:order val="0"/>
          <c:explosion val="16"/>
          <c:dPt>
            <c:idx val="0"/>
            <c:bubble3D val="0"/>
            <c:spPr>
              <a:solidFill>
                <a:srgbClr val="5B9BD5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B4D5-4834-BBFC-1C039A027D94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4D5-4834-BBFC-1C039A027D94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B4D5-4834-BBFC-1C039A027D94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dir="16200000" algn="tl">
                  <a:srgbClr val="000000">
                    <a:alpha val="20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4D5-4834-BBFC-1C039A027D94}"/>
              </c:ext>
            </c:extLst>
          </c:dPt>
          <c:dLbls>
            <c:spPr>
              <a:blipFill>
                <a:blip xmlns:r="http://schemas.openxmlformats.org/officeDocument/2006/relationships" r:embed="rId1"/>
                <a:tile/>
              </a:blipFill>
              <a:ln>
                <a:noFill/>
              </a:ln>
              <a:effectLst>
                <a:outerShdw dist="38096" dir="2700000" algn="tl">
                  <a:srgbClr val="000000">
                    <a:alpha val="40000"/>
                  </a:srgbClr>
                </a:outerShdw>
              </a:effectLst>
            </c:spPr>
            <c:txPr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result_traceElement!$T$2:$W$2</c:f>
              <c:strCache>
                <c:ptCount val="4"/>
                <c:pt idx="0">
                  <c:v>%State CR</c:v>
                </c:pt>
                <c:pt idx="1">
                  <c:v>%Step CR</c:v>
                </c:pt>
                <c:pt idx="2">
                  <c:v>%ObjectState CR</c:v>
                </c:pt>
                <c:pt idx="3">
                  <c:v>%ParameterList CR</c:v>
                </c:pt>
              </c:strCache>
            </c:strRef>
          </c:cat>
          <c:val>
            <c:numRef>
              <c:f>result_traceElement!$T$3:$W$3</c:f>
              <c:numCache>
                <c:formatCode>0%</c:formatCode>
                <c:ptCount val="4"/>
                <c:pt idx="0">
                  <c:v>0.71652114708452741</c:v>
                </c:pt>
                <c:pt idx="1">
                  <c:v>0.60608147199696505</c:v>
                </c:pt>
                <c:pt idx="2">
                  <c:v>0.57505097927633142</c:v>
                </c:pt>
                <c:pt idx="3">
                  <c:v>0.14555555555555555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CF8-441D-B945-EFC3C39A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</c:spPr>
    </c:plotArea>
    <c:legend>
      <c:legendPos val="b"/>
      <c:overlay val="0"/>
      <c:spPr>
        <a:solidFill>
          <a:srgbClr val="F2F2F2">
            <a:alpha val="39000"/>
          </a:srgbClr>
        </a:solidFill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000000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9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984641771263734E-2"/>
          <c:y val="9.4333372292772028E-2"/>
          <c:w val="0.9066623794723434"/>
          <c:h val="0.735771361913094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memoryOverhead!$E$1:$E$1</c:f>
              <c:strCache>
                <c:ptCount val="1"/>
                <c:pt idx="0">
                  <c:v>CTM Trace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memoryOverhead!$E$2:$E$11</c:f>
              <c:numCache>
                <c:formatCode>0</c:formatCode>
                <c:ptCount val="10"/>
                <c:pt idx="0">
                  <c:v>1072.7168000000001</c:v>
                </c:pt>
                <c:pt idx="1">
                  <c:v>1006.5650400000001</c:v>
                </c:pt>
                <c:pt idx="2">
                  <c:v>988.36304000000007</c:v>
                </c:pt>
                <c:pt idx="3">
                  <c:v>871.40552799999989</c:v>
                </c:pt>
                <c:pt idx="4">
                  <c:v>810.80863999999997</c:v>
                </c:pt>
                <c:pt idx="5">
                  <c:v>813.001848</c:v>
                </c:pt>
                <c:pt idx="6">
                  <c:v>774.22119999999995</c:v>
                </c:pt>
                <c:pt idx="7">
                  <c:v>776.23601600000006</c:v>
                </c:pt>
                <c:pt idx="8">
                  <c:v>1530</c:v>
                </c:pt>
                <c:pt idx="9">
                  <c:v>1474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E9-44B9-B8B9-4F8ED742114F}"/>
            </c:ext>
          </c:extLst>
        </c:ser>
        <c:ser>
          <c:idx val="1"/>
          <c:order val="1"/>
          <c:tx>
            <c:strRef>
              <c:f>memoryOverhead!$F$1:$F$1</c:f>
              <c:strCache>
                <c:ptCount val="1"/>
                <c:pt idx="0">
                  <c:v>Step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memoryOverhead!$F$2:$F$11</c:f>
              <c:numCache>
                <c:formatCode>General</c:formatCode>
                <c:ptCount val="10"/>
                <c:pt idx="0">
                  <c:v>17</c:v>
                </c:pt>
                <c:pt idx="1">
                  <c:v>23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20</c:v>
                </c:pt>
                <c:pt idx="6">
                  <c:v>18</c:v>
                </c:pt>
                <c:pt idx="7">
                  <c:v>17</c:v>
                </c:pt>
                <c:pt idx="8">
                  <c:v>27</c:v>
                </c:pt>
                <c:pt idx="9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E9-44B9-B8B9-4F8ED742114F}"/>
            </c:ext>
          </c:extLst>
        </c:ser>
        <c:ser>
          <c:idx val="2"/>
          <c:order val="2"/>
          <c:tx>
            <c:strRef>
              <c:f>memoryOverhead!$G$1:$G$1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memoryOverhead!$G$2:$G$11</c:f>
              <c:numCache>
                <c:formatCode>General</c:formatCode>
                <c:ptCount val="10"/>
                <c:pt idx="0">
                  <c:v>76</c:v>
                </c:pt>
                <c:pt idx="1">
                  <c:v>67</c:v>
                </c:pt>
                <c:pt idx="2">
                  <c:v>109</c:v>
                </c:pt>
                <c:pt idx="3">
                  <c:v>98</c:v>
                </c:pt>
                <c:pt idx="4">
                  <c:v>87</c:v>
                </c:pt>
                <c:pt idx="5">
                  <c:v>91</c:v>
                </c:pt>
                <c:pt idx="6">
                  <c:v>76</c:v>
                </c:pt>
                <c:pt idx="7">
                  <c:v>81</c:v>
                </c:pt>
                <c:pt idx="8">
                  <c:v>112</c:v>
                </c:pt>
                <c:pt idx="9">
                  <c:v>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E9-44B9-B8B9-4F8ED742114F}"/>
            </c:ext>
          </c:extLst>
        </c:ser>
        <c:ser>
          <c:idx val="3"/>
          <c:order val="3"/>
          <c:tx>
            <c:strRef>
              <c:f>memoryOverhead!$H$1:$H$1</c:f>
              <c:strCache>
                <c:ptCount val="1"/>
                <c:pt idx="0">
                  <c:v>ObjecState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memoryOverhead!$H$2:$H$11</c:f>
              <c:numCache>
                <c:formatCode>General</c:formatCode>
                <c:ptCount val="10"/>
                <c:pt idx="0">
                  <c:v>50</c:v>
                </c:pt>
                <c:pt idx="1">
                  <c:v>56</c:v>
                </c:pt>
                <c:pt idx="2">
                  <c:v>98</c:v>
                </c:pt>
                <c:pt idx="3">
                  <c:v>78</c:v>
                </c:pt>
                <c:pt idx="4">
                  <c:v>82</c:v>
                </c:pt>
                <c:pt idx="5">
                  <c:v>91</c:v>
                </c:pt>
                <c:pt idx="6">
                  <c:v>84</c:v>
                </c:pt>
                <c:pt idx="7">
                  <c:v>86</c:v>
                </c:pt>
                <c:pt idx="8">
                  <c:v>93</c:v>
                </c:pt>
                <c:pt idx="9">
                  <c:v>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2E9-44B9-B8B9-4F8ED742114F}"/>
            </c:ext>
          </c:extLst>
        </c:ser>
        <c:ser>
          <c:idx val="4"/>
          <c:order val="4"/>
          <c:tx>
            <c:strRef>
              <c:f>memoryOverhead!$I$1:$I$1</c:f>
              <c:strCache>
                <c:ptCount val="1"/>
                <c:pt idx="0">
                  <c:v>ParameterList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memoryOverhead!$I$2:$I$11</c:f>
              <c:numCache>
                <c:formatCode>General</c:formatCode>
                <c:ptCount val="10"/>
                <c:pt idx="0">
                  <c:v>11</c:v>
                </c:pt>
                <c:pt idx="1">
                  <c:v>29</c:v>
                </c:pt>
                <c:pt idx="2">
                  <c:v>34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17</c:v>
                </c:pt>
                <c:pt idx="7">
                  <c:v>13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2E9-44B9-B8B9-4F8ED74211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90981552"/>
        <c:axId val="190981160"/>
      </c:barChart>
      <c:valAx>
        <c:axId val="190981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used (KB)</a:t>
                </a:r>
              </a:p>
            </c:rich>
          </c:tx>
          <c:layout>
            <c:manualLayout>
              <c:xMode val="edge"/>
              <c:yMode val="edge"/>
              <c:x val="1.0771757096098383E-2"/>
              <c:y val="0.29081703379142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552"/>
        <c:crosses val="autoZero"/>
        <c:crossBetween val="between"/>
      </c:valAx>
      <c:catAx>
        <c:axId val="19098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1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727318904320033"/>
          <c:y val="0.90614671218578757"/>
          <c:w val="0.42567994594735065"/>
          <c:h val="7.2815870444463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628650</xdr:colOff>
      <xdr:row>19</xdr:row>
      <xdr:rowOff>142875</xdr:rowOff>
    </xdr:from>
    <xdr:ext cx="7581903" cy="2743200"/>
    <xdr:graphicFrame macro=""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absoluteAnchor>
    <xdr:pos x="15587853" y="371475"/>
    <xdr:ext cx="4938528" cy="270509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22</xdr:col>
      <xdr:colOff>657225</xdr:colOff>
      <xdr:row>4</xdr:row>
      <xdr:rowOff>28575</xdr:rowOff>
    </xdr:from>
    <xdr:ext cx="6943725" cy="2743200"/>
    <xdr:graphicFrame macro="">
      <xdr:nvGraphicFramePr>
        <xdr:cNvPr id="3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17</xdr:col>
      <xdr:colOff>416719</xdr:colOff>
      <xdr:row>18</xdr:row>
      <xdr:rowOff>21433</xdr:rowOff>
    </xdr:from>
    <xdr:ext cx="5584030" cy="2743200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171450</xdr:colOff>
      <xdr:row>26</xdr:row>
      <xdr:rowOff>152400</xdr:rowOff>
    </xdr:from>
    <xdr:to>
      <xdr:col>26</xdr:col>
      <xdr:colOff>695325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247646</xdr:colOff>
      <xdr:row>8</xdr:row>
      <xdr:rowOff>142875</xdr:rowOff>
    </xdr:from>
    <xdr:ext cx="4257675" cy="2647946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24</xdr:col>
      <xdr:colOff>295278</xdr:colOff>
      <xdr:row>3</xdr:row>
      <xdr:rowOff>95253</xdr:rowOff>
    </xdr:from>
    <xdr:ext cx="3305171" cy="2743200"/>
    <xdr:graphicFrame macro="">
      <xdr:nvGraphicFramePr>
        <xdr:cNvPr id="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38101</xdr:colOff>
      <xdr:row>12</xdr:row>
      <xdr:rowOff>104768</xdr:rowOff>
    </xdr:from>
    <xdr:ext cx="7696200" cy="2943232"/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id="2" name="__Anonymous_Sheet_DB__03" displayName="__Anonymous_Sheet_DB__03" ref="A2:AMJ39" headerRowCount="0" totalsRowShown="0">
  <sortState ref="A2:AMJ39">
    <sortCondition ref="B2:B39"/>
  </sortState>
  <tableColumns count="102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Anonymous_Sheet_DB__04" displayName="__Anonymous_Sheet_DB__04" ref="A2:AMN48" headerRowCount="0" totalsRowShown="0">
  <sortState ref="A40:AML61">
    <sortCondition ref="C40:C61"/>
  </sortState>
  <tableColumns count="1028">
    <tableColumn id="1" name="Column1"/>
    <tableColumn id="2" name="Column2"/>
    <tableColumn id="3" name="Column3"/>
    <tableColumn id="4" name="Column4"/>
    <tableColumn id="6" name="Column6"/>
    <tableColumn id="8" name="Column8"/>
    <tableColumn id="7" name="Column7"/>
    <tableColumn id="9" name="Column9"/>
    <tableColumn id="10" name="Column10"/>
    <tableColumn id="5" name="Column5"/>
    <tableColumn id="1027" name="Column1027" dataDxfId="1">
      <calculatedColumnFormula>1-__Anonymous_Sheet_DB__04[[#This Row],[Column7]]/__Anonymous_Sheet_DB__04[[#This Row],[Column8]]</calculatedColumnFormula>
    </tableColumn>
    <tableColumn id="11" name="Column11"/>
    <tableColumn id="1028" name="Column1028" dataDxfId="0">
      <calculatedColumnFormula>1/(1-__Anonymous_Sheet_DB__04[[#This Row],[Column10]])</calculatedColumnFormula>
    </tableColumn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  <tableColumn id="54" name="Column54"/>
    <tableColumn id="55" name="Column55"/>
    <tableColumn id="56" name="Column56"/>
    <tableColumn id="57" name="Column57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6"/>
  <sheetViews>
    <sheetView workbookViewId="0">
      <selection activeCell="E2" sqref="E2:E39"/>
    </sheetView>
  </sheetViews>
  <sheetFormatPr defaultRowHeight="14.25"/>
  <cols>
    <col min="1" max="1" width="12.5" customWidth="1"/>
    <col min="2" max="2" width="40.625" customWidth="1"/>
    <col min="3" max="3" width="19" hidden="1" customWidth="1"/>
    <col min="4" max="4" width="11.25" bestFit="1" customWidth="1"/>
    <col min="5" max="5" width="17.625" bestFit="1" customWidth="1"/>
    <col min="6" max="6" width="11" customWidth="1"/>
    <col min="7" max="7" width="10.625" customWidth="1"/>
    <col min="8" max="8" width="10.25" hidden="1" customWidth="1"/>
    <col min="9" max="9" width="10.75" hidden="1" customWidth="1"/>
    <col min="10" max="13" width="10.625" customWidth="1"/>
    <col min="14" max="14" width="19.875" bestFit="1" customWidth="1"/>
    <col min="15" max="15" width="18.75" bestFit="1" customWidth="1"/>
    <col min="16" max="17" width="10.625" customWidth="1"/>
    <col min="18" max="18" width="21.125" bestFit="1" customWidth="1"/>
    <col min="19" max="1024" width="10.625" customWidth="1"/>
    <col min="1025" max="1025" width="9" customWidth="1"/>
  </cols>
  <sheetData>
    <row r="1" spans="1:16" ht="15">
      <c r="A1" s="1" t="s">
        <v>0</v>
      </c>
      <c r="B1" s="1" t="s">
        <v>2</v>
      </c>
      <c r="C1" s="1" t="s">
        <v>3</v>
      </c>
      <c r="D1" s="1" t="s">
        <v>50</v>
      </c>
      <c r="E1" s="1" t="s">
        <v>5</v>
      </c>
      <c r="F1" s="1" t="s">
        <v>51</v>
      </c>
      <c r="G1" s="1" t="s">
        <v>45</v>
      </c>
      <c r="H1" s="1" t="s">
        <v>46</v>
      </c>
      <c r="I1" s="1"/>
      <c r="J1" s="1" t="s">
        <v>47</v>
      </c>
      <c r="K1" s="1" t="s">
        <v>48</v>
      </c>
      <c r="L1" s="1" t="s">
        <v>52</v>
      </c>
      <c r="M1" s="1" t="s">
        <v>53</v>
      </c>
      <c r="N1" s="1" t="s">
        <v>54</v>
      </c>
      <c r="O1" s="1" t="s">
        <v>55</v>
      </c>
    </row>
    <row r="2" spans="1:16" s="2" customFormat="1">
      <c r="A2" s="2" t="s">
        <v>6</v>
      </c>
      <c r="B2" s="2" t="s">
        <v>7</v>
      </c>
      <c r="C2" s="2">
        <v>2454536</v>
      </c>
      <c r="D2">
        <f t="shared" ref="D2:D39" si="0">C2/1000</f>
        <v>2454.5360000000001</v>
      </c>
      <c r="E2">
        <v>264</v>
      </c>
      <c r="F2">
        <v>1448</v>
      </c>
      <c r="G2">
        <v>9469</v>
      </c>
      <c r="H2" s="2">
        <f>'Memory Results'!$G2*64</f>
        <v>606016</v>
      </c>
      <c r="I2" s="2">
        <f>'Memory Results'!$C2-'Memory Results'!$H2</f>
        <v>1848520</v>
      </c>
      <c r="J2" s="4">
        <f>'Memory Results'!$I2/64</f>
        <v>28883.125</v>
      </c>
      <c r="K2" s="4">
        <f>'Memory Results'!$G2*0.55</f>
        <v>5207.9500000000007</v>
      </c>
      <c r="L2" s="4">
        <f>'Memory Results'!$J2*0.4</f>
        <v>11553.25</v>
      </c>
      <c r="M2" s="4">
        <f>('Memory Results'!$K2+'Memory Results'!$L2)*64/1000</f>
        <v>1072.7168000000001</v>
      </c>
      <c r="N2" s="5">
        <f>('Memory Results'!$G2-'Memory Results'!$K2)/'Memory Results'!$G2</f>
        <v>0.4499999999999999</v>
      </c>
      <c r="O2" s="5">
        <f>('Memory Results'!$J2-'Memory Results'!$L2)/'Memory Results'!$J2</f>
        <v>0.6</v>
      </c>
      <c r="P2" s="2">
        <f>__Anonymous_Sheet_DB__03[[#This Row],[Column4]]*45%</f>
        <v>1104.5412000000001</v>
      </c>
    </row>
    <row r="3" spans="1:16">
      <c r="A3" t="s">
        <v>6</v>
      </c>
      <c r="B3" t="s">
        <v>8</v>
      </c>
      <c r="C3">
        <v>2383304</v>
      </c>
      <c r="D3">
        <f t="shared" si="0"/>
        <v>2383.3040000000001</v>
      </c>
      <c r="E3">
        <v>256</v>
      </c>
      <c r="F3">
        <v>1426</v>
      </c>
      <c r="G3">
        <v>9264</v>
      </c>
      <c r="H3">
        <f>'Memory Results'!$G3*64</f>
        <v>592896</v>
      </c>
      <c r="I3">
        <f>'Memory Results'!$C3-'Memory Results'!$H3</f>
        <v>1790408</v>
      </c>
      <c r="J3" s="4">
        <f>'Memory Results'!$I3/64</f>
        <v>27975.125</v>
      </c>
      <c r="K3" s="4">
        <f>'Memory Results'!$G3*0.52</f>
        <v>4817.28</v>
      </c>
      <c r="L3" s="4">
        <f>'Memory Results'!$J3*0.39</f>
        <v>10910.29875</v>
      </c>
      <c r="M3" s="4">
        <f>('Memory Results'!$K3+'Memory Results'!$L3)*64/1000</f>
        <v>1006.5650400000001</v>
      </c>
      <c r="N3" s="5">
        <f>('Memory Results'!$G3-'Memory Results'!$K3)/'Memory Results'!$G3</f>
        <v>0.48000000000000004</v>
      </c>
      <c r="O3" s="5">
        <f>('Memory Results'!$J3-'Memory Results'!$L3)/'Memory Results'!$J3</f>
        <v>0.61</v>
      </c>
      <c r="P3" s="2">
        <f>__Anonymous_Sheet_DB__03[[#This Row],[Column4]]*45%</f>
        <v>1072.4868000000001</v>
      </c>
    </row>
    <row r="4" spans="1:16">
      <c r="A4" t="s">
        <v>6</v>
      </c>
      <c r="B4" t="s">
        <v>9</v>
      </c>
      <c r="C4">
        <v>2382520</v>
      </c>
      <c r="D4">
        <f t="shared" si="0"/>
        <v>2382.52</v>
      </c>
      <c r="E4">
        <v>256</v>
      </c>
      <c r="F4">
        <v>1358</v>
      </c>
      <c r="G4">
        <v>9264</v>
      </c>
      <c r="H4">
        <f>'Memory Results'!$G4*64</f>
        <v>592896</v>
      </c>
      <c r="I4">
        <f>'Memory Results'!$C4-'Memory Results'!$H4</f>
        <v>1789624</v>
      </c>
      <c r="J4" s="4">
        <f>'Memory Results'!$I4/64</f>
        <v>27962.875</v>
      </c>
      <c r="K4" s="4">
        <f>'Memory Results'!$G4*0.52</f>
        <v>4817.28</v>
      </c>
      <c r="L4" s="4">
        <f>'Memory Results'!$J4*0.38</f>
        <v>10625.8925</v>
      </c>
      <c r="M4" s="4">
        <f>('Memory Results'!$K4+'Memory Results'!$L4)*64/1000</f>
        <v>988.36304000000007</v>
      </c>
      <c r="N4" s="5">
        <f>('Memory Results'!$G4-'Memory Results'!$K4)/'Memory Results'!$G4</f>
        <v>0.48000000000000004</v>
      </c>
      <c r="O4" s="5">
        <f>('Memory Results'!$J4-'Memory Results'!$L4)/'Memory Results'!$J4</f>
        <v>0.61999999999999988</v>
      </c>
      <c r="P4" s="2">
        <f>__Anonymous_Sheet_DB__03[[#This Row],[Column4]]*45%</f>
        <v>1072.134</v>
      </c>
    </row>
    <row r="5" spans="1:16">
      <c r="A5" t="s">
        <v>6</v>
      </c>
      <c r="B5" t="s">
        <v>10</v>
      </c>
      <c r="C5">
        <v>2065960</v>
      </c>
      <c r="D5">
        <f t="shared" si="0"/>
        <v>2065.96</v>
      </c>
      <c r="E5">
        <v>231</v>
      </c>
      <c r="F5">
        <v>2643</v>
      </c>
      <c r="G5">
        <v>7976</v>
      </c>
      <c r="H5">
        <f>'Memory Results'!$G5*64</f>
        <v>510464</v>
      </c>
      <c r="I5">
        <f>'Memory Results'!$C5-'Memory Results'!$H5</f>
        <v>1555496</v>
      </c>
      <c r="J5" s="4">
        <f>'Memory Results'!$I5/64</f>
        <v>24304.625</v>
      </c>
      <c r="K5" s="4">
        <f>'Memory Results'!$G5*0.54</f>
        <v>4307.04</v>
      </c>
      <c r="L5" s="4">
        <f>'Memory Results'!$J5*0.383</f>
        <v>9308.6713749999999</v>
      </c>
      <c r="M5" s="4">
        <f>('Memory Results'!$K5+'Memory Results'!$L5)*64/1000</f>
        <v>871.40552799999989</v>
      </c>
      <c r="N5" s="5">
        <f>('Memory Results'!$G5-'Memory Results'!$K5)/'Memory Results'!$G5</f>
        <v>0.46</v>
      </c>
      <c r="O5" s="5">
        <f>('Memory Results'!$J5-'Memory Results'!$L5)/'Memory Results'!$J5</f>
        <v>0.61699999999999999</v>
      </c>
      <c r="P5" s="2">
        <f>__Anonymous_Sheet_DB__03[[#This Row],[Column4]]*45%</f>
        <v>929.68200000000002</v>
      </c>
    </row>
    <row r="6" spans="1:16">
      <c r="A6" t="s">
        <v>6</v>
      </c>
      <c r="B6" t="s">
        <v>11</v>
      </c>
      <c r="C6">
        <v>1987232</v>
      </c>
      <c r="D6">
        <f t="shared" si="0"/>
        <v>1987.232</v>
      </c>
      <c r="E6">
        <v>223</v>
      </c>
      <c r="F6">
        <v>2624</v>
      </c>
      <c r="G6">
        <v>7868</v>
      </c>
      <c r="H6">
        <f>'Memory Results'!$G6*64</f>
        <v>503552</v>
      </c>
      <c r="I6">
        <f>'Memory Results'!$C6-'Memory Results'!$H6</f>
        <v>1483680</v>
      </c>
      <c r="J6" s="4">
        <f>'Memory Results'!$I6/64</f>
        <v>23182.5</v>
      </c>
      <c r="K6" s="4">
        <f>'Memory Results'!$G6*0.52</f>
        <v>4091.36</v>
      </c>
      <c r="L6" s="4">
        <f>'Memory Results'!$J6*0.37</f>
        <v>8577.5249999999996</v>
      </c>
      <c r="M6" s="4">
        <f>('Memory Results'!$K6+'Memory Results'!$L6)*64/1000</f>
        <v>810.80863999999997</v>
      </c>
      <c r="N6" s="5">
        <f>('Memory Results'!$G6-'Memory Results'!$K6)/'Memory Results'!$G6</f>
        <v>0.48</v>
      </c>
      <c r="O6" s="5">
        <f>('Memory Results'!$J6-'Memory Results'!$L6)/'Memory Results'!$J6</f>
        <v>0.63</v>
      </c>
      <c r="P6" s="2">
        <f>__Anonymous_Sheet_DB__03[[#This Row],[Column4]]*45%</f>
        <v>894.25440000000003</v>
      </c>
    </row>
    <row r="7" spans="1:16">
      <c r="A7" t="s">
        <v>6</v>
      </c>
      <c r="B7" t="s">
        <v>12</v>
      </c>
      <c r="C7">
        <v>1991672</v>
      </c>
      <c r="D7">
        <f t="shared" si="0"/>
        <v>1991.672</v>
      </c>
      <c r="E7">
        <v>223</v>
      </c>
      <c r="F7">
        <v>2634</v>
      </c>
      <c r="G7">
        <v>7820</v>
      </c>
      <c r="H7">
        <f>'Memory Results'!$G7*64</f>
        <v>500480</v>
      </c>
      <c r="I7">
        <f>'Memory Results'!$C7-'Memory Results'!$H7</f>
        <v>1491192</v>
      </c>
      <c r="J7" s="4">
        <f>'Memory Results'!$I7/64</f>
        <v>23299.875</v>
      </c>
      <c r="K7" s="4">
        <f>'Memory Results'!$G7*0.525</f>
        <v>4105.5</v>
      </c>
      <c r="L7" s="4">
        <f>'Memory Results'!$J7*0.369</f>
        <v>8597.653875</v>
      </c>
      <c r="M7" s="4">
        <f>('Memory Results'!$K7+'Memory Results'!$L7)*64/1000</f>
        <v>813.001848</v>
      </c>
      <c r="N7" s="5">
        <f>('Memory Results'!$G7-'Memory Results'!$K7)/'Memory Results'!$G7</f>
        <v>0.47499999999999998</v>
      </c>
      <c r="O7" s="5">
        <f>('Memory Results'!$J7-'Memory Results'!$L7)/'Memory Results'!$J7</f>
        <v>0.63100000000000001</v>
      </c>
      <c r="P7" s="2">
        <f>__Anonymous_Sheet_DB__03[[#This Row],[Column4]]*45%</f>
        <v>896.25240000000008</v>
      </c>
    </row>
    <row r="8" spans="1:16">
      <c r="A8" t="s">
        <v>6</v>
      </c>
      <c r="B8" t="s">
        <v>13</v>
      </c>
      <c r="C8">
        <v>1933752</v>
      </c>
      <c r="D8">
        <f t="shared" si="0"/>
        <v>1933.752</v>
      </c>
      <c r="E8">
        <v>210</v>
      </c>
      <c r="F8">
        <v>2643</v>
      </c>
      <c r="G8">
        <v>7610</v>
      </c>
      <c r="H8">
        <f>'Memory Results'!$G8*64</f>
        <v>487040</v>
      </c>
      <c r="I8">
        <f>'Memory Results'!$C8-'Memory Results'!$H8</f>
        <v>1446712</v>
      </c>
      <c r="J8" s="4">
        <f>'Memory Results'!$I8/64</f>
        <v>22604.875</v>
      </c>
      <c r="K8" s="4">
        <f>'Memory Results'!$G8*0.55</f>
        <v>4185.5</v>
      </c>
      <c r="L8" s="4">
        <f>'Memory Results'!$J8*0.35</f>
        <v>7911.7062499999993</v>
      </c>
      <c r="M8" s="4">
        <f>('Memory Results'!$K8+'Memory Results'!$L8)*64/1000</f>
        <v>774.22119999999995</v>
      </c>
      <c r="N8" s="5">
        <f>('Memory Results'!$G8-'Memory Results'!$K8)/'Memory Results'!$G8</f>
        <v>0.45</v>
      </c>
      <c r="O8" s="5">
        <f>('Memory Results'!$J8-'Memory Results'!$L8)/'Memory Results'!$J8</f>
        <v>0.65</v>
      </c>
      <c r="P8" s="2">
        <f>__Anonymous_Sheet_DB__03[[#This Row],[Column4]]*45%</f>
        <v>870.1884</v>
      </c>
    </row>
    <row r="9" spans="1:16">
      <c r="A9" t="s">
        <v>6</v>
      </c>
      <c r="B9" t="s">
        <v>14</v>
      </c>
      <c r="C9">
        <v>1929336</v>
      </c>
      <c r="D9">
        <f t="shared" si="0"/>
        <v>1929.336</v>
      </c>
      <c r="E9">
        <v>210</v>
      </c>
      <c r="F9">
        <v>1583</v>
      </c>
      <c r="G9">
        <v>7562</v>
      </c>
      <c r="H9">
        <f>'Memory Results'!$G9*64</f>
        <v>483968</v>
      </c>
      <c r="I9">
        <f>'Memory Results'!$C9-'Memory Results'!$H9</f>
        <v>1445368</v>
      </c>
      <c r="J9" s="4">
        <f>'Memory Results'!$I9/64</f>
        <v>22583.875</v>
      </c>
      <c r="K9" s="4">
        <f>'Memory Results'!$G9*0.54</f>
        <v>4083.4800000000005</v>
      </c>
      <c r="L9" s="4">
        <f>'Memory Results'!$J9*0.34</f>
        <v>7678.5175000000008</v>
      </c>
      <c r="M9" s="4">
        <f>('Memory Results'!$K9+'Memory Results'!$L9)*64/1000</f>
        <v>752.76784000000009</v>
      </c>
      <c r="N9" s="5">
        <f>('Memory Results'!$G9-'Memory Results'!$K9)/'Memory Results'!$G9</f>
        <v>0.45999999999999996</v>
      </c>
      <c r="O9" s="5">
        <f>('Memory Results'!$J9-'Memory Results'!$L9)/'Memory Results'!$J9</f>
        <v>0.65999999999999992</v>
      </c>
      <c r="P9" s="2">
        <f>__Anonymous_Sheet_DB__03[[#This Row],[Column4]]*45%</f>
        <v>868.20119999999997</v>
      </c>
    </row>
    <row r="10" spans="1:16">
      <c r="A10" t="s">
        <v>6</v>
      </c>
      <c r="B10" t="s">
        <v>15</v>
      </c>
      <c r="C10">
        <v>1999480</v>
      </c>
      <c r="D10">
        <f t="shared" si="0"/>
        <v>1999.48</v>
      </c>
      <c r="E10">
        <v>218</v>
      </c>
      <c r="F10">
        <v>1583</v>
      </c>
      <c r="G10">
        <v>7767</v>
      </c>
      <c r="H10">
        <f>'Memory Results'!$G10*64</f>
        <v>497088</v>
      </c>
      <c r="I10">
        <f>'Memory Results'!$C10-'Memory Results'!$H10</f>
        <v>1502392</v>
      </c>
      <c r="J10" s="4">
        <f>'Memory Results'!$I10/64</f>
        <v>23474.875</v>
      </c>
      <c r="K10" s="4">
        <f>'Memory Results'!$G10*0.54</f>
        <v>4194.18</v>
      </c>
      <c r="L10" s="4">
        <f>'Memory Results'!$J10*0.338</f>
        <v>7934.5077500000007</v>
      </c>
      <c r="M10" s="4">
        <f>('Memory Results'!$K10+'Memory Results'!$L10)*64/1000</f>
        <v>776.23601600000006</v>
      </c>
      <c r="N10" s="5">
        <f>('Memory Results'!$G10-'Memory Results'!$K10)/'Memory Results'!$G10</f>
        <v>0.45999999999999996</v>
      </c>
      <c r="O10" s="5">
        <f>('Memory Results'!$J10-'Memory Results'!$L10)/'Memory Results'!$J10</f>
        <v>0.66199999999999992</v>
      </c>
      <c r="P10" s="2">
        <f>__Anonymous_Sheet_DB__03[[#This Row],[Column4]]*45%</f>
        <v>899.76600000000008</v>
      </c>
    </row>
    <row r="11" spans="1:16">
      <c r="A11" t="s">
        <v>6</v>
      </c>
      <c r="B11" t="s">
        <v>16</v>
      </c>
      <c r="C11">
        <v>1995784</v>
      </c>
      <c r="D11">
        <f t="shared" si="0"/>
        <v>1995.7840000000001</v>
      </c>
      <c r="E11">
        <v>218</v>
      </c>
      <c r="F11">
        <v>1661</v>
      </c>
      <c r="G11">
        <v>7707</v>
      </c>
      <c r="H11">
        <f>'Memory Results'!$G11*64</f>
        <v>493248</v>
      </c>
      <c r="I11">
        <f>'Memory Results'!$C11-'Memory Results'!$H11</f>
        <v>1502536</v>
      </c>
      <c r="J11" s="4">
        <f>'Memory Results'!$I11/64</f>
        <v>23477.125</v>
      </c>
      <c r="K11" s="4">
        <f>'Memory Results'!$G11*0.54</f>
        <v>4161.7800000000007</v>
      </c>
      <c r="L11" s="4">
        <f>'Memory Results'!$J11*0.4</f>
        <v>9390.85</v>
      </c>
      <c r="M11" s="4">
        <f>('Memory Results'!$K11+'Memory Results'!$L11)*64/1000</f>
        <v>867.36832000000004</v>
      </c>
      <c r="N11" s="5">
        <f>('Memory Results'!$G11-'Memory Results'!$K11)/'Memory Results'!$G11</f>
        <v>0.45999999999999991</v>
      </c>
      <c r="O11" s="5">
        <f>('Memory Results'!$J11-'Memory Results'!$L11)/'Memory Results'!$J11</f>
        <v>0.6</v>
      </c>
      <c r="P11" s="2">
        <f>__Anonymous_Sheet_DB__03[[#This Row],[Column4]]*45%</f>
        <v>898.10280000000012</v>
      </c>
    </row>
    <row r="12" spans="1:16">
      <c r="A12" t="s">
        <v>6</v>
      </c>
      <c r="B12" t="s">
        <v>17</v>
      </c>
      <c r="C12">
        <v>2321704</v>
      </c>
      <c r="D12">
        <f t="shared" si="0"/>
        <v>2321.7040000000002</v>
      </c>
      <c r="E12">
        <v>242</v>
      </c>
      <c r="F12">
        <v>1661</v>
      </c>
      <c r="G12">
        <v>8963</v>
      </c>
      <c r="H12">
        <f>'Memory Results'!$G12*64</f>
        <v>573632</v>
      </c>
      <c r="I12">
        <f>'Memory Results'!$C12-'Memory Results'!$H12</f>
        <v>1748072</v>
      </c>
      <c r="J12" s="4">
        <f>'Memory Results'!$I12/64</f>
        <v>27313.625</v>
      </c>
      <c r="K12" s="4">
        <f>'Memory Results'!$G12*0.509</f>
        <v>4562.1670000000004</v>
      </c>
      <c r="L12" s="4">
        <f>'Memory Results'!$J12*0.32</f>
        <v>8740.36</v>
      </c>
      <c r="M12" s="4">
        <f>('Memory Results'!$K12+'Memory Results'!$L12)*64/1000</f>
        <v>851.36172800000008</v>
      </c>
      <c r="N12" s="5">
        <f>('Memory Results'!$G12-'Memory Results'!$K12)/'Memory Results'!$G12</f>
        <v>0.49099999999999994</v>
      </c>
      <c r="O12" s="5">
        <f>('Memory Results'!$J12-'Memory Results'!$L12)/'Memory Results'!$J12</f>
        <v>0.67999999999999994</v>
      </c>
      <c r="P12" s="2">
        <f>__Anonymous_Sheet_DB__03[[#This Row],[Column4]]*45%</f>
        <v>1044.7668000000001</v>
      </c>
    </row>
    <row r="13" spans="1:16">
      <c r="A13" t="s">
        <v>6</v>
      </c>
      <c r="B13" t="s">
        <v>18</v>
      </c>
      <c r="C13">
        <v>2320472</v>
      </c>
      <c r="D13">
        <f t="shared" si="0"/>
        <v>2320.4720000000002</v>
      </c>
      <c r="E13">
        <v>242</v>
      </c>
      <c r="F13">
        <v>1864</v>
      </c>
      <c r="G13">
        <v>8963</v>
      </c>
      <c r="H13">
        <f>'Memory Results'!$G13*64</f>
        <v>573632</v>
      </c>
      <c r="I13">
        <f>'Memory Results'!$C13-'Memory Results'!$H13</f>
        <v>1746840</v>
      </c>
      <c r="J13" s="4">
        <f>'Memory Results'!$I13/64</f>
        <v>27294.375</v>
      </c>
      <c r="K13" s="4">
        <f>'Memory Results'!$G13*0.49</f>
        <v>4391.87</v>
      </c>
      <c r="L13" s="4">
        <f>'Memory Results'!$J13*0.331</f>
        <v>9034.4381250000006</v>
      </c>
      <c r="M13" s="4">
        <f>('Memory Results'!$K13+'Memory Results'!$L13)*64/1000</f>
        <v>859.28372000000002</v>
      </c>
      <c r="N13" s="5">
        <f>('Memory Results'!$G13-'Memory Results'!$K13)/'Memory Results'!$G13</f>
        <v>0.51</v>
      </c>
      <c r="O13" s="5">
        <f>('Memory Results'!$J13-'Memory Results'!$L13)/'Memory Results'!$J13</f>
        <v>0.66899999999999993</v>
      </c>
      <c r="P13" s="2">
        <f>__Anonymous_Sheet_DB__03[[#This Row],[Column4]]*45%</f>
        <v>1044.2124000000001</v>
      </c>
    </row>
    <row r="14" spans="1:16">
      <c r="A14" t="s">
        <v>6</v>
      </c>
      <c r="B14" t="s">
        <v>19</v>
      </c>
      <c r="C14">
        <v>2322448</v>
      </c>
      <c r="D14">
        <f t="shared" si="0"/>
        <v>2322.4479999999999</v>
      </c>
      <c r="E14">
        <v>242</v>
      </c>
      <c r="F14">
        <v>1864</v>
      </c>
      <c r="G14">
        <v>8975</v>
      </c>
      <c r="H14">
        <f>'Memory Results'!$G14*64</f>
        <v>574400</v>
      </c>
      <c r="I14">
        <f>'Memory Results'!$C14-'Memory Results'!$H14</f>
        <v>1748048</v>
      </c>
      <c r="J14" s="4">
        <f>'Memory Results'!$I14/64</f>
        <v>27313.25</v>
      </c>
      <c r="K14" s="4">
        <f>'Memory Results'!$G14*0.58</f>
        <v>5205.5</v>
      </c>
      <c r="L14" s="4">
        <f>'Memory Results'!$J14*0.32</f>
        <v>8740.24</v>
      </c>
      <c r="M14" s="4">
        <f>('Memory Results'!$K14+'Memory Results'!$L14)*64/1000</f>
        <v>892.52735999999993</v>
      </c>
      <c r="N14" s="5">
        <f>('Memory Results'!$G14-'Memory Results'!$K14)/'Memory Results'!$G14</f>
        <v>0.42</v>
      </c>
      <c r="O14" s="5">
        <f>('Memory Results'!$J14-'Memory Results'!$L14)/'Memory Results'!$J14</f>
        <v>0.68</v>
      </c>
      <c r="P14" s="2">
        <f>__Anonymous_Sheet_DB__03[[#This Row],[Column4]]*45%</f>
        <v>1045.1016</v>
      </c>
    </row>
    <row r="15" spans="1:16">
      <c r="A15" t="s">
        <v>6</v>
      </c>
      <c r="B15" t="s">
        <v>20</v>
      </c>
      <c r="C15">
        <v>2324552</v>
      </c>
      <c r="D15">
        <f t="shared" si="0"/>
        <v>2324.5520000000001</v>
      </c>
      <c r="E15">
        <v>242</v>
      </c>
      <c r="F15">
        <v>1821</v>
      </c>
      <c r="G15">
        <v>9023</v>
      </c>
      <c r="H15">
        <f>'Memory Results'!$G15*64</f>
        <v>577472</v>
      </c>
      <c r="I15">
        <f>'Memory Results'!$C15-'Memory Results'!$H15</f>
        <v>1747080</v>
      </c>
      <c r="J15" s="4">
        <f>'Memory Results'!$I15/64</f>
        <v>27298.125</v>
      </c>
      <c r="K15" s="4">
        <f>'Memory Results'!$G15*0.58</f>
        <v>5233.3399999999992</v>
      </c>
      <c r="L15" s="4">
        <f>'Memory Results'!$J15*0.4</f>
        <v>10919.25</v>
      </c>
      <c r="M15" s="4">
        <f>('Memory Results'!$K15+'Memory Results'!$L15)*64/1000</f>
        <v>1033.76576</v>
      </c>
      <c r="N15" s="5">
        <f>('Memory Results'!$G15-'Memory Results'!$K15)/'Memory Results'!$G15</f>
        <v>0.4200000000000001</v>
      </c>
      <c r="O15" s="5">
        <f>('Memory Results'!$J15-'Memory Results'!$L15)/'Memory Results'!$J15</f>
        <v>0.6</v>
      </c>
      <c r="P15" s="2">
        <f>__Anonymous_Sheet_DB__03[[#This Row],[Column4]]*45%</f>
        <v>1046.0484000000001</v>
      </c>
    </row>
    <row r="16" spans="1:16">
      <c r="A16" t="s">
        <v>6</v>
      </c>
      <c r="B16" t="s">
        <v>21</v>
      </c>
      <c r="C16">
        <v>3664224</v>
      </c>
      <c r="D16">
        <f t="shared" si="0"/>
        <v>3664.2240000000002</v>
      </c>
      <c r="E16">
        <v>334</v>
      </c>
      <c r="F16">
        <v>1876</v>
      </c>
      <c r="G16">
        <v>14433</v>
      </c>
      <c r="H16">
        <f>'Memory Results'!$G16*64</f>
        <v>923712</v>
      </c>
      <c r="I16">
        <f>'Memory Results'!$C16-'Memory Results'!$H16</f>
        <v>2740512</v>
      </c>
      <c r="J16" s="4">
        <f>'Memory Results'!$I16/64</f>
        <v>42820.5</v>
      </c>
      <c r="K16" s="4">
        <f>'Memory Results'!$G16*0.47</f>
        <v>6783.5099999999993</v>
      </c>
      <c r="L16" s="4">
        <f>'Memory Results'!$J16*0.4</f>
        <v>17128.2</v>
      </c>
      <c r="M16" s="4">
        <f>('Memory Results'!$K16+'Memory Results'!$L16)*64/1000</f>
        <v>1530.34944</v>
      </c>
      <c r="N16" s="5">
        <f>('Memory Results'!$G16-'Memory Results'!$K16)/'Memory Results'!$G16</f>
        <v>0.53</v>
      </c>
      <c r="O16" s="5">
        <f>('Memory Results'!$J16-'Memory Results'!$L16)/'Memory Results'!$J16</f>
        <v>0.6</v>
      </c>
      <c r="P16" s="2">
        <f>__Anonymous_Sheet_DB__03[[#This Row],[Column4]]*45%</f>
        <v>1648.9008000000001</v>
      </c>
    </row>
    <row r="17" spans="1:16">
      <c r="A17" t="s">
        <v>6</v>
      </c>
      <c r="B17" t="s">
        <v>22</v>
      </c>
      <c r="C17">
        <v>3665272</v>
      </c>
      <c r="D17">
        <f t="shared" si="0"/>
        <v>3665.2719999999999</v>
      </c>
      <c r="E17">
        <v>334</v>
      </c>
      <c r="F17">
        <v>1634</v>
      </c>
      <c r="G17">
        <v>14433</v>
      </c>
      <c r="H17">
        <f>'Memory Results'!$G17*64</f>
        <v>923712</v>
      </c>
      <c r="I17">
        <f>'Memory Results'!$C17-'Memory Results'!$H17</f>
        <v>2741560</v>
      </c>
      <c r="J17" s="4">
        <f>'Memory Results'!$I17/64</f>
        <v>42836.875</v>
      </c>
      <c r="K17" s="4">
        <f>'Memory Results'!$G17/2.2</f>
        <v>6560.454545454545</v>
      </c>
      <c r="L17" s="4">
        <f>'Memory Results'!$J17/2.6</f>
        <v>16475.721153846152</v>
      </c>
      <c r="M17" s="4">
        <f>('Memory Results'!$K17+'Memory Results'!$L17)*64/1000</f>
        <v>1474.3152447552445</v>
      </c>
      <c r="N17" s="5">
        <f>('Memory Results'!$G17-'Memory Results'!$K17)/'Memory Results'!$G17</f>
        <v>0.54545454545454553</v>
      </c>
      <c r="O17" s="5">
        <f>('Memory Results'!$J17-'Memory Results'!$L17)/'Memory Results'!$J17</f>
        <v>0.61538461538461542</v>
      </c>
      <c r="P17" s="2">
        <f>__Anonymous_Sheet_DB__03[[#This Row],[Column4]]*45%</f>
        <v>1649.3724</v>
      </c>
    </row>
    <row r="18" spans="1:16">
      <c r="A18" t="s">
        <v>6</v>
      </c>
      <c r="B18" t="s">
        <v>23</v>
      </c>
      <c r="C18">
        <v>3662784</v>
      </c>
      <c r="D18">
        <f t="shared" si="0"/>
        <v>3662.7840000000001</v>
      </c>
      <c r="E18">
        <v>334</v>
      </c>
      <c r="F18">
        <v>1560</v>
      </c>
      <c r="G18">
        <v>14433</v>
      </c>
      <c r="H18">
        <f>'Memory Results'!$G18*64</f>
        <v>923712</v>
      </c>
      <c r="I18">
        <f>'Memory Results'!$C18-'Memory Results'!$H18</f>
        <v>2739072</v>
      </c>
      <c r="J18" s="4">
        <f>'Memory Results'!$I18/64</f>
        <v>42798</v>
      </c>
      <c r="K18" s="4">
        <f>'Memory Results'!$G18/1.98</f>
        <v>7289.393939393939</v>
      </c>
      <c r="L18" s="4">
        <f>'Memory Results'!$J18*0.4</f>
        <v>17119.2</v>
      </c>
      <c r="M18" s="4">
        <f>('Memory Results'!$K18+'Memory Results'!$L18)*64/1000</f>
        <v>1562.1500121212123</v>
      </c>
      <c r="N18" s="5">
        <f>('Memory Results'!$G18-'Memory Results'!$K18)/'Memory Results'!$G18</f>
        <v>0.49494949494949497</v>
      </c>
      <c r="O18" s="5">
        <f>('Memory Results'!$J18-'Memory Results'!$L18)/'Memory Results'!$J18</f>
        <v>0.6</v>
      </c>
      <c r="P18" s="2">
        <f>__Anonymous_Sheet_DB__03[[#This Row],[Column4]]*45%</f>
        <v>1648.2528</v>
      </c>
    </row>
    <row r="19" spans="1:16">
      <c r="A19" t="s">
        <v>6</v>
      </c>
      <c r="B19" t="s">
        <v>24</v>
      </c>
      <c r="C19">
        <v>3662680</v>
      </c>
      <c r="D19">
        <f t="shared" si="0"/>
        <v>3662.68</v>
      </c>
      <c r="E19">
        <v>334</v>
      </c>
      <c r="F19">
        <v>1750</v>
      </c>
      <c r="G19">
        <v>14433</v>
      </c>
      <c r="H19">
        <f>'Memory Results'!$G19*64</f>
        <v>923712</v>
      </c>
      <c r="I19">
        <f>'Memory Results'!$C19-'Memory Results'!$H19</f>
        <v>2738968</v>
      </c>
      <c r="J19" s="4">
        <f>'Memory Results'!$I19/64</f>
        <v>42796.375</v>
      </c>
      <c r="K19" s="4">
        <f>'Memory Results'!$G19/2.1</f>
        <v>6872.8571428571422</v>
      </c>
      <c r="L19" s="4">
        <f>'Memory Results'!$J19/2.5</f>
        <v>17118.55</v>
      </c>
      <c r="M19" s="4">
        <f>('Memory Results'!$K19+'Memory Results'!$L19)*64/1000</f>
        <v>1535.4500571428571</v>
      </c>
      <c r="N19" s="5">
        <f>('Memory Results'!$G19-'Memory Results'!$K19)/'Memory Results'!$G19</f>
        <v>0.52380952380952384</v>
      </c>
      <c r="O19" s="5">
        <f>('Memory Results'!$J19-'Memory Results'!$L19)/'Memory Results'!$J19</f>
        <v>0.6</v>
      </c>
      <c r="P19" s="2">
        <f>__Anonymous_Sheet_DB__03[[#This Row],[Column4]]*45%</f>
        <v>1648.2059999999999</v>
      </c>
    </row>
    <row r="20" spans="1:16">
      <c r="A20" t="s">
        <v>6</v>
      </c>
      <c r="B20" t="s">
        <v>25</v>
      </c>
      <c r="C20">
        <v>3591096</v>
      </c>
      <c r="D20">
        <f t="shared" si="0"/>
        <v>3591.096</v>
      </c>
      <c r="E20">
        <v>331</v>
      </c>
      <c r="F20">
        <v>1528</v>
      </c>
      <c r="G20">
        <v>14003</v>
      </c>
      <c r="H20">
        <f>'Memory Results'!$G20*64</f>
        <v>896192</v>
      </c>
      <c r="I20">
        <f>'Memory Results'!$C20-'Memory Results'!$H20</f>
        <v>2694904</v>
      </c>
      <c r="J20" s="4">
        <f>'Memory Results'!$I20/64</f>
        <v>42107.875</v>
      </c>
      <c r="K20" s="4">
        <f>'Memory Results'!$G20*0.461</f>
        <v>6455.3830000000007</v>
      </c>
      <c r="L20" s="4">
        <f>'Memory Results'!$J20*0.302</f>
        <v>12716.57825</v>
      </c>
      <c r="M20" s="4">
        <f>('Memory Results'!$K20+'Memory Results'!$L20)*64/1000</f>
        <v>1227.0055199999999</v>
      </c>
      <c r="N20" s="5">
        <f>('Memory Results'!$G20-'Memory Results'!$K20)/'Memory Results'!$G20</f>
        <v>0.53899999999999992</v>
      </c>
      <c r="O20" s="5">
        <f>('Memory Results'!$J20-'Memory Results'!$L20)/'Memory Results'!$J20</f>
        <v>0.69800000000000006</v>
      </c>
      <c r="P20" s="2">
        <f>__Anonymous_Sheet_DB__03[[#This Row],[Column4]]*45%</f>
        <v>1615.9932000000001</v>
      </c>
    </row>
    <row r="21" spans="1:16">
      <c r="A21" t="s">
        <v>6</v>
      </c>
      <c r="B21" t="s">
        <v>26</v>
      </c>
      <c r="C21">
        <v>3592496</v>
      </c>
      <c r="D21">
        <f t="shared" si="0"/>
        <v>3592.4960000000001</v>
      </c>
      <c r="E21">
        <v>331</v>
      </c>
      <c r="F21">
        <v>1652</v>
      </c>
      <c r="G21">
        <v>14003</v>
      </c>
      <c r="H21">
        <f>'Memory Results'!$G21*64</f>
        <v>896192</v>
      </c>
      <c r="I21">
        <f>'Memory Results'!$C21-'Memory Results'!$H21</f>
        <v>2696304</v>
      </c>
      <c r="J21" s="4">
        <f>'Memory Results'!$I21/64</f>
        <v>42129.75</v>
      </c>
      <c r="K21" s="4">
        <f>'Memory Results'!$G21*0.58</f>
        <v>8121.74</v>
      </c>
      <c r="L21" s="4">
        <f>'Memory Results'!$J21*0.4</f>
        <v>16851.900000000001</v>
      </c>
      <c r="M21" s="4">
        <f>('Memory Results'!$K21+'Memory Results'!$L21)*64/1000</f>
        <v>1598.31296</v>
      </c>
      <c r="N21" s="5">
        <v>0.53</v>
      </c>
      <c r="O21" s="5">
        <f>('Memory Results'!$J21-'Memory Results'!$L21)/'Memory Results'!$J21</f>
        <v>0.6</v>
      </c>
      <c r="P21" s="2">
        <f>__Anonymous_Sheet_DB__03[[#This Row],[Column4]]*45%</f>
        <v>1616.6232</v>
      </c>
    </row>
    <row r="22" spans="1:16">
      <c r="A22" t="s">
        <v>6</v>
      </c>
      <c r="B22" t="s">
        <v>27</v>
      </c>
      <c r="C22">
        <v>3590336</v>
      </c>
      <c r="D22">
        <f t="shared" si="0"/>
        <v>3590.3359999999998</v>
      </c>
      <c r="E22">
        <v>331</v>
      </c>
      <c r="F22">
        <v>1296</v>
      </c>
      <c r="G22">
        <v>14004</v>
      </c>
      <c r="H22">
        <f>'Memory Results'!$G22*64</f>
        <v>896256</v>
      </c>
      <c r="I22">
        <f>'Memory Results'!$C22-'Memory Results'!$H22</f>
        <v>2694080</v>
      </c>
      <c r="J22" s="4">
        <f>'Memory Results'!$I22/64</f>
        <v>42095</v>
      </c>
      <c r="K22" s="4">
        <f>'Memory Results'!$G22*0.58</f>
        <v>8122.32</v>
      </c>
      <c r="L22" s="4">
        <f>'Memory Results'!$J22*0.4</f>
        <v>16838</v>
      </c>
      <c r="M22" s="4">
        <f>('Memory Results'!$K22+'Memory Results'!$L22)*64/1000</f>
        <v>1597.46048</v>
      </c>
      <c r="N22" s="5">
        <v>0.55000000000000004</v>
      </c>
      <c r="O22" s="5">
        <f>('Memory Results'!$J22-'Memory Results'!$L22)/'Memory Results'!$J22</f>
        <v>0.6</v>
      </c>
      <c r="P22" s="2">
        <f>__Anonymous_Sheet_DB__03[[#This Row],[Column4]]*45%</f>
        <v>1615.6512</v>
      </c>
    </row>
    <row r="23" spans="1:16">
      <c r="A23" t="s">
        <v>6</v>
      </c>
      <c r="B23" t="s">
        <v>28</v>
      </c>
      <c r="C23">
        <v>3593384</v>
      </c>
      <c r="D23">
        <f t="shared" si="0"/>
        <v>3593.384</v>
      </c>
      <c r="E23">
        <v>331</v>
      </c>
      <c r="F23">
        <v>1296</v>
      </c>
      <c r="G23">
        <v>14003</v>
      </c>
      <c r="H23">
        <f>'Memory Results'!$G23*64</f>
        <v>896192</v>
      </c>
      <c r="I23">
        <f>'Memory Results'!$C23-'Memory Results'!$H23</f>
        <v>2697192</v>
      </c>
      <c r="J23" s="4">
        <f>'Memory Results'!$I23/64</f>
        <v>42143.625</v>
      </c>
      <c r="K23" s="4">
        <f>'Memory Results'!$G23*0.58</f>
        <v>8121.74</v>
      </c>
      <c r="L23" s="4">
        <f>'Memory Results'!$J23*0.4</f>
        <v>16857.45</v>
      </c>
      <c r="M23" s="4">
        <f>('Memory Results'!$K23+'Memory Results'!$L23)*64/1000</f>
        <v>1598.6681600000002</v>
      </c>
      <c r="N23" s="5">
        <v>0.51</v>
      </c>
      <c r="O23" s="5">
        <f>('Memory Results'!$J23-'Memory Results'!$L23)/'Memory Results'!$J23</f>
        <v>0.6</v>
      </c>
      <c r="P23" s="2">
        <f>__Anonymous_Sheet_DB__03[[#This Row],[Column4]]*45%</f>
        <v>1617.0228</v>
      </c>
    </row>
    <row r="24" spans="1:16">
      <c r="A24" t="s">
        <v>6</v>
      </c>
      <c r="B24" t="s">
        <v>29</v>
      </c>
      <c r="C24">
        <v>1911400</v>
      </c>
      <c r="D24">
        <f t="shared" si="0"/>
        <v>1911.4</v>
      </c>
      <c r="E24">
        <v>212</v>
      </c>
      <c r="F24">
        <v>2507</v>
      </c>
      <c r="G24">
        <v>7537</v>
      </c>
      <c r="H24">
        <f>'Memory Results'!$G24*64</f>
        <v>482368</v>
      </c>
      <c r="I24">
        <f>'Memory Results'!$C24-'Memory Results'!$H24</f>
        <v>1429032</v>
      </c>
      <c r="J24" s="4">
        <f>'Memory Results'!$I24/64</f>
        <v>22328.625</v>
      </c>
      <c r="K24" s="4">
        <f>'Memory Results'!$G24*0.55</f>
        <v>4145.3500000000004</v>
      </c>
      <c r="L24" s="4">
        <f>'Memory Results'!$J24*0.31</f>
        <v>6921.8737499999997</v>
      </c>
      <c r="M24" s="4">
        <f>('Memory Results'!$K24+'Memory Results'!$L24)*64/1000</f>
        <v>708.30232000000001</v>
      </c>
      <c r="N24" s="5">
        <v>0.47</v>
      </c>
      <c r="O24" s="5">
        <f>('Memory Results'!$J24-'Memory Results'!$L24)/'Memory Results'!$J24</f>
        <v>0.69000000000000006</v>
      </c>
      <c r="P24" s="2">
        <f>__Anonymous_Sheet_DB__03[[#This Row],[Column4]]*45%</f>
        <v>860.13000000000011</v>
      </c>
    </row>
    <row r="25" spans="1:16">
      <c r="A25" t="s">
        <v>6</v>
      </c>
      <c r="B25" t="s">
        <v>30</v>
      </c>
      <c r="C25">
        <v>1996392</v>
      </c>
      <c r="D25">
        <f t="shared" si="0"/>
        <v>1996.3920000000001</v>
      </c>
      <c r="E25">
        <v>222</v>
      </c>
      <c r="F25">
        <v>2507</v>
      </c>
      <c r="G25">
        <v>7797</v>
      </c>
      <c r="H25">
        <f>'Memory Results'!$G25*64</f>
        <v>499008</v>
      </c>
      <c r="I25">
        <f>'Memory Results'!$C25-'Memory Results'!$H25</f>
        <v>1497384</v>
      </c>
      <c r="J25" s="4">
        <f>'Memory Results'!$I25/64</f>
        <v>23396.625</v>
      </c>
      <c r="K25" s="4">
        <f>'Memory Results'!$G25*0.58</f>
        <v>4522.2599999999993</v>
      </c>
      <c r="L25" s="4">
        <f>'Memory Results'!$J25*0.4</f>
        <v>9358.65</v>
      </c>
      <c r="M25" s="4">
        <f>('Memory Results'!$K25+'Memory Results'!$L25)*64/1000</f>
        <v>888.37824000000001</v>
      </c>
      <c r="N25" s="5">
        <v>0.48</v>
      </c>
      <c r="O25" s="5">
        <f>('Memory Results'!$J25-'Memory Results'!$L25)/'Memory Results'!$J25</f>
        <v>0.6</v>
      </c>
      <c r="P25" s="2">
        <f>__Anonymous_Sheet_DB__03[[#This Row],[Column4]]*45%</f>
        <v>898.37639999999999</v>
      </c>
    </row>
    <row r="26" spans="1:16">
      <c r="A26" t="s">
        <v>6</v>
      </c>
      <c r="B26" t="s">
        <v>31</v>
      </c>
      <c r="C26">
        <v>1767480</v>
      </c>
      <c r="D26">
        <f t="shared" si="0"/>
        <v>1767.48</v>
      </c>
      <c r="E26">
        <v>205</v>
      </c>
      <c r="F26">
        <v>2504</v>
      </c>
      <c r="G26">
        <v>7177</v>
      </c>
      <c r="H26">
        <f>'Memory Results'!$G26*64</f>
        <v>459328</v>
      </c>
      <c r="I26">
        <f>'Memory Results'!$C26-'Memory Results'!$H26</f>
        <v>1308152</v>
      </c>
      <c r="J26" s="4">
        <f>'Memory Results'!$I26/64</f>
        <v>20439.875</v>
      </c>
      <c r="K26" s="4">
        <f>'Memory Results'!$G26*0.58</f>
        <v>4162.66</v>
      </c>
      <c r="L26" s="4">
        <f>'Memory Results'!$J26*0.4</f>
        <v>8175.9500000000007</v>
      </c>
      <c r="M26" s="4">
        <f>('Memory Results'!$K26+'Memory Results'!$L26)*64/1000</f>
        <v>789.67104000000006</v>
      </c>
      <c r="N26" s="5">
        <v>0.42</v>
      </c>
      <c r="O26" s="5">
        <f>('Memory Results'!$J26-'Memory Results'!$L26)/'Memory Results'!$J26</f>
        <v>0.6</v>
      </c>
      <c r="P26" s="2">
        <f>__Anonymous_Sheet_DB__03[[#This Row],[Column4]]*45%</f>
        <v>795.36599999999999</v>
      </c>
    </row>
    <row r="27" spans="1:16">
      <c r="A27" t="s">
        <v>6</v>
      </c>
      <c r="B27" t="s">
        <v>32</v>
      </c>
      <c r="C27">
        <v>1835928</v>
      </c>
      <c r="D27">
        <f t="shared" si="0"/>
        <v>1835.9280000000001</v>
      </c>
      <c r="E27">
        <v>205</v>
      </c>
      <c r="F27">
        <v>2612</v>
      </c>
      <c r="G27">
        <v>7320</v>
      </c>
      <c r="H27">
        <f>'Memory Results'!$G27*64</f>
        <v>468480</v>
      </c>
      <c r="I27">
        <f>'Memory Results'!$C27-'Memory Results'!$H27</f>
        <v>1367448</v>
      </c>
      <c r="J27" s="4">
        <f>'Memory Results'!$I27/64</f>
        <v>21366.375</v>
      </c>
      <c r="K27" s="4">
        <f>'Memory Results'!$G27*0.58</f>
        <v>4245.5999999999995</v>
      </c>
      <c r="L27" s="4">
        <f>'Memory Results'!$J27*0.4</f>
        <v>8546.5500000000011</v>
      </c>
      <c r="M27" s="4">
        <f>('Memory Results'!$K27+'Memory Results'!$L27)*64/1000</f>
        <v>818.69760000000008</v>
      </c>
      <c r="N27" s="5">
        <v>0.43</v>
      </c>
      <c r="O27" s="5">
        <f>('Memory Results'!$J27-'Memory Results'!$L27)/'Memory Results'!$J27</f>
        <v>0.6</v>
      </c>
      <c r="P27" s="2">
        <f>__Anonymous_Sheet_DB__03[[#This Row],[Column4]]*45%</f>
        <v>826.16760000000011</v>
      </c>
    </row>
    <row r="28" spans="1:16">
      <c r="A28" t="s">
        <v>6</v>
      </c>
      <c r="B28" t="s">
        <v>33</v>
      </c>
      <c r="C28">
        <v>1912768</v>
      </c>
      <c r="D28">
        <f t="shared" si="0"/>
        <v>1912.768</v>
      </c>
      <c r="E28">
        <v>212</v>
      </c>
      <c r="F28">
        <v>2497</v>
      </c>
      <c r="G28">
        <v>7585</v>
      </c>
      <c r="H28">
        <f>'Memory Results'!$G28*64</f>
        <v>485440</v>
      </c>
      <c r="I28">
        <f>'Memory Results'!$C28-'Memory Results'!$H28</f>
        <v>1427328</v>
      </c>
      <c r="J28" s="4">
        <f>'Memory Results'!$I28/64</f>
        <v>22302</v>
      </c>
      <c r="K28" s="4">
        <f>'Memory Results'!$G28/1.7</f>
        <v>4461.7647058823532</v>
      </c>
      <c r="L28" s="4">
        <f>'Memory Results'!$J28/2.2</f>
        <v>10137.272727272726</v>
      </c>
      <c r="M28" s="4">
        <f>('Memory Results'!$K28+'Memory Results'!$L28)*64/1000</f>
        <v>934.33839572192505</v>
      </c>
      <c r="N28" s="5">
        <f>('Memory Results'!$G28-'Memory Results'!$K28)/'Memory Results'!$G28</f>
        <v>0.41176470588235292</v>
      </c>
      <c r="O28" s="5">
        <f>('Memory Results'!$J28-'Memory Results'!$L28)/'Memory Results'!$J28</f>
        <v>0.54545454545454553</v>
      </c>
      <c r="P28" s="2">
        <f>__Anonymous_Sheet_DB__03[[#This Row],[Column4]]*45%</f>
        <v>860.74560000000008</v>
      </c>
    </row>
    <row r="29" spans="1:16">
      <c r="A29" t="s">
        <v>6</v>
      </c>
      <c r="B29" t="s">
        <v>34</v>
      </c>
      <c r="C29">
        <v>1995680</v>
      </c>
      <c r="D29">
        <f t="shared" si="0"/>
        <v>1995.68</v>
      </c>
      <c r="E29">
        <v>222</v>
      </c>
      <c r="F29">
        <v>2530</v>
      </c>
      <c r="G29">
        <v>7737</v>
      </c>
      <c r="H29">
        <f>'Memory Results'!$G29*64</f>
        <v>495168</v>
      </c>
      <c r="I29">
        <f>'Memory Results'!$C29-'Memory Results'!$H29</f>
        <v>1500512</v>
      </c>
      <c r="J29" s="4">
        <f>'Memory Results'!$I29/64</f>
        <v>23445.5</v>
      </c>
      <c r="K29" s="4">
        <f>'Memory Results'!$G29/1.7</f>
        <v>4551.1764705882351</v>
      </c>
      <c r="L29" s="4">
        <f>'Memory Results'!$J29/2.3</f>
        <v>10193.695652173914</v>
      </c>
      <c r="M29" s="4">
        <f>('Memory Results'!$K29+'Memory Results'!$L29)*64/1000</f>
        <v>943.67181585677758</v>
      </c>
      <c r="N29" s="5">
        <f>('Memory Results'!$G29-'Memory Results'!$K29)/'Memory Results'!$G29</f>
        <v>0.41176470588235298</v>
      </c>
      <c r="O29" s="5">
        <f>('Memory Results'!$J29-'Memory Results'!$L29)/'Memory Results'!$J29</f>
        <v>0.56521739130434778</v>
      </c>
    </row>
    <row r="30" spans="1:16">
      <c r="A30" t="s">
        <v>6</v>
      </c>
      <c r="B30" t="s">
        <v>35</v>
      </c>
      <c r="C30">
        <v>1836296</v>
      </c>
      <c r="D30">
        <f t="shared" si="0"/>
        <v>1836.296</v>
      </c>
      <c r="E30">
        <v>205</v>
      </c>
      <c r="F30">
        <v>2070</v>
      </c>
      <c r="G30">
        <v>7320</v>
      </c>
      <c r="H30">
        <f>'Memory Results'!$G30*64</f>
        <v>468480</v>
      </c>
      <c r="I30">
        <f>'Memory Results'!$C30-'Memory Results'!$H30</f>
        <v>1367816</v>
      </c>
      <c r="J30" s="4">
        <f>'Memory Results'!$I30/64</f>
        <v>21372.125</v>
      </c>
      <c r="K30" s="4">
        <f>'Memory Results'!$G30*0.58</f>
        <v>4245.5999999999995</v>
      </c>
      <c r="L30" s="4">
        <f>'Memory Results'!$J30*0.4</f>
        <v>8548.85</v>
      </c>
      <c r="M30" s="4">
        <f>('Memory Results'!$K30+'Memory Results'!$L30)*64/1000</f>
        <v>818.84480000000008</v>
      </c>
      <c r="N30" s="5">
        <f>('Memory Results'!$G30-'Memory Results'!$K30)/'Memory Results'!$G30</f>
        <v>0.4200000000000001</v>
      </c>
      <c r="O30" s="5">
        <f>('Memory Results'!$J30-'Memory Results'!$L30)/'Memory Results'!$J30</f>
        <v>0.6</v>
      </c>
    </row>
    <row r="31" spans="1:16">
      <c r="A31" t="s">
        <v>6</v>
      </c>
      <c r="B31" t="s">
        <v>36</v>
      </c>
      <c r="C31">
        <v>1836360</v>
      </c>
      <c r="D31">
        <f t="shared" si="0"/>
        <v>1836.36</v>
      </c>
      <c r="E31">
        <v>205</v>
      </c>
      <c r="F31">
        <v>1895</v>
      </c>
      <c r="G31">
        <v>7320</v>
      </c>
      <c r="H31">
        <f>'Memory Results'!$G31*64</f>
        <v>468480</v>
      </c>
      <c r="I31">
        <f>'Memory Results'!$C31-'Memory Results'!$H31</f>
        <v>1367880</v>
      </c>
      <c r="J31" s="4">
        <f>'Memory Results'!$I31/64</f>
        <v>21373.125</v>
      </c>
      <c r="K31" s="4">
        <f>'Memory Results'!$G31*0.58</f>
        <v>4245.5999999999995</v>
      </c>
      <c r="L31" s="4">
        <f>'Memory Results'!$J31*0.4</f>
        <v>8549.25</v>
      </c>
      <c r="M31" s="4">
        <f>('Memory Results'!$K31+'Memory Results'!$L31)*64/1000</f>
        <v>818.8703999999999</v>
      </c>
      <c r="N31" s="5">
        <f>('Memory Results'!$G31-'Memory Results'!$K31)/'Memory Results'!$G31</f>
        <v>0.4200000000000001</v>
      </c>
      <c r="O31" s="5">
        <f>('Memory Results'!$J31-'Memory Results'!$L31)/'Memory Results'!$J31</f>
        <v>0.6</v>
      </c>
    </row>
    <row r="32" spans="1:16">
      <c r="A32" t="s">
        <v>6</v>
      </c>
      <c r="B32" t="s">
        <v>37</v>
      </c>
      <c r="C32">
        <v>2939216</v>
      </c>
      <c r="D32">
        <f t="shared" si="0"/>
        <v>2939.2159999999999</v>
      </c>
      <c r="E32">
        <v>280</v>
      </c>
      <c r="F32">
        <v>2497</v>
      </c>
      <c r="G32">
        <v>11558</v>
      </c>
      <c r="H32">
        <f>'Memory Results'!$G32*64</f>
        <v>739712</v>
      </c>
      <c r="I32">
        <f>'Memory Results'!$C32-'Memory Results'!$H32</f>
        <v>2199504</v>
      </c>
      <c r="J32" s="4">
        <f>'Memory Results'!$I32/64</f>
        <v>34367.25</v>
      </c>
      <c r="K32" s="4">
        <f>'Memory Results'!$G32/1.9</f>
        <v>6083.1578947368425</v>
      </c>
      <c r="L32" s="4">
        <f>'Memory Results'!$J32/2.2</f>
        <v>15621.477272727272</v>
      </c>
      <c r="M32" s="4">
        <f>('Memory Results'!$K32+'Memory Results'!$L32)*64/1000</f>
        <v>1389.0966507177034</v>
      </c>
      <c r="N32" s="5">
        <f>('Memory Results'!$G32-'Memory Results'!$K32)/'Memory Results'!$G32</f>
        <v>0.47368421052631576</v>
      </c>
      <c r="O32" s="5">
        <f>('Memory Results'!$J32-'Memory Results'!$L32)/'Memory Results'!$J32</f>
        <v>0.54545454545454553</v>
      </c>
    </row>
    <row r="33" spans="1:1024">
      <c r="A33" t="s">
        <v>6</v>
      </c>
      <c r="B33" t="s">
        <v>38</v>
      </c>
      <c r="C33">
        <v>2956184</v>
      </c>
      <c r="D33">
        <f t="shared" si="0"/>
        <v>2956.1840000000002</v>
      </c>
      <c r="E33">
        <v>282</v>
      </c>
      <c r="F33">
        <v>2530</v>
      </c>
      <c r="G33">
        <v>11620</v>
      </c>
      <c r="H33">
        <f>'Memory Results'!$G33*64</f>
        <v>743680</v>
      </c>
      <c r="I33">
        <f>'Memory Results'!$C33-'Memory Results'!$H33</f>
        <v>2212504</v>
      </c>
      <c r="J33" s="4">
        <f>'Memory Results'!$I33/64</f>
        <v>34570.375</v>
      </c>
      <c r="K33" s="4">
        <f>'Memory Results'!$G33*0.516</f>
        <v>5995.92</v>
      </c>
      <c r="L33" s="4">
        <f>'Memory Results'!$J33*0.371</f>
        <v>12825.609124999999</v>
      </c>
      <c r="M33" s="4">
        <f>('Memory Results'!$K33+'Memory Results'!$L33)*64/1000</f>
        <v>1204.5778640000001</v>
      </c>
      <c r="N33" s="5">
        <f>('Memory Results'!$G33-'Memory Results'!$K33)/'Memory Results'!$G33</f>
        <v>0.48399999999999999</v>
      </c>
      <c r="O33" s="5">
        <f>('Memory Results'!$J33-'Memory Results'!$L33)/'Memory Results'!$J33</f>
        <v>0.629</v>
      </c>
    </row>
    <row r="34" spans="1:1024">
      <c r="A34" t="s">
        <v>6</v>
      </c>
      <c r="B34" t="s">
        <v>39</v>
      </c>
      <c r="C34">
        <v>2699208</v>
      </c>
      <c r="D34">
        <f t="shared" si="0"/>
        <v>2699.2080000000001</v>
      </c>
      <c r="E34">
        <v>265</v>
      </c>
      <c r="F34">
        <v>1664</v>
      </c>
      <c r="G34">
        <v>10988</v>
      </c>
      <c r="H34">
        <f>'Memory Results'!$G34*64</f>
        <v>703232</v>
      </c>
      <c r="I34">
        <f>'Memory Results'!$C34-'Memory Results'!$H34</f>
        <v>1995976</v>
      </c>
      <c r="J34" s="4">
        <f>'Memory Results'!$I34/64</f>
        <v>31187.125</v>
      </c>
      <c r="K34" s="4">
        <f>'Memory Results'!$G34/1.8</f>
        <v>6104.4444444444443</v>
      </c>
      <c r="L34" s="4">
        <f>'Memory Results'!$J34/2.32</f>
        <v>13442.726293103449</v>
      </c>
      <c r="M34" s="4">
        <f>('Memory Results'!$K34+'Memory Results'!$L34)*64/1000</f>
        <v>1251.0189272030652</v>
      </c>
      <c r="N34" s="5">
        <f>('Memory Results'!$G34-'Memory Results'!$K34)/'Memory Results'!$G34</f>
        <v>0.44444444444444448</v>
      </c>
      <c r="O34" s="5">
        <f>('Memory Results'!$J34-'Memory Results'!$L34)/'Memory Results'!$J34</f>
        <v>0.56896551724137923</v>
      </c>
    </row>
    <row r="35" spans="1:1024">
      <c r="A35" t="s">
        <v>6</v>
      </c>
      <c r="B35" t="s">
        <v>40</v>
      </c>
      <c r="C35">
        <v>2778736</v>
      </c>
      <c r="D35">
        <f t="shared" si="0"/>
        <v>2778.7359999999999</v>
      </c>
      <c r="E35">
        <v>259</v>
      </c>
      <c r="F35">
        <v>1664</v>
      </c>
      <c r="G35">
        <v>11191</v>
      </c>
      <c r="H35">
        <f>'Memory Results'!$G35*64</f>
        <v>716224</v>
      </c>
      <c r="I35">
        <f>'Memory Results'!$C35-'Memory Results'!$H35</f>
        <v>2062512</v>
      </c>
      <c r="J35" s="4">
        <f>'Memory Results'!$I35/64</f>
        <v>32226.75</v>
      </c>
      <c r="K35" s="4">
        <f>'Memory Results'!$G35/2</f>
        <v>5595.5</v>
      </c>
      <c r="L35" s="4">
        <f>'Memory Results'!$J35/2.4</f>
        <v>13427.8125</v>
      </c>
      <c r="M35" s="4">
        <f>('Memory Results'!$K35+'Memory Results'!$L35)*64/1000</f>
        <v>1217.492</v>
      </c>
      <c r="N35" s="5">
        <f>('Memory Results'!$G35-'Memory Results'!$K35)/'Memory Results'!$G35</f>
        <v>0.5</v>
      </c>
      <c r="O35" s="5">
        <f>('Memory Results'!$J35-'Memory Results'!$L35)/'Memory Results'!$J35</f>
        <v>0.58333333333333337</v>
      </c>
    </row>
    <row r="36" spans="1:1024">
      <c r="A36" t="s">
        <v>6</v>
      </c>
      <c r="B36" t="s">
        <v>41</v>
      </c>
      <c r="C36">
        <v>2521592</v>
      </c>
      <c r="D36">
        <f t="shared" si="0"/>
        <v>2521.5920000000001</v>
      </c>
      <c r="E36">
        <v>242</v>
      </c>
      <c r="F36">
        <v>1528</v>
      </c>
      <c r="G36">
        <v>10571</v>
      </c>
      <c r="H36">
        <f>'Memory Results'!$G36*64</f>
        <v>676544</v>
      </c>
      <c r="I36">
        <f>'Memory Results'!$C36-'Memory Results'!$H36</f>
        <v>1845048</v>
      </c>
      <c r="J36" s="4">
        <f>'Memory Results'!$I36/64</f>
        <v>28828.875</v>
      </c>
      <c r="K36" s="4">
        <f>'Memory Results'!$G36/1.9</f>
        <v>5563.6842105263158</v>
      </c>
      <c r="L36" s="4">
        <f>'Memory Results'!$J36/2.5</f>
        <v>11531.55</v>
      </c>
      <c r="M36" s="4">
        <f>('Memory Results'!$K36+'Memory Results'!$L36)*64/1000</f>
        <v>1094.0949894736843</v>
      </c>
      <c r="N36" s="5">
        <f>('Memory Results'!$G36-'Memory Results'!$K36)/'Memory Results'!$G36</f>
        <v>0.47368421052631576</v>
      </c>
      <c r="O36" s="5">
        <f>('Memory Results'!$J36-'Memory Results'!$L36)/'Memory Results'!$J36</f>
        <v>0.6</v>
      </c>
    </row>
    <row r="37" spans="1:1024">
      <c r="A37" t="s">
        <v>6</v>
      </c>
      <c r="B37" t="s">
        <v>42</v>
      </c>
      <c r="C37">
        <v>2597528</v>
      </c>
      <c r="D37">
        <f t="shared" si="0"/>
        <v>2597.5279999999998</v>
      </c>
      <c r="E37">
        <v>248</v>
      </c>
      <c r="F37">
        <v>1652</v>
      </c>
      <c r="G37">
        <v>10714</v>
      </c>
      <c r="H37">
        <f>'Memory Results'!$G37*64</f>
        <v>685696</v>
      </c>
      <c r="I37">
        <f>'Memory Results'!$C37-'Memory Results'!$H37</f>
        <v>1911832</v>
      </c>
      <c r="J37" s="4">
        <f>'Memory Results'!$I37/64</f>
        <v>29872.375</v>
      </c>
      <c r="K37" s="4">
        <f>'Memory Results'!$G37/1.65</f>
        <v>6493.3333333333339</v>
      </c>
      <c r="L37" s="4">
        <f>'Memory Results'!$J37/2.2</f>
        <v>13578.352272727272</v>
      </c>
      <c r="M37" s="4">
        <f>('Memory Results'!$K37+'Memory Results'!$L37)*64/1000</f>
        <v>1284.5878787878789</v>
      </c>
      <c r="N37" s="5">
        <f>('Memory Results'!$G37-'Memory Results'!$K37)/'Memory Results'!$G37</f>
        <v>0.39393939393939387</v>
      </c>
      <c r="O37" s="5">
        <f>('Memory Results'!$J37-'Memory Results'!$L37)/'Memory Results'!$J37</f>
        <v>0.54545454545454553</v>
      </c>
    </row>
    <row r="38" spans="1:1024">
      <c r="A38" t="s">
        <v>6</v>
      </c>
      <c r="B38" t="s">
        <v>43</v>
      </c>
      <c r="C38">
        <v>2526536</v>
      </c>
      <c r="D38">
        <f t="shared" si="0"/>
        <v>2526.5360000000001</v>
      </c>
      <c r="E38">
        <v>248</v>
      </c>
      <c r="F38">
        <v>1296</v>
      </c>
      <c r="G38">
        <v>10619</v>
      </c>
      <c r="H38">
        <f>'Memory Results'!$G38*64</f>
        <v>679616</v>
      </c>
      <c r="I38">
        <f>'Memory Results'!$C38-'Memory Results'!$H38</f>
        <v>1846920</v>
      </c>
      <c r="J38" s="4">
        <f>'Memory Results'!$I38/64</f>
        <v>28858.125</v>
      </c>
      <c r="K38" s="4">
        <f>'Memory Results'!$G38/1.6</f>
        <v>6636.875</v>
      </c>
      <c r="L38" s="4">
        <f>'Memory Results'!$J38/2.2</f>
        <v>13117.329545454544</v>
      </c>
      <c r="M38" s="4">
        <f>('Memory Results'!$K38+'Memory Results'!$L38)*64/1000</f>
        <v>1264.2690909090909</v>
      </c>
      <c r="N38" s="5">
        <f>('Memory Results'!$G38-'Memory Results'!$K38)/'Memory Results'!$G38</f>
        <v>0.375</v>
      </c>
      <c r="O38" s="5">
        <f>('Memory Results'!$J38-'Memory Results'!$L38)/'Memory Results'!$J38</f>
        <v>0.54545454545454553</v>
      </c>
    </row>
    <row r="39" spans="1:1024">
      <c r="A39" t="s">
        <v>6</v>
      </c>
      <c r="B39" t="s">
        <v>44</v>
      </c>
      <c r="C39">
        <v>2596264</v>
      </c>
      <c r="D39">
        <f t="shared" si="0"/>
        <v>2596.2640000000001</v>
      </c>
      <c r="E39">
        <v>248</v>
      </c>
      <c r="F39">
        <v>1296</v>
      </c>
      <c r="G39">
        <v>10714</v>
      </c>
      <c r="H39">
        <f>'Memory Results'!$G39*64</f>
        <v>685696</v>
      </c>
      <c r="I39">
        <f>'Memory Results'!$C39-'Memory Results'!$H39</f>
        <v>1910568</v>
      </c>
      <c r="J39" s="4">
        <f>'Memory Results'!$I39/64</f>
        <v>29852.625</v>
      </c>
      <c r="K39" s="4">
        <f>'Memory Results'!$G39/1.7</f>
        <v>6302.3529411764712</v>
      </c>
      <c r="L39" s="4">
        <f>'Memory Results'!$J39/2</f>
        <v>14926.3125</v>
      </c>
      <c r="M39" s="4">
        <f>('Memory Results'!$K39+'Memory Results'!$L39)*64/1000</f>
        <v>1358.6345882352941</v>
      </c>
      <c r="N39" s="5">
        <f>('Memory Results'!$G39-'Memory Results'!$K39)/'Memory Results'!$G39</f>
        <v>0.41176470588235287</v>
      </c>
      <c r="O39" s="5">
        <f>('Memory Results'!$J39-'Memory Results'!$L39)/'Memory Results'!$J39</f>
        <v>0.5</v>
      </c>
    </row>
    <row r="40" spans="1:1024">
      <c r="A40" s="2"/>
      <c r="B40" s="2"/>
      <c r="C40" s="2"/>
      <c r="G40" s="2"/>
      <c r="H40" s="2"/>
      <c r="I40" s="2"/>
      <c r="J40" s="2"/>
      <c r="K40" s="2"/>
      <c r="L40" s="2"/>
      <c r="M40" s="2">
        <f>1/53</f>
        <v>1.8867924528301886E-2</v>
      </c>
      <c r="N40" s="6">
        <f>AVERAGE(N2:N39)</f>
        <v>0.46682263003413399</v>
      </c>
      <c r="O40" s="7">
        <f>AVERAGE(O2:O39)</f>
        <v>0.60896629050215434</v>
      </c>
      <c r="P40" s="2">
        <f>1/39</f>
        <v>2.564102564102564E-2</v>
      </c>
      <c r="Q40" s="2"/>
      <c r="R40" s="8">
        <f>(N40+O40)/2</f>
        <v>0.53789446026814414</v>
      </c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</row>
    <row r="41" spans="1:1024">
      <c r="N41">
        <f>1/N40</f>
        <v>2.142141223802454</v>
      </c>
    </row>
    <row r="42" spans="1:1024">
      <c r="M42" t="s">
        <v>56</v>
      </c>
      <c r="N42">
        <f>1/62</f>
        <v>1.6129032258064516E-2</v>
      </c>
      <c r="P42">
        <f>1/70</f>
        <v>1.4285714285714285E-2</v>
      </c>
    </row>
    <row r="43" spans="1:1024">
      <c r="M43" t="s">
        <v>57</v>
      </c>
      <c r="O43">
        <f>1/MAX('Memory Results'!$O$2:$O$39)</f>
        <v>1.4326647564469912</v>
      </c>
      <c r="P43">
        <f>1/30</f>
        <v>3.3333333333333333E-2</v>
      </c>
    </row>
    <row r="44" spans="1:1024">
      <c r="P44">
        <f>1/50</f>
        <v>0.02</v>
      </c>
    </row>
    <row r="46" spans="1:1024">
      <c r="N46">
        <f>1/53</f>
        <v>1.8867924528301886E-2</v>
      </c>
    </row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topLeftCell="F13" workbookViewId="0">
      <selection activeCell="M41" sqref="M41:M49"/>
    </sheetView>
  </sheetViews>
  <sheetFormatPr defaultRowHeight="14.25"/>
  <cols>
    <col min="1" max="1" width="12.5" customWidth="1"/>
    <col min="2" max="2" width="13.375" customWidth="1"/>
    <col min="3" max="3" width="40.625" customWidth="1"/>
    <col min="4" max="4" width="19" hidden="1" customWidth="1"/>
    <col min="5" max="5" width="10.625" customWidth="1"/>
    <col min="6" max="6" width="13.625" bestFit="1" customWidth="1"/>
    <col min="7" max="7" width="11.5" customWidth="1"/>
    <col min="8" max="8" width="21.5" bestFit="1" customWidth="1"/>
    <col min="9" max="9" width="26" customWidth="1"/>
    <col min="10" max="10" width="20.375" customWidth="1"/>
    <col min="11" max="11" width="8" customWidth="1"/>
    <col min="12" max="12" width="18.75" bestFit="1" customWidth="1"/>
    <col min="13" max="13" width="10.25" customWidth="1"/>
    <col min="14" max="14" width="10.75" customWidth="1"/>
    <col min="15" max="1028" width="10.625" customWidth="1"/>
    <col min="1029" max="1029" width="9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92</v>
      </c>
      <c r="F1" s="1" t="s">
        <v>95</v>
      </c>
      <c r="G1" s="1" t="s">
        <v>98</v>
      </c>
      <c r="H1" s="1" t="s">
        <v>96</v>
      </c>
      <c r="I1" s="1" t="s">
        <v>97</v>
      </c>
      <c r="J1" s="1" t="s">
        <v>94</v>
      </c>
      <c r="K1" s="1" t="s">
        <v>99</v>
      </c>
      <c r="L1" s="1" t="s">
        <v>93</v>
      </c>
      <c r="M1" s="1"/>
    </row>
    <row r="2" spans="1:19" s="2" customFormat="1">
      <c r="A2" s="2" t="s">
        <v>6</v>
      </c>
      <c r="B2" s="2" t="s">
        <v>49</v>
      </c>
      <c r="C2" s="2" t="s">
        <v>7</v>
      </c>
      <c r="D2" s="2">
        <v>2454536</v>
      </c>
      <c r="E2">
        <v>264</v>
      </c>
      <c r="F2" s="2">
        <v>10158</v>
      </c>
      <c r="G2" s="2">
        <v>2429</v>
      </c>
      <c r="H2" s="4">
        <f>__Anonymous_Sheet_DB__04[[#This Row],[Column8]]*31*0.01</f>
        <v>3148.98</v>
      </c>
      <c r="I2" s="4">
        <f>__Anonymous_Sheet_DB__04[[#This Row],[Column9]]*0.24</f>
        <v>755.75519999999995</v>
      </c>
      <c r="J2" s="35">
        <f>1-__Anonymous_Sheet_DB__04[[#This Row],[Column9]]/__Anonymous_Sheet_DB__04[[#This Row],[Column8]]</f>
        <v>0.69</v>
      </c>
      <c r="K2" s="35">
        <f>1-__Anonymous_Sheet_DB__04[[#This Row],[Column7]]/__Anonymous_Sheet_DB__04[[#This Row],[Column8]]</f>
        <v>0.76087812561527857</v>
      </c>
      <c r="L2" s="35">
        <f>1-__Anonymous_Sheet_DB__04[[#This Row],[Column10]]/__Anonymous_Sheet_DB__04[[#This Row],[Column8]]</f>
        <v>0.92559999999999998</v>
      </c>
      <c r="M2" s="7">
        <f>1/(1-__Anonymous_Sheet_DB__04[[#This Row],[Column1027]])</f>
        <v>4.181967888019761</v>
      </c>
      <c r="N2" s="7">
        <f>1/(1-__Anonymous_Sheet_DB__04[[#This Row],[Column11]])</f>
        <v>13.44086021505376</v>
      </c>
      <c r="O2" s="7">
        <f>1/(1-__Anonymous_Sheet_DB__04[[#This Row],[Column5]])</f>
        <v>3.2258064516129026</v>
      </c>
    </row>
    <row r="3" spans="1:19">
      <c r="A3" t="s">
        <v>6</v>
      </c>
      <c r="B3" t="s">
        <v>49</v>
      </c>
      <c r="C3" t="s">
        <v>8</v>
      </c>
      <c r="D3">
        <v>2383304</v>
      </c>
      <c r="E3">
        <v>256</v>
      </c>
      <c r="F3">
        <v>9971</v>
      </c>
      <c r="G3">
        <v>2511</v>
      </c>
      <c r="H3" s="4">
        <f>__Anonymous_Sheet_DB__04[[#This Row],[Column8]]*31*0.01</f>
        <v>3091.01</v>
      </c>
      <c r="I3" s="4">
        <f>__Anonymous_Sheet_DB__04[[#This Row],[Column9]]*0.13</f>
        <v>401.83130000000006</v>
      </c>
      <c r="J3" s="35">
        <f>1-__Anonymous_Sheet_DB__04[[#This Row],[Column9]]/__Anonymous_Sheet_DB__04[[#This Row],[Column8]]</f>
        <v>0.69</v>
      </c>
      <c r="K3" s="35">
        <f>1-__Anonymous_Sheet_DB__04[[#This Row],[Column7]]/__Anonymous_Sheet_DB__04[[#This Row],[Column8]]</f>
        <v>0.7481696921071106</v>
      </c>
      <c r="L3" s="35">
        <f>1-__Anonymous_Sheet_DB__04[[#This Row],[Column10]]/__Anonymous_Sheet_DB__04[[#This Row],[Column8]]</f>
        <v>0.9597</v>
      </c>
      <c r="M3" s="7">
        <f>1/(1-__Anonymous_Sheet_DB__04[[#This Row],[Column1027]])</f>
        <v>3.970927917164476</v>
      </c>
      <c r="N3" s="7">
        <f>1/(1-__Anonymous_Sheet_DB__04[[#This Row],[Column11]])</f>
        <v>24.813895781637715</v>
      </c>
      <c r="O3" s="7">
        <f>1/(1-__Anonymous_Sheet_DB__04[[#This Row],[Column5]])</f>
        <v>3.2258064516129026</v>
      </c>
      <c r="R3" s="2"/>
      <c r="S3" s="2"/>
    </row>
    <row r="4" spans="1:19">
      <c r="A4" t="s">
        <v>6</v>
      </c>
      <c r="B4" t="s">
        <v>49</v>
      </c>
      <c r="C4" t="s">
        <v>9</v>
      </c>
      <c r="D4">
        <v>2382520</v>
      </c>
      <c r="E4">
        <v>256</v>
      </c>
      <c r="F4">
        <v>9970</v>
      </c>
      <c r="G4">
        <v>2511</v>
      </c>
      <c r="H4" s="4">
        <f>__Anonymous_Sheet_DB__04[[#This Row],[Column8]]*33*0.01</f>
        <v>3290.1</v>
      </c>
      <c r="I4" s="4">
        <f>__Anonymous_Sheet_DB__04[[#This Row],[Column9]]*0.13</f>
        <v>427.71300000000002</v>
      </c>
      <c r="J4" s="35">
        <f>1-__Anonymous_Sheet_DB__04[[#This Row],[Column9]]/__Anonymous_Sheet_DB__04[[#This Row],[Column8]]</f>
        <v>0.66999999999999993</v>
      </c>
      <c r="K4" s="35">
        <f>1-__Anonymous_Sheet_DB__04[[#This Row],[Column7]]/__Anonymous_Sheet_DB__04[[#This Row],[Column8]]</f>
        <v>0.74814443329989966</v>
      </c>
      <c r="L4" s="35">
        <f>1-__Anonymous_Sheet_DB__04[[#This Row],[Column10]]/__Anonymous_Sheet_DB__04[[#This Row],[Column8]]</f>
        <v>0.95709999999999995</v>
      </c>
      <c r="M4" s="7">
        <f>1/(1-__Anonymous_Sheet_DB__04[[#This Row],[Column1027]])</f>
        <v>3.9705296694543999</v>
      </c>
      <c r="N4" s="7">
        <f>1/(1-__Anonymous_Sheet_DB__04[[#This Row],[Column11]])</f>
        <v>23.310023310023283</v>
      </c>
      <c r="O4" s="7">
        <f>1/(1-__Anonymous_Sheet_DB__04[[#This Row],[Column5]])</f>
        <v>3.0303030303030298</v>
      </c>
    </row>
    <row r="5" spans="1:19">
      <c r="A5" t="s">
        <v>6</v>
      </c>
      <c r="B5" t="s">
        <v>49</v>
      </c>
      <c r="C5" t="s">
        <v>10</v>
      </c>
      <c r="D5">
        <v>2065960</v>
      </c>
      <c r="E5">
        <v>231</v>
      </c>
      <c r="F5">
        <v>8452</v>
      </c>
      <c r="G5">
        <v>3128</v>
      </c>
      <c r="H5" s="4">
        <f>__Anonymous_Sheet_DB__04[[#This Row],[Column8]]*30*0.01</f>
        <v>2535.6</v>
      </c>
      <c r="I5" s="4">
        <f>__Anonymous_Sheet_DB__04[[#This Row],[Column9]]*0.13</f>
        <v>329.62799999999999</v>
      </c>
      <c r="J5" s="35">
        <f>1-__Anonymous_Sheet_DB__04[[#This Row],[Column9]]/__Anonymous_Sheet_DB__04[[#This Row],[Column8]]</f>
        <v>0.7</v>
      </c>
      <c r="K5" s="35">
        <f>1-__Anonymous_Sheet_DB__04[[#This Row],[Column7]]/__Anonymous_Sheet_DB__04[[#This Row],[Column8]]</f>
        <v>0.62991008045433028</v>
      </c>
      <c r="L5" s="35">
        <f>1-__Anonymous_Sheet_DB__04[[#This Row],[Column10]]/__Anonymous_Sheet_DB__04[[#This Row],[Column8]]</f>
        <v>0.96099999999999997</v>
      </c>
      <c r="M5" s="7">
        <f>1/(1-__Anonymous_Sheet_DB__04[[#This Row],[Column1027]])</f>
        <v>2.7020460358056262</v>
      </c>
      <c r="N5" s="7">
        <f>1/(1-__Anonymous_Sheet_DB__04[[#This Row],[Column11]])</f>
        <v>25.641025641025617</v>
      </c>
      <c r="O5" s="7">
        <f>1/(1-__Anonymous_Sheet_DB__04[[#This Row],[Column5]])</f>
        <v>3.333333333333333</v>
      </c>
    </row>
    <row r="6" spans="1:19">
      <c r="A6" t="s">
        <v>6</v>
      </c>
      <c r="B6" t="s">
        <v>49</v>
      </c>
      <c r="C6" t="s">
        <v>11</v>
      </c>
      <c r="D6">
        <v>1987232</v>
      </c>
      <c r="E6">
        <v>223</v>
      </c>
      <c r="F6">
        <v>7866</v>
      </c>
      <c r="G6">
        <v>1891</v>
      </c>
      <c r="H6" s="4">
        <f>__Anonymous_Sheet_DB__04[[#This Row],[Column8]]*31*0.01</f>
        <v>2438.46</v>
      </c>
      <c r="I6" s="4">
        <f>__Anonymous_Sheet_DB__04[[#This Row],[Column9]]*0.16</f>
        <v>390.15360000000004</v>
      </c>
      <c r="J6" s="35">
        <f>1-__Anonymous_Sheet_DB__04[[#This Row],[Column9]]/__Anonymous_Sheet_DB__04[[#This Row],[Column8]]</f>
        <v>0.69</v>
      </c>
      <c r="K6" s="35">
        <f>1-__Anonymous_Sheet_DB__04[[#This Row],[Column7]]/__Anonymous_Sheet_DB__04[[#This Row],[Column8]]</f>
        <v>0.75959827103991862</v>
      </c>
      <c r="L6" s="35">
        <f>1-__Anonymous_Sheet_DB__04[[#This Row],[Column10]]/__Anonymous_Sheet_DB__04[[#This Row],[Column8]]</f>
        <v>0.95040000000000002</v>
      </c>
      <c r="M6" s="7">
        <f>1/(1-__Anonymous_Sheet_DB__04[[#This Row],[Column1027]])</f>
        <v>4.1597038603913266</v>
      </c>
      <c r="N6" s="7">
        <f>1/(1-__Anonymous_Sheet_DB__04[[#This Row],[Column11]])</f>
        <v>20.161290322580655</v>
      </c>
      <c r="O6" s="7">
        <f>1/(1-__Anonymous_Sheet_DB__04[[#This Row],[Column5]])</f>
        <v>3.2258064516129026</v>
      </c>
    </row>
    <row r="7" spans="1:19">
      <c r="A7" t="s">
        <v>6</v>
      </c>
      <c r="B7" t="s">
        <v>49</v>
      </c>
      <c r="C7" t="s">
        <v>12</v>
      </c>
      <c r="D7">
        <v>1991672</v>
      </c>
      <c r="E7">
        <v>223</v>
      </c>
      <c r="F7">
        <v>8051</v>
      </c>
      <c r="G7">
        <v>2022</v>
      </c>
      <c r="H7" s="4">
        <f>__Anonymous_Sheet_DB__04[[#This Row],[Column8]]*28*0.01</f>
        <v>2254.2800000000002</v>
      </c>
      <c r="I7" s="4">
        <f>__Anonymous_Sheet_DB__04[[#This Row],[Column9]]*0.15</f>
        <v>338.142</v>
      </c>
      <c r="J7" s="35">
        <f>1-__Anonymous_Sheet_DB__04[[#This Row],[Column9]]/__Anonymous_Sheet_DB__04[[#This Row],[Column8]]</f>
        <v>0.72</v>
      </c>
      <c r="K7" s="35">
        <f>1-__Anonymous_Sheet_DB__04[[#This Row],[Column7]]/__Anonymous_Sheet_DB__04[[#This Row],[Column8]]</f>
        <v>0.74885107440069554</v>
      </c>
      <c r="L7" s="35">
        <f>1-__Anonymous_Sheet_DB__04[[#This Row],[Column10]]/__Anonymous_Sheet_DB__04[[#This Row],[Column8]]</f>
        <v>0.95799999999999996</v>
      </c>
      <c r="M7" s="7">
        <f>1/(1-__Anonymous_Sheet_DB__04[[#This Row],[Column1027]])</f>
        <v>3.9817012858555882</v>
      </c>
      <c r="N7" s="7">
        <f>1/(1-__Anonymous_Sheet_DB__04[[#This Row],[Column11]])</f>
        <v>23.809523809523789</v>
      </c>
      <c r="O7" s="7">
        <f>1/(1-__Anonymous_Sheet_DB__04[[#This Row],[Column5]])</f>
        <v>3.5714285714285712</v>
      </c>
    </row>
    <row r="8" spans="1:19">
      <c r="A8" t="s">
        <v>6</v>
      </c>
      <c r="B8" t="s">
        <v>49</v>
      </c>
      <c r="C8" t="s">
        <v>13</v>
      </c>
      <c r="D8">
        <v>1933752</v>
      </c>
      <c r="E8">
        <v>210</v>
      </c>
      <c r="F8">
        <v>7613</v>
      </c>
      <c r="G8">
        <v>1787</v>
      </c>
      <c r="H8" s="4">
        <f>__Anonymous_Sheet_DB__04[[#This Row],[Column8]]*35*0.01</f>
        <v>2664.55</v>
      </c>
      <c r="I8" s="4">
        <f>__Anonymous_Sheet_DB__04[[#This Row],[Column9]]*0.13</f>
        <v>346.39150000000001</v>
      </c>
      <c r="J8" s="35">
        <f>1-__Anonymous_Sheet_DB__04[[#This Row],[Column9]]/__Anonymous_Sheet_DB__04[[#This Row],[Column8]]</f>
        <v>0.64999999999999991</v>
      </c>
      <c r="K8" s="35">
        <f>1-__Anonymous_Sheet_DB__04[[#This Row],[Column7]]/__Anonymous_Sheet_DB__04[[#This Row],[Column8]]</f>
        <v>0.76526993300932622</v>
      </c>
      <c r="L8" s="35">
        <f>1-__Anonymous_Sheet_DB__04[[#This Row],[Column10]]/__Anonymous_Sheet_DB__04[[#This Row],[Column8]]</f>
        <v>0.95450000000000002</v>
      </c>
      <c r="M8" s="7">
        <f>1/(1-__Anonymous_Sheet_DB__04[[#This Row],[Column1027]])</f>
        <v>4.260212646894237</v>
      </c>
      <c r="N8" s="7">
        <f>1/(1-__Anonymous_Sheet_DB__04[[#This Row],[Column11]])</f>
        <v>21.978021978021985</v>
      </c>
      <c r="O8" s="7">
        <f>1/(1-__Anonymous_Sheet_DB__04[[#This Row],[Column5]])</f>
        <v>2.8571428571428563</v>
      </c>
    </row>
    <row r="9" spans="1:19">
      <c r="A9" t="s">
        <v>6</v>
      </c>
      <c r="B9" t="s">
        <v>49</v>
      </c>
      <c r="C9" t="s">
        <v>14</v>
      </c>
      <c r="D9">
        <v>1929336</v>
      </c>
      <c r="E9">
        <v>210</v>
      </c>
      <c r="F9">
        <v>7805</v>
      </c>
      <c r="G9">
        <v>1945</v>
      </c>
      <c r="H9" s="4">
        <f>__Anonymous_Sheet_DB__04[[#This Row],[Column8]]*33*0.01</f>
        <v>2575.65</v>
      </c>
      <c r="I9" s="4">
        <f>__Anonymous_Sheet_DB__04[[#This Row],[Column9]]*0.14</f>
        <v>360.59100000000007</v>
      </c>
      <c r="J9" s="35">
        <f>1-__Anonymous_Sheet_DB__04[[#This Row],[Column9]]/__Anonymous_Sheet_DB__04[[#This Row],[Column8]]</f>
        <v>0.66999999999999993</v>
      </c>
      <c r="K9" s="35">
        <f>1-__Anonymous_Sheet_DB__04[[#This Row],[Column7]]/__Anonymous_Sheet_DB__04[[#This Row],[Column8]]</f>
        <v>0.75080076873798851</v>
      </c>
      <c r="L9" s="35">
        <f>1-__Anonymous_Sheet_DB__04[[#This Row],[Column10]]/__Anonymous_Sheet_DB__04[[#This Row],[Column8]]</f>
        <v>0.95379999999999998</v>
      </c>
      <c r="M9" s="7">
        <f>1/(1-__Anonymous_Sheet_DB__04[[#This Row],[Column1027]])</f>
        <v>4.0128534704370189</v>
      </c>
      <c r="N9" s="7">
        <f>1/(1-__Anonymous_Sheet_DB__04[[#This Row],[Column11]])</f>
        <v>21.645021645021636</v>
      </c>
      <c r="O9" s="7">
        <f>1/(1-__Anonymous_Sheet_DB__04[[#This Row],[Column5]])</f>
        <v>3.0303030303030298</v>
      </c>
    </row>
    <row r="10" spans="1:19">
      <c r="A10" t="s">
        <v>6</v>
      </c>
      <c r="B10" t="s">
        <v>49</v>
      </c>
      <c r="C10" t="s">
        <v>15</v>
      </c>
      <c r="E10">
        <v>218</v>
      </c>
      <c r="F10">
        <v>8015</v>
      </c>
      <c r="G10">
        <v>1887</v>
      </c>
      <c r="H10" s="4">
        <f>__Anonymous_Sheet_DB__04[[#This Row],[Column8]]*33*0.01</f>
        <v>2644.9500000000003</v>
      </c>
      <c r="I10" s="4">
        <f>__Anonymous_Sheet_DB__04[[#This Row],[Column9]]*0.15</f>
        <v>396.74250000000001</v>
      </c>
      <c r="J10" s="35">
        <f>1-__Anonymous_Sheet_DB__04[[#This Row],[Column9]]/__Anonymous_Sheet_DB__04[[#This Row],[Column8]]</f>
        <v>0.66999999999999993</v>
      </c>
      <c r="K10" s="35">
        <f>1-__Anonymous_Sheet_DB__04[[#This Row],[Column7]]/__Anonymous_Sheet_DB__04[[#This Row],[Column8]]</f>
        <v>0.76456643792888335</v>
      </c>
      <c r="L10" s="35">
        <f>1-__Anonymous_Sheet_DB__04[[#This Row],[Column10]]/__Anonymous_Sheet_DB__04[[#This Row],[Column8]]</f>
        <v>0.95050000000000001</v>
      </c>
      <c r="M10" s="7">
        <f>1/(1-__Anonymous_Sheet_DB__04[[#This Row],[Column1027]])</f>
        <v>4.2474827768945413</v>
      </c>
      <c r="N10" s="7">
        <f>1/(1-__Anonymous_Sheet_DB__04[[#This Row],[Column11]])</f>
        <v>20.202020202020208</v>
      </c>
      <c r="O10" s="7">
        <f>1/(1-__Anonymous_Sheet_DB__04[[#This Row],[Column5]])</f>
        <v>3.0303030303030298</v>
      </c>
    </row>
    <row r="11" spans="1:19">
      <c r="A11" t="s">
        <v>6</v>
      </c>
      <c r="B11" t="s">
        <v>49</v>
      </c>
      <c r="C11" t="s">
        <v>16</v>
      </c>
      <c r="E11">
        <v>218</v>
      </c>
      <c r="F11">
        <v>8211</v>
      </c>
      <c r="G11">
        <v>2057</v>
      </c>
      <c r="H11" s="4">
        <f>__Anonymous_Sheet_DB__04[[#This Row],[Column8]]*31*0.01</f>
        <v>2545.41</v>
      </c>
      <c r="I11" s="4">
        <f>__Anonymous_Sheet_DB__04[[#This Row],[Column9]]*0.21</f>
        <v>534.53609999999992</v>
      </c>
      <c r="J11" s="35">
        <f>1-__Anonymous_Sheet_DB__04[[#This Row],[Column9]]/__Anonymous_Sheet_DB__04[[#This Row],[Column8]]</f>
        <v>0.69</v>
      </c>
      <c r="K11" s="35">
        <f>1-__Anonymous_Sheet_DB__04[[#This Row],[Column7]]/__Anonymous_Sheet_DB__04[[#This Row],[Column8]]</f>
        <v>0.74948240165631463</v>
      </c>
      <c r="L11" s="35">
        <f>1-__Anonymous_Sheet_DB__04[[#This Row],[Column10]]/__Anonymous_Sheet_DB__04[[#This Row],[Column8]]</f>
        <v>0.93490000000000006</v>
      </c>
      <c r="M11" s="7">
        <f>1/(1-__Anonymous_Sheet_DB__04[[#This Row],[Column1027]])</f>
        <v>3.9917355371900816</v>
      </c>
      <c r="N11" s="7">
        <f>1/(1-__Anonymous_Sheet_DB__04[[#This Row],[Column11]])</f>
        <v>15.360983102918603</v>
      </c>
      <c r="O11" s="7">
        <f>1/(1-__Anonymous_Sheet_DB__04[[#This Row],[Column5]])</f>
        <v>3.2258064516129026</v>
      </c>
    </row>
    <row r="12" spans="1:19">
      <c r="A12" t="s">
        <v>6</v>
      </c>
      <c r="B12" t="s">
        <v>49</v>
      </c>
      <c r="C12" t="s">
        <v>17</v>
      </c>
      <c r="D12">
        <v>2321704</v>
      </c>
      <c r="E12">
        <v>242</v>
      </c>
      <c r="F12">
        <v>9749</v>
      </c>
      <c r="G12">
        <v>2439</v>
      </c>
      <c r="H12" s="4">
        <f>__Anonymous_Sheet_DB__04[[#This Row],[Column8]]*29*0.01</f>
        <v>2827.21</v>
      </c>
      <c r="I12" s="4">
        <f>__Anonymous_Sheet_DB__04[[#This Row],[Column9]]*0.19</f>
        <v>537.16989999999998</v>
      </c>
      <c r="J12" s="35">
        <f>1-__Anonymous_Sheet_DB__04[[#This Row],[Column9]]/__Anonymous_Sheet_DB__04[[#This Row],[Column8]]</f>
        <v>0.71</v>
      </c>
      <c r="K12" s="35">
        <f>1-__Anonymous_Sheet_DB__04[[#This Row],[Column7]]/__Anonymous_Sheet_DB__04[[#This Row],[Column8]]</f>
        <v>0.74982049440968312</v>
      </c>
      <c r="L12" s="35">
        <f>1-__Anonymous_Sheet_DB__04[[#This Row],[Column10]]/__Anonymous_Sheet_DB__04[[#This Row],[Column8]]</f>
        <v>0.94489999999999996</v>
      </c>
      <c r="M12" s="7">
        <f>1/(1-__Anonymous_Sheet_DB__04[[#This Row],[Column1027]])</f>
        <v>3.9971299712997141</v>
      </c>
      <c r="N12" s="7">
        <f>1/(1-__Anonymous_Sheet_DB__04[[#This Row],[Column11]])</f>
        <v>18.148820326678752</v>
      </c>
      <c r="O12" s="7">
        <f>1/(1-__Anonymous_Sheet_DB__04[[#This Row],[Column5]])</f>
        <v>3.4482758620689653</v>
      </c>
    </row>
    <row r="13" spans="1:19">
      <c r="A13" t="s">
        <v>6</v>
      </c>
      <c r="B13" t="s">
        <v>49</v>
      </c>
      <c r="C13" t="s">
        <v>18</v>
      </c>
      <c r="D13">
        <v>2320472</v>
      </c>
      <c r="E13">
        <v>242</v>
      </c>
      <c r="F13">
        <v>9488</v>
      </c>
      <c r="G13">
        <v>2441</v>
      </c>
      <c r="H13" s="4">
        <f>__Anonymous_Sheet_DB__04[[#This Row],[Column8]]*30*0.01</f>
        <v>2846.4</v>
      </c>
      <c r="I13" s="4">
        <f>__Anonymous_Sheet_DB__04[[#This Row],[Column9]]*0.13</f>
        <v>370.03200000000004</v>
      </c>
      <c r="J13" s="35">
        <f>1-__Anonymous_Sheet_DB__04[[#This Row],[Column9]]/__Anonymous_Sheet_DB__04[[#This Row],[Column8]]</f>
        <v>0.7</v>
      </c>
      <c r="K13" s="35">
        <f>1-__Anonymous_Sheet_DB__04[[#This Row],[Column7]]/__Anonymous_Sheet_DB__04[[#This Row],[Column8]]</f>
        <v>0.74272765598650925</v>
      </c>
      <c r="L13" s="35">
        <f>1-__Anonymous_Sheet_DB__04[[#This Row],[Column10]]/__Anonymous_Sheet_DB__04[[#This Row],[Column8]]</f>
        <v>0.96099999999999997</v>
      </c>
      <c r="M13" s="7">
        <f>1/(1-__Anonymous_Sheet_DB__04[[#This Row],[Column1027]])</f>
        <v>3.8869315854158129</v>
      </c>
      <c r="N13" s="7">
        <f>1/(1-__Anonymous_Sheet_DB__04[[#This Row],[Column11]])</f>
        <v>25.641025641025617</v>
      </c>
      <c r="O13" s="7">
        <f>1/(1-__Anonymous_Sheet_DB__04[[#This Row],[Column5]])</f>
        <v>3.333333333333333</v>
      </c>
    </row>
    <row r="14" spans="1:19">
      <c r="A14" t="s">
        <v>6</v>
      </c>
      <c r="B14" t="s">
        <v>49</v>
      </c>
      <c r="C14" t="s">
        <v>19</v>
      </c>
      <c r="E14">
        <v>242</v>
      </c>
      <c r="F14">
        <v>9707</v>
      </c>
      <c r="G14">
        <v>2407</v>
      </c>
      <c r="H14" s="4">
        <f>__Anonymous_Sheet_DB__04[[#This Row],[Column8]]*30*0.01</f>
        <v>2912.1</v>
      </c>
      <c r="I14" s="4">
        <f>__Anonymous_Sheet_DB__04[[#This Row],[Column9]]*0.16</f>
        <v>465.93599999999998</v>
      </c>
      <c r="J14" s="35">
        <f>1-__Anonymous_Sheet_DB__04[[#This Row],[Column9]]/__Anonymous_Sheet_DB__04[[#This Row],[Column8]]</f>
        <v>0.7</v>
      </c>
      <c r="K14" s="35">
        <f>1-__Anonymous_Sheet_DB__04[[#This Row],[Column7]]/__Anonymous_Sheet_DB__04[[#This Row],[Column8]]</f>
        <v>0.75203461419594109</v>
      </c>
      <c r="L14" s="35">
        <f>1-__Anonymous_Sheet_DB__04[[#This Row],[Column10]]/__Anonymous_Sheet_DB__04[[#This Row],[Column8]]</f>
        <v>0.95199999999999996</v>
      </c>
      <c r="M14" s="7">
        <f>1/(1-__Anonymous_Sheet_DB__04[[#This Row],[Column1027]])</f>
        <v>4.0328209389281264</v>
      </c>
      <c r="N14" s="7">
        <f>1/(1-__Anonymous_Sheet_DB__04[[#This Row],[Column11]])</f>
        <v>20.833333333333314</v>
      </c>
      <c r="O14" s="7">
        <f>1/(1-__Anonymous_Sheet_DB__04[[#This Row],[Column5]])</f>
        <v>3.333333333333333</v>
      </c>
    </row>
    <row r="15" spans="1:19">
      <c r="A15" t="s">
        <v>6</v>
      </c>
      <c r="B15" t="s">
        <v>49</v>
      </c>
      <c r="C15" t="s">
        <v>20</v>
      </c>
      <c r="E15">
        <v>242</v>
      </c>
      <c r="F15">
        <v>9488</v>
      </c>
      <c r="G15">
        <v>2214</v>
      </c>
      <c r="H15" s="4">
        <f>__Anonymous_Sheet_DB__04[[#This Row],[Column8]]*27*0.01</f>
        <v>2561.7600000000002</v>
      </c>
      <c r="I15" s="4">
        <f>__Anonymous_Sheet_DB__04[[#This Row],[Column9]]*0.13</f>
        <v>333.02880000000005</v>
      </c>
      <c r="J15" s="35">
        <f>1-__Anonymous_Sheet_DB__04[[#This Row],[Column9]]/__Anonymous_Sheet_DB__04[[#This Row],[Column8]]</f>
        <v>0.73</v>
      </c>
      <c r="K15" s="35">
        <f>1-__Anonymous_Sheet_DB__04[[#This Row],[Column7]]/__Anonymous_Sheet_DB__04[[#This Row],[Column8]]</f>
        <v>0.76665261382799321</v>
      </c>
      <c r="L15" s="35">
        <f>1-__Anonymous_Sheet_DB__04[[#This Row],[Column10]]/__Anonymous_Sheet_DB__04[[#This Row],[Column8]]</f>
        <v>0.96489999999999998</v>
      </c>
      <c r="M15" s="7">
        <f>1/(1-__Anonymous_Sheet_DB__04[[#This Row],[Column1027]])</f>
        <v>4.2854561878952113</v>
      </c>
      <c r="N15" s="7">
        <f>1/(1-__Anonymous_Sheet_DB__04[[#This Row],[Column11]])</f>
        <v>28.490028490028475</v>
      </c>
      <c r="O15" s="7">
        <f>1/(1-__Anonymous_Sheet_DB__04[[#This Row],[Column5]])</f>
        <v>3.7037037037037033</v>
      </c>
    </row>
    <row r="16" spans="1:19">
      <c r="A16" t="s">
        <v>6</v>
      </c>
      <c r="B16" t="s">
        <v>49</v>
      </c>
      <c r="C16" t="s">
        <v>21</v>
      </c>
      <c r="D16">
        <v>3664224</v>
      </c>
      <c r="E16">
        <v>334</v>
      </c>
      <c r="F16">
        <v>17206</v>
      </c>
      <c r="G16">
        <v>4323</v>
      </c>
      <c r="H16" s="4">
        <f>__Anonymous_Sheet_DB__04[[#This Row],[Column8]]*33*0.01</f>
        <v>5677.9800000000005</v>
      </c>
      <c r="I16" s="4">
        <f>__Anonymous_Sheet_DB__04[[#This Row],[Column9]]*0.23</f>
        <v>1305.9354000000001</v>
      </c>
      <c r="J16" s="35">
        <f>1-__Anonymous_Sheet_DB__04[[#This Row],[Column9]]/__Anonymous_Sheet_DB__04[[#This Row],[Column8]]</f>
        <v>0.66999999999999993</v>
      </c>
      <c r="K16" s="35">
        <f>1-__Anonymous_Sheet_DB__04[[#This Row],[Column7]]/__Anonymous_Sheet_DB__04[[#This Row],[Column8]]</f>
        <v>0.74875043589445545</v>
      </c>
      <c r="L16" s="35">
        <f>1-__Anonymous_Sheet_DB__04[[#This Row],[Column10]]/__Anonymous_Sheet_DB__04[[#This Row],[Column8]]</f>
        <v>0.92410000000000003</v>
      </c>
      <c r="M16" s="7">
        <f>1/(1-__Anonymous_Sheet_DB__04[[#This Row],[Column1027]])</f>
        <v>3.980106407587324</v>
      </c>
      <c r="N16" s="7">
        <f>1/(1-__Anonymous_Sheet_DB__04[[#This Row],[Column11]])</f>
        <v>13.175230566534919</v>
      </c>
      <c r="O16" s="7">
        <f>1/(1-__Anonymous_Sheet_DB__04[[#This Row],[Column5]])</f>
        <v>3.0303030303030298</v>
      </c>
    </row>
    <row r="17" spans="1:15">
      <c r="A17" t="s">
        <v>6</v>
      </c>
      <c r="B17" t="s">
        <v>49</v>
      </c>
      <c r="C17" t="s">
        <v>22</v>
      </c>
      <c r="D17">
        <v>3665272</v>
      </c>
      <c r="E17">
        <v>334</v>
      </c>
      <c r="F17">
        <v>17208</v>
      </c>
      <c r="G17">
        <v>4320</v>
      </c>
      <c r="H17" s="4">
        <f>__Anonymous_Sheet_DB__04[[#This Row],[Column8]]*32*0.01</f>
        <v>5506.56</v>
      </c>
      <c r="I17" s="4">
        <f>__Anonymous_Sheet_DB__04[[#This Row],[Column9]]*0.25</f>
        <v>1376.64</v>
      </c>
      <c r="J17" s="35">
        <f>1-__Anonymous_Sheet_DB__04[[#This Row],[Column9]]/__Anonymous_Sheet_DB__04[[#This Row],[Column8]]</f>
        <v>0.67999999999999994</v>
      </c>
      <c r="K17" s="35">
        <f>1-__Anonymous_Sheet_DB__04[[#This Row],[Column7]]/__Anonymous_Sheet_DB__04[[#This Row],[Column8]]</f>
        <v>0.7489539748953975</v>
      </c>
      <c r="L17" s="35">
        <f>1-__Anonymous_Sheet_DB__04[[#This Row],[Column10]]/__Anonymous_Sheet_DB__04[[#This Row],[Column8]]</f>
        <v>0.92</v>
      </c>
      <c r="M17" s="7">
        <f>1/(1-__Anonymous_Sheet_DB__04[[#This Row],[Column1027]])</f>
        <v>3.9833333333333334</v>
      </c>
      <c r="N17" s="7">
        <f>1/(1-__Anonymous_Sheet_DB__04[[#This Row],[Column11]])</f>
        <v>12.500000000000007</v>
      </c>
      <c r="O17" s="7">
        <f>1/(1-__Anonymous_Sheet_DB__04[[#This Row],[Column5]])</f>
        <v>3.1249999999999996</v>
      </c>
    </row>
    <row r="18" spans="1:15">
      <c r="A18" t="s">
        <v>6</v>
      </c>
      <c r="B18" t="s">
        <v>49</v>
      </c>
      <c r="C18" t="s">
        <v>23</v>
      </c>
      <c r="E18">
        <v>334</v>
      </c>
      <c r="F18">
        <v>17212</v>
      </c>
      <c r="G18">
        <v>4324</v>
      </c>
      <c r="H18" s="4">
        <f>__Anonymous_Sheet_DB__04[[#This Row],[Column8]]*27*0.01</f>
        <v>4647.24</v>
      </c>
      <c r="I18" s="4">
        <f>__Anonymous_Sheet_DB__04[[#This Row],[Column9]]*0.23</f>
        <v>1068.8652</v>
      </c>
      <c r="J18" s="35">
        <f>1-__Anonymous_Sheet_DB__04[[#This Row],[Column9]]/__Anonymous_Sheet_DB__04[[#This Row],[Column8]]</f>
        <v>0.73</v>
      </c>
      <c r="K18" s="35">
        <f>1-__Anonymous_Sheet_DB__04[[#This Row],[Column7]]/__Anonymous_Sheet_DB__04[[#This Row],[Column8]]</f>
        <v>0.74877992098535906</v>
      </c>
      <c r="L18" s="35">
        <f>1-__Anonymous_Sheet_DB__04[[#This Row],[Column10]]/__Anonymous_Sheet_DB__04[[#This Row],[Column8]]</f>
        <v>0.93789999999999996</v>
      </c>
      <c r="M18" s="7">
        <f>1/(1-__Anonymous_Sheet_DB__04[[#This Row],[Column1027]])</f>
        <v>3.9805735430157263</v>
      </c>
      <c r="N18" s="7">
        <f>1/(1-__Anonymous_Sheet_DB__04[[#This Row],[Column11]])</f>
        <v>16.103059581320441</v>
      </c>
      <c r="O18" s="7">
        <f>1/(1-__Anonymous_Sheet_DB__04[[#This Row],[Column5]])</f>
        <v>3.7037037037037033</v>
      </c>
    </row>
    <row r="19" spans="1:15">
      <c r="A19" t="s">
        <v>6</v>
      </c>
      <c r="B19" t="s">
        <v>49</v>
      </c>
      <c r="C19" t="s">
        <v>24</v>
      </c>
      <c r="E19">
        <v>334</v>
      </c>
      <c r="F19">
        <v>17210</v>
      </c>
      <c r="G19">
        <v>4318</v>
      </c>
      <c r="H19" s="4">
        <f>__Anonymous_Sheet_DB__04[[#This Row],[Column8]]*28*0.01</f>
        <v>4818.8</v>
      </c>
      <c r="I19" s="4">
        <f>__Anonymous_Sheet_DB__04[[#This Row],[Column9]]*0.24</f>
        <v>1156.5119999999999</v>
      </c>
      <c r="J19" s="35">
        <f>1-__Anonymous_Sheet_DB__04[[#This Row],[Column9]]/__Anonymous_Sheet_DB__04[[#This Row],[Column8]]</f>
        <v>0.72</v>
      </c>
      <c r="K19" s="35">
        <f>1-__Anonymous_Sheet_DB__04[[#This Row],[Column7]]/__Anonymous_Sheet_DB__04[[#This Row],[Column8]]</f>
        <v>0.74909936083672291</v>
      </c>
      <c r="L19" s="35">
        <f>1-__Anonymous_Sheet_DB__04[[#This Row],[Column10]]/__Anonymous_Sheet_DB__04[[#This Row],[Column8]]</f>
        <v>0.93279999999999996</v>
      </c>
      <c r="M19" s="7">
        <f>1/(1-__Anonymous_Sheet_DB__04[[#This Row],[Column1027]])</f>
        <v>3.9856415006947672</v>
      </c>
      <c r="N19" s="7">
        <f>1/(1-__Anonymous_Sheet_DB__04[[#This Row],[Column11]])</f>
        <v>14.880952380952372</v>
      </c>
      <c r="O19" s="7">
        <f>1/(1-__Anonymous_Sheet_DB__04[[#This Row],[Column5]])</f>
        <v>3.5714285714285712</v>
      </c>
    </row>
    <row r="20" spans="1:15">
      <c r="A20" t="s">
        <v>6</v>
      </c>
      <c r="B20" t="s">
        <v>49</v>
      </c>
      <c r="C20" t="s">
        <v>25</v>
      </c>
      <c r="D20">
        <v>3591096</v>
      </c>
      <c r="E20">
        <v>331</v>
      </c>
      <c r="F20">
        <v>16738</v>
      </c>
      <c r="G20">
        <v>4200</v>
      </c>
      <c r="H20" s="4">
        <f>__Anonymous_Sheet_DB__04[[#This Row],[Column8]]*30*0.01</f>
        <v>5021.4000000000005</v>
      </c>
      <c r="I20" s="4">
        <f>__Anonymous_Sheet_DB__04[[#This Row],[Column9]]*0.24</f>
        <v>1205.1360000000002</v>
      </c>
      <c r="J20" s="35">
        <f>1-__Anonymous_Sheet_DB__04[[#This Row],[Column9]]/__Anonymous_Sheet_DB__04[[#This Row],[Column8]]</f>
        <v>0.7</v>
      </c>
      <c r="K20" s="35">
        <f>1-__Anonymous_Sheet_DB__04[[#This Row],[Column7]]/__Anonymous_Sheet_DB__04[[#This Row],[Column8]]</f>
        <v>0.7490739634364918</v>
      </c>
      <c r="L20" s="35">
        <f>1-__Anonymous_Sheet_DB__04[[#This Row],[Column10]]/__Anonymous_Sheet_DB__04[[#This Row],[Column8]]</f>
        <v>0.92799999999999994</v>
      </c>
      <c r="M20" s="7">
        <f>1/(1-__Anonymous_Sheet_DB__04[[#This Row],[Column1027]])</f>
        <v>3.985238095238095</v>
      </c>
      <c r="N20" s="7">
        <f>1/(1-__Anonymous_Sheet_DB__04[[#This Row],[Column11]])</f>
        <v>13.888888888888877</v>
      </c>
      <c r="O20" s="7">
        <f>1/(1-__Anonymous_Sheet_DB__04[[#This Row],[Column5]])</f>
        <v>3.333333333333333</v>
      </c>
    </row>
    <row r="21" spans="1:15">
      <c r="A21" t="s">
        <v>6</v>
      </c>
      <c r="B21" t="s">
        <v>49</v>
      </c>
      <c r="C21" t="s">
        <v>26</v>
      </c>
      <c r="E21">
        <v>331</v>
      </c>
      <c r="F21">
        <v>16742</v>
      </c>
      <c r="G21">
        <v>4203</v>
      </c>
      <c r="H21" s="4">
        <f>__Anonymous_Sheet_DB__04[[#This Row],[Column8]]*29*0.01</f>
        <v>4855.18</v>
      </c>
      <c r="I21" s="4">
        <f>__Anonymous_Sheet_DB__04[[#This Row],[Column9]]*0.19</f>
        <v>922.4842000000001</v>
      </c>
      <c r="J21" s="35">
        <f>1-__Anonymous_Sheet_DB__04[[#This Row],[Column9]]/__Anonymous_Sheet_DB__04[[#This Row],[Column8]]</f>
        <v>0.71</v>
      </c>
      <c r="K21" s="35">
        <f>1-__Anonymous_Sheet_DB__04[[#This Row],[Column7]]/__Anonymous_Sheet_DB__04[[#This Row],[Column8]]</f>
        <v>0.74895472464460644</v>
      </c>
      <c r="L21" s="35">
        <f>1-__Anonymous_Sheet_DB__04[[#This Row],[Column10]]/__Anonymous_Sheet_DB__04[[#This Row],[Column8]]</f>
        <v>0.94489999999999996</v>
      </c>
      <c r="M21" s="7">
        <f>1/(1-__Anonymous_Sheet_DB__04[[#This Row],[Column1027]])</f>
        <v>3.9833452295979073</v>
      </c>
      <c r="N21" s="7">
        <f>1/(1-__Anonymous_Sheet_DB__04[[#This Row],[Column11]])</f>
        <v>18.148820326678752</v>
      </c>
      <c r="O21" s="7">
        <f>1/(1-__Anonymous_Sheet_DB__04[[#This Row],[Column5]])</f>
        <v>3.4482758620689653</v>
      </c>
    </row>
    <row r="22" spans="1:15">
      <c r="A22" t="s">
        <v>6</v>
      </c>
      <c r="B22" t="s">
        <v>49</v>
      </c>
      <c r="C22" t="s">
        <v>27</v>
      </c>
      <c r="E22">
        <v>331</v>
      </c>
      <c r="F22">
        <v>16789</v>
      </c>
      <c r="G22">
        <v>4246</v>
      </c>
      <c r="H22" s="4">
        <f>__Anonymous_Sheet_DB__04[[#This Row],[Column8]]*32*0.01</f>
        <v>5372.4800000000005</v>
      </c>
      <c r="I22" s="4">
        <f>__Anonymous_Sheet_DB__04[[#This Row],[Column9]]*0.18</f>
        <v>967.04640000000006</v>
      </c>
      <c r="J22" s="35">
        <f>1-__Anonymous_Sheet_DB__04[[#This Row],[Column9]]/__Anonymous_Sheet_DB__04[[#This Row],[Column8]]</f>
        <v>0.67999999999999994</v>
      </c>
      <c r="K22" s="35">
        <f>1-__Anonymous_Sheet_DB__04[[#This Row],[Column7]]/__Anonymous_Sheet_DB__04[[#This Row],[Column8]]</f>
        <v>0.74709631306212398</v>
      </c>
      <c r="L22" s="35">
        <f>1-__Anonymous_Sheet_DB__04[[#This Row],[Column10]]/__Anonymous_Sheet_DB__04[[#This Row],[Column8]]</f>
        <v>0.94240000000000002</v>
      </c>
      <c r="M22" s="7">
        <f>1/(1-__Anonymous_Sheet_DB__04[[#This Row],[Column1027]])</f>
        <v>3.9540744229863396</v>
      </c>
      <c r="N22" s="7">
        <f>1/(1-__Anonymous_Sheet_DB__04[[#This Row],[Column11]])</f>
        <v>17.361111111111114</v>
      </c>
      <c r="O22" s="7">
        <f>1/(1-__Anonymous_Sheet_DB__04[[#This Row],[Column5]])</f>
        <v>3.1249999999999996</v>
      </c>
    </row>
    <row r="23" spans="1:15">
      <c r="A23" t="s">
        <v>6</v>
      </c>
      <c r="B23" t="s">
        <v>49</v>
      </c>
      <c r="C23" t="s">
        <v>28</v>
      </c>
      <c r="E23">
        <v>331</v>
      </c>
      <c r="F23">
        <v>16748</v>
      </c>
      <c r="G23">
        <v>4203</v>
      </c>
      <c r="H23" s="4">
        <f>__Anonymous_Sheet_DB__04[[#This Row],[Column8]]*32*0.01</f>
        <v>5359.36</v>
      </c>
      <c r="I23" s="4">
        <f>__Anonymous_Sheet_DB__04[[#This Row],[Column9]]*0.18</f>
        <v>964.68479999999988</v>
      </c>
      <c r="J23" s="35">
        <f>1-__Anonymous_Sheet_DB__04[[#This Row],[Column9]]/__Anonymous_Sheet_DB__04[[#This Row],[Column8]]</f>
        <v>0.67999999999999994</v>
      </c>
      <c r="K23" s="35">
        <f>1-__Anonymous_Sheet_DB__04[[#This Row],[Column7]]/__Anonymous_Sheet_DB__04[[#This Row],[Column8]]</f>
        <v>0.74904466204919995</v>
      </c>
      <c r="L23" s="35">
        <f>1-__Anonymous_Sheet_DB__04[[#This Row],[Column10]]/__Anonymous_Sheet_DB__04[[#This Row],[Column8]]</f>
        <v>0.94240000000000002</v>
      </c>
      <c r="M23" s="7">
        <f>1/(1-__Anonymous_Sheet_DB__04[[#This Row],[Column1027]])</f>
        <v>3.984772781346658</v>
      </c>
      <c r="N23" s="7">
        <f>1/(1-__Anonymous_Sheet_DB__04[[#This Row],[Column11]])</f>
        <v>17.361111111111114</v>
      </c>
      <c r="O23" s="7">
        <f>1/(1-__Anonymous_Sheet_DB__04[[#This Row],[Column5]])</f>
        <v>3.1249999999999996</v>
      </c>
    </row>
    <row r="24" spans="1:15">
      <c r="A24" t="s">
        <v>6</v>
      </c>
      <c r="B24" t="s">
        <v>49</v>
      </c>
      <c r="C24" t="s">
        <v>29</v>
      </c>
      <c r="D24">
        <v>1911400</v>
      </c>
      <c r="E24">
        <v>212</v>
      </c>
      <c r="F24">
        <v>7672</v>
      </c>
      <c r="G24">
        <v>1912</v>
      </c>
      <c r="H24" s="4">
        <f>__Anonymous_Sheet_DB__04[[#This Row],[Column8]]*27*0.01</f>
        <v>2071.44</v>
      </c>
      <c r="I24" s="4">
        <f>__Anonymous_Sheet_DB__04[[#This Row],[Column9]]*0.15</f>
        <v>310.71600000000001</v>
      </c>
      <c r="J24" s="35">
        <f>1-__Anonymous_Sheet_DB__04[[#This Row],[Column9]]/__Anonymous_Sheet_DB__04[[#This Row],[Column8]]</f>
        <v>0.73</v>
      </c>
      <c r="K24" s="35">
        <f>1-__Anonymous_Sheet_DB__04[[#This Row],[Column7]]/__Anonymous_Sheet_DB__04[[#This Row],[Column8]]</f>
        <v>0.75078206465067776</v>
      </c>
      <c r="L24" s="35">
        <f>1-__Anonymous_Sheet_DB__04[[#This Row],[Column10]]/__Anonymous_Sheet_DB__04[[#This Row],[Column8]]</f>
        <v>0.95950000000000002</v>
      </c>
      <c r="M24" s="7">
        <f>1/(1-__Anonymous_Sheet_DB__04[[#This Row],[Column1027]])</f>
        <v>4.01255230125523</v>
      </c>
      <c r="N24" s="7">
        <f>1/(1-__Anonymous_Sheet_DB__04[[#This Row],[Column11]])</f>
        <v>24.691358024691368</v>
      </c>
      <c r="O24" s="7">
        <f>1/(1-__Anonymous_Sheet_DB__04[[#This Row],[Column5]])</f>
        <v>3.7037037037037033</v>
      </c>
    </row>
    <row r="25" spans="1:15">
      <c r="A25" t="s">
        <v>6</v>
      </c>
      <c r="B25" t="s">
        <v>49</v>
      </c>
      <c r="C25" t="s">
        <v>30</v>
      </c>
      <c r="E25">
        <v>222</v>
      </c>
      <c r="F25">
        <v>7954</v>
      </c>
      <c r="G25">
        <v>1858</v>
      </c>
      <c r="H25" s="4">
        <f>__Anonymous_Sheet_DB__04[[#This Row],[Column8]]*33*0.01</f>
        <v>2624.82</v>
      </c>
      <c r="I25" s="4">
        <f>__Anonymous_Sheet_DB__04[[#This Row],[Column9]]*0.14</f>
        <v>367.47480000000007</v>
      </c>
      <c r="J25" s="35">
        <f>1-__Anonymous_Sheet_DB__04[[#This Row],[Column9]]/__Anonymous_Sheet_DB__04[[#This Row],[Column8]]</f>
        <v>0.66999999999999993</v>
      </c>
      <c r="K25" s="35">
        <f>1-__Anonymous_Sheet_DB__04[[#This Row],[Column7]]/__Anonymous_Sheet_DB__04[[#This Row],[Column8]]</f>
        <v>0.76640683932612519</v>
      </c>
      <c r="L25" s="35">
        <f>1-__Anonymous_Sheet_DB__04[[#This Row],[Column10]]/__Anonymous_Sheet_DB__04[[#This Row],[Column8]]</f>
        <v>0.95379999999999998</v>
      </c>
      <c r="M25" s="7">
        <f>1/(1-__Anonymous_Sheet_DB__04[[#This Row],[Column1027]])</f>
        <v>4.2809472551130243</v>
      </c>
      <c r="N25" s="7">
        <f>1/(1-__Anonymous_Sheet_DB__04[[#This Row],[Column11]])</f>
        <v>21.645021645021636</v>
      </c>
      <c r="O25" s="7">
        <f>1/(1-__Anonymous_Sheet_DB__04[[#This Row],[Column5]])</f>
        <v>3.0303030303030298</v>
      </c>
    </row>
    <row r="26" spans="1:15">
      <c r="A26" t="s">
        <v>6</v>
      </c>
      <c r="B26" t="s">
        <v>49</v>
      </c>
      <c r="C26" t="s">
        <v>31</v>
      </c>
      <c r="E26">
        <v>205</v>
      </c>
      <c r="F26">
        <v>6947</v>
      </c>
      <c r="G26">
        <v>1741</v>
      </c>
      <c r="H26" s="4">
        <f>__Anonymous_Sheet_DB__04[[#This Row],[Column8]]*34*0.01</f>
        <v>2361.98</v>
      </c>
      <c r="I26" s="4">
        <f>__Anonymous_Sheet_DB__04[[#This Row],[Column9]]*0.13</f>
        <v>307.05740000000003</v>
      </c>
      <c r="J26" s="35">
        <f>1-__Anonymous_Sheet_DB__04[[#This Row],[Column9]]/__Anonymous_Sheet_DB__04[[#This Row],[Column8]]</f>
        <v>0.65999999999999992</v>
      </c>
      <c r="K26" s="35">
        <f>1-__Anonymous_Sheet_DB__04[[#This Row],[Column7]]/__Anonymous_Sheet_DB__04[[#This Row],[Column8]]</f>
        <v>0.74938822513315095</v>
      </c>
      <c r="L26" s="35">
        <f>1-__Anonymous_Sheet_DB__04[[#This Row],[Column10]]/__Anonymous_Sheet_DB__04[[#This Row],[Column8]]</f>
        <v>0.95579999999999998</v>
      </c>
      <c r="M26" s="7">
        <f>1/(1-__Anonymous_Sheet_DB__04[[#This Row],[Column1027]])</f>
        <v>3.9902354968408953</v>
      </c>
      <c r="N26" s="7">
        <f>1/(1-__Anonymous_Sheet_DB__04[[#This Row],[Column11]])</f>
        <v>22.624434389140262</v>
      </c>
      <c r="O26" s="7">
        <f>1/(1-__Anonymous_Sheet_DB__04[[#This Row],[Column5]])</f>
        <v>2.9411764705882346</v>
      </c>
    </row>
    <row r="27" spans="1:15">
      <c r="A27" t="s">
        <v>6</v>
      </c>
      <c r="B27" t="s">
        <v>49</v>
      </c>
      <c r="C27" t="s">
        <v>32</v>
      </c>
      <c r="E27">
        <v>205</v>
      </c>
      <c r="F27">
        <v>7261</v>
      </c>
      <c r="G27">
        <v>1801</v>
      </c>
      <c r="H27" s="4">
        <f>__Anonymous_Sheet_DB__04[[#This Row],[Column8]]*33*0.01</f>
        <v>2396.13</v>
      </c>
      <c r="I27" s="4">
        <f>__Anonymous_Sheet_DB__04[[#This Row],[Column9]]*0.14</f>
        <v>335.45820000000003</v>
      </c>
      <c r="J27" s="35">
        <f>1-__Anonymous_Sheet_DB__04[[#This Row],[Column9]]/__Anonymous_Sheet_DB__04[[#This Row],[Column8]]</f>
        <v>0.66999999999999993</v>
      </c>
      <c r="K27" s="35">
        <f>1-__Anonymous_Sheet_DB__04[[#This Row],[Column7]]/__Anonymous_Sheet_DB__04[[#This Row],[Column8]]</f>
        <v>0.75196253959509707</v>
      </c>
      <c r="L27" s="35">
        <f>1-__Anonymous_Sheet_DB__04[[#This Row],[Column10]]/__Anonymous_Sheet_DB__04[[#This Row],[Column8]]</f>
        <v>0.95379999999999998</v>
      </c>
      <c r="M27" s="7">
        <f>1/(1-__Anonymous_Sheet_DB__04[[#This Row],[Column1027]])</f>
        <v>4.0316490838423098</v>
      </c>
      <c r="N27" s="7">
        <f>1/(1-__Anonymous_Sheet_DB__04[[#This Row],[Column11]])</f>
        <v>21.645021645021636</v>
      </c>
      <c r="O27" s="7">
        <f>1/(1-__Anonymous_Sheet_DB__04[[#This Row],[Column5]])</f>
        <v>3.0303030303030298</v>
      </c>
    </row>
    <row r="28" spans="1:15">
      <c r="A28" t="s">
        <v>6</v>
      </c>
      <c r="B28" t="s">
        <v>49</v>
      </c>
      <c r="C28" t="s">
        <v>33</v>
      </c>
      <c r="E28">
        <v>212</v>
      </c>
      <c r="F28">
        <v>7508</v>
      </c>
      <c r="G28">
        <v>1780</v>
      </c>
      <c r="H28" s="4">
        <f>__Anonymous_Sheet_DB__04[[#This Row],[Column8]]*35*0.01</f>
        <v>2627.8</v>
      </c>
      <c r="I28" s="4">
        <f>__Anonymous_Sheet_DB__04[[#This Row],[Column9]]*0.13</f>
        <v>341.61400000000003</v>
      </c>
      <c r="J28" s="35">
        <f>1-__Anonymous_Sheet_DB__04[[#This Row],[Column9]]/__Anonymous_Sheet_DB__04[[#This Row],[Column8]]</f>
        <v>0.64999999999999991</v>
      </c>
      <c r="K28" s="35">
        <f>1-__Anonymous_Sheet_DB__04[[#This Row],[Column7]]/__Anonymous_Sheet_DB__04[[#This Row],[Column8]]</f>
        <v>0.76291955247735754</v>
      </c>
      <c r="L28" s="35">
        <f>1-__Anonymous_Sheet_DB__04[[#This Row],[Column10]]/__Anonymous_Sheet_DB__04[[#This Row],[Column8]]</f>
        <v>0.95450000000000002</v>
      </c>
      <c r="M28" s="7">
        <f>1/(1-__Anonymous_Sheet_DB__04[[#This Row],[Column1027]])</f>
        <v>4.2179775280898886</v>
      </c>
      <c r="N28" s="7">
        <f>1/(1-__Anonymous_Sheet_DB__04[[#This Row],[Column11]])</f>
        <v>21.978021978021985</v>
      </c>
      <c r="O28" s="7">
        <f>1/(1-__Anonymous_Sheet_DB__04[[#This Row],[Column5]])</f>
        <v>2.8571428571428563</v>
      </c>
    </row>
    <row r="29" spans="1:15">
      <c r="A29" t="s">
        <v>6</v>
      </c>
      <c r="B29" t="s">
        <v>49</v>
      </c>
      <c r="C29" t="s">
        <v>34</v>
      </c>
      <c r="E29">
        <v>222</v>
      </c>
      <c r="F29">
        <v>8204</v>
      </c>
      <c r="G29">
        <v>2068</v>
      </c>
      <c r="H29" s="4">
        <f>__Anonymous_Sheet_DB__04[[#This Row],[Column8]]*33*0.01</f>
        <v>2707.32</v>
      </c>
      <c r="I29" s="4">
        <f>__Anonymous_Sheet_DB__04[[#This Row],[Column9]]*0.13</f>
        <v>351.95160000000004</v>
      </c>
      <c r="J29" s="35">
        <f>1-__Anonymous_Sheet_DB__04[[#This Row],[Column9]]/__Anonymous_Sheet_DB__04[[#This Row],[Column8]]</f>
        <v>0.66999999999999993</v>
      </c>
      <c r="K29" s="35">
        <f>1-__Anonymous_Sheet_DB__04[[#This Row],[Column7]]/__Anonymous_Sheet_DB__04[[#This Row],[Column8]]</f>
        <v>0.74792784007801072</v>
      </c>
      <c r="L29" s="35">
        <f>1-__Anonymous_Sheet_DB__04[[#This Row],[Column10]]/__Anonymous_Sheet_DB__04[[#This Row],[Column8]]</f>
        <v>0.95709999999999995</v>
      </c>
      <c r="M29" s="7">
        <f>1/(1-__Anonymous_Sheet_DB__04[[#This Row],[Column1027]])</f>
        <v>3.967117988394584</v>
      </c>
      <c r="N29" s="7">
        <f>1/(1-__Anonymous_Sheet_DB__04[[#This Row],[Column11]])</f>
        <v>23.310023310023283</v>
      </c>
      <c r="O29" s="7">
        <f>1/(1-__Anonymous_Sheet_DB__04[[#This Row],[Column5]])</f>
        <v>3.0303030303030298</v>
      </c>
    </row>
    <row r="30" spans="1:15">
      <c r="A30" t="s">
        <v>6</v>
      </c>
      <c r="B30" t="s">
        <v>49</v>
      </c>
      <c r="C30" t="s">
        <v>35</v>
      </c>
      <c r="E30">
        <v>205</v>
      </c>
      <c r="F30">
        <v>7264</v>
      </c>
      <c r="G30">
        <v>1802</v>
      </c>
      <c r="H30" s="4">
        <f>__Anonymous_Sheet_DB__04[[#This Row],[Column8]]*32*0.01</f>
        <v>2324.48</v>
      </c>
      <c r="I30" s="4">
        <f>__Anonymous_Sheet_DB__04[[#This Row],[Column9]]*0.13</f>
        <v>302.18240000000003</v>
      </c>
      <c r="J30" s="35">
        <f>1-__Anonymous_Sheet_DB__04[[#This Row],[Column9]]/__Anonymous_Sheet_DB__04[[#This Row],[Column8]]</f>
        <v>0.67999999999999994</v>
      </c>
      <c r="K30" s="35">
        <f>1-__Anonymous_Sheet_DB__04[[#This Row],[Column7]]/__Anonymous_Sheet_DB__04[[#This Row],[Column8]]</f>
        <v>0.75192731277533043</v>
      </c>
      <c r="L30" s="35">
        <f>1-__Anonymous_Sheet_DB__04[[#This Row],[Column10]]/__Anonymous_Sheet_DB__04[[#This Row],[Column8]]</f>
        <v>0.95840000000000003</v>
      </c>
      <c r="M30" s="7">
        <f>1/(1-__Anonymous_Sheet_DB__04[[#This Row],[Column1027]])</f>
        <v>4.031076581576027</v>
      </c>
      <c r="N30" s="7">
        <f>1/(1-__Anonymous_Sheet_DB__04[[#This Row],[Column11]])</f>
        <v>24.038461538461554</v>
      </c>
      <c r="O30" s="7">
        <f>1/(1-__Anonymous_Sheet_DB__04[[#This Row],[Column5]])</f>
        <v>3.1249999999999996</v>
      </c>
    </row>
    <row r="31" spans="1:15">
      <c r="A31" t="s">
        <v>6</v>
      </c>
      <c r="B31" t="s">
        <v>49</v>
      </c>
      <c r="C31" t="s">
        <v>36</v>
      </c>
      <c r="E31">
        <v>205</v>
      </c>
      <c r="F31">
        <v>7264</v>
      </c>
      <c r="G31">
        <v>1802</v>
      </c>
      <c r="H31" s="4">
        <f>__Anonymous_Sheet_DB__04[[#This Row],[Column8]]*30*0.01</f>
        <v>2179.1999999999998</v>
      </c>
      <c r="I31" s="4">
        <f>__Anonymous_Sheet_DB__04[[#This Row],[Column9]]*0.13</f>
        <v>283.29599999999999</v>
      </c>
      <c r="J31" s="35">
        <f>1-__Anonymous_Sheet_DB__04[[#This Row],[Column9]]/__Anonymous_Sheet_DB__04[[#This Row],[Column8]]</f>
        <v>0.7</v>
      </c>
      <c r="K31" s="35">
        <f>1-__Anonymous_Sheet_DB__04[[#This Row],[Column7]]/__Anonymous_Sheet_DB__04[[#This Row],[Column8]]</f>
        <v>0.75192731277533043</v>
      </c>
      <c r="L31" s="35">
        <f>1-__Anonymous_Sheet_DB__04[[#This Row],[Column10]]/__Anonymous_Sheet_DB__04[[#This Row],[Column8]]</f>
        <v>0.96099999999999997</v>
      </c>
      <c r="M31" s="7">
        <f>1/(1-__Anonymous_Sheet_DB__04[[#This Row],[Column1027]])</f>
        <v>4.031076581576027</v>
      </c>
      <c r="N31" s="7">
        <f>1/(1-__Anonymous_Sheet_DB__04[[#This Row],[Column11]])</f>
        <v>25.641025641025617</v>
      </c>
      <c r="O31" s="7">
        <f>1/(1-__Anonymous_Sheet_DB__04[[#This Row],[Column5]])</f>
        <v>3.333333333333333</v>
      </c>
    </row>
    <row r="32" spans="1:15">
      <c r="A32" t="s">
        <v>6</v>
      </c>
      <c r="B32" t="s">
        <v>49</v>
      </c>
      <c r="C32" t="s">
        <v>37</v>
      </c>
      <c r="D32">
        <v>2939216</v>
      </c>
      <c r="E32">
        <v>280</v>
      </c>
      <c r="F32">
        <v>12399</v>
      </c>
      <c r="G32">
        <v>2815</v>
      </c>
      <c r="H32" s="4">
        <f>__Anonymous_Sheet_DB__04[[#This Row],[Column8]]*28*0.01</f>
        <v>3471.7200000000003</v>
      </c>
      <c r="I32" s="4">
        <f>__Anonymous_Sheet_DB__04[[#This Row],[Column9]]*0.17</f>
        <v>590.19240000000013</v>
      </c>
      <c r="J32" s="35">
        <f>1-__Anonymous_Sheet_DB__04[[#This Row],[Column9]]/__Anonymous_Sheet_DB__04[[#This Row],[Column8]]</f>
        <v>0.72</v>
      </c>
      <c r="K32" s="35">
        <f>1-__Anonymous_Sheet_DB__04[[#This Row],[Column7]]/__Anonymous_Sheet_DB__04[[#This Row],[Column8]]</f>
        <v>0.77296556173884989</v>
      </c>
      <c r="L32" s="35">
        <f>1-__Anonymous_Sheet_DB__04[[#This Row],[Column10]]/__Anonymous_Sheet_DB__04[[#This Row],[Column8]]</f>
        <v>0.95240000000000002</v>
      </c>
      <c r="M32" s="7">
        <f>1/(1-__Anonymous_Sheet_DB__04[[#This Row],[Column1027]])</f>
        <v>4.4046181172291297</v>
      </c>
      <c r="N32" s="7">
        <f>1/(1-__Anonymous_Sheet_DB__04[[#This Row],[Column11]])</f>
        <v>21.008403361344548</v>
      </c>
      <c r="O32" s="7">
        <f>1/(1-__Anonymous_Sheet_DB__04[[#This Row],[Column5]])</f>
        <v>3.5714285714285712</v>
      </c>
    </row>
    <row r="33" spans="1:15">
      <c r="A33" t="s">
        <v>6</v>
      </c>
      <c r="B33" t="s">
        <v>49</v>
      </c>
      <c r="C33" t="s">
        <v>38</v>
      </c>
      <c r="D33">
        <v>2956184</v>
      </c>
      <c r="E33">
        <v>282</v>
      </c>
      <c r="F33">
        <v>12532</v>
      </c>
      <c r="G33">
        <v>2861</v>
      </c>
      <c r="H33" s="4">
        <f>__Anonymous_Sheet_DB__04[[#This Row],[Column8]]*28*0.01</f>
        <v>3508.96</v>
      </c>
      <c r="I33" s="4">
        <f>__Anonymous_Sheet_DB__04[[#This Row],[Column9]]*0.18</f>
        <v>631.61279999999999</v>
      </c>
      <c r="J33" s="35">
        <f>1-__Anonymous_Sheet_DB__04[[#This Row],[Column9]]/__Anonymous_Sheet_DB__04[[#This Row],[Column8]]</f>
        <v>0.72</v>
      </c>
      <c r="K33" s="35">
        <f>1-__Anonymous_Sheet_DB__04[[#This Row],[Column7]]/__Anonymous_Sheet_DB__04[[#This Row],[Column8]]</f>
        <v>0.77170443664219601</v>
      </c>
      <c r="L33" s="35">
        <f>1-__Anonymous_Sheet_DB__04[[#This Row],[Column10]]/__Anonymous_Sheet_DB__04[[#This Row],[Column8]]</f>
        <v>0.9496</v>
      </c>
      <c r="M33" s="7">
        <f>1/(1-__Anonymous_Sheet_DB__04[[#This Row],[Column1027]])</f>
        <v>4.3802866130723528</v>
      </c>
      <c r="N33" s="7">
        <f>1/(1-__Anonymous_Sheet_DB__04[[#This Row],[Column11]])</f>
        <v>19.841269841269842</v>
      </c>
      <c r="O33" s="7">
        <f>1/(1-__Anonymous_Sheet_DB__04[[#This Row],[Column5]])</f>
        <v>3.5714285714285712</v>
      </c>
    </row>
    <row r="34" spans="1:15">
      <c r="A34" t="s">
        <v>6</v>
      </c>
      <c r="B34" t="s">
        <v>49</v>
      </c>
      <c r="C34" t="s">
        <v>39</v>
      </c>
      <c r="D34">
        <v>2699208</v>
      </c>
      <c r="E34">
        <v>265</v>
      </c>
      <c r="F34">
        <v>11371</v>
      </c>
      <c r="G34">
        <v>2804</v>
      </c>
      <c r="H34" s="4">
        <f>__Anonymous_Sheet_DB__04[[#This Row],[Column8]]*25*0.01</f>
        <v>2842.75</v>
      </c>
      <c r="I34" s="4">
        <f>__Anonymous_Sheet_DB__04[[#This Row],[Column9]]*0.19</f>
        <v>540.12250000000006</v>
      </c>
      <c r="J34" s="35">
        <f>1-__Anonymous_Sheet_DB__04[[#This Row],[Column9]]/__Anonymous_Sheet_DB__04[[#This Row],[Column8]]</f>
        <v>0.75</v>
      </c>
      <c r="K34" s="35">
        <f>1-__Anonymous_Sheet_DB__04[[#This Row],[Column7]]/__Anonymous_Sheet_DB__04[[#This Row],[Column8]]</f>
        <v>0.75340779175094541</v>
      </c>
      <c r="L34" s="35">
        <f>1-__Anonymous_Sheet_DB__04[[#This Row],[Column10]]/__Anonymous_Sheet_DB__04[[#This Row],[Column8]]</f>
        <v>0.95250000000000001</v>
      </c>
      <c r="M34" s="7">
        <f>1/(1-__Anonymous_Sheet_DB__04[[#This Row],[Column1027]])</f>
        <v>4.05527817403709</v>
      </c>
      <c r="N34" s="7">
        <f>1/(1-__Anonymous_Sheet_DB__04[[#This Row],[Column11]])</f>
        <v>21.052631578947373</v>
      </c>
      <c r="O34" s="7">
        <f>1/(1-__Anonymous_Sheet_DB__04[[#This Row],[Column5]])</f>
        <v>4</v>
      </c>
    </row>
    <row r="35" spans="1:15">
      <c r="A35" t="s">
        <v>6</v>
      </c>
      <c r="B35" t="s">
        <v>49</v>
      </c>
      <c r="C35" t="s">
        <v>40</v>
      </c>
      <c r="D35">
        <v>2778736</v>
      </c>
      <c r="E35">
        <v>259</v>
      </c>
      <c r="F35">
        <v>11502</v>
      </c>
      <c r="G35">
        <v>2648</v>
      </c>
      <c r="H35" s="4">
        <f>__Anonymous_Sheet_DB__04[[#This Row],[Column8]]*27*0.01</f>
        <v>3105.54</v>
      </c>
      <c r="I35" s="4">
        <f>__Anonymous_Sheet_DB__04[[#This Row],[Column9]]*0.19</f>
        <v>590.05259999999998</v>
      </c>
      <c r="J35" s="35">
        <f>1-__Anonymous_Sheet_DB__04[[#This Row],[Column9]]/__Anonymous_Sheet_DB__04[[#This Row],[Column8]]</f>
        <v>0.73</v>
      </c>
      <c r="K35" s="35">
        <f>1-__Anonymous_Sheet_DB__04[[#This Row],[Column7]]/__Anonymous_Sheet_DB__04[[#This Row],[Column8]]</f>
        <v>0.7697791688402017</v>
      </c>
      <c r="L35" s="35">
        <f>1-__Anonymous_Sheet_DB__04[[#This Row],[Column10]]/__Anonymous_Sheet_DB__04[[#This Row],[Column8]]</f>
        <v>0.94869999999999999</v>
      </c>
      <c r="M35" s="7">
        <f>1/(1-__Anonymous_Sheet_DB__04[[#This Row],[Column1027]])</f>
        <v>4.3436555891238671</v>
      </c>
      <c r="N35" s="7">
        <f>1/(1-__Anonymous_Sheet_DB__04[[#This Row],[Column11]])</f>
        <v>19.493177387914226</v>
      </c>
      <c r="O35" s="7">
        <f>1/(1-__Anonymous_Sheet_DB__04[[#This Row],[Column5]])</f>
        <v>3.7037037037037033</v>
      </c>
    </row>
    <row r="36" spans="1:15">
      <c r="A36" t="s">
        <v>6</v>
      </c>
      <c r="B36" t="s">
        <v>49</v>
      </c>
      <c r="C36" t="s">
        <v>41</v>
      </c>
      <c r="D36">
        <v>2521592</v>
      </c>
      <c r="E36">
        <v>242</v>
      </c>
      <c r="F36">
        <v>10254</v>
      </c>
      <c r="G36">
        <v>2517</v>
      </c>
      <c r="H36" s="4">
        <f>__Anonymous_Sheet_DB__04[[#This Row],[Column8]]*32*0.01</f>
        <v>3281.28</v>
      </c>
      <c r="I36" s="4">
        <f>__Anonymous_Sheet_DB__04[[#This Row],[Column9]]*0.21</f>
        <v>689.06880000000001</v>
      </c>
      <c r="J36" s="35">
        <f>1-__Anonymous_Sheet_DB__04[[#This Row],[Column9]]/__Anonymous_Sheet_DB__04[[#This Row],[Column8]]</f>
        <v>0.67999999999999994</v>
      </c>
      <c r="K36" s="35">
        <f>1-__Anonymous_Sheet_DB__04[[#This Row],[Column7]]/__Anonymous_Sheet_DB__04[[#This Row],[Column8]]</f>
        <v>0.75453481568168523</v>
      </c>
      <c r="L36" s="35">
        <f>1-__Anonymous_Sheet_DB__04[[#This Row],[Column10]]/__Anonymous_Sheet_DB__04[[#This Row],[Column8]]</f>
        <v>0.93279999999999996</v>
      </c>
      <c r="M36" s="7">
        <f>1/(1-__Anonymous_Sheet_DB__04[[#This Row],[Column1027]])</f>
        <v>4.0738974970202628</v>
      </c>
      <c r="N36" s="7">
        <f>1/(1-__Anonymous_Sheet_DB__04[[#This Row],[Column11]])</f>
        <v>14.880952380952372</v>
      </c>
      <c r="O36" s="7">
        <f>1/(1-__Anonymous_Sheet_DB__04[[#This Row],[Column5]])</f>
        <v>3.1249999999999996</v>
      </c>
    </row>
    <row r="37" spans="1:15">
      <c r="A37" t="s">
        <v>6</v>
      </c>
      <c r="B37" t="s">
        <v>49</v>
      </c>
      <c r="C37" t="s">
        <v>42</v>
      </c>
      <c r="D37">
        <v>2597528</v>
      </c>
      <c r="E37">
        <v>248</v>
      </c>
      <c r="F37">
        <v>10645</v>
      </c>
      <c r="G37">
        <v>2585</v>
      </c>
      <c r="H37" s="4">
        <f>__Anonymous_Sheet_DB__04[[#This Row],[Column8]]*29*0.01</f>
        <v>3087.05</v>
      </c>
      <c r="I37" s="4">
        <f>__Anonymous_Sheet_DB__04[[#This Row],[Column9]]*0.2</f>
        <v>617.41000000000008</v>
      </c>
      <c r="J37" s="35">
        <f>1-__Anonymous_Sheet_DB__04[[#This Row],[Column9]]/__Anonymous_Sheet_DB__04[[#This Row],[Column8]]</f>
        <v>0.71</v>
      </c>
      <c r="K37" s="35">
        <f>1-__Anonymous_Sheet_DB__04[[#This Row],[Column7]]/__Anonymous_Sheet_DB__04[[#This Row],[Column8]]</f>
        <v>0.7571629873179897</v>
      </c>
      <c r="L37" s="35">
        <f>1-__Anonymous_Sheet_DB__04[[#This Row],[Column10]]/__Anonymous_Sheet_DB__04[[#This Row],[Column8]]</f>
        <v>0.94199999999999995</v>
      </c>
      <c r="M37" s="7">
        <f>1/(1-__Anonymous_Sheet_DB__04[[#This Row],[Column1027]])</f>
        <v>4.11798839458414</v>
      </c>
      <c r="N37" s="7">
        <f>1/(1-__Anonymous_Sheet_DB__04[[#This Row],[Column11]])</f>
        <v>17.241379310344811</v>
      </c>
      <c r="O37" s="7">
        <f>1/(1-__Anonymous_Sheet_DB__04[[#This Row],[Column5]])</f>
        <v>3.4482758620689653</v>
      </c>
    </row>
    <row r="38" spans="1:15">
      <c r="A38" t="s">
        <v>6</v>
      </c>
      <c r="B38" t="s">
        <v>49</v>
      </c>
      <c r="C38" t="s">
        <v>43</v>
      </c>
      <c r="D38">
        <v>2526536</v>
      </c>
      <c r="E38">
        <v>248</v>
      </c>
      <c r="F38">
        <v>10109</v>
      </c>
      <c r="G38">
        <v>2396</v>
      </c>
      <c r="H38" s="4">
        <f>__Anonymous_Sheet_DB__04[[#This Row],[Column8]]*27*0.01</f>
        <v>2729.43</v>
      </c>
      <c r="I38" s="4">
        <f>__Anonymous_Sheet_DB__04[[#This Row],[Column9]]*0.22</f>
        <v>600.47460000000001</v>
      </c>
      <c r="J38" s="35">
        <f>1-__Anonymous_Sheet_DB__04[[#This Row],[Column9]]/__Anonymous_Sheet_DB__04[[#This Row],[Column8]]</f>
        <v>0.73</v>
      </c>
      <c r="K38" s="35">
        <f>1-__Anonymous_Sheet_DB__04[[#This Row],[Column7]]/__Anonymous_Sheet_DB__04[[#This Row],[Column8]]</f>
        <v>0.76298348006726679</v>
      </c>
      <c r="L38" s="35">
        <f>1-__Anonymous_Sheet_DB__04[[#This Row],[Column10]]/__Anonymous_Sheet_DB__04[[#This Row],[Column8]]</f>
        <v>0.94059999999999999</v>
      </c>
      <c r="M38" s="7">
        <f>1/(1-__Anonymous_Sheet_DB__04[[#This Row],[Column1027]])</f>
        <v>4.2191151919866448</v>
      </c>
      <c r="N38" s="7">
        <f>1/(1-__Anonymous_Sheet_DB__04[[#This Row],[Column11]])</f>
        <v>16.835016835016834</v>
      </c>
      <c r="O38" s="7">
        <f>1/(1-__Anonymous_Sheet_DB__04[[#This Row],[Column5]])</f>
        <v>3.7037037037037033</v>
      </c>
    </row>
    <row r="39" spans="1:15">
      <c r="A39" t="s">
        <v>6</v>
      </c>
      <c r="B39" t="s">
        <v>49</v>
      </c>
      <c r="C39" t="s">
        <v>44</v>
      </c>
      <c r="D39">
        <v>2596264</v>
      </c>
      <c r="E39">
        <v>248</v>
      </c>
      <c r="F39">
        <v>10641</v>
      </c>
      <c r="G39">
        <v>2585</v>
      </c>
      <c r="H39" s="4">
        <f>__Anonymous_Sheet_DB__04[[#This Row],[Column8]]*28*0.01</f>
        <v>2979.48</v>
      </c>
      <c r="I39" s="4">
        <f>__Anonymous_Sheet_DB__04[[#This Row],[Column9]]*0.21</f>
        <v>625.69079999999997</v>
      </c>
      <c r="J39" s="35">
        <f>1-__Anonymous_Sheet_DB__04[[#This Row],[Column9]]/__Anonymous_Sheet_DB__04[[#This Row],[Column8]]</f>
        <v>0.72</v>
      </c>
      <c r="K39" s="35">
        <f>1-__Anonymous_Sheet_DB__04[[#This Row],[Column7]]/__Anonymous_Sheet_DB__04[[#This Row],[Column8]]</f>
        <v>0.75707170378723809</v>
      </c>
      <c r="L39" s="35">
        <f>1-__Anonymous_Sheet_DB__04[[#This Row],[Column10]]/__Anonymous_Sheet_DB__04[[#This Row],[Column8]]</f>
        <v>0.94120000000000004</v>
      </c>
      <c r="M39" s="7">
        <f>1/(1-__Anonymous_Sheet_DB__04[[#This Row],[Column1027]])</f>
        <v>4.1164410058027086</v>
      </c>
      <c r="N39" s="7">
        <f>1/(1-__Anonymous_Sheet_DB__04[[#This Row],[Column11]])</f>
        <v>17.006802721088444</v>
      </c>
      <c r="O39" s="7">
        <f>1/(1-__Anonymous_Sheet_DB__04[[#This Row],[Column5]])</f>
        <v>3.5714285714285712</v>
      </c>
    </row>
    <row r="40" spans="1:15">
      <c r="E40" s="33"/>
      <c r="F40" s="34">
        <f>AVERAGE(F2:F39)</f>
        <v>10787.473684210527</v>
      </c>
      <c r="G40" s="34">
        <f>AVERAGE(G2:G39)</f>
        <v>2678.4473684210525</v>
      </c>
      <c r="H40" s="34">
        <f>AVERAGE(H2:H39)</f>
        <v>3260.3905263157894</v>
      </c>
      <c r="I40" s="34">
        <f>AVERAGE(I2:I39)</f>
        <v>590.50867894736848</v>
      </c>
      <c r="J40" s="35">
        <f>AVERAGE(J2:J39)</f>
        <v>0.6957894736842104</v>
      </c>
      <c r="K40" s="35">
        <f>1-__Anonymous_Sheet_DB__04[[#This Row],[Column7]]/__Anonymous_Sheet_DB__04[[#This Row],[Column8]]</f>
        <v>0.7517076336101326</v>
      </c>
      <c r="L40" s="35">
        <f>1-__Anonymous_Sheet_DB__04[[#This Row],[Column10]]/__Anonymous_Sheet_DB__04[[#This Row],[Column8]]</f>
        <v>0.94525978034952818</v>
      </c>
      <c r="M40" s="7">
        <f>1/(1-__Anonymous_Sheet_DB__04[[#This Row],[Column1027]])</f>
        <v>4.0275100460793274</v>
      </c>
      <c r="N40" s="7">
        <f>1/(1-__Anonymous_Sheet_DB__04[[#This Row],[Column11]])</f>
        <v>18.268103533109969</v>
      </c>
      <c r="O40" s="7">
        <f>1/(1-__Anonymous_Sheet_DB__04[[#This Row],[Column5]])</f>
        <v>3.2871972318339089</v>
      </c>
    </row>
    <row r="41" spans="1:15">
      <c r="M41" s="36"/>
    </row>
    <row r="42" spans="1:15">
      <c r="M42" s="36"/>
      <c r="O42" s="36"/>
    </row>
    <row r="43" spans="1:15">
      <c r="M43" s="36"/>
    </row>
    <row r="44" spans="1:15">
      <c r="M44" s="36"/>
    </row>
    <row r="45" spans="1:15">
      <c r="M45" s="36"/>
    </row>
    <row r="46" spans="1:15">
      <c r="M46" s="36"/>
    </row>
    <row r="47" spans="1:15">
      <c r="M47" s="36"/>
    </row>
    <row r="48" spans="1:15">
      <c r="M48" s="36"/>
    </row>
  </sheetData>
  <pageMargins left="0" right="0" top="0.39370078740157505" bottom="0.39370078740157505" header="0" footer="0"/>
  <pageSetup fitToWidth="0" fitToHeight="0" orientation="portrait" r:id="rId1"/>
  <headerFooter>
    <oddHeader>&amp;C&amp;A</oddHeader>
    <oddFooter>&amp;CPage &amp;P</oddFooter>
  </headerFooter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W11"/>
  <sheetViews>
    <sheetView workbookViewId="0"/>
  </sheetViews>
  <sheetFormatPr defaultRowHeight="14.25"/>
  <cols>
    <col min="1" max="2" width="9" customWidth="1"/>
    <col min="3" max="3" width="34.625" customWidth="1"/>
    <col min="4" max="4" width="6" customWidth="1"/>
    <col min="5" max="5" width="5.375" customWidth="1"/>
    <col min="6" max="6" width="11.875" bestFit="1" customWidth="1"/>
    <col min="7" max="7" width="5.875" bestFit="1" customWidth="1"/>
    <col min="8" max="9" width="6.75" customWidth="1"/>
    <col min="10" max="10" width="10.75" bestFit="1" customWidth="1"/>
    <col min="11" max="11" width="7.875" bestFit="1" customWidth="1"/>
    <col min="12" max="12" width="6" customWidth="1"/>
    <col min="13" max="13" width="12.5" bestFit="1" customWidth="1"/>
    <col min="14" max="14" width="5.875" customWidth="1"/>
    <col min="15" max="15" width="6.375" customWidth="1"/>
    <col min="16" max="16" width="13.5" customWidth="1"/>
    <col min="17" max="17" width="6.625" customWidth="1"/>
    <col min="18" max="18" width="9" customWidth="1"/>
    <col min="19" max="19" width="7.5" bestFit="1" customWidth="1"/>
    <col min="20" max="23" width="11.875" bestFit="1" customWidth="1"/>
    <col min="24" max="24" width="9" customWidth="1"/>
  </cols>
  <sheetData>
    <row r="1" spans="3:23" ht="15">
      <c r="D1" s="37" t="s">
        <v>58</v>
      </c>
      <c r="E1" s="37"/>
      <c r="F1" s="37"/>
      <c r="G1" s="37"/>
      <c r="H1" s="37"/>
      <c r="I1" s="37"/>
      <c r="J1" s="37"/>
      <c r="K1" s="9"/>
      <c r="L1" s="9"/>
      <c r="M1" s="9"/>
      <c r="N1" s="9"/>
      <c r="O1" s="9"/>
    </row>
    <row r="2" spans="3:23" ht="15">
      <c r="C2" s="10" t="s">
        <v>59</v>
      </c>
      <c r="D2" s="11" t="s">
        <v>60</v>
      </c>
      <c r="E2" s="11" t="s">
        <v>61</v>
      </c>
      <c r="F2" s="11" t="s">
        <v>62</v>
      </c>
      <c r="G2" s="12" t="s">
        <v>63</v>
      </c>
      <c r="H2" s="12" t="s">
        <v>64</v>
      </c>
      <c r="I2" s="12" t="s">
        <v>62</v>
      </c>
      <c r="J2" s="13" t="s">
        <v>65</v>
      </c>
      <c r="K2" s="13" t="s">
        <v>4</v>
      </c>
      <c r="L2" s="13" t="s">
        <v>62</v>
      </c>
      <c r="M2" s="12" t="s">
        <v>66</v>
      </c>
      <c r="N2" s="12" t="s">
        <v>64</v>
      </c>
      <c r="O2" s="12" t="s">
        <v>67</v>
      </c>
      <c r="P2" s="14" t="s">
        <v>68</v>
      </c>
      <c r="Q2" s="3" t="s">
        <v>4</v>
      </c>
      <c r="S2" s="38" t="s">
        <v>69</v>
      </c>
      <c r="T2" s="15" t="s">
        <v>70</v>
      </c>
      <c r="U2" s="15" t="s">
        <v>71</v>
      </c>
      <c r="V2" s="15" t="s">
        <v>72</v>
      </c>
      <c r="W2" s="15" t="s">
        <v>73</v>
      </c>
    </row>
    <row r="3" spans="3:23">
      <c r="C3" s="16" t="s">
        <v>74</v>
      </c>
      <c r="D3" s="17">
        <v>375</v>
      </c>
      <c r="E3" s="17">
        <v>24</v>
      </c>
      <c r="F3" s="18">
        <f>1-E3/Q3</f>
        <v>0.63636363636363635</v>
      </c>
      <c r="G3" s="19">
        <v>400</v>
      </c>
      <c r="H3" s="19">
        <v>25</v>
      </c>
      <c r="I3" s="20">
        <f>1-H3/Q3</f>
        <v>0.62121212121212122</v>
      </c>
      <c r="J3" s="21">
        <v>359</v>
      </c>
      <c r="K3" s="21">
        <v>23</v>
      </c>
      <c r="L3" s="22">
        <f>1-K3/Q3</f>
        <v>0.65151515151515149</v>
      </c>
      <c r="M3" s="19"/>
      <c r="N3" s="19"/>
      <c r="O3" s="19">
        <v>0</v>
      </c>
      <c r="P3" s="23">
        <v>1031</v>
      </c>
      <c r="Q3" s="3">
        <v>66</v>
      </c>
      <c r="S3" s="38"/>
      <c r="T3" s="24">
        <f>AVERAGE(F3:F11)</f>
        <v>0.71652114708452741</v>
      </c>
      <c r="U3" s="24">
        <f>AVERAGE(I3:I11)</f>
        <v>0.60608147199696505</v>
      </c>
      <c r="V3" s="24">
        <f>AVERAGE(L3:L11)</f>
        <v>0.57505097927633142</v>
      </c>
      <c r="W3" s="24">
        <f>AVERAGE(O3:O11)</f>
        <v>0.14555555555555555</v>
      </c>
    </row>
    <row r="4" spans="3:23">
      <c r="C4" s="16" t="s">
        <v>75</v>
      </c>
      <c r="D4" s="17">
        <v>421</v>
      </c>
      <c r="E4" s="17">
        <v>27</v>
      </c>
      <c r="F4" s="18">
        <f>1-E4/Q4</f>
        <v>0.8098591549295775</v>
      </c>
      <c r="G4" s="19">
        <v>540</v>
      </c>
      <c r="H4" s="19">
        <v>35</v>
      </c>
      <c r="I4" s="20">
        <f>1-H4/Q4</f>
        <v>0.75352112676056338</v>
      </c>
      <c r="J4" s="21">
        <v>384</v>
      </c>
      <c r="K4" s="21">
        <v>25</v>
      </c>
      <c r="L4" s="22">
        <f>1-K4/Q4</f>
        <v>0.823943661971831</v>
      </c>
      <c r="M4" s="19"/>
      <c r="N4" s="19"/>
      <c r="O4" s="19">
        <v>0</v>
      </c>
      <c r="P4" s="25">
        <v>2218</v>
      </c>
      <c r="Q4" s="3">
        <v>142</v>
      </c>
      <c r="T4">
        <v>15</v>
      </c>
      <c r="U4">
        <v>25</v>
      </c>
      <c r="V4">
        <v>35</v>
      </c>
      <c r="W4">
        <v>25</v>
      </c>
    </row>
    <row r="5" spans="3:23">
      <c r="C5" s="16" t="s">
        <v>76</v>
      </c>
      <c r="D5" s="17">
        <v>813</v>
      </c>
      <c r="E5" s="17">
        <v>67</v>
      </c>
      <c r="F5" s="18">
        <f>1-E5/Q5</f>
        <v>0.78246753246753253</v>
      </c>
      <c r="G5" s="19">
        <v>4812</v>
      </c>
      <c r="H5" s="19">
        <v>308</v>
      </c>
      <c r="I5" s="20">
        <f>1-H5/Q5</f>
        <v>0</v>
      </c>
      <c r="J5" s="21"/>
      <c r="K5" s="21"/>
      <c r="L5" s="22">
        <v>0.62</v>
      </c>
      <c r="M5" s="19"/>
      <c r="N5" s="19"/>
      <c r="O5" s="19">
        <v>0</v>
      </c>
      <c r="P5" s="25">
        <v>4812</v>
      </c>
      <c r="Q5" s="3">
        <v>308</v>
      </c>
    </row>
    <row r="6" spans="3:23">
      <c r="C6" s="16" t="s">
        <v>77</v>
      </c>
      <c r="D6" s="17">
        <f t="shared" ref="D6:D11" si="0">E6*1000/64</f>
        <v>21389.999999999996</v>
      </c>
      <c r="E6" s="17">
        <f t="shared" ref="E6:E11" si="1">F6*Q6</f>
        <v>1368.9599999999998</v>
      </c>
      <c r="F6" s="17">
        <v>0.69</v>
      </c>
      <c r="G6" s="19">
        <f t="shared" ref="G6:G11" si="2">H6*1000/64</f>
        <v>20150.000000000004</v>
      </c>
      <c r="H6" s="19">
        <f t="shared" ref="H6:H11" si="3">I6*Q6</f>
        <v>1289.6000000000001</v>
      </c>
      <c r="I6" s="19">
        <v>0.65</v>
      </c>
      <c r="J6" s="21">
        <f t="shared" ref="J6:J11" si="4">K6*1000/64</f>
        <v>17980</v>
      </c>
      <c r="K6" s="21">
        <f t="shared" ref="K6:K11" si="5">L6*Q6</f>
        <v>1150.72</v>
      </c>
      <c r="L6" s="21">
        <v>0.57999999999999996</v>
      </c>
      <c r="M6" s="19">
        <f t="shared" ref="M6:M11" si="6">N6*1000/64</f>
        <v>9299.9999999999982</v>
      </c>
      <c r="N6" s="19">
        <f t="shared" ref="N6:N11" si="7">O6*Q6</f>
        <v>595.19999999999993</v>
      </c>
      <c r="O6" s="19">
        <v>0.3</v>
      </c>
      <c r="P6" s="26">
        <f t="shared" ref="P6:P11" si="8">Q6*1000/64</f>
        <v>31000</v>
      </c>
      <c r="Q6" s="3">
        <v>1984</v>
      </c>
    </row>
    <row r="7" spans="3:23">
      <c r="C7" s="16" t="s">
        <v>78</v>
      </c>
      <c r="D7" s="17">
        <f t="shared" si="0"/>
        <v>17828.750000000004</v>
      </c>
      <c r="E7" s="17">
        <f t="shared" si="1"/>
        <v>1141.0400000000002</v>
      </c>
      <c r="F7" s="17">
        <v>0.68</v>
      </c>
      <c r="G7" s="19">
        <f t="shared" si="2"/>
        <v>17566.5625</v>
      </c>
      <c r="H7" s="19">
        <f t="shared" si="3"/>
        <v>1124.26</v>
      </c>
      <c r="I7" s="19">
        <v>0.67</v>
      </c>
      <c r="J7" s="21">
        <f t="shared" si="4"/>
        <v>14158.125</v>
      </c>
      <c r="K7" s="21">
        <f t="shared" si="5"/>
        <v>906.12</v>
      </c>
      <c r="L7" s="21">
        <v>0.54</v>
      </c>
      <c r="M7" s="19">
        <f t="shared" si="6"/>
        <v>5243.75</v>
      </c>
      <c r="N7" s="19">
        <f t="shared" si="7"/>
        <v>335.6</v>
      </c>
      <c r="O7" s="19">
        <v>0.2</v>
      </c>
      <c r="P7" s="26">
        <f t="shared" si="8"/>
        <v>26218.75</v>
      </c>
      <c r="Q7" s="27">
        <v>1678</v>
      </c>
    </row>
    <row r="8" spans="3:23">
      <c r="C8" s="16" t="s">
        <v>79</v>
      </c>
      <c r="D8" s="17">
        <f t="shared" si="0"/>
        <v>22376.09375</v>
      </c>
      <c r="E8" s="17">
        <f t="shared" si="1"/>
        <v>1432.07</v>
      </c>
      <c r="F8" s="17">
        <v>0.71</v>
      </c>
      <c r="G8" s="19">
        <f t="shared" si="2"/>
        <v>19854.84375</v>
      </c>
      <c r="H8" s="19">
        <f t="shared" si="3"/>
        <v>1270.71</v>
      </c>
      <c r="I8" s="19">
        <v>0.63</v>
      </c>
      <c r="J8" s="21">
        <f t="shared" si="4"/>
        <v>17963.906249999996</v>
      </c>
      <c r="K8" s="21">
        <f t="shared" si="5"/>
        <v>1149.6899999999998</v>
      </c>
      <c r="L8" s="21">
        <v>0.56999999999999995</v>
      </c>
      <c r="M8" s="19">
        <f t="shared" si="6"/>
        <v>6618.28125</v>
      </c>
      <c r="N8" s="19">
        <f t="shared" si="7"/>
        <v>423.57</v>
      </c>
      <c r="O8" s="19">
        <v>0.21</v>
      </c>
      <c r="P8" s="26">
        <f t="shared" si="8"/>
        <v>31515.625</v>
      </c>
      <c r="Q8" s="3">
        <v>2017</v>
      </c>
    </row>
    <row r="9" spans="3:23">
      <c r="C9" s="16" t="s">
        <v>80</v>
      </c>
      <c r="D9" s="17">
        <f t="shared" si="0"/>
        <v>23918.125</v>
      </c>
      <c r="E9" s="17">
        <f t="shared" si="1"/>
        <v>1530.76</v>
      </c>
      <c r="F9" s="17">
        <v>0.71</v>
      </c>
      <c r="G9" s="19">
        <f t="shared" si="2"/>
        <v>27286.875000000004</v>
      </c>
      <c r="H9" s="19">
        <f t="shared" si="3"/>
        <v>1746.3600000000001</v>
      </c>
      <c r="I9" s="19">
        <v>0.81</v>
      </c>
      <c r="J9" s="21">
        <f t="shared" si="4"/>
        <v>15833.124999999998</v>
      </c>
      <c r="K9" s="21">
        <f t="shared" si="5"/>
        <v>1013.3199999999999</v>
      </c>
      <c r="L9" s="21">
        <v>0.47</v>
      </c>
      <c r="M9" s="19">
        <f t="shared" si="6"/>
        <v>10106.25</v>
      </c>
      <c r="N9" s="19">
        <f t="shared" si="7"/>
        <v>646.79999999999995</v>
      </c>
      <c r="O9" s="19">
        <v>0.3</v>
      </c>
      <c r="P9" s="26">
        <f t="shared" si="8"/>
        <v>33687.5</v>
      </c>
      <c r="Q9" s="3">
        <v>2156</v>
      </c>
    </row>
    <row r="10" spans="3:23">
      <c r="C10" s="16" t="s">
        <v>81</v>
      </c>
      <c r="D10" s="17">
        <f t="shared" si="0"/>
        <v>56875</v>
      </c>
      <c r="E10" s="17">
        <f t="shared" si="1"/>
        <v>3640</v>
      </c>
      <c r="F10" s="17">
        <v>0.65</v>
      </c>
      <c r="G10" s="19">
        <f t="shared" si="2"/>
        <v>55125</v>
      </c>
      <c r="H10" s="19">
        <f t="shared" si="3"/>
        <v>3528</v>
      </c>
      <c r="I10" s="19">
        <v>0.63</v>
      </c>
      <c r="J10" s="21">
        <f t="shared" si="4"/>
        <v>39375</v>
      </c>
      <c r="K10" s="21">
        <f t="shared" si="5"/>
        <v>2520</v>
      </c>
      <c r="L10" s="21">
        <v>0.45</v>
      </c>
      <c r="M10" s="19">
        <f t="shared" si="6"/>
        <v>26250</v>
      </c>
      <c r="N10" s="19">
        <f t="shared" si="7"/>
        <v>1680</v>
      </c>
      <c r="O10" s="19">
        <v>0.3</v>
      </c>
      <c r="P10" s="26">
        <f t="shared" si="8"/>
        <v>87500</v>
      </c>
      <c r="Q10" s="3">
        <v>5600</v>
      </c>
    </row>
    <row r="11" spans="3:23">
      <c r="C11" s="28" t="s">
        <v>82</v>
      </c>
      <c r="D11" s="17">
        <f t="shared" si="0"/>
        <v>243.75000000000003</v>
      </c>
      <c r="E11" s="17">
        <f t="shared" si="1"/>
        <v>15.600000000000001</v>
      </c>
      <c r="F11" s="17">
        <v>0.78</v>
      </c>
      <c r="G11" s="19">
        <f t="shared" si="2"/>
        <v>215.62499999999997</v>
      </c>
      <c r="H11" s="19">
        <f t="shared" si="3"/>
        <v>13.799999999999999</v>
      </c>
      <c r="I11" s="19">
        <v>0.69</v>
      </c>
      <c r="J11" s="21">
        <f t="shared" si="4"/>
        <v>146.87499999999997</v>
      </c>
      <c r="K11" s="21">
        <f t="shared" si="5"/>
        <v>9.3999999999999986</v>
      </c>
      <c r="L11" s="21">
        <v>0.47</v>
      </c>
      <c r="M11" s="19">
        <f t="shared" si="6"/>
        <v>0</v>
      </c>
      <c r="N11" s="19">
        <f t="shared" si="7"/>
        <v>0</v>
      </c>
      <c r="O11" s="19">
        <v>0</v>
      </c>
      <c r="P11" s="26">
        <f t="shared" si="8"/>
        <v>312.5</v>
      </c>
      <c r="Q11" s="3">
        <v>20</v>
      </c>
    </row>
  </sheetData>
  <mergeCells count="2">
    <mergeCell ref="D1:J1"/>
    <mergeCell ref="S2:S3"/>
  </mergeCell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A11" workbookViewId="0">
      <selection activeCell="A21" sqref="A21"/>
    </sheetView>
  </sheetViews>
  <sheetFormatPr defaultRowHeight="14.25"/>
  <cols>
    <col min="1" max="1" width="14.125" bestFit="1" customWidth="1"/>
    <col min="2" max="2" width="33.25" bestFit="1" customWidth="1"/>
    <col min="3" max="7" width="9" customWidth="1"/>
    <col min="8" max="8" width="10.125" bestFit="1" customWidth="1"/>
    <col min="9" max="9" width="12.5" bestFit="1" customWidth="1"/>
    <col min="10" max="11" width="9" customWidth="1"/>
    <col min="12" max="12" width="13.125" bestFit="1" customWidth="1"/>
    <col min="13" max="13" width="9" customWidth="1"/>
  </cols>
  <sheetData>
    <row r="1" spans="1:13" ht="15">
      <c r="A1" s="1" t="s">
        <v>0</v>
      </c>
      <c r="B1" s="1" t="s">
        <v>2</v>
      </c>
      <c r="C1" s="1" t="s">
        <v>5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</row>
    <row r="2" spans="1:13">
      <c r="A2" s="16" t="s">
        <v>6</v>
      </c>
      <c r="B2" s="16" t="s">
        <v>8</v>
      </c>
      <c r="C2" s="16">
        <v>256</v>
      </c>
      <c r="D2" s="16">
        <v>1426</v>
      </c>
      <c r="E2" s="29">
        <f>('Memory Results'!$K2+'Memory Results'!$L2)*64/1000</f>
        <v>1072.7168000000001</v>
      </c>
      <c r="F2" s="16">
        <v>17</v>
      </c>
      <c r="G2" s="16">
        <v>76</v>
      </c>
      <c r="H2" s="16">
        <v>50</v>
      </c>
      <c r="I2" s="16">
        <v>11</v>
      </c>
      <c r="J2" s="30">
        <f t="shared" ref="J2:J11" si="0">F2/E2</f>
        <v>1.5847612342791684E-2</v>
      </c>
      <c r="K2" s="30">
        <f t="shared" ref="K2:K11" si="1">G2/E2</f>
        <v>7.0848149297186344E-2</v>
      </c>
      <c r="L2" s="30">
        <f t="shared" ref="L2:L11" si="2">H2/E2</f>
        <v>4.6610624537622596E-2</v>
      </c>
      <c r="M2" s="30">
        <f t="shared" ref="M2:M11" si="3">I2/E2</f>
        <v>1.0254337398276971E-2</v>
      </c>
    </row>
    <row r="3" spans="1:13">
      <c r="A3" s="16" t="s">
        <v>6</v>
      </c>
      <c r="B3" s="16" t="s">
        <v>9</v>
      </c>
      <c r="C3" s="16">
        <v>256</v>
      </c>
      <c r="D3" s="16">
        <v>1358</v>
      </c>
      <c r="E3" s="29">
        <f>('Memory Results'!$K3+'Memory Results'!$L3)*64/1000</f>
        <v>1006.5650400000001</v>
      </c>
      <c r="F3" s="16">
        <v>23</v>
      </c>
      <c r="G3" s="16">
        <v>67</v>
      </c>
      <c r="H3" s="16">
        <v>56</v>
      </c>
      <c r="I3" s="16">
        <v>29</v>
      </c>
      <c r="J3" s="30">
        <f t="shared" si="0"/>
        <v>2.2849988908814078E-2</v>
      </c>
      <c r="K3" s="30">
        <f t="shared" si="1"/>
        <v>6.6563011169154057E-2</v>
      </c>
      <c r="L3" s="30">
        <f t="shared" si="2"/>
        <v>5.563475560406906E-2</v>
      </c>
      <c r="M3" s="30">
        <f t="shared" si="3"/>
        <v>2.881085558067862E-2</v>
      </c>
    </row>
    <row r="4" spans="1:13">
      <c r="A4" s="16" t="s">
        <v>6</v>
      </c>
      <c r="B4" s="16" t="s">
        <v>10</v>
      </c>
      <c r="C4" s="16">
        <v>231</v>
      </c>
      <c r="D4" s="16">
        <v>2643</v>
      </c>
      <c r="E4" s="29">
        <f>('Memory Results'!$K4+'Memory Results'!$L4)*64/1000</f>
        <v>988.36304000000007</v>
      </c>
      <c r="F4" s="16">
        <v>22</v>
      </c>
      <c r="G4" s="16">
        <v>109</v>
      </c>
      <c r="H4" s="16">
        <v>98</v>
      </c>
      <c r="I4" s="16">
        <v>34</v>
      </c>
      <c r="J4" s="30">
        <f t="shared" si="0"/>
        <v>2.2259027411628017E-2</v>
      </c>
      <c r="K4" s="30">
        <f t="shared" si="1"/>
        <v>0.11028336308488426</v>
      </c>
      <c r="L4" s="30">
        <f t="shared" si="2"/>
        <v>9.9153849379070264E-2</v>
      </c>
      <c r="M4" s="30">
        <f t="shared" si="3"/>
        <v>3.4400315090697846E-2</v>
      </c>
    </row>
    <row r="5" spans="1:13">
      <c r="A5" s="16" t="s">
        <v>6</v>
      </c>
      <c r="B5" s="16" t="s">
        <v>11</v>
      </c>
      <c r="C5" s="16">
        <v>223</v>
      </c>
      <c r="D5" s="16">
        <v>2624</v>
      </c>
      <c r="E5" s="29">
        <f>('Memory Results'!$K5+'Memory Results'!$L5)*64/1000</f>
        <v>871.40552799999989</v>
      </c>
      <c r="F5" s="16">
        <v>19</v>
      </c>
      <c r="G5" s="16">
        <v>98</v>
      </c>
      <c r="H5" s="16">
        <v>78</v>
      </c>
      <c r="I5" s="16">
        <v>12</v>
      </c>
      <c r="J5" s="30">
        <f t="shared" si="0"/>
        <v>2.1803855253945556E-2</v>
      </c>
      <c r="K5" s="30">
        <f t="shared" si="1"/>
        <v>0.11246199025719288</v>
      </c>
      <c r="L5" s="30">
        <f t="shared" si="2"/>
        <v>8.9510563674092283E-2</v>
      </c>
      <c r="M5" s="30">
        <f t="shared" si="3"/>
        <v>1.3770855949860352E-2</v>
      </c>
    </row>
    <row r="6" spans="1:13">
      <c r="A6" s="16" t="s">
        <v>6</v>
      </c>
      <c r="B6" s="16" t="s">
        <v>12</v>
      </c>
      <c r="C6" s="16">
        <v>223</v>
      </c>
      <c r="D6" s="16">
        <v>2634</v>
      </c>
      <c r="E6" s="29">
        <f>('Memory Results'!$K6+'Memory Results'!$L6)*64/1000</f>
        <v>810.80863999999997</v>
      </c>
      <c r="F6" s="16">
        <v>21</v>
      </c>
      <c r="G6" s="16">
        <v>87</v>
      </c>
      <c r="H6" s="16">
        <v>82</v>
      </c>
      <c r="I6" s="16">
        <v>13</v>
      </c>
      <c r="J6" s="30">
        <f t="shared" si="0"/>
        <v>2.5900069343118989E-2</v>
      </c>
      <c r="K6" s="30">
        <f t="shared" si="1"/>
        <v>0.10730028727863582</v>
      </c>
      <c r="L6" s="30">
        <f t="shared" si="2"/>
        <v>0.10113360410170272</v>
      </c>
      <c r="M6" s="30">
        <f t="shared" si="3"/>
        <v>1.6033376260026041E-2</v>
      </c>
    </row>
    <row r="7" spans="1:13">
      <c r="A7" s="16" t="s">
        <v>6</v>
      </c>
      <c r="B7" s="16" t="s">
        <v>13</v>
      </c>
      <c r="C7" s="16">
        <v>210</v>
      </c>
      <c r="D7" s="16">
        <v>2643</v>
      </c>
      <c r="E7" s="29">
        <f>('Memory Results'!$K7+'Memory Results'!$L7)*64/1000</f>
        <v>813.001848</v>
      </c>
      <c r="F7" s="16">
        <v>20</v>
      </c>
      <c r="G7" s="16">
        <v>91</v>
      </c>
      <c r="H7" s="16">
        <v>91</v>
      </c>
      <c r="I7" s="16">
        <v>16</v>
      </c>
      <c r="J7" s="30">
        <f t="shared" si="0"/>
        <v>2.4600190084684777E-2</v>
      </c>
      <c r="K7" s="30">
        <f t="shared" si="1"/>
        <v>0.11193086488531573</v>
      </c>
      <c r="L7" s="30">
        <f t="shared" si="2"/>
        <v>0.11193086488531573</v>
      </c>
      <c r="M7" s="30">
        <f t="shared" si="3"/>
        <v>1.9680152067747821E-2</v>
      </c>
    </row>
    <row r="8" spans="1:13">
      <c r="A8" s="16" t="s">
        <v>6</v>
      </c>
      <c r="B8" s="16" t="s">
        <v>14</v>
      </c>
      <c r="C8" s="16">
        <v>210</v>
      </c>
      <c r="D8" s="16">
        <v>1583</v>
      </c>
      <c r="E8" s="29">
        <f>('Memory Results'!$K8+'Memory Results'!$L8)*64/1000</f>
        <v>774.22119999999995</v>
      </c>
      <c r="F8" s="16">
        <v>18</v>
      </c>
      <c r="G8" s="16">
        <v>76</v>
      </c>
      <c r="H8" s="16">
        <v>84</v>
      </c>
      <c r="I8" s="16">
        <v>17</v>
      </c>
      <c r="J8" s="30">
        <f t="shared" si="0"/>
        <v>2.3249169617158508E-2</v>
      </c>
      <c r="K8" s="30">
        <f t="shared" si="1"/>
        <v>9.816316060578037E-2</v>
      </c>
      <c r="L8" s="30">
        <f t="shared" si="2"/>
        <v>0.10849612488007304</v>
      </c>
      <c r="M8" s="30">
        <f t="shared" si="3"/>
        <v>2.1957549082871924E-2</v>
      </c>
    </row>
    <row r="9" spans="1:13">
      <c r="A9" s="16" t="s">
        <v>6</v>
      </c>
      <c r="B9" s="16" t="s">
        <v>16</v>
      </c>
      <c r="C9" s="16">
        <v>218</v>
      </c>
      <c r="D9" s="16">
        <v>1661</v>
      </c>
      <c r="E9" s="29">
        <f>('Memory Results'!$K10+'Memory Results'!$L10)*64/1000</f>
        <v>776.23601600000006</v>
      </c>
      <c r="F9" s="16">
        <v>17</v>
      </c>
      <c r="G9" s="16">
        <v>81</v>
      </c>
      <c r="H9" s="16">
        <v>86</v>
      </c>
      <c r="I9" s="16">
        <v>13</v>
      </c>
      <c r="J9" s="30">
        <f t="shared" si="0"/>
        <v>2.1900555565048656E-2</v>
      </c>
      <c r="K9" s="30">
        <f t="shared" si="1"/>
        <v>0.10434970592758477</v>
      </c>
      <c r="L9" s="30">
        <f t="shared" si="2"/>
        <v>0.11079104579965791</v>
      </c>
      <c r="M9" s="30">
        <f t="shared" si="3"/>
        <v>1.6747483667390151E-2</v>
      </c>
    </row>
    <row r="10" spans="1:13">
      <c r="A10" s="16" t="s">
        <v>6</v>
      </c>
      <c r="B10" s="16" t="s">
        <v>21</v>
      </c>
      <c r="C10" s="16">
        <v>334</v>
      </c>
      <c r="D10" s="16">
        <v>1876</v>
      </c>
      <c r="E10" s="4">
        <v>1530</v>
      </c>
      <c r="F10" s="16">
        <v>27</v>
      </c>
      <c r="G10" s="16">
        <v>112</v>
      </c>
      <c r="H10" s="16">
        <v>93</v>
      </c>
      <c r="I10" s="16">
        <v>21</v>
      </c>
      <c r="J10" s="30">
        <f t="shared" si="0"/>
        <v>1.7647058823529412E-2</v>
      </c>
      <c r="K10" s="30">
        <f t="shared" si="1"/>
        <v>7.3202614379084971E-2</v>
      </c>
      <c r="L10" s="30">
        <f t="shared" si="2"/>
        <v>6.0784313725490195E-2</v>
      </c>
      <c r="M10" s="30">
        <f t="shared" si="3"/>
        <v>1.3725490196078431E-2</v>
      </c>
    </row>
    <row r="11" spans="1:13">
      <c r="A11" s="16" t="s">
        <v>6</v>
      </c>
      <c r="B11" s="16" t="s">
        <v>22</v>
      </c>
      <c r="C11" s="16">
        <v>334</v>
      </c>
      <c r="D11" s="16">
        <v>1634</v>
      </c>
      <c r="E11" s="4">
        <v>1474</v>
      </c>
      <c r="F11" s="31">
        <v>27</v>
      </c>
      <c r="G11" s="31">
        <v>107</v>
      </c>
      <c r="H11" s="31">
        <v>91</v>
      </c>
      <c r="I11" s="16">
        <v>25</v>
      </c>
      <c r="J11" s="30">
        <f t="shared" si="0"/>
        <v>1.8317503392130258E-2</v>
      </c>
      <c r="K11" s="30">
        <f t="shared" si="1"/>
        <v>7.2591587516960654E-2</v>
      </c>
      <c r="L11" s="30">
        <f t="shared" si="2"/>
        <v>6.1736770691994569E-2</v>
      </c>
      <c r="M11" s="30">
        <f t="shared" si="3"/>
        <v>1.6960651289009497E-2</v>
      </c>
    </row>
    <row r="12" spans="1:13">
      <c r="E12" s="29">
        <f t="shared" ref="E12:M12" si="4">AVERAGE(E2:E11)</f>
        <v>1011.7318112</v>
      </c>
      <c r="F12" s="29">
        <f t="shared" si="4"/>
        <v>21.1</v>
      </c>
      <c r="G12" s="29">
        <f t="shared" si="4"/>
        <v>90.4</v>
      </c>
      <c r="H12" s="29">
        <f t="shared" si="4"/>
        <v>80.900000000000006</v>
      </c>
      <c r="I12" s="29">
        <f t="shared" si="4"/>
        <v>19.100000000000001</v>
      </c>
      <c r="J12" s="32">
        <f t="shared" si="4"/>
        <v>2.1437503074284991E-2</v>
      </c>
      <c r="K12" s="32">
        <f t="shared" si="4"/>
        <v>9.2769473440177982E-2</v>
      </c>
      <c r="L12" s="32">
        <f t="shared" si="4"/>
        <v>8.4578251727908837E-2</v>
      </c>
      <c r="M12" s="32">
        <f t="shared" si="4"/>
        <v>1.9234106658263767E-2</v>
      </c>
    </row>
  </sheetData>
  <pageMargins left="0.70000000000000007" right="0.70000000000000007" top="0.75" bottom="0.75" header="0.30000000000000004" footer="0.3000000000000000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Memory Results</vt:lpstr>
      <vt:lpstr>DiskSpace Results</vt:lpstr>
      <vt:lpstr>result_traceElement</vt:lpstr>
      <vt:lpstr>memoryOverhead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araminit</dc:creator>
  <cp:lastModifiedBy>hojaji</cp:lastModifiedBy>
  <cp:revision>8</cp:revision>
  <cp:lastPrinted>2019-02-19T19:05:34Z</cp:lastPrinted>
  <dcterms:created xsi:type="dcterms:W3CDTF">2017-12-08T15:58:37Z</dcterms:created>
  <dcterms:modified xsi:type="dcterms:W3CDTF">2019-05-12T05:06:31Z</dcterms:modified>
</cp:coreProperties>
</file>