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jaji\Downloads\"/>
    </mc:Choice>
  </mc:AlternateContent>
  <bookViews>
    <workbookView xWindow="0" yWindow="0" windowWidth="12930" windowHeight="5730" firstSheet="2" activeTab="3"/>
  </bookViews>
  <sheets>
    <sheet name="Memory Results" sheetId="2" r:id="rId1"/>
    <sheet name="DiskSpace Results" sheetId="3" r:id="rId2"/>
    <sheet name="Time Techniques" sheetId="8" r:id="rId3"/>
    <sheet name="result_traceElement" sheetId="5" r:id="rId4"/>
    <sheet name="memoryOverhead" sheetId="6" r:id="rId5"/>
    <sheet name="performance overhead" sheetId="7" r:id="rId6"/>
  </sheets>
  <definedNames>
    <definedName name="_xlchart.v1.0" hidden="1">result_traceElement!$T$2:$W$2</definedName>
    <definedName name="_xlchart.v1.1" hidden="1">result_traceElement!$T$3:$W$3</definedName>
    <definedName name="_xlnm.Print_Area" localSheetId="5">!#REF!</definedName>
    <definedName name="_xlnm.Sheet_Title" localSheetId="5">"""results"""</definedName>
  </definedNames>
  <calcPr calcId="152511"/>
</workbook>
</file>

<file path=xl/calcChain.xml><?xml version="1.0" encoding="utf-8"?>
<calcChain xmlns="http://schemas.openxmlformats.org/spreadsheetml/2006/main">
  <c r="F3" i="5" l="1"/>
  <c r="F4" i="5"/>
  <c r="F5" i="5"/>
  <c r="J2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K2" i="3"/>
  <c r="H40" i="3"/>
  <c r="G40" i="3" l="1"/>
  <c r="F13" i="8"/>
  <c r="L13" i="8" l="1"/>
  <c r="N13" i="8"/>
  <c r="O13" i="8"/>
  <c r="K13" i="8"/>
  <c r="M13" i="8"/>
  <c r="E13" i="8"/>
  <c r="J12" i="8"/>
  <c r="I12" i="8"/>
  <c r="H12" i="8"/>
  <c r="G12" i="8"/>
  <c r="G4" i="8"/>
  <c r="G5" i="8"/>
  <c r="G6" i="8"/>
  <c r="G7" i="8"/>
  <c r="G8" i="8"/>
  <c r="G9" i="8"/>
  <c r="G10" i="8"/>
  <c r="G11" i="8"/>
  <c r="G3" i="8"/>
  <c r="J4" i="8"/>
  <c r="J5" i="8"/>
  <c r="J6" i="8"/>
  <c r="J7" i="8"/>
  <c r="J8" i="8"/>
  <c r="J9" i="8"/>
  <c r="J10" i="8"/>
  <c r="J11" i="8"/>
  <c r="J3" i="8"/>
  <c r="I4" i="8"/>
  <c r="I5" i="8"/>
  <c r="I6" i="8"/>
  <c r="I7" i="8"/>
  <c r="I8" i="8"/>
  <c r="I9" i="8"/>
  <c r="I10" i="8"/>
  <c r="I11" i="8"/>
  <c r="I3" i="8"/>
  <c r="H4" i="8"/>
  <c r="H5" i="8"/>
  <c r="H6" i="8"/>
  <c r="H7" i="8"/>
  <c r="H8" i="8"/>
  <c r="H9" i="8"/>
  <c r="H10" i="8"/>
  <c r="H11" i="8"/>
  <c r="H3" i="8"/>
  <c r="AG7" i="8"/>
  <c r="AG11" i="8"/>
  <c r="AF11" i="8"/>
  <c r="AF7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2" i="7"/>
  <c r="S40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2" i="2"/>
  <c r="P29" i="2"/>
  <c r="P30" i="2"/>
  <c r="P31" i="2"/>
  <c r="P32" i="2"/>
  <c r="P33" i="2"/>
  <c r="P34" i="2"/>
  <c r="P35" i="2"/>
  <c r="P36" i="2"/>
  <c r="P37" i="2"/>
  <c r="P38" i="2"/>
  <c r="P39" i="2"/>
  <c r="J2" i="7" l="1"/>
  <c r="K2" i="7"/>
  <c r="I2" i="7" s="1"/>
  <c r="L2" i="7"/>
  <c r="J3" i="7"/>
  <c r="L3" i="7" s="1"/>
  <c r="K3" i="7"/>
  <c r="I3" i="7" s="1"/>
  <c r="J4" i="7"/>
  <c r="L4" i="7" s="1"/>
  <c r="K4" i="7"/>
  <c r="I4" i="7" s="1"/>
  <c r="X4" i="7"/>
  <c r="J5" i="7"/>
  <c r="L5" i="7" s="1"/>
  <c r="K5" i="7"/>
  <c r="I5" i="7" s="1"/>
  <c r="X5" i="7"/>
  <c r="J6" i="7"/>
  <c r="K6" i="7"/>
  <c r="I6" i="7" s="1"/>
  <c r="L6" i="7"/>
  <c r="J7" i="7"/>
  <c r="L7" i="7" s="1"/>
  <c r="K7" i="7"/>
  <c r="I7" i="7" s="1"/>
  <c r="J8" i="7"/>
  <c r="L8" i="7" s="1"/>
  <c r="K8" i="7"/>
  <c r="I8" i="7" s="1"/>
  <c r="J9" i="7"/>
  <c r="K9" i="7"/>
  <c r="I9" i="7" s="1"/>
  <c r="L9" i="7"/>
  <c r="J10" i="7"/>
  <c r="K10" i="7"/>
  <c r="I10" i="7" s="1"/>
  <c r="L10" i="7"/>
  <c r="J11" i="7"/>
  <c r="L11" i="7" s="1"/>
  <c r="K11" i="7"/>
  <c r="I11" i="7" s="1"/>
  <c r="J12" i="7"/>
  <c r="L12" i="7" s="1"/>
  <c r="K12" i="7"/>
  <c r="I12" i="7" s="1"/>
  <c r="J13" i="7"/>
  <c r="K13" i="7"/>
  <c r="I13" i="7" s="1"/>
  <c r="L13" i="7"/>
  <c r="J14" i="7"/>
  <c r="K14" i="7"/>
  <c r="I14" i="7" s="1"/>
  <c r="L14" i="7"/>
  <c r="J15" i="7"/>
  <c r="L15" i="7" s="1"/>
  <c r="K15" i="7"/>
  <c r="I15" i="7" s="1"/>
  <c r="J16" i="7"/>
  <c r="L16" i="7" s="1"/>
  <c r="K16" i="7"/>
  <c r="I16" i="7" s="1"/>
  <c r="J17" i="7"/>
  <c r="K17" i="7"/>
  <c r="I17" i="7" s="1"/>
  <c r="L17" i="7"/>
  <c r="J18" i="7"/>
  <c r="K18" i="7"/>
  <c r="I18" i="7" s="1"/>
  <c r="L18" i="7"/>
  <c r="J19" i="7"/>
  <c r="L19" i="7" s="1"/>
  <c r="K19" i="7"/>
  <c r="I19" i="7" s="1"/>
  <c r="J20" i="7"/>
  <c r="L20" i="7" s="1"/>
  <c r="K20" i="7"/>
  <c r="I20" i="7" s="1"/>
  <c r="J21" i="7"/>
  <c r="K21" i="7"/>
  <c r="I21" i="7" s="1"/>
  <c r="L21" i="7"/>
  <c r="J22" i="7"/>
  <c r="K22" i="7"/>
  <c r="I22" i="7" s="1"/>
  <c r="L22" i="7"/>
  <c r="J23" i="7"/>
  <c r="L23" i="7" s="1"/>
  <c r="K23" i="7"/>
  <c r="I23" i="7" s="1"/>
  <c r="J24" i="7"/>
  <c r="L24" i="7" s="1"/>
  <c r="K24" i="7"/>
  <c r="I24" i="7" s="1"/>
  <c r="J25" i="7"/>
  <c r="K25" i="7"/>
  <c r="I25" i="7" s="1"/>
  <c r="L25" i="7"/>
  <c r="J26" i="7"/>
  <c r="K26" i="7"/>
  <c r="I26" i="7" s="1"/>
  <c r="L26" i="7"/>
  <c r="J27" i="7"/>
  <c r="L27" i="7" s="1"/>
  <c r="K27" i="7"/>
  <c r="I27" i="7" s="1"/>
  <c r="J28" i="7"/>
  <c r="L28" i="7" s="1"/>
  <c r="K28" i="7"/>
  <c r="I28" i="7" s="1"/>
  <c r="J29" i="7"/>
  <c r="K29" i="7"/>
  <c r="I29" i="7" s="1"/>
  <c r="L29" i="7"/>
  <c r="J30" i="7"/>
  <c r="K30" i="7"/>
  <c r="I30" i="7" s="1"/>
  <c r="L30" i="7"/>
  <c r="J31" i="7"/>
  <c r="K31" i="7"/>
  <c r="I31" i="7" s="1"/>
  <c r="L31" i="7"/>
  <c r="J32" i="7"/>
  <c r="L32" i="7" s="1"/>
  <c r="K32" i="7"/>
  <c r="I32" i="7" s="1"/>
  <c r="J33" i="7"/>
  <c r="L33" i="7" s="1"/>
  <c r="K33" i="7"/>
  <c r="I33" i="7" s="1"/>
  <c r="J34" i="7"/>
  <c r="K34" i="7"/>
  <c r="I34" i="7" s="1"/>
  <c r="L34" i="7"/>
  <c r="J35" i="7"/>
  <c r="K35" i="7"/>
  <c r="I35" i="7" s="1"/>
  <c r="L35" i="7"/>
  <c r="J36" i="7"/>
  <c r="L36" i="7" s="1"/>
  <c r="K36" i="7"/>
  <c r="I36" i="7" s="1"/>
  <c r="J37" i="7"/>
  <c r="L37" i="7" s="1"/>
  <c r="K37" i="7"/>
  <c r="I37" i="7" s="1"/>
  <c r="J38" i="7"/>
  <c r="K38" i="7"/>
  <c r="I38" i="7" s="1"/>
  <c r="L38" i="7"/>
  <c r="J39" i="7"/>
  <c r="K39" i="7"/>
  <c r="I39" i="7" s="1"/>
  <c r="L39" i="7"/>
  <c r="Y5" i="7" l="1"/>
  <c r="Y4" i="7"/>
  <c r="K15" i="3"/>
  <c r="O15" i="3" s="1"/>
  <c r="K5" i="3"/>
  <c r="O5" i="3" s="1"/>
  <c r="K39" i="3"/>
  <c r="O39" i="3" s="1"/>
  <c r="K17" i="3"/>
  <c r="O17" i="3" s="1"/>
  <c r="K16" i="3"/>
  <c r="O16" i="3" s="1"/>
  <c r="O2" i="3"/>
  <c r="K36" i="3"/>
  <c r="O36" i="3" s="1"/>
  <c r="K38" i="3"/>
  <c r="O38" i="3" s="1"/>
  <c r="K35" i="3"/>
  <c r="O35" i="3" s="1"/>
  <c r="K32" i="3"/>
  <c r="O32" i="3" s="1"/>
  <c r="K31" i="3"/>
  <c r="O31" i="3" s="1"/>
  <c r="K30" i="3"/>
  <c r="O30" i="3" s="1"/>
  <c r="K29" i="3"/>
  <c r="O29" i="3" s="1"/>
  <c r="K28" i="3"/>
  <c r="O28" i="3" s="1"/>
  <c r="K27" i="3"/>
  <c r="O27" i="3" s="1"/>
  <c r="K26" i="3"/>
  <c r="O26" i="3" s="1"/>
  <c r="K33" i="3"/>
  <c r="O33" i="3" s="1"/>
  <c r="K34" i="3"/>
  <c r="K37" i="3"/>
  <c r="O37" i="3" s="1"/>
  <c r="K25" i="3"/>
  <c r="O25" i="3" s="1"/>
  <c r="K24" i="3"/>
  <c r="O24" i="3" s="1"/>
  <c r="K23" i="3"/>
  <c r="O23" i="3" s="1"/>
  <c r="K22" i="3"/>
  <c r="O22" i="3" s="1"/>
  <c r="K21" i="3"/>
  <c r="O21" i="3" s="1"/>
  <c r="K20" i="3"/>
  <c r="O20" i="3" s="1"/>
  <c r="K19" i="3"/>
  <c r="O19" i="3" s="1"/>
  <c r="K18" i="3"/>
  <c r="O18" i="3" s="1"/>
  <c r="K13" i="3"/>
  <c r="O13" i="3" s="1"/>
  <c r="K12" i="3"/>
  <c r="O12" i="3" s="1"/>
  <c r="K11" i="3"/>
  <c r="O11" i="3" s="1"/>
  <c r="K10" i="3"/>
  <c r="O10" i="3" s="1"/>
  <c r="K9" i="3"/>
  <c r="O9" i="3" s="1"/>
  <c r="K8" i="3"/>
  <c r="O8" i="3" s="1"/>
  <c r="K7" i="3"/>
  <c r="O7" i="3" s="1"/>
  <c r="K6" i="3"/>
  <c r="O6" i="3" s="1"/>
  <c r="K14" i="3"/>
  <c r="O14" i="3" s="1"/>
  <c r="K3" i="3"/>
  <c r="O3" i="3" s="1"/>
  <c r="K4" i="3"/>
  <c r="O4" i="3" s="1"/>
  <c r="I39" i="3" l="1"/>
  <c r="J39" i="3" s="1"/>
  <c r="M39" i="3" s="1"/>
  <c r="K40" i="3"/>
  <c r="O40" i="3" s="1"/>
  <c r="O34" i="3"/>
  <c r="L39" i="3"/>
  <c r="N39" i="3" s="1"/>
  <c r="I38" i="3"/>
  <c r="I37" i="3"/>
  <c r="I36" i="3"/>
  <c r="I35" i="3"/>
  <c r="I34" i="3"/>
  <c r="F40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6" i="3"/>
  <c r="I5" i="3"/>
  <c r="I4" i="3"/>
  <c r="I3" i="3"/>
  <c r="I7" i="3"/>
  <c r="I32" i="3"/>
  <c r="I33" i="3"/>
  <c r="I2" i="3"/>
  <c r="K39" i="2"/>
  <c r="H39" i="2"/>
  <c r="I39" i="2" s="1"/>
  <c r="J39" i="2" s="1"/>
  <c r="K38" i="2"/>
  <c r="N38" i="2" s="1"/>
  <c r="H38" i="2"/>
  <c r="I38" i="2" s="1"/>
  <c r="J38" i="2" s="1"/>
  <c r="K37" i="2"/>
  <c r="H37" i="2"/>
  <c r="I37" i="2" s="1"/>
  <c r="J37" i="2" s="1"/>
  <c r="K36" i="2"/>
  <c r="N36" i="2" s="1"/>
  <c r="H36" i="2"/>
  <c r="I36" i="2" s="1"/>
  <c r="J36" i="2" s="1"/>
  <c r="K35" i="2"/>
  <c r="H35" i="2"/>
  <c r="I35" i="2" s="1"/>
  <c r="J35" i="2" s="1"/>
  <c r="K34" i="2"/>
  <c r="N34" i="2" s="1"/>
  <c r="H34" i="2"/>
  <c r="I34" i="2" s="1"/>
  <c r="J34" i="2" s="1"/>
  <c r="K33" i="2"/>
  <c r="H33" i="2"/>
  <c r="I33" i="2" s="1"/>
  <c r="J33" i="2" s="1"/>
  <c r="K32" i="2"/>
  <c r="N32" i="2" s="1"/>
  <c r="H32" i="2"/>
  <c r="I32" i="2" s="1"/>
  <c r="J32" i="2" s="1"/>
  <c r="K31" i="2"/>
  <c r="H31" i="2"/>
  <c r="I31" i="2" s="1"/>
  <c r="J31" i="2" s="1"/>
  <c r="K30" i="2"/>
  <c r="N30" i="2" s="1"/>
  <c r="H30" i="2"/>
  <c r="I30" i="2" s="1"/>
  <c r="J30" i="2" s="1"/>
  <c r="K29" i="2"/>
  <c r="H29" i="2"/>
  <c r="I29" i="2" s="1"/>
  <c r="J29" i="2" s="1"/>
  <c r="K28" i="2"/>
  <c r="N28" i="2" s="1"/>
  <c r="H28" i="2"/>
  <c r="I28" i="2" s="1"/>
  <c r="J28" i="2" s="1"/>
  <c r="K27" i="2"/>
  <c r="H27" i="2"/>
  <c r="I27" i="2" s="1"/>
  <c r="J27" i="2" s="1"/>
  <c r="K26" i="2"/>
  <c r="H26" i="2"/>
  <c r="I26" i="2" s="1"/>
  <c r="J26" i="2" s="1"/>
  <c r="K25" i="2"/>
  <c r="H25" i="2"/>
  <c r="I25" i="2" s="1"/>
  <c r="J25" i="2" s="1"/>
  <c r="K24" i="2"/>
  <c r="H24" i="2"/>
  <c r="I24" i="2" s="1"/>
  <c r="J24" i="2" s="1"/>
  <c r="K23" i="2"/>
  <c r="H23" i="2"/>
  <c r="I23" i="2" s="1"/>
  <c r="J23" i="2" s="1"/>
  <c r="L23" i="2" s="1"/>
  <c r="K22" i="2"/>
  <c r="H22" i="2"/>
  <c r="I22" i="2" s="1"/>
  <c r="J22" i="2" s="1"/>
  <c r="K21" i="2"/>
  <c r="H21" i="2"/>
  <c r="I21" i="2" s="1"/>
  <c r="J21" i="2" s="1"/>
  <c r="K20" i="2"/>
  <c r="N20" i="2" s="1"/>
  <c r="H20" i="2"/>
  <c r="I20" i="2" s="1"/>
  <c r="J20" i="2" s="1"/>
  <c r="L20" i="2" s="1"/>
  <c r="K19" i="2"/>
  <c r="N19" i="2" s="1"/>
  <c r="H19" i="2"/>
  <c r="I19" i="2" s="1"/>
  <c r="J19" i="2" s="1"/>
  <c r="N18" i="2"/>
  <c r="K18" i="2"/>
  <c r="H18" i="2"/>
  <c r="I18" i="2" s="1"/>
  <c r="J18" i="2" s="1"/>
  <c r="N17" i="2"/>
  <c r="K17" i="2"/>
  <c r="H17" i="2"/>
  <c r="I17" i="2" s="1"/>
  <c r="J17" i="2" s="1"/>
  <c r="K16" i="2"/>
  <c r="N16" i="2" s="1"/>
  <c r="H16" i="2"/>
  <c r="I16" i="2" s="1"/>
  <c r="J16" i="2" s="1"/>
  <c r="L16" i="2" s="1"/>
  <c r="M16" i="2" s="1"/>
  <c r="N15" i="2"/>
  <c r="K15" i="2"/>
  <c r="H15" i="2"/>
  <c r="I15" i="2" s="1"/>
  <c r="J15" i="2" s="1"/>
  <c r="K14" i="2"/>
  <c r="N14" i="2" s="1"/>
  <c r="J14" i="2"/>
  <c r="H14" i="2"/>
  <c r="I14" i="2" s="1"/>
  <c r="K13" i="2"/>
  <c r="N13" i="2" s="1"/>
  <c r="I13" i="2"/>
  <c r="J13" i="2" s="1"/>
  <c r="H13" i="2"/>
  <c r="K12" i="2"/>
  <c r="N12" i="2" s="1"/>
  <c r="H12" i="2"/>
  <c r="I12" i="2" s="1"/>
  <c r="J12" i="2" s="1"/>
  <c r="L12" i="2" s="1"/>
  <c r="M12" i="2" s="1"/>
  <c r="K11" i="2"/>
  <c r="N11" i="2" s="1"/>
  <c r="H11" i="2"/>
  <c r="I11" i="2" s="1"/>
  <c r="J11" i="2" s="1"/>
  <c r="K10" i="2"/>
  <c r="N10" i="2" s="1"/>
  <c r="H10" i="2"/>
  <c r="I10" i="2" s="1"/>
  <c r="J10" i="2" s="1"/>
  <c r="K9" i="2"/>
  <c r="N9" i="2" s="1"/>
  <c r="H9" i="2"/>
  <c r="I9" i="2" s="1"/>
  <c r="J9" i="2" s="1"/>
  <c r="K8" i="2"/>
  <c r="N8" i="2" s="1"/>
  <c r="H8" i="2"/>
  <c r="I8" i="2" s="1"/>
  <c r="J8" i="2" s="1"/>
  <c r="L8" i="2" s="1"/>
  <c r="M8" i="2" s="1"/>
  <c r="K7" i="2"/>
  <c r="N7" i="2" s="1"/>
  <c r="H7" i="2"/>
  <c r="I7" i="2" s="1"/>
  <c r="J7" i="2" s="1"/>
  <c r="N6" i="2"/>
  <c r="K6" i="2"/>
  <c r="H6" i="2"/>
  <c r="I6" i="2" s="1"/>
  <c r="J6" i="2" s="1"/>
  <c r="K5" i="2"/>
  <c r="N5" i="2" s="1"/>
  <c r="H5" i="2"/>
  <c r="I5" i="2" s="1"/>
  <c r="J5" i="2" s="1"/>
  <c r="K4" i="2"/>
  <c r="N4" i="2" s="1"/>
  <c r="H4" i="2"/>
  <c r="I4" i="2" s="1"/>
  <c r="J4" i="2" s="1"/>
  <c r="L4" i="2" s="1"/>
  <c r="M4" i="2" s="1"/>
  <c r="K3" i="2"/>
  <c r="N3" i="2" s="1"/>
  <c r="H3" i="2"/>
  <c r="I3" i="2" s="1"/>
  <c r="J3" i="2" s="1"/>
  <c r="N2" i="2"/>
  <c r="K2" i="2"/>
  <c r="H2" i="2"/>
  <c r="I2" i="2" s="1"/>
  <c r="J2" i="2" s="1"/>
  <c r="I12" i="6"/>
  <c r="H12" i="6"/>
  <c r="G12" i="6"/>
  <c r="F12" i="6"/>
  <c r="M11" i="6"/>
  <c r="L11" i="6"/>
  <c r="K11" i="6"/>
  <c r="J11" i="6"/>
  <c r="M10" i="6"/>
  <c r="L10" i="6"/>
  <c r="K10" i="6"/>
  <c r="J10" i="6"/>
  <c r="P11" i="5"/>
  <c r="N11" i="5"/>
  <c r="M11" i="5" s="1"/>
  <c r="K11" i="5"/>
  <c r="J11" i="5" s="1"/>
  <c r="H11" i="5"/>
  <c r="G11" i="5" s="1"/>
  <c r="P10" i="5"/>
  <c r="N10" i="5"/>
  <c r="M10" i="5" s="1"/>
  <c r="K10" i="5"/>
  <c r="J10" i="5"/>
  <c r="H10" i="5"/>
  <c r="G10" i="5" s="1"/>
  <c r="P9" i="5"/>
  <c r="N9" i="5"/>
  <c r="M9" i="5" s="1"/>
  <c r="K9" i="5"/>
  <c r="J9" i="5" s="1"/>
  <c r="H9" i="5"/>
  <c r="G9" i="5" s="1"/>
  <c r="P8" i="5"/>
  <c r="N8" i="5"/>
  <c r="M8" i="5" s="1"/>
  <c r="K8" i="5"/>
  <c r="J8" i="5" s="1"/>
  <c r="H8" i="5"/>
  <c r="G8" i="5" s="1"/>
  <c r="P7" i="5"/>
  <c r="N7" i="5"/>
  <c r="M7" i="5" s="1"/>
  <c r="K7" i="5"/>
  <c r="J7" i="5" s="1"/>
  <c r="H7" i="5"/>
  <c r="G7" i="5" s="1"/>
  <c r="P6" i="5"/>
  <c r="N6" i="5"/>
  <c r="M6" i="5" s="1"/>
  <c r="K6" i="5"/>
  <c r="J6" i="5" s="1"/>
  <c r="H6" i="5"/>
  <c r="G6" i="5" s="1"/>
  <c r="I5" i="5"/>
  <c r="L4" i="5"/>
  <c r="I4" i="5"/>
  <c r="W3" i="5"/>
  <c r="L3" i="5"/>
  <c r="I3" i="5"/>
  <c r="N46" i="2"/>
  <c r="P44" i="2"/>
  <c r="P43" i="2"/>
  <c r="P42" i="2"/>
  <c r="N42" i="2"/>
  <c r="P40" i="2"/>
  <c r="M40" i="2"/>
  <c r="D39" i="2"/>
  <c r="D38" i="2"/>
  <c r="D37" i="2"/>
  <c r="D36" i="2"/>
  <c r="D35" i="2"/>
  <c r="D34" i="2"/>
  <c r="D33" i="2"/>
  <c r="D32" i="2"/>
  <c r="D31" i="2"/>
  <c r="D30" i="2"/>
  <c r="D29" i="2"/>
  <c r="D28" i="2"/>
  <c r="P28" i="2" s="1"/>
  <c r="D27" i="2"/>
  <c r="P27" i="2" s="1"/>
  <c r="D26" i="2"/>
  <c r="P26" i="2" s="1"/>
  <c r="D25" i="2"/>
  <c r="P25" i="2" s="1"/>
  <c r="D24" i="2"/>
  <c r="P24" i="2" s="1"/>
  <c r="D23" i="2"/>
  <c r="P23" i="2" s="1"/>
  <c r="D22" i="2"/>
  <c r="P22" i="2" s="1"/>
  <c r="D21" i="2"/>
  <c r="P21" i="2" s="1"/>
  <c r="D20" i="2"/>
  <c r="P20" i="2" s="1"/>
  <c r="D19" i="2"/>
  <c r="P19" i="2" s="1"/>
  <c r="D18" i="2"/>
  <c r="P18" i="2" s="1"/>
  <c r="D17" i="2"/>
  <c r="P17" i="2" s="1"/>
  <c r="D16" i="2"/>
  <c r="P16" i="2" s="1"/>
  <c r="D15" i="2"/>
  <c r="P15" i="2" s="1"/>
  <c r="D14" i="2"/>
  <c r="P14" i="2" s="1"/>
  <c r="D13" i="2"/>
  <c r="P13" i="2" s="1"/>
  <c r="D12" i="2"/>
  <c r="P12" i="2" s="1"/>
  <c r="D11" i="2"/>
  <c r="P11" i="2" s="1"/>
  <c r="D10" i="2"/>
  <c r="P10" i="2" s="1"/>
  <c r="D9" i="2"/>
  <c r="P9" i="2" s="1"/>
  <c r="D8" i="2"/>
  <c r="P8" i="2" s="1"/>
  <c r="D7" i="2"/>
  <c r="P7" i="2" s="1"/>
  <c r="D6" i="2"/>
  <c r="P6" i="2" s="1"/>
  <c r="D5" i="2"/>
  <c r="P5" i="2" s="1"/>
  <c r="D4" i="2"/>
  <c r="P4" i="2" s="1"/>
  <c r="D3" i="2"/>
  <c r="P3" i="2" s="1"/>
  <c r="D2" i="2"/>
  <c r="P2" i="2" s="1"/>
  <c r="V3" i="5" l="1"/>
  <c r="L33" i="3"/>
  <c r="N33" i="3" s="1"/>
  <c r="J33" i="3"/>
  <c r="M33" i="3" s="1"/>
  <c r="L4" i="3"/>
  <c r="N4" i="3" s="1"/>
  <c r="J4" i="3"/>
  <c r="M4" i="3" s="1"/>
  <c r="L9" i="3"/>
  <c r="N9" i="3" s="1"/>
  <c r="J9" i="3"/>
  <c r="M9" i="3" s="1"/>
  <c r="L13" i="3"/>
  <c r="N13" i="3" s="1"/>
  <c r="J13" i="3"/>
  <c r="M13" i="3" s="1"/>
  <c r="L17" i="3"/>
  <c r="N17" i="3" s="1"/>
  <c r="J17" i="3"/>
  <c r="M17" i="3" s="1"/>
  <c r="L32" i="3"/>
  <c r="N32" i="3" s="1"/>
  <c r="J32" i="3"/>
  <c r="M32" i="3" s="1"/>
  <c r="L5" i="3"/>
  <c r="N5" i="3" s="1"/>
  <c r="J5" i="3"/>
  <c r="M5" i="3" s="1"/>
  <c r="L10" i="3"/>
  <c r="N10" i="3" s="1"/>
  <c r="J10" i="3"/>
  <c r="M10" i="3" s="1"/>
  <c r="L14" i="3"/>
  <c r="N14" i="3" s="1"/>
  <c r="J14" i="3"/>
  <c r="M14" i="3" s="1"/>
  <c r="L18" i="3"/>
  <c r="N18" i="3" s="1"/>
  <c r="J18" i="3"/>
  <c r="M18" i="3" s="1"/>
  <c r="L22" i="3"/>
  <c r="N22" i="3" s="1"/>
  <c r="J22" i="3"/>
  <c r="M22" i="3" s="1"/>
  <c r="L26" i="3"/>
  <c r="N26" i="3" s="1"/>
  <c r="J26" i="3"/>
  <c r="M26" i="3" s="1"/>
  <c r="L30" i="3"/>
  <c r="N30" i="3" s="1"/>
  <c r="J30" i="3"/>
  <c r="M30" i="3" s="1"/>
  <c r="L35" i="3"/>
  <c r="N35" i="3" s="1"/>
  <c r="J35" i="3"/>
  <c r="M35" i="3" s="1"/>
  <c r="L7" i="3"/>
  <c r="N7" i="3" s="1"/>
  <c r="J7" i="3"/>
  <c r="M7" i="3" s="1"/>
  <c r="L6" i="3"/>
  <c r="N6" i="3" s="1"/>
  <c r="J6" i="3"/>
  <c r="M6" i="3" s="1"/>
  <c r="L11" i="3"/>
  <c r="N11" i="3" s="1"/>
  <c r="J11" i="3"/>
  <c r="M11" i="3" s="1"/>
  <c r="L15" i="3"/>
  <c r="N15" i="3" s="1"/>
  <c r="J15" i="3"/>
  <c r="M15" i="3" s="1"/>
  <c r="L19" i="3"/>
  <c r="N19" i="3" s="1"/>
  <c r="J19" i="3"/>
  <c r="M19" i="3" s="1"/>
  <c r="L23" i="3"/>
  <c r="N23" i="3" s="1"/>
  <c r="J23" i="3"/>
  <c r="M23" i="3" s="1"/>
  <c r="L27" i="3"/>
  <c r="N27" i="3" s="1"/>
  <c r="J27" i="3"/>
  <c r="M27" i="3" s="1"/>
  <c r="L31" i="3"/>
  <c r="N31" i="3" s="1"/>
  <c r="J31" i="3"/>
  <c r="M31" i="3" s="1"/>
  <c r="L36" i="3"/>
  <c r="N36" i="3" s="1"/>
  <c r="J36" i="3"/>
  <c r="M36" i="3" s="1"/>
  <c r="L2" i="3"/>
  <c r="N2" i="3" s="1"/>
  <c r="M2" i="3"/>
  <c r="L3" i="3"/>
  <c r="N3" i="3" s="1"/>
  <c r="J3" i="3"/>
  <c r="M3" i="3" s="1"/>
  <c r="L8" i="3"/>
  <c r="N8" i="3" s="1"/>
  <c r="J8" i="3"/>
  <c r="M8" i="3" s="1"/>
  <c r="L12" i="3"/>
  <c r="N12" i="3" s="1"/>
  <c r="J12" i="3"/>
  <c r="M12" i="3" s="1"/>
  <c r="L16" i="3"/>
  <c r="N16" i="3" s="1"/>
  <c r="J16" i="3"/>
  <c r="M16" i="3" s="1"/>
  <c r="L20" i="3"/>
  <c r="N20" i="3" s="1"/>
  <c r="J20" i="3"/>
  <c r="M20" i="3" s="1"/>
  <c r="L24" i="3"/>
  <c r="N24" i="3" s="1"/>
  <c r="J24" i="3"/>
  <c r="M24" i="3" s="1"/>
  <c r="L28" i="3"/>
  <c r="N28" i="3" s="1"/>
  <c r="J28" i="3"/>
  <c r="M28" i="3" s="1"/>
  <c r="L37" i="3"/>
  <c r="N37" i="3" s="1"/>
  <c r="J37" i="3"/>
  <c r="M37" i="3" s="1"/>
  <c r="L21" i="3"/>
  <c r="N21" i="3" s="1"/>
  <c r="J21" i="3"/>
  <c r="M21" i="3" s="1"/>
  <c r="L25" i="3"/>
  <c r="N25" i="3" s="1"/>
  <c r="J25" i="3"/>
  <c r="M25" i="3" s="1"/>
  <c r="L29" i="3"/>
  <c r="N29" i="3" s="1"/>
  <c r="J29" i="3"/>
  <c r="M29" i="3" s="1"/>
  <c r="L34" i="3"/>
  <c r="N34" i="3" s="1"/>
  <c r="J34" i="3"/>
  <c r="M34" i="3" s="1"/>
  <c r="L38" i="3"/>
  <c r="N38" i="3" s="1"/>
  <c r="J38" i="3"/>
  <c r="M38" i="3" s="1"/>
  <c r="M20" i="2"/>
  <c r="U3" i="5"/>
  <c r="O23" i="2"/>
  <c r="I40" i="3"/>
  <c r="L25" i="2"/>
  <c r="M25" i="2" s="1"/>
  <c r="L14" i="2"/>
  <c r="M14" i="2" s="1"/>
  <c r="L18" i="2"/>
  <c r="M18" i="2" s="1"/>
  <c r="L32" i="2"/>
  <c r="M32" i="2" s="1"/>
  <c r="O32" i="2"/>
  <c r="N33" i="2"/>
  <c r="L35" i="2"/>
  <c r="O35" i="2" s="1"/>
  <c r="L2" i="2"/>
  <c r="M2" i="2" s="1"/>
  <c r="L6" i="2"/>
  <c r="M6" i="2" s="1"/>
  <c r="L10" i="2"/>
  <c r="M10" i="2" s="1"/>
  <c r="L26" i="2"/>
  <c r="O26" i="2" s="1"/>
  <c r="L29" i="2"/>
  <c r="O29" i="2" s="1"/>
  <c r="L34" i="2"/>
  <c r="M34" i="2" s="1"/>
  <c r="O34" i="2"/>
  <c r="N35" i="2"/>
  <c r="L37" i="2"/>
  <c r="O37" i="2" s="1"/>
  <c r="L22" i="2"/>
  <c r="O22" i="2" s="1"/>
  <c r="L27" i="2"/>
  <c r="O27" i="2" s="1"/>
  <c r="O4" i="2"/>
  <c r="O8" i="2"/>
  <c r="O12" i="2"/>
  <c r="O16" i="2"/>
  <c r="O20" i="2"/>
  <c r="L28" i="2"/>
  <c r="M28" i="2" s="1"/>
  <c r="N29" i="2"/>
  <c r="M29" i="2"/>
  <c r="L31" i="2"/>
  <c r="O31" i="2" s="1"/>
  <c r="L36" i="2"/>
  <c r="M36" i="2" s="1"/>
  <c r="N37" i="2"/>
  <c r="L39" i="2"/>
  <c r="O39" i="2" s="1"/>
  <c r="E7" i="6"/>
  <c r="L3" i="2"/>
  <c r="M3" i="2" s="1"/>
  <c r="L5" i="2"/>
  <c r="M5" i="2" s="1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4" i="2"/>
  <c r="M24" i="2" s="1"/>
  <c r="L30" i="2"/>
  <c r="M30" i="2" s="1"/>
  <c r="N31" i="2"/>
  <c r="L33" i="2"/>
  <c r="M33" i="2" s="1"/>
  <c r="L38" i="2"/>
  <c r="M38" i="2" s="1"/>
  <c r="N39" i="2"/>
  <c r="E2" i="6"/>
  <c r="E6" i="6"/>
  <c r="M23" i="2"/>
  <c r="E4" i="6"/>
  <c r="E8" i="6"/>
  <c r="L40" i="3" l="1"/>
  <c r="N40" i="3" s="1"/>
  <c r="J40" i="3"/>
  <c r="M40" i="3" s="1"/>
  <c r="M26" i="2"/>
  <c r="M39" i="2"/>
  <c r="M31" i="2"/>
  <c r="M37" i="2"/>
  <c r="M35" i="2"/>
  <c r="E5" i="6"/>
  <c r="O17" i="2"/>
  <c r="O13" i="2"/>
  <c r="O9" i="2"/>
  <c r="O5" i="2"/>
  <c r="N40" i="2"/>
  <c r="N41" i="2" s="1"/>
  <c r="O18" i="2"/>
  <c r="E9" i="6"/>
  <c r="O6" i="2"/>
  <c r="O30" i="2"/>
  <c r="O15" i="2"/>
  <c r="O11" i="2"/>
  <c r="O7" i="2"/>
  <c r="O3" i="2"/>
  <c r="J7" i="6"/>
  <c r="M7" i="6"/>
  <c r="K7" i="6"/>
  <c r="L7" i="6"/>
  <c r="J8" i="6"/>
  <c r="K8" i="6"/>
  <c r="M8" i="6"/>
  <c r="L8" i="6"/>
  <c r="J6" i="6"/>
  <c r="M6" i="6"/>
  <c r="L6" i="6"/>
  <c r="K6" i="6"/>
  <c r="O21" i="2"/>
  <c r="O36" i="2"/>
  <c r="M22" i="2"/>
  <c r="E3" i="6"/>
  <c r="O14" i="2"/>
  <c r="J4" i="6"/>
  <c r="M4" i="6"/>
  <c r="K4" i="6"/>
  <c r="L4" i="6"/>
  <c r="J2" i="6"/>
  <c r="M2" i="6"/>
  <c r="E12" i="6"/>
  <c r="L2" i="6"/>
  <c r="K2" i="6"/>
  <c r="M27" i="2"/>
  <c r="O33" i="2"/>
  <c r="O28" i="2"/>
  <c r="O10" i="2"/>
  <c r="O2" i="2"/>
  <c r="O25" i="2"/>
  <c r="J5" i="6"/>
  <c r="M5" i="6"/>
  <c r="L5" i="6"/>
  <c r="K5" i="6"/>
  <c r="L9" i="6"/>
  <c r="K9" i="6"/>
  <c r="J9" i="6"/>
  <c r="M9" i="6"/>
  <c r="O38" i="2"/>
  <c r="O19" i="2"/>
  <c r="O24" i="2"/>
  <c r="J3" i="6" l="1"/>
  <c r="J12" i="6" s="1"/>
  <c r="K3" i="6"/>
  <c r="M3" i="6"/>
  <c r="M12" i="6" s="1"/>
  <c r="L3" i="6"/>
  <c r="L12" i="6" s="1"/>
  <c r="K12" i="6"/>
  <c r="O43" i="2"/>
  <c r="O40" i="2"/>
  <c r="E11" i="5"/>
  <c r="T3" i="5"/>
  <c r="E6" i="5"/>
  <c r="F6" i="5"/>
  <c r="E7" i="5"/>
  <c r="F7" i="5"/>
  <c r="E10" i="5"/>
  <c r="F10" i="5"/>
  <c r="E8" i="5"/>
  <c r="F8" i="5"/>
  <c r="E9" i="5"/>
  <c r="F9" i="5"/>
</calcChain>
</file>

<file path=xl/sharedStrings.xml><?xml version="1.0" encoding="utf-8"?>
<sst xmlns="http://schemas.openxmlformats.org/spreadsheetml/2006/main" count="733" uniqueCount="237">
  <si>
    <t>languageName</t>
  </si>
  <si>
    <t>traceMetamodel</t>
  </si>
  <si>
    <t>modelName</t>
  </si>
  <si>
    <t>traceMemoryFootprint</t>
  </si>
  <si>
    <t>kB</t>
  </si>
  <si>
    <t>nbStatesGENERIC</t>
  </si>
  <si>
    <t>fuml</t>
  </si>
  <si>
    <t>2557-1_parameter_1.xmi.trace</t>
  </si>
  <si>
    <t>2557-1_parameter_2.xmi.trace</t>
  </si>
  <si>
    <t>2557-1_parameter_3.xmi.trace</t>
  </si>
  <si>
    <t>2557-2_parameter_1.xmi.trace</t>
  </si>
  <si>
    <t>2557-2_parameter_2.xmi.trace</t>
  </si>
  <si>
    <t>2557-2_parameter_3.xmi.trace</t>
  </si>
  <si>
    <t>ExampleAV1_parameter_1_1.xmi.trace</t>
  </si>
  <si>
    <t>ExampleAV1_parameter_1_2.xmi.trace</t>
  </si>
  <si>
    <t>ExampleAV1_parameter_2_1.xmi.trace</t>
  </si>
  <si>
    <t>ExampleAV1_parameter_2_2.xmi.trace</t>
  </si>
  <si>
    <t>ExampleAV2_parameter_1_1.xmi.trace</t>
  </si>
  <si>
    <t>ExampleAV2_parameter_1_2.xmi.trace</t>
  </si>
  <si>
    <t>ExampleAV2_parameter_2_1.xmi.trace</t>
  </si>
  <si>
    <t>ExampleAV2_parameter_2_2.xmi.trace</t>
  </si>
  <si>
    <t>ExampleAV3_parameter_1_1.xmi.trace</t>
  </si>
  <si>
    <t>ExampleAV3_parameter_1_2.xmi.trace</t>
  </si>
  <si>
    <t>ExampleAV3_parameter_2_1.xmi.trace</t>
  </si>
  <si>
    <t>ExampleAV3_parameter_2_2.xmi.trace</t>
  </si>
  <si>
    <t>ExampleAV4_parameter_1_1.xmi.trace</t>
  </si>
  <si>
    <t>ExampleAV4_parameter_1_2.xmi.trace</t>
  </si>
  <si>
    <t>ExampleAV4_parameter_2_1.xmi.trace</t>
  </si>
  <si>
    <t>ExampleAV4_parameter_2_2.xmi.trace</t>
  </si>
  <si>
    <t>ExampleBV1_parameter_false_false.xmi.trace</t>
  </si>
  <si>
    <t>ExampleBV1_parameter_false_true.xmi.trace</t>
  </si>
  <si>
    <t>ExampleBV1_parameter_true_false.xmi.trace</t>
  </si>
  <si>
    <t>ExampleBV1_parameter_true_true.xmi.trace</t>
  </si>
  <si>
    <t>ExampleBV2_parameter_false_false.xmi.trace</t>
  </si>
  <si>
    <t>ExampleBV2_parameter_false_true.xmi.trace</t>
  </si>
  <si>
    <t>ExampleBV2_parameter_true_false.xmi.trace</t>
  </si>
  <si>
    <t>ExampleBV2_parameter_true_true.xmi.trace</t>
  </si>
  <si>
    <t>ExampleBV3_parameter_false_false_false.xmi.trace</t>
  </si>
  <si>
    <t>ExampleBV3_parameter_false_false_true.xmi.trace</t>
  </si>
  <si>
    <t>ExampleBV3_parameter_false_true_false.xmi.trace</t>
  </si>
  <si>
    <t>ExampleBV3_parameter_false_true_true.xmi.trace</t>
  </si>
  <si>
    <t>ExampleBV3_parameter_true_false_false.xmi.trace</t>
  </si>
  <si>
    <t>ExampleBV3_parameter_true_false_true.xmi.trace</t>
  </si>
  <si>
    <t>ExampleBV3_parameter_true_true_false.xmi.trace</t>
  </si>
  <si>
    <t>ExampleBV3_parameter_true_true_true.xmi.trace</t>
  </si>
  <si>
    <t>Nobj DS</t>
  </si>
  <si>
    <t>Kbobj DS</t>
  </si>
  <si>
    <t>Nref DS</t>
  </si>
  <si>
    <t>NobjCTM</t>
  </si>
  <si>
    <t>ds_traces</t>
  </si>
  <si>
    <t>ds trace KB</t>
  </si>
  <si>
    <t>Nb objects</t>
  </si>
  <si>
    <t>Nref CTM</t>
  </si>
  <si>
    <t>CTM KB</t>
  </si>
  <si>
    <t>Obj Compaction Rate</t>
  </si>
  <si>
    <t>Ref Compaction Rate</t>
  </si>
  <si>
    <t>min obj</t>
  </si>
  <si>
    <t>max obj</t>
  </si>
  <si>
    <t>compaction</t>
  </si>
  <si>
    <t>modelname</t>
  </si>
  <si>
    <t>state</t>
  </si>
  <si>
    <t>Kb</t>
  </si>
  <si>
    <t>%C</t>
  </si>
  <si>
    <t>step</t>
  </si>
  <si>
    <t>KB</t>
  </si>
  <si>
    <t>objectstate</t>
  </si>
  <si>
    <t>parameterlist</t>
  </si>
  <si>
    <t>%c</t>
  </si>
  <si>
    <t>no compaction</t>
  </si>
  <si>
    <t>Average</t>
  </si>
  <si>
    <t>%State CR</t>
  </si>
  <si>
    <t>%Step CR</t>
  </si>
  <si>
    <t>%ObjectState CR</t>
  </si>
  <si>
    <t>%ParameterList CR</t>
  </si>
  <si>
    <t>CTM Trace</t>
  </si>
  <si>
    <t>Step</t>
  </si>
  <si>
    <t>State</t>
  </si>
  <si>
    <t>ObjecState</t>
  </si>
  <si>
    <t>ParameterList</t>
  </si>
  <si>
    <t>%Step</t>
  </si>
  <si>
    <t>%State</t>
  </si>
  <si>
    <t>%ObjectState</t>
  </si>
  <si>
    <t>%parameterList</t>
  </si>
  <si>
    <t>nbStates</t>
  </si>
  <si>
    <t>EXI compaction rate</t>
  </si>
  <si>
    <t>XML compaction rate</t>
  </si>
  <si>
    <t>CTM trace serialized in XML</t>
  </si>
  <si>
    <t>CTM trace serialized in EXI</t>
  </si>
  <si>
    <t>[13393002010, 13887730075, 14459319209, 13778888051, 13827927650]</t>
  </si>
  <si>
    <t>anonCompany/ExampleB/ExampleBV1_parameter_true_true.xmi</t>
  </si>
  <si>
    <t>anonCompany/ExampleB/ExampleBV1.uml</t>
  </si>
  <si>
    <t>no_trace</t>
  </si>
  <si>
    <t>[13100577260, 16063331682, 14010577340, 14435563055, 13922460596]</t>
  </si>
  <si>
    <t>anonCompany/ExampleB/ExampleBV1_parameter_true_false.xmi</t>
  </si>
  <si>
    <t>[13661993077, 14343345899, 15386688306, 14692150476, 15206424836]</t>
  </si>
  <si>
    <t>anonCompany/ExampleB/ExampleBV1_parameter_false_true.xmi</t>
  </si>
  <si>
    <t>[14619495928, 14071314258, 15029561468, 13394487207, 14827740723]</t>
  </si>
  <si>
    <t>anonCompany/ExampleB/ExampleBV1_parameter_false_false.xmi</t>
  </si>
  <si>
    <t>[20918664455, 22482736135, 21684712605, 21134497572, 21239177242]</t>
  </si>
  <si>
    <t>anonCompany/ExampleB/ExampleBV3_parameter_true_true_true.xmi</t>
  </si>
  <si>
    <t>anonCompany/ExampleB/ExampleBV3.uml</t>
  </si>
  <si>
    <t>[20409261156, 22569940591, 22946272277, 21622299011, 21513248443]</t>
  </si>
  <si>
    <t>anonCompany/ExampleB/ExampleBV3_parameter_true_true_false.xmi</t>
  </si>
  <si>
    <t>[20793632288, 21056765653, 22064655606, 23291963438, 21922484861]</t>
  </si>
  <si>
    <t>anonCompany/ExampleB/ExampleBV3_parameter_true_false_true.xmi</t>
  </si>
  <si>
    <t>[21230504722, 23201895409, 22192835066, 22273562655, 22179836748]</t>
  </si>
  <si>
    <t>anonCompany/ExampleB/ExampleBV3_parameter_true_false_false.xmi</t>
  </si>
  <si>
    <t>[22801286740, 23578522047, 23915411935, 22572201730, 23376101435]</t>
  </si>
  <si>
    <t>anonCompany/ExampleB/ExampleBV3_parameter_false_true_true.xmi</t>
  </si>
  <si>
    <t>[23662854269, 22914027922, 23291928658, 22963262014, 23235712790]</t>
  </si>
  <si>
    <t>anonCompany/ExampleB/ExampleBV3_parameter_false_true_false.xmi</t>
  </si>
  <si>
    <t>[25177456585, 25208828737, 24718160009, 24513724946, 26202736184]</t>
  </si>
  <si>
    <t>anonCompany/ExampleB/ExampleBV3_parameter_false_false_true.xmi</t>
  </si>
  <si>
    <t>[26064234424, 26109895894, 25629719974, 24829108756, 26993894654]</t>
  </si>
  <si>
    <t>anonCompany/ExampleB/ExampleBV3_parameter_false_false_false.xmi</t>
  </si>
  <si>
    <t>[32660233336, 33432405366, 32480323592, 31534603730, 33379287449]</t>
  </si>
  <si>
    <t>Nokia/ExampleA/ExampleAV4_parameter_2_2.xmi</t>
  </si>
  <si>
    <t>Nokia/ExampleA/ExampleAV4.uml</t>
  </si>
  <si>
    <t>[32310120557, 32571199844, 32931729077, 33094396975, 32552777498]</t>
  </si>
  <si>
    <t>Nokia/ExampleA/ExampleAV4_parameter_2_1.xmi</t>
  </si>
  <si>
    <t>[33647352809, 32701963350, 31427354092, 32142331534, 34737024205]</t>
  </si>
  <si>
    <t>Nokia/ExampleA/ExampleAV4_parameter_1_2.xmi</t>
  </si>
  <si>
    <t>[32046783076, 33586180112, 33177038519, 33271745507, 32270941564]</t>
  </si>
  <si>
    <t>Nokia/ExampleA/ExampleAV4_parameter_1_1.xmi</t>
  </si>
  <si>
    <t>[14350310057, 15158187793, 13335139263, 12945719461, 13736612540]</t>
  </si>
  <si>
    <t>anonCompany/ExampleB/ExampleBV2_parameter_true_true.xmi</t>
  </si>
  <si>
    <t>anonCompany/ExampleB/ExampleBV2.uml</t>
  </si>
  <si>
    <t>[13536176796, 13252499216, 13891509372, 14352484602, 13592214667]</t>
  </si>
  <si>
    <t>anonCompany/ExampleB/ExampleBV2_parameter_true_false.xmi</t>
  </si>
  <si>
    <t>[14699972691, 14706423808, 14782001166, 15782714984, 15095862820]</t>
  </si>
  <si>
    <t>anonCompany/ExampleB/ExampleBV2_parameter_false_true.xmi</t>
  </si>
  <si>
    <t>[14281122129, 14184972046, 14675956006, 14840759615, 14345823005]</t>
  </si>
  <si>
    <t>anonCompany/ExampleB/ExampleBV2_parameter_false_false.xmi</t>
  </si>
  <si>
    <t>[18766240335, 18504075900, 18672494756, 19676644054, 19780725294]</t>
  </si>
  <si>
    <t>IBM/2557-1_parameter_3.xmi</t>
  </si>
  <si>
    <t>IBM/2557-1.uml</t>
  </si>
  <si>
    <t>[18968540690, 18481922576, 20794960284, 18344016213, 19235680207]</t>
  </si>
  <si>
    <t>IBM/2557-1_parameter_2.xmi</t>
  </si>
  <si>
    <t>[19950862726, 19742464484, 19098196649, 20287718597, 19200688630]</t>
  </si>
  <si>
    <t>IBM/2557-1_parameter_1.xmi</t>
  </si>
  <si>
    <t>[17039303710, 18651523162, 17837663155, 17380923608, 19606156571]</t>
  </si>
  <si>
    <t>Nokia/ExampleA/ExampleAV2_parameter_2_2.xmi</t>
  </si>
  <si>
    <t>Nokia/ExampleA/ExampleAV2.uml</t>
  </si>
  <si>
    <t>[17661649934, 17810007644, 18764681146, 18301049303, 17283422746]</t>
  </si>
  <si>
    <t>Nokia/ExampleA/ExampleAV2_parameter_2_1.xmi</t>
  </si>
  <si>
    <t>[17361262447, 18602680888, 17808053769, 18563850365, 17100989980]</t>
  </si>
  <si>
    <t>Nokia/ExampleA/ExampleAV2_parameter_1_2.xmi</t>
  </si>
  <si>
    <t>[17067063207, 17837045314, 17707671905, 17612040684, 17904564057]</t>
  </si>
  <si>
    <t>Nokia/ExampleA/ExampleAV2_parameter_1_1.xmi</t>
  </si>
  <si>
    <t>[13839255447, 14723224071, 15505756353, 14608985688, 15186321306]</t>
  </si>
  <si>
    <t>Nokia/ExampleA/ExampleAV1_parameter_2_2.xmi</t>
  </si>
  <si>
    <t>Nokia/ExampleA/ExampleAV1.uml</t>
  </si>
  <si>
    <t>[14893975906, 16463434380, 15230130107, 15568583061, 14505658904]</t>
  </si>
  <si>
    <t>Nokia/ExampleA/ExampleAV1_parameter_2_1.xmi</t>
  </si>
  <si>
    <t>[15041162319, 16328850794, 13850073686, 15183822883, 14927115074]</t>
  </si>
  <si>
    <t>Nokia/ExampleA/ExampleAV1_parameter_1_2.xmi</t>
  </si>
  <si>
    <t>[14305844274, 14082910724, 14304709550, 13869616041, 14293655084]</t>
  </si>
  <si>
    <t>Nokia/ExampleA/ExampleAV1_parameter_1_1.xmi</t>
  </si>
  <si>
    <t>[33967226375, 34162008633, 33777450304, 35130389705, 34520036438]</t>
  </si>
  <si>
    <t>Nokia/ExampleA/ExampleAV3_parameter_2_2.xmi</t>
  </si>
  <si>
    <t>Nokia/ExampleA/ExampleAV3.uml</t>
  </si>
  <si>
    <t>[32153273961, 33454726204, 33891775881, 34335439400, 35024795844]</t>
  </si>
  <si>
    <t>Nokia/ExampleA/ExampleAV3_parameter_2_1.xmi</t>
  </si>
  <si>
    <t>[33568342354, 34677895278, 32945225134, 34551022595, 34193620040]</t>
  </si>
  <si>
    <t>Nokia/ExampleA/ExampleAV3_parameter_1_2.xmi</t>
  </si>
  <si>
    <t>[35736452354, 34468386803, 33306810615, 34395954005, 34581067806]</t>
  </si>
  <si>
    <t>Nokia/ExampleA/ExampleAV3_parameter_1_1.xmi</t>
  </si>
  <si>
    <t>[15025981978, 15523276559, 15716810018, 15283091522, 15964496904]</t>
  </si>
  <si>
    <t>IBM/2557-2_parameter_3.xmi</t>
  </si>
  <si>
    <t>IBM/2557-2.uml</t>
  </si>
  <si>
    <t>[15616929845, 16494901067, 14426308081, 16436759754, 15623306814]</t>
  </si>
  <si>
    <t>IBM/2557-2_parameter_2.xmi</t>
  </si>
  <si>
    <t>[15177971877, 14799921364, 15793451635, 16074524391, 16078350084]</t>
  </si>
  <si>
    <t>IBM/2557-2_parameter_1.xmi</t>
  </si>
  <si>
    <t>[14706410819, 14161780541, 15265686843, 14360643527, 16205068679]</t>
  </si>
  <si>
    <t>[14416574116, 14713651388, 14423187944, 14264542455, 15132010110]</t>
  </si>
  <si>
    <t>[16241129385, 16067403599, 16463975406, 16999579209, 15459071929]</t>
  </si>
  <si>
    <t>[15636926031, 17197152895, 16712240178, 15989572320, 16728023517]</t>
  </si>
  <si>
    <t>[23587677307, 24648398231, 23080757544, 22674523657, 22283278951]</t>
  </si>
  <si>
    <t>[23652582799, 22905691276, 23910035217, 25248714349, 24399748856]</t>
  </si>
  <si>
    <t>[25136232991, 22612881348, 22614079322, 25137471352, 22367726815]</t>
  </si>
  <si>
    <t>[23835830833, 24474699945, 23731726469, 23521379059, 23167355505]</t>
  </si>
  <si>
    <t>[24458164993, 24109265178, 24459225227, 26336480756, 24229445821]</t>
  </si>
  <si>
    <t>[24547843180, 25006683633, 24052010458, 24409484550, 24928355145]</t>
  </si>
  <si>
    <t>[25508003832, 27007431248, 27536810078, 27391633802, 25799893542]</t>
  </si>
  <si>
    <t>[26296929759, 26135862591, 28538876697, 28310365311, 26998906822]</t>
  </si>
  <si>
    <t>[34536544807, 33839981149, 34789379859, 34713401248, 33404440877]</t>
  </si>
  <si>
    <t>[34900901043, 34744130555, 35743584205, 34709063123, 33754518962]</t>
  </si>
  <si>
    <t>[34636788795, 33777682679, 34779157614, 33553179010, 33303514694]</t>
  </si>
  <si>
    <t>[34222494876, 35267351862, 34093722464, 34335709894, 34783060450]</t>
  </si>
  <si>
    <t>[13898840905, 14588330247, 15091920115, 15226446058, 14557013694]</t>
  </si>
  <si>
    <t>[15257232956, 14879132763, 14250246129, 15455060481, 14675146786]</t>
  </si>
  <si>
    <t>[15980778972, 16483032585, 16756481669, 16578883987, 16532330146]</t>
  </si>
  <si>
    <t>[16245699188, 15892393544, 15337670379, 14179620541, 16200796979]</t>
  </si>
  <si>
    <t>[20462683446, 20294167035, 20605296996, 19897461851, 20263428903]</t>
  </si>
  <si>
    <t>[20932091573, 21433624116, 21105946679, 21079370189, 20680586838]</t>
  </si>
  <si>
    <t>[20811610777, 20456916687, 20567018163, 22076985064, 20680791954]</t>
  </si>
  <si>
    <t>[19837485099, 19387850688, 18474308867, 20073007912, 19876680112]</t>
  </si>
  <si>
    <t>[19992482483, 19128911237, 20033990251, 19133680995, 19510257428]</t>
  </si>
  <si>
    <t>[19352850015, 18660479136, 19137680442, 19169439701, 19636633352]</t>
  </si>
  <si>
    <t>[18494771294, 20120658900, 20794868599, 21052416617, 19603444065]</t>
  </si>
  <si>
    <t>[15792958906, 16388818562, 16343165506, 17731384749, 16450821010]</t>
  </si>
  <si>
    <t>[15958805150, 15658526461, 15641721952, 16064009304, 15796957072]</t>
  </si>
  <si>
    <t>[14994540514, 16217633569, 15462137915, 14895633205, 15754701760]</t>
  </si>
  <si>
    <t>[16016735606, 16162765342, 15375908822, 16476703362, 15192018728]</t>
  </si>
  <si>
    <t>[35602693141, 37194956637, 36090870180, 35442945019, 35839674246]</t>
  </si>
  <si>
    <t>[35036796358, 35689892463, 36254252858, 37479904682, 37401782045]</t>
  </si>
  <si>
    <t>[35617039775, 36974454848, 36228615766, 36550154192, 35769028428]</t>
  </si>
  <si>
    <t>Stdev</t>
  </si>
  <si>
    <t>[36738974006, 37277747359, 35992185152, 36120893678, 35639853168]</t>
  </si>
  <si>
    <t>mean</t>
  </si>
  <si>
    <t>[17496839735, 17350982849, 16447520821, 15387879125, 16752555260]</t>
  </si>
  <si>
    <t>[17044978953, 16214895230, 15849024416, 16852801113, 16674737189]</t>
  </si>
  <si>
    <t>[19526835845, 17119830357, 15813052756, 16866336088, 16551770573]</t>
  </si>
  <si>
    <t>nbMeasurements</t>
  </si>
  <si>
    <t>nbWarmups</t>
  </si>
  <si>
    <t>timeExes</t>
  </si>
  <si>
    <t>ratioNoTrace</t>
  </si>
  <si>
    <t>myrationotrace</t>
  </si>
  <si>
    <t>mydiffnotrace</t>
  </si>
  <si>
    <t>diffWithNoTrace</t>
  </si>
  <si>
    <t>mytraceTime</t>
  </si>
  <si>
    <t>timeExe</t>
  </si>
  <si>
    <t>modelID</t>
  </si>
  <si>
    <t>inputName</t>
  </si>
  <si>
    <t>A</t>
  </si>
  <si>
    <t>B</t>
  </si>
  <si>
    <t>domain specific trace in XML</t>
  </si>
  <si>
    <t>domain specific trace in EXI</t>
  </si>
  <si>
    <t>EXI</t>
  </si>
  <si>
    <t>XML</t>
  </si>
  <si>
    <t>mytimefor construction</t>
  </si>
  <si>
    <t>ObjectState</t>
  </si>
  <si>
    <t>Parameterlist</t>
  </si>
  <si>
    <t>memory (KB)</t>
  </si>
  <si>
    <t>Parameter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</si>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</sst>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9">
    <font>
      <sz val="11"/>
      <color rgb="FF000000"/>
      <name val="Liberation Sans"/>
    </font>
    <font>
      <sz val="11"/>
      <color rgb="FF000000"/>
      <name val="Liberation Sans"/>
    </font>
    <font>
      <sz val="10"/>
      <color rgb="FF000000"/>
      <name val="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Sans"/>
    </font>
    <font>
      <b/>
      <sz val="10"/>
      <color rgb="FF000000"/>
      <name val="Sans"/>
    </font>
    <font>
      <b/>
      <sz val="9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4" fontId="4" fillId="0" borderId="0" applyBorder="0" applyProtection="0"/>
    <xf numFmtId="0" fontId="6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0" fillId="0" borderId="1" xfId="0" applyBorder="1"/>
    <xf numFmtId="0" fontId="0" fillId="2" borderId="2" xfId="0" applyFill="1" applyBorder="1"/>
    <xf numFmtId="1" fontId="0" fillId="0" borderId="1" xfId="0" applyNumberFormat="1" applyBorder="1"/>
    <xf numFmtId="9" fontId="1" fillId="0" borderId="1" xfId="1" applyBorder="1"/>
    <xf numFmtId="9" fontId="0" fillId="0" borderId="1" xfId="0" applyNumberFormat="1" applyBorder="1"/>
    <xf numFmtId="2" fontId="0" fillId="0" borderId="1" xfId="0" applyNumberForma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0" fillId="6" borderId="2" xfId="0" applyFill="1" applyBorder="1"/>
    <xf numFmtId="0" fontId="0" fillId="0" borderId="2" xfId="0" applyBorder="1"/>
    <xf numFmtId="0" fontId="0" fillId="3" borderId="2" xfId="0" applyFill="1" applyBorder="1"/>
    <xf numFmtId="9" fontId="1" fillId="3" borderId="2" xfId="1" applyFill="1" applyBorder="1"/>
    <xf numFmtId="0" fontId="0" fillId="4" borderId="2" xfId="0" applyFill="1" applyBorder="1"/>
    <xf numFmtId="9" fontId="1" fillId="4" borderId="2" xfId="1" applyFill="1" applyBorder="1"/>
    <xf numFmtId="0" fontId="0" fillId="5" borderId="2" xfId="0" applyFill="1" applyBorder="1"/>
    <xf numFmtId="9" fontId="1" fillId="5" borderId="2" xfId="1" applyFill="1" applyBorder="1"/>
    <xf numFmtId="0" fontId="0" fillId="2" borderId="0" xfId="0" applyFill="1"/>
    <xf numFmtId="9" fontId="1" fillId="0" borderId="2" xfId="1" applyBorder="1"/>
    <xf numFmtId="0" fontId="0" fillId="2" borderId="3" xfId="0" applyFill="1" applyBorder="1"/>
    <xf numFmtId="1" fontId="0" fillId="2" borderId="2" xfId="0" applyNumberFormat="1" applyFill="1" applyBorder="1"/>
    <xf numFmtId="0" fontId="0" fillId="2" borderId="4" xfId="0" applyFill="1" applyBorder="1"/>
    <xf numFmtId="1" fontId="0" fillId="0" borderId="2" xfId="0" applyNumberFormat="1" applyBorder="1"/>
    <xf numFmtId="9" fontId="1" fillId="0" borderId="0" xfId="1"/>
    <xf numFmtId="0" fontId="0" fillId="0" borderId="5" xfId="0" applyBorder="1"/>
    <xf numFmtId="9" fontId="0" fillId="0" borderId="0" xfId="0" applyNumberFormat="1"/>
    <xf numFmtId="0" fontId="0" fillId="7" borderId="0" xfId="0" applyFill="1"/>
    <xf numFmtId="1" fontId="0" fillId="7" borderId="1" xfId="0" applyNumberFormat="1" applyFill="1" applyBorder="1"/>
    <xf numFmtId="9" fontId="0" fillId="0" borderId="1" xfId="1" applyFont="1" applyBorder="1"/>
    <xf numFmtId="2" fontId="0" fillId="0" borderId="0" xfId="0" applyNumberFormat="1"/>
    <xf numFmtId="0" fontId="6" fillId="0" borderId="0" xfId="7"/>
    <xf numFmtId="10" fontId="2" fillId="0" borderId="0" xfId="7" applyNumberFormat="1" applyFont="1" applyFill="1" applyAlignment="1" applyProtection="1"/>
    <xf numFmtId="0" fontId="2" fillId="0" borderId="0" xfId="2" applyFont="1" applyFill="1" applyAlignment="1"/>
    <xf numFmtId="0" fontId="2" fillId="0" borderId="1" xfId="7" applyFont="1" applyFill="1" applyBorder="1" applyAlignment="1" applyProtection="1"/>
    <xf numFmtId="10" fontId="2" fillId="0" borderId="1" xfId="7" applyNumberFormat="1" applyFont="1" applyFill="1" applyBorder="1" applyAlignment="1" applyProtection="1"/>
    <xf numFmtId="9" fontId="2" fillId="0" borderId="1" xfId="8" applyFont="1" applyFill="1" applyBorder="1" applyAlignment="1"/>
    <xf numFmtId="9" fontId="2" fillId="8" borderId="1" xfId="8" applyFont="1" applyFill="1" applyBorder="1" applyAlignment="1"/>
    <xf numFmtId="0" fontId="2" fillId="8" borderId="1" xfId="7" applyFont="1" applyFill="1" applyBorder="1" applyAlignment="1" applyProtection="1"/>
    <xf numFmtId="0" fontId="2" fillId="0" borderId="2" xfId="2" applyFont="1" applyFill="1" applyBorder="1" applyAlignment="1"/>
    <xf numFmtId="0" fontId="2" fillId="8" borderId="2" xfId="2" applyFont="1" applyFill="1" applyBorder="1" applyAlignment="1"/>
    <xf numFmtId="0" fontId="7" fillId="0" borderId="0" xfId="7" applyFont="1" applyFill="1" applyAlignment="1" applyProtection="1"/>
    <xf numFmtId="10" fontId="7" fillId="0" borderId="0" xfId="7" applyNumberFormat="1" applyFont="1" applyFill="1" applyAlignment="1" applyProtection="1"/>
    <xf numFmtId="0" fontId="7" fillId="8" borderId="0" xfId="7" applyFont="1" applyFill="1" applyAlignment="1" applyProtection="1"/>
    <xf numFmtId="2" fontId="0" fillId="7" borderId="1" xfId="0" applyNumberFormat="1" applyFill="1" applyBorder="1"/>
    <xf numFmtId="0" fontId="2" fillId="0" borderId="0" xfId="7" applyFont="1" applyFill="1" applyBorder="1" applyAlignment="1" applyProtection="1"/>
    <xf numFmtId="0" fontId="8" fillId="0" borderId="0" xfId="0" applyFont="1"/>
    <xf numFmtId="1" fontId="2" fillId="0" borderId="1" xfId="7" applyNumberFormat="1" applyFont="1" applyFill="1" applyBorder="1" applyAlignment="1" applyProtection="1"/>
    <xf numFmtId="9" fontId="2" fillId="0" borderId="1" xfId="1" applyFont="1" applyFill="1" applyBorder="1" applyAlignment="1" applyProtection="1"/>
    <xf numFmtId="11" fontId="2" fillId="8" borderId="1" xfId="7" applyNumberFormat="1" applyFont="1" applyFill="1" applyBorder="1" applyAlignment="1" applyProtection="1"/>
    <xf numFmtId="11" fontId="2" fillId="9" borderId="1" xfId="7" applyNumberFormat="1" applyFont="1" applyFill="1" applyBorder="1" applyAlignment="1" applyProtection="1"/>
    <xf numFmtId="11" fontId="0" fillId="0" borderId="0" xfId="0" applyNumberFormat="1"/>
    <xf numFmtId="9" fontId="2" fillId="0" borderId="1" xfId="7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</cellXfs>
  <cellStyles count="9">
    <cellStyle name="Gnumeric-default" xfId="2"/>
    <cellStyle name="Heading" xfId="3"/>
    <cellStyle name="Heading1" xfId="4"/>
    <cellStyle name="Normal" xfId="0" builtinId="0" customBuiltin="1"/>
    <cellStyle name="Normal 2" xfId="7"/>
    <cellStyle name="Percent" xfId="1" builtinId="5" customBuiltin="1"/>
    <cellStyle name="Percent 2" xfId="8"/>
    <cellStyle name="Result" xfId="5"/>
    <cellStyle name="Result2" xfId="6"/>
  </cellStyles>
  <dxfs count="1">
    <dxf>
      <numFmt numFmtId="1" formatCode="0"/>
      <border diagonalUp="0" diagonalDown="0">
        <left/>
        <right/>
        <top style="thin">
          <color rgb="FF000000"/>
        </top>
        <bottom/>
        <vertical/>
        <horizontal/>
      </border>
    </dxf>
  </dxfs>
  <tableStyles count="0" defaultTableStyle="TableStyleMedium2" defaultPivotStyle="PivotStyleLight16"/>
  <colors>
    <mruColors>
      <color rgb="FFCE0211"/>
      <color rgb="FFFF0066"/>
      <color rgb="FFFF6600"/>
      <color rgb="FF0000FF"/>
      <color rgb="FF3EA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1" cap="flat">
              <a:solidFill>
                <a:srgbClr val="000000"/>
              </a:solidFill>
              <a:prstDash val="solid"/>
              <a:miter/>
            </a:ln>
          </c:spPr>
          <c:invertIfNegative val="0"/>
          <c:val>
            <c:numRef>
              <c:f>'Memory Results'!$G$2:$G$39</c:f>
              <c:numCache>
                <c:formatCode>General</c:formatCode>
                <c:ptCount val="38"/>
                <c:pt idx="0">
                  <c:v>9469</c:v>
                </c:pt>
                <c:pt idx="1">
                  <c:v>9264</c:v>
                </c:pt>
                <c:pt idx="2">
                  <c:v>9264</c:v>
                </c:pt>
                <c:pt idx="3">
                  <c:v>7976</c:v>
                </c:pt>
                <c:pt idx="4">
                  <c:v>7868</c:v>
                </c:pt>
                <c:pt idx="5">
                  <c:v>7820</c:v>
                </c:pt>
                <c:pt idx="6">
                  <c:v>7610</c:v>
                </c:pt>
                <c:pt idx="7">
                  <c:v>7562</c:v>
                </c:pt>
                <c:pt idx="8">
                  <c:v>7767</c:v>
                </c:pt>
                <c:pt idx="9">
                  <c:v>7707</c:v>
                </c:pt>
                <c:pt idx="10">
                  <c:v>8963</c:v>
                </c:pt>
                <c:pt idx="11">
                  <c:v>8963</c:v>
                </c:pt>
                <c:pt idx="12">
                  <c:v>8975</c:v>
                </c:pt>
                <c:pt idx="13">
                  <c:v>9023</c:v>
                </c:pt>
                <c:pt idx="14">
                  <c:v>14433</c:v>
                </c:pt>
                <c:pt idx="15">
                  <c:v>14433</c:v>
                </c:pt>
                <c:pt idx="16">
                  <c:v>14433</c:v>
                </c:pt>
                <c:pt idx="17">
                  <c:v>14433</c:v>
                </c:pt>
                <c:pt idx="18">
                  <c:v>14003</c:v>
                </c:pt>
                <c:pt idx="19">
                  <c:v>14003</c:v>
                </c:pt>
                <c:pt idx="20">
                  <c:v>14004</c:v>
                </c:pt>
                <c:pt idx="21">
                  <c:v>14003</c:v>
                </c:pt>
                <c:pt idx="22">
                  <c:v>7537</c:v>
                </c:pt>
                <c:pt idx="23">
                  <c:v>7797</c:v>
                </c:pt>
                <c:pt idx="24">
                  <c:v>7177</c:v>
                </c:pt>
                <c:pt idx="25">
                  <c:v>7320</c:v>
                </c:pt>
                <c:pt idx="26">
                  <c:v>7585</c:v>
                </c:pt>
                <c:pt idx="27">
                  <c:v>7737</c:v>
                </c:pt>
                <c:pt idx="28">
                  <c:v>7320</c:v>
                </c:pt>
                <c:pt idx="29">
                  <c:v>7320</c:v>
                </c:pt>
                <c:pt idx="30">
                  <c:v>11558</c:v>
                </c:pt>
                <c:pt idx="31">
                  <c:v>11620</c:v>
                </c:pt>
                <c:pt idx="32">
                  <c:v>10988</c:v>
                </c:pt>
                <c:pt idx="33">
                  <c:v>11191</c:v>
                </c:pt>
                <c:pt idx="34">
                  <c:v>10571</c:v>
                </c:pt>
                <c:pt idx="35">
                  <c:v>10714</c:v>
                </c:pt>
                <c:pt idx="36">
                  <c:v>10619</c:v>
                </c:pt>
                <c:pt idx="37">
                  <c:v>10714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74-442D-B1A1-A510D67084EE}"/>
            </c:ext>
          </c:extLst>
        </c:ser>
        <c:ser>
          <c:idx val="1"/>
          <c:order val="1"/>
          <c:spPr>
            <a:solidFill>
              <a:srgbClr val="A5A5A5"/>
            </a:solidFill>
            <a:ln w="12701" cap="flat">
              <a:solidFill>
                <a:srgbClr val="787878"/>
              </a:solidFill>
              <a:prstDash val="solid"/>
              <a:miter/>
            </a:ln>
          </c:spPr>
          <c:invertIfNegative val="0"/>
          <c:val>
            <c:numRef>
              <c:f>'Memory Results'!$K$2:$K$39</c:f>
              <c:numCache>
                <c:formatCode>0</c:formatCode>
                <c:ptCount val="38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74-442D-B1A1-A510D670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1368"/>
        <c:axId val="303980976"/>
      </c:barChart>
      <c:valAx>
        <c:axId val="3039809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objects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1368"/>
        <c:crosses val="autoZero"/>
        <c:crossBetween val="between"/>
      </c:valAx>
      <c:catAx>
        <c:axId val="3039813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5718213488091318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490223988282"/>
          <c:y val="7.7162031961194713E-2"/>
          <c:w val="0.85051946994684369"/>
          <c:h val="0.74268779693677534"/>
        </c:manualLayout>
      </c:layout>
      <c:barChart>
        <c:barDir val="col"/>
        <c:grouping val="stacked"/>
        <c:varyColors val="0"/>
        <c:ser>
          <c:idx val="0"/>
          <c:order val="0"/>
          <c:tx>
            <c:v>Step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Techniques'!$K$3:$K$12</c:f>
              <c:numCache>
                <c:formatCode>0%</c:formatCode>
                <c:ptCount val="10"/>
                <c:pt idx="0">
                  <c:v>0.37</c:v>
                </c:pt>
                <c:pt idx="1">
                  <c:v>0.4</c:v>
                </c:pt>
                <c:pt idx="2">
                  <c:v>0.38</c:v>
                </c:pt>
                <c:pt idx="3">
                  <c:v>0.36</c:v>
                </c:pt>
                <c:pt idx="4">
                  <c:v>0.33</c:v>
                </c:pt>
                <c:pt idx="5">
                  <c:v>0.35</c:v>
                </c:pt>
                <c:pt idx="6">
                  <c:v>0.38</c:v>
                </c:pt>
                <c:pt idx="7">
                  <c:v>0.4</c:v>
                </c:pt>
                <c:pt idx="8">
                  <c:v>0.44</c:v>
                </c:pt>
                <c:pt idx="9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0C-4AA5-A5ED-4217552E7860}"/>
            </c:ext>
          </c:extLst>
        </c:ser>
        <c:ser>
          <c:idx val="1"/>
          <c:order val="1"/>
          <c:tx>
            <c:v>ObjectState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Techniques'!$L$3:$L$12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0.33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</c:v>
                </c:pt>
                <c:pt idx="9">
                  <c:v>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0C-4AA5-A5ED-4217552E7860}"/>
            </c:ext>
          </c:extLst>
        </c:ser>
        <c:ser>
          <c:idx val="2"/>
          <c:order val="2"/>
          <c:tx>
            <c:v>State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Techniques'!$M$3:$M$12</c:f>
              <c:numCache>
                <c:formatCode>0%</c:formatCode>
                <c:ptCount val="10"/>
                <c:pt idx="0">
                  <c:v>0.15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0.15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0C-4AA5-A5ED-4217552E7860}"/>
            </c:ext>
          </c:extLst>
        </c:ser>
        <c:ser>
          <c:idx val="3"/>
          <c:order val="3"/>
          <c:tx>
            <c:v>ParameterList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Techniques'!$N$3:$N$12</c:f>
              <c:numCache>
                <c:formatCode>0%</c:formatCode>
                <c:ptCount val="10"/>
                <c:pt idx="0">
                  <c:v>0.12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0.11</c:v>
                </c:pt>
                <c:pt idx="6">
                  <c:v>0.1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0C-4AA5-A5ED-4217552E7860}"/>
            </c:ext>
          </c:extLst>
        </c:ser>
        <c:ser>
          <c:idx val="4"/>
          <c:order val="4"/>
          <c:tx>
            <c:v>others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Techniques'!$O$3:$O$12</c:f>
              <c:numCache>
                <c:formatCode>0%</c:formatCode>
                <c:ptCount val="10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0C-4AA5-A5ED-4217552E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651360"/>
        <c:axId val="305651752"/>
      </c:barChart>
      <c:catAx>
        <c:axId val="3056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1752"/>
        <c:crosses val="autoZero"/>
        <c:auto val="1"/>
        <c:lblAlgn val="ctr"/>
        <c:lblOffset val="100"/>
        <c:noMultiLvlLbl val="0"/>
      </c:catAx>
      <c:valAx>
        <c:axId val="305651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overhead</a:t>
                </a:r>
              </a:p>
              <a:p>
                <a:pPr>
                  <a:defRPr/>
                </a:pPr>
                <a:r>
                  <a:rPr lang="en-US"/>
                  <a:t>(% of total</a:t>
                </a:r>
                <a:r>
                  <a:rPr lang="en-US" baseline="0"/>
                  <a:t> trace construction time)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949150029041918E-2"/>
              <c:y val="0.1829971083957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09787340808855"/>
          <c:y val="0.90759704977549438"/>
          <c:w val="0.457804104897296"/>
          <c:h val="6.5407454497788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5519101778944295E-2"/>
          <c:y val="0.13239464858559347"/>
          <c:w val="0.95911781860600753"/>
          <c:h val="0.72466389617964422"/>
        </c:manualLayout>
      </c:layout>
      <c:barChart>
        <c:barDir val="col"/>
        <c:grouping val="clustered"/>
        <c:varyColors val="0"/>
        <c:ser>
          <c:idx val="0"/>
          <c:order val="0"/>
          <c:tx>
            <c:v>domain specific trace</c:v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val>
            <c:numRef>
              <c:f>'performance overhead'!$M$2:$M$39</c:f>
              <c:numCache>
                <c:formatCode>0%</c:formatCode>
                <c:ptCount val="38"/>
                <c:pt idx="0">
                  <c:v>0.08</c:v>
                </c:pt>
                <c:pt idx="1">
                  <c:v>0.06</c:v>
                </c:pt>
                <c:pt idx="2">
                  <c:v>0.06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</c:v>
                </c:pt>
                <c:pt idx="29">
                  <c:v>0.06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0.09</c:v>
                </c:pt>
                <c:pt idx="36">
                  <c:v>0.04</c:v>
                </c:pt>
                <c:pt idx="37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52-4A62-BE8A-C48FA283CE80}"/>
            </c:ext>
          </c:extLst>
        </c:ser>
        <c:ser>
          <c:idx val="1"/>
          <c:order val="1"/>
          <c:tx>
            <c:v>CTM trace</c:v>
          </c:tx>
          <c:spPr>
            <a:solidFill>
              <a:schemeClr val="bg2">
                <a:lumMod val="50000"/>
              </a:schemeClr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val>
            <c:numRef>
              <c:f>'performance overhead'!$L$2:$L$39</c:f>
              <c:numCache>
                <c:formatCode>0%</c:formatCode>
                <c:ptCount val="38"/>
                <c:pt idx="0">
                  <c:v>0.10206847538986606</c:v>
                </c:pt>
                <c:pt idx="1">
                  <c:v>5.1378162023270495E-2</c:v>
                </c:pt>
                <c:pt idx="2">
                  <c:v>7.6400998749523844E-2</c:v>
                </c:pt>
                <c:pt idx="3">
                  <c:v>5.3806326496609914E-2</c:v>
                </c:pt>
                <c:pt idx="4">
                  <c:v>6.5925881840293132E-2</c:v>
                </c:pt>
                <c:pt idx="5">
                  <c:v>7.7002346592701096E-2</c:v>
                </c:pt>
                <c:pt idx="6">
                  <c:v>5.0210846358645346E-2</c:v>
                </c:pt>
                <c:pt idx="7">
                  <c:v>0.11808893129044706</c:v>
                </c:pt>
                <c:pt idx="8">
                  <c:v>2.6464822581185925E-2</c:v>
                </c:pt>
                <c:pt idx="9">
                  <c:v>3.206601130947577E-2</c:v>
                </c:pt>
                <c:pt idx="10">
                  <c:v>0.11972896942086045</c:v>
                </c:pt>
                <c:pt idx="11">
                  <c:v>0.13545890223279686</c:v>
                </c:pt>
                <c:pt idx="12">
                  <c:v>7.290335153017552E-2</c:v>
                </c:pt>
                <c:pt idx="13">
                  <c:v>8.8826982874049151E-2</c:v>
                </c:pt>
                <c:pt idx="14">
                  <c:v>7.8812545221152872E-2</c:v>
                </c:pt>
                <c:pt idx="15">
                  <c:v>6.4238868406813351E-2</c:v>
                </c:pt>
                <c:pt idx="16">
                  <c:v>9.8163189651574612E-2</c:v>
                </c:pt>
                <c:pt idx="17">
                  <c:v>6.4180779045694039E-2</c:v>
                </c:pt>
                <c:pt idx="18">
                  <c:v>7.6422678212161643E-2</c:v>
                </c:pt>
                <c:pt idx="19">
                  <c:v>9.6774005413167205E-2</c:v>
                </c:pt>
                <c:pt idx="20">
                  <c:v>8.5857112839606065E-2</c:v>
                </c:pt>
                <c:pt idx="21">
                  <c:v>5.5181998239103726E-2</c:v>
                </c:pt>
                <c:pt idx="22">
                  <c:v>5.0803250206820354E-2</c:v>
                </c:pt>
                <c:pt idx="23">
                  <c:v>3.2761004448920744E-2</c:v>
                </c:pt>
                <c:pt idx="24">
                  <c:v>6.3574940030540678E-2</c:v>
                </c:pt>
                <c:pt idx="25">
                  <c:v>4.7691262658197391E-2</c:v>
                </c:pt>
                <c:pt idx="26">
                  <c:v>5.1332631241669952E-2</c:v>
                </c:pt>
                <c:pt idx="27">
                  <c:v>5.8995490088603199E-2</c:v>
                </c:pt>
                <c:pt idx="28">
                  <c:v>5.924633847789789E-2</c:v>
                </c:pt>
                <c:pt idx="29">
                  <c:v>6.3221225960686134E-2</c:v>
                </c:pt>
                <c:pt idx="30">
                  <c:v>6.8891351046549504E-2</c:v>
                </c:pt>
                <c:pt idx="31">
                  <c:v>8.0078162479034445E-2</c:v>
                </c:pt>
                <c:pt idx="32">
                  <c:v>0.1013721572609175</c:v>
                </c:pt>
                <c:pt idx="33">
                  <c:v>8.2029267399911995E-2</c:v>
                </c:pt>
                <c:pt idx="34">
                  <c:v>0.14346597732436289</c:v>
                </c:pt>
                <c:pt idx="35">
                  <c:v>0.10834345269912454</c:v>
                </c:pt>
                <c:pt idx="36">
                  <c:v>1.9815550738917012E-2</c:v>
                </c:pt>
                <c:pt idx="37">
                  <c:v>7.7187674684509378E-2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52-4A62-BE8A-C48FA283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52928"/>
        <c:axId val="305652536"/>
      </c:barChart>
      <c:valAx>
        <c:axId val="305652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Trace</a:t>
                </a:r>
                <a:r>
                  <a:rPr lang="en-US" baseline="0"/>
                  <a:t> construction overhead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7369944141597686E-3"/>
              <c:y val="0.18159995625546807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52928"/>
        <c:crosses val="autoZero"/>
        <c:crossBetween val="between"/>
      </c:valAx>
      <c:catAx>
        <c:axId val="3056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5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1.4037171635596833E-2"/>
          <c:y val="0.89409667541557303"/>
          <c:w val="0.23118480382259909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domain specific trace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'performance overhead'!$L$2:$L$39</c:f>
              <c:numCache>
                <c:formatCode>0%</c:formatCode>
                <c:ptCount val="38"/>
                <c:pt idx="0">
                  <c:v>0.10206847538986606</c:v>
                </c:pt>
                <c:pt idx="1">
                  <c:v>5.1378162023270495E-2</c:v>
                </c:pt>
                <c:pt idx="2">
                  <c:v>7.6400998749523844E-2</c:v>
                </c:pt>
                <c:pt idx="3">
                  <c:v>5.3806326496609914E-2</c:v>
                </c:pt>
                <c:pt idx="4">
                  <c:v>6.5925881840293132E-2</c:v>
                </c:pt>
                <c:pt idx="5">
                  <c:v>7.7002346592701096E-2</c:v>
                </c:pt>
                <c:pt idx="6">
                  <c:v>5.0210846358645346E-2</c:v>
                </c:pt>
                <c:pt idx="7">
                  <c:v>0.11808893129044706</c:v>
                </c:pt>
                <c:pt idx="8">
                  <c:v>2.6464822581185925E-2</c:v>
                </c:pt>
                <c:pt idx="9">
                  <c:v>3.206601130947577E-2</c:v>
                </c:pt>
                <c:pt idx="10">
                  <c:v>0.11972896942086045</c:v>
                </c:pt>
                <c:pt idx="11">
                  <c:v>0.13545890223279686</c:v>
                </c:pt>
                <c:pt idx="12">
                  <c:v>7.290335153017552E-2</c:v>
                </c:pt>
                <c:pt idx="13">
                  <c:v>8.8826982874049151E-2</c:v>
                </c:pt>
                <c:pt idx="14">
                  <c:v>7.8812545221152872E-2</c:v>
                </c:pt>
                <c:pt idx="15">
                  <c:v>6.4238868406813351E-2</c:v>
                </c:pt>
                <c:pt idx="16">
                  <c:v>9.8163189651574612E-2</c:v>
                </c:pt>
                <c:pt idx="17">
                  <c:v>6.4180779045694039E-2</c:v>
                </c:pt>
                <c:pt idx="18">
                  <c:v>7.6422678212161643E-2</c:v>
                </c:pt>
                <c:pt idx="19">
                  <c:v>9.6774005413167205E-2</c:v>
                </c:pt>
                <c:pt idx="20">
                  <c:v>8.5857112839606065E-2</c:v>
                </c:pt>
                <c:pt idx="21">
                  <c:v>5.5181998239103726E-2</c:v>
                </c:pt>
                <c:pt idx="22">
                  <c:v>5.0803250206820354E-2</c:v>
                </c:pt>
                <c:pt idx="23">
                  <c:v>3.2761004448920744E-2</c:v>
                </c:pt>
                <c:pt idx="24">
                  <c:v>6.3574940030540678E-2</c:v>
                </c:pt>
                <c:pt idx="25">
                  <c:v>4.7691262658197391E-2</c:v>
                </c:pt>
                <c:pt idx="26">
                  <c:v>5.1332631241669952E-2</c:v>
                </c:pt>
                <c:pt idx="27">
                  <c:v>5.8995490088603199E-2</c:v>
                </c:pt>
                <c:pt idx="28">
                  <c:v>5.924633847789789E-2</c:v>
                </c:pt>
                <c:pt idx="29">
                  <c:v>6.3221225960686134E-2</c:v>
                </c:pt>
                <c:pt idx="30">
                  <c:v>6.8891351046549504E-2</c:v>
                </c:pt>
                <c:pt idx="31">
                  <c:v>8.0078162479034445E-2</c:v>
                </c:pt>
                <c:pt idx="32">
                  <c:v>0.1013721572609175</c:v>
                </c:pt>
                <c:pt idx="33">
                  <c:v>8.2029267399911995E-2</c:v>
                </c:pt>
                <c:pt idx="34">
                  <c:v>0.14346597732436289</c:v>
                </c:pt>
                <c:pt idx="35">
                  <c:v>0.10834345269912454</c:v>
                </c:pt>
                <c:pt idx="36">
                  <c:v>1.9815550738917012E-2</c:v>
                </c:pt>
                <c:pt idx="37">
                  <c:v>7.7187674684509378E-2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05-4FF5-8623-67C724E29FDF}"/>
            </c:ext>
          </c:extLst>
        </c:ser>
        <c:ser>
          <c:idx val="1"/>
          <c:order val="1"/>
          <c:tx>
            <c:v>CTM trace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'performance overhead'!$M$2:$M$39</c:f>
              <c:numCache>
                <c:formatCode>0%</c:formatCode>
                <c:ptCount val="38"/>
                <c:pt idx="0">
                  <c:v>0.08</c:v>
                </c:pt>
                <c:pt idx="1">
                  <c:v>0.06</c:v>
                </c:pt>
                <c:pt idx="2">
                  <c:v>0.06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</c:v>
                </c:pt>
                <c:pt idx="29">
                  <c:v>0.06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0.09</c:v>
                </c:pt>
                <c:pt idx="36">
                  <c:v>0.04</c:v>
                </c:pt>
                <c:pt idx="37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05-4FF5-8623-67C724E2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53712"/>
        <c:axId val="305654104"/>
      </c:barChart>
      <c:catAx>
        <c:axId val="3056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4104"/>
        <c:crosses val="autoZero"/>
        <c:auto val="1"/>
        <c:lblAlgn val="ctr"/>
        <c:lblOffset val="100"/>
        <c:noMultiLvlLbl val="0"/>
      </c:catAx>
      <c:valAx>
        <c:axId val="305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7.5052525772861881E-2"/>
          <c:y val="0.13881503650887064"/>
          <c:w val="0.92291387231174959"/>
          <c:h val="0.63651345460567754"/>
        </c:manualLayout>
      </c:layout>
      <c:scatterChart>
        <c:scatterStyle val="lineMarker"/>
        <c:varyColors val="0"/>
        <c:ser>
          <c:idx val="0"/>
          <c:order val="0"/>
          <c:tx>
            <c:v>domain specific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5207.9500000000007</c:v>
              </c:pt>
              <c:pt idx="1">
                <c:v>4817.28</c:v>
              </c:pt>
              <c:pt idx="2">
                <c:v>4817.28</c:v>
              </c:pt>
              <c:pt idx="3">
                <c:v>4307.04</c:v>
              </c:pt>
              <c:pt idx="4">
                <c:v>4091.36</c:v>
              </c:pt>
              <c:pt idx="5">
                <c:v>4105.5</c:v>
              </c:pt>
              <c:pt idx="6">
                <c:v>4185.5</c:v>
              </c:pt>
              <c:pt idx="7">
                <c:v>4083.4800000000005</c:v>
              </c:pt>
              <c:pt idx="8">
                <c:v>4194.18</c:v>
              </c:pt>
              <c:pt idx="9">
                <c:v>4161.7800000000007</c:v>
              </c:pt>
              <c:pt idx="10">
                <c:v>4562.1670000000004</c:v>
              </c:pt>
              <c:pt idx="11">
                <c:v>4391.87</c:v>
              </c:pt>
              <c:pt idx="12">
                <c:v>5205.5</c:v>
              </c:pt>
              <c:pt idx="13">
                <c:v>5233.3399999999992</c:v>
              </c:pt>
              <c:pt idx="14">
                <c:v>6783.5099999999993</c:v>
              </c:pt>
              <c:pt idx="15">
                <c:v>6870.1079999999993</c:v>
              </c:pt>
              <c:pt idx="16">
                <c:v>8371.14</c:v>
              </c:pt>
              <c:pt idx="17">
                <c:v>8371.14</c:v>
              </c:pt>
              <c:pt idx="18">
                <c:v>6455.3830000000007</c:v>
              </c:pt>
              <c:pt idx="19">
                <c:v>8121.74</c:v>
              </c:pt>
              <c:pt idx="20">
                <c:v>8122.32</c:v>
              </c:pt>
              <c:pt idx="21">
                <c:v>8121.74</c:v>
              </c:pt>
              <c:pt idx="22">
                <c:v>4145.3500000000004</c:v>
              </c:pt>
              <c:pt idx="23">
                <c:v>4522.2599999999993</c:v>
              </c:pt>
              <c:pt idx="24">
                <c:v>4162.66</c:v>
              </c:pt>
              <c:pt idx="25">
                <c:v>4245.5999999999995</c:v>
              </c:pt>
              <c:pt idx="26">
                <c:v>4399.2999999999993</c:v>
              </c:pt>
              <c:pt idx="27">
                <c:v>4487.46</c:v>
              </c:pt>
              <c:pt idx="28">
                <c:v>4245.5999999999995</c:v>
              </c:pt>
              <c:pt idx="29">
                <c:v>4245.5999999999995</c:v>
              </c:pt>
              <c:pt idx="30">
                <c:v>5894.58</c:v>
              </c:pt>
              <c:pt idx="31">
                <c:v>5995.92</c:v>
              </c:pt>
              <c:pt idx="32">
                <c:v>6373.04</c:v>
              </c:pt>
              <c:pt idx="33">
                <c:v>6490.78</c:v>
              </c:pt>
              <c:pt idx="34">
                <c:v>6131.1799999999994</c:v>
              </c:pt>
              <c:pt idx="35">
                <c:v>6214.12</c:v>
              </c:pt>
              <c:pt idx="36">
                <c:v>6159.0199999999995</c:v>
              </c:pt>
              <c:pt idx="37">
                <c:v>6214.12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2544"/>
        <c:axId val="303982152"/>
      </c:scatterChart>
      <c:scatterChart>
        <c:scatterStyle val="lineMarker"/>
        <c:varyColors val="0"/>
        <c:ser>
          <c:idx val="1"/>
          <c:order val="1"/>
          <c:tx>
            <c:v>CTM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9469</c:v>
              </c:pt>
              <c:pt idx="1">
                <c:v>9264</c:v>
              </c:pt>
              <c:pt idx="2">
                <c:v>9264</c:v>
              </c:pt>
              <c:pt idx="3">
                <c:v>7976</c:v>
              </c:pt>
              <c:pt idx="4">
                <c:v>7868</c:v>
              </c:pt>
              <c:pt idx="5">
                <c:v>7820</c:v>
              </c:pt>
              <c:pt idx="6">
                <c:v>7610</c:v>
              </c:pt>
              <c:pt idx="7">
                <c:v>7562</c:v>
              </c:pt>
              <c:pt idx="8">
                <c:v>7767</c:v>
              </c:pt>
              <c:pt idx="9">
                <c:v>7707</c:v>
              </c:pt>
              <c:pt idx="10">
                <c:v>8963</c:v>
              </c:pt>
              <c:pt idx="11">
                <c:v>8963</c:v>
              </c:pt>
              <c:pt idx="12">
                <c:v>8975</c:v>
              </c:pt>
              <c:pt idx="13">
                <c:v>9023</c:v>
              </c:pt>
              <c:pt idx="14">
                <c:v>14433</c:v>
              </c:pt>
              <c:pt idx="15">
                <c:v>14433</c:v>
              </c:pt>
              <c:pt idx="16">
                <c:v>14433</c:v>
              </c:pt>
              <c:pt idx="17">
                <c:v>14433</c:v>
              </c:pt>
              <c:pt idx="18">
                <c:v>14003</c:v>
              </c:pt>
              <c:pt idx="19">
                <c:v>14003</c:v>
              </c:pt>
              <c:pt idx="20">
                <c:v>14004</c:v>
              </c:pt>
              <c:pt idx="21">
                <c:v>14003</c:v>
              </c:pt>
              <c:pt idx="22">
                <c:v>7537</c:v>
              </c:pt>
              <c:pt idx="23">
                <c:v>7797</c:v>
              </c:pt>
              <c:pt idx="24">
                <c:v>7177</c:v>
              </c:pt>
              <c:pt idx="25">
                <c:v>7320</c:v>
              </c:pt>
              <c:pt idx="26">
                <c:v>7585</c:v>
              </c:pt>
              <c:pt idx="27">
                <c:v>7737</c:v>
              </c:pt>
              <c:pt idx="28">
                <c:v>7320</c:v>
              </c:pt>
              <c:pt idx="29">
                <c:v>7320</c:v>
              </c:pt>
              <c:pt idx="30">
                <c:v>11558</c:v>
              </c:pt>
              <c:pt idx="31">
                <c:v>11620</c:v>
              </c:pt>
              <c:pt idx="32">
                <c:v>10988</c:v>
              </c:pt>
              <c:pt idx="33">
                <c:v>11191</c:v>
              </c:pt>
              <c:pt idx="34">
                <c:v>10571</c:v>
              </c:pt>
              <c:pt idx="35">
                <c:v>10714</c:v>
              </c:pt>
              <c:pt idx="36">
                <c:v>10619</c:v>
              </c:pt>
              <c:pt idx="37">
                <c:v>10714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3328"/>
        <c:axId val="303982936"/>
      </c:scatterChart>
      <c:valAx>
        <c:axId val="3039821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Memory used by the trace (kB)</a:t>
                </a:r>
              </a:p>
            </c:rich>
          </c:tx>
          <c:layout>
            <c:manualLayout>
              <c:xMode val="edge"/>
              <c:yMode val="edge"/>
              <c:x val="2.1086850170739139E-2"/>
              <c:y val="0.169296394656603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2544"/>
        <c:crossesAt val="0"/>
        <c:crossBetween val="midCat"/>
      </c:valAx>
      <c:valAx>
        <c:axId val="303982544"/>
        <c:scaling>
          <c:orientation val="minMax"/>
          <c:min val="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states 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2152"/>
        <c:crossesAt val="0"/>
        <c:crossBetween val="midCat"/>
      </c:valAx>
      <c:valAx>
        <c:axId val="303982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03983328"/>
        <c:crosses val="max"/>
        <c:crossBetween val="midCat"/>
      </c:valAx>
      <c:valAx>
        <c:axId val="30398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8293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28883.125</c:v>
              </c:pt>
              <c:pt idx="1">
                <c:v>27975.125</c:v>
              </c:pt>
              <c:pt idx="2">
                <c:v>27962.875</c:v>
              </c:pt>
              <c:pt idx="3">
                <c:v>24304.625</c:v>
              </c:pt>
              <c:pt idx="4">
                <c:v>23182.5</c:v>
              </c:pt>
              <c:pt idx="5">
                <c:v>23299.875</c:v>
              </c:pt>
              <c:pt idx="6">
                <c:v>22604.875</c:v>
              </c:pt>
              <c:pt idx="7">
                <c:v>22583.875</c:v>
              </c:pt>
              <c:pt idx="8">
                <c:v>23474.875</c:v>
              </c:pt>
              <c:pt idx="9">
                <c:v>23477.125</c:v>
              </c:pt>
              <c:pt idx="10">
                <c:v>27313.625</c:v>
              </c:pt>
              <c:pt idx="11">
                <c:v>27294.375</c:v>
              </c:pt>
              <c:pt idx="12">
                <c:v>27313.25</c:v>
              </c:pt>
              <c:pt idx="13">
                <c:v>27298.125</c:v>
              </c:pt>
              <c:pt idx="14">
                <c:v>42820.5</c:v>
              </c:pt>
              <c:pt idx="15">
                <c:v>42836.875</c:v>
              </c:pt>
              <c:pt idx="16">
                <c:v>42798</c:v>
              </c:pt>
              <c:pt idx="17">
                <c:v>42796.375</c:v>
              </c:pt>
              <c:pt idx="18">
                <c:v>42107.875</c:v>
              </c:pt>
              <c:pt idx="19">
                <c:v>42129.75</c:v>
              </c:pt>
              <c:pt idx="20">
                <c:v>42095</c:v>
              </c:pt>
              <c:pt idx="21">
                <c:v>42143.625</c:v>
              </c:pt>
              <c:pt idx="22">
                <c:v>22328.625</c:v>
              </c:pt>
              <c:pt idx="23">
                <c:v>23396.625</c:v>
              </c:pt>
              <c:pt idx="24">
                <c:v>20439.875</c:v>
              </c:pt>
              <c:pt idx="25">
                <c:v>21366.375</c:v>
              </c:pt>
              <c:pt idx="26">
                <c:v>22302</c:v>
              </c:pt>
              <c:pt idx="27">
                <c:v>23445.5</c:v>
              </c:pt>
              <c:pt idx="28">
                <c:v>21372.125</c:v>
              </c:pt>
              <c:pt idx="29">
                <c:v>21373.125</c:v>
              </c:pt>
              <c:pt idx="30">
                <c:v>34367.25</c:v>
              </c:pt>
              <c:pt idx="31">
                <c:v>34570.375</c:v>
              </c:pt>
              <c:pt idx="32">
                <c:v>31187.125</c:v>
              </c:pt>
              <c:pt idx="33">
                <c:v>32226.75</c:v>
              </c:pt>
              <c:pt idx="34">
                <c:v>28828.875</c:v>
              </c:pt>
              <c:pt idx="35">
                <c:v>29872.375</c:v>
              </c:pt>
              <c:pt idx="36">
                <c:v>28858.125</c:v>
              </c:pt>
              <c:pt idx="37">
                <c:v>29852.625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0E-4D01-B877-DD89E5B2BEE6}"/>
            </c:ext>
          </c:extLst>
        </c:ser>
        <c:ser>
          <c:idx val="1"/>
          <c:order val="1"/>
          <c:tx>
            <c:v>Series2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11553.25</c:v>
              </c:pt>
              <c:pt idx="1">
                <c:v>10910.29875</c:v>
              </c:pt>
              <c:pt idx="2">
                <c:v>10625.8925</c:v>
              </c:pt>
              <c:pt idx="3">
                <c:v>9308.6713749999999</c:v>
              </c:pt>
              <c:pt idx="4">
                <c:v>8577.5249999999996</c:v>
              </c:pt>
              <c:pt idx="5">
                <c:v>8597.653875</c:v>
              </c:pt>
              <c:pt idx="6">
                <c:v>7911.7062499999993</c:v>
              </c:pt>
              <c:pt idx="7">
                <c:v>7678.5175000000008</c:v>
              </c:pt>
              <c:pt idx="8">
                <c:v>7934.5077500000007</c:v>
              </c:pt>
              <c:pt idx="9">
                <c:v>9390.85</c:v>
              </c:pt>
              <c:pt idx="10">
                <c:v>8740.36</c:v>
              </c:pt>
              <c:pt idx="11">
                <c:v>9034.4381250000006</c:v>
              </c:pt>
              <c:pt idx="12">
                <c:v>8740.24</c:v>
              </c:pt>
              <c:pt idx="13">
                <c:v>10919.25</c:v>
              </c:pt>
              <c:pt idx="14">
                <c:v>17128.2</c:v>
              </c:pt>
              <c:pt idx="15">
                <c:v>16475.721153846152</c:v>
              </c:pt>
              <c:pt idx="16">
                <c:v>17119.2</c:v>
              </c:pt>
              <c:pt idx="17">
                <c:v>17118.55</c:v>
              </c:pt>
              <c:pt idx="18">
                <c:v>12716.57825</c:v>
              </c:pt>
              <c:pt idx="19">
                <c:v>16851.900000000001</c:v>
              </c:pt>
              <c:pt idx="20">
                <c:v>16838</c:v>
              </c:pt>
              <c:pt idx="21">
                <c:v>16857.45</c:v>
              </c:pt>
              <c:pt idx="22">
                <c:v>6921.8737499999997</c:v>
              </c:pt>
              <c:pt idx="23">
                <c:v>9358.65</c:v>
              </c:pt>
              <c:pt idx="24">
                <c:v>8175.9500000000007</c:v>
              </c:pt>
              <c:pt idx="25">
                <c:v>8546.5500000000011</c:v>
              </c:pt>
              <c:pt idx="26">
                <c:v>10137.272727272726</c:v>
              </c:pt>
              <c:pt idx="27">
                <c:v>10193.695652173914</c:v>
              </c:pt>
              <c:pt idx="28">
                <c:v>8548.85</c:v>
              </c:pt>
              <c:pt idx="29">
                <c:v>8549.25</c:v>
              </c:pt>
              <c:pt idx="30">
                <c:v>15621.477272727272</c:v>
              </c:pt>
              <c:pt idx="31">
                <c:v>12825.609124999999</c:v>
              </c:pt>
              <c:pt idx="32">
                <c:v>13442.726293103449</c:v>
              </c:pt>
              <c:pt idx="33">
                <c:v>13427.8125</c:v>
              </c:pt>
              <c:pt idx="34">
                <c:v>11531.55</c:v>
              </c:pt>
              <c:pt idx="35">
                <c:v>13578.352272727272</c:v>
              </c:pt>
              <c:pt idx="36">
                <c:v>13117.329545454544</c:v>
              </c:pt>
              <c:pt idx="37">
                <c:v>14926.3125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0E-4D01-B877-DD89E5B2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4504"/>
        <c:axId val="303984112"/>
      </c:scatterChart>
      <c:valAx>
        <c:axId val="303984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references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4504"/>
        <c:crosses val="autoZero"/>
        <c:crossBetween val="midCat"/>
      </c:valAx>
      <c:valAx>
        <c:axId val="303984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4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5050279208926045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7181204760503656E-2"/>
          <c:y val="0.13197871099445904"/>
          <c:w val="0.95795170191569501"/>
          <c:h val="0.86396945173519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'Memory Results'!$F$1:$F$1</c:f>
              <c:strCache>
                <c:ptCount val="1"/>
                <c:pt idx="0">
                  <c:v>Nb objects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Results'!$F$2:$F$40</c:f>
              <c:numCache>
                <c:formatCode>General</c:formatCode>
                <c:ptCount val="39"/>
                <c:pt idx="0">
                  <c:v>1448</c:v>
                </c:pt>
                <c:pt idx="1">
                  <c:v>1426</c:v>
                </c:pt>
                <c:pt idx="2">
                  <c:v>1358</c:v>
                </c:pt>
                <c:pt idx="3">
                  <c:v>2643</c:v>
                </c:pt>
                <c:pt idx="4">
                  <c:v>2624</c:v>
                </c:pt>
                <c:pt idx="5">
                  <c:v>2634</c:v>
                </c:pt>
                <c:pt idx="6">
                  <c:v>2643</c:v>
                </c:pt>
                <c:pt idx="7">
                  <c:v>1583</c:v>
                </c:pt>
                <c:pt idx="8">
                  <c:v>1583</c:v>
                </c:pt>
                <c:pt idx="9">
                  <c:v>1661</c:v>
                </c:pt>
                <c:pt idx="10">
                  <c:v>1661</c:v>
                </c:pt>
                <c:pt idx="11">
                  <c:v>1864</c:v>
                </c:pt>
                <c:pt idx="12">
                  <c:v>1864</c:v>
                </c:pt>
                <c:pt idx="13">
                  <c:v>1821</c:v>
                </c:pt>
                <c:pt idx="14">
                  <c:v>1876</c:v>
                </c:pt>
                <c:pt idx="15">
                  <c:v>1634</c:v>
                </c:pt>
                <c:pt idx="16">
                  <c:v>1560</c:v>
                </c:pt>
                <c:pt idx="17">
                  <c:v>1750</c:v>
                </c:pt>
                <c:pt idx="18">
                  <c:v>1528</c:v>
                </c:pt>
                <c:pt idx="19">
                  <c:v>1652</c:v>
                </c:pt>
                <c:pt idx="20">
                  <c:v>1296</c:v>
                </c:pt>
                <c:pt idx="21">
                  <c:v>1296</c:v>
                </c:pt>
                <c:pt idx="22">
                  <c:v>2507</c:v>
                </c:pt>
                <c:pt idx="23">
                  <c:v>2507</c:v>
                </c:pt>
                <c:pt idx="24">
                  <c:v>2504</c:v>
                </c:pt>
                <c:pt idx="25">
                  <c:v>2612</c:v>
                </c:pt>
                <c:pt idx="26">
                  <c:v>2497</c:v>
                </c:pt>
                <c:pt idx="27">
                  <c:v>2530</c:v>
                </c:pt>
                <c:pt idx="28">
                  <c:v>2070</c:v>
                </c:pt>
                <c:pt idx="29">
                  <c:v>1895</c:v>
                </c:pt>
                <c:pt idx="30">
                  <c:v>2497</c:v>
                </c:pt>
                <c:pt idx="31">
                  <c:v>2530</c:v>
                </c:pt>
                <c:pt idx="32">
                  <c:v>1664</c:v>
                </c:pt>
                <c:pt idx="33">
                  <c:v>1664</c:v>
                </c:pt>
                <c:pt idx="34">
                  <c:v>1528</c:v>
                </c:pt>
                <c:pt idx="35">
                  <c:v>1652</c:v>
                </c:pt>
                <c:pt idx="36">
                  <c:v>1296</c:v>
                </c:pt>
                <c:pt idx="37">
                  <c:v>1296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E7-4F10-872F-E6475FFC575D}"/>
            </c:ext>
          </c:extLst>
        </c:ser>
        <c:ser>
          <c:idx val="1"/>
          <c:order val="1"/>
          <c:tx>
            <c:strRef>
              <c:f>'Memory Results'!$K$1:$K$1</c:f>
              <c:strCache>
                <c:ptCount val="1"/>
                <c:pt idx="0">
                  <c:v>NobjCTM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Results'!$K$2:$K$40</c:f>
              <c:numCache>
                <c:formatCode>0</c:formatCode>
                <c:ptCount val="39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E7-4F10-872F-E6475FFC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5680"/>
        <c:axId val="303985288"/>
      </c:scatterChart>
      <c:valAx>
        <c:axId val="3039852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5680"/>
        <c:crosses val="autoZero"/>
        <c:crossBetween val="midCat"/>
      </c:valAx>
      <c:valAx>
        <c:axId val="303985680"/>
        <c:scaling>
          <c:orientation val="minMax"/>
          <c:min val="20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98528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'DiskSpace Results'!$F$1</c:f>
              <c:strCache>
                <c:ptCount val="1"/>
                <c:pt idx="0">
                  <c:v>domain specific trace in XML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'DiskSpace Results'!$F$2:$F$39</c:f>
              <c:numCache>
                <c:formatCode>General</c:formatCode>
                <c:ptCount val="38"/>
                <c:pt idx="0">
                  <c:v>10158</c:v>
                </c:pt>
                <c:pt idx="1">
                  <c:v>9971</c:v>
                </c:pt>
                <c:pt idx="2">
                  <c:v>9970</c:v>
                </c:pt>
                <c:pt idx="3">
                  <c:v>8452</c:v>
                </c:pt>
                <c:pt idx="4">
                  <c:v>7866</c:v>
                </c:pt>
                <c:pt idx="5">
                  <c:v>8051</c:v>
                </c:pt>
                <c:pt idx="6">
                  <c:v>7613</c:v>
                </c:pt>
                <c:pt idx="7">
                  <c:v>7805</c:v>
                </c:pt>
                <c:pt idx="8">
                  <c:v>8015</c:v>
                </c:pt>
                <c:pt idx="9">
                  <c:v>8211</c:v>
                </c:pt>
                <c:pt idx="10">
                  <c:v>9749</c:v>
                </c:pt>
                <c:pt idx="11">
                  <c:v>9488</c:v>
                </c:pt>
                <c:pt idx="12">
                  <c:v>9707</c:v>
                </c:pt>
                <c:pt idx="13">
                  <c:v>9488</c:v>
                </c:pt>
                <c:pt idx="14">
                  <c:v>17206</c:v>
                </c:pt>
                <c:pt idx="15">
                  <c:v>17208</c:v>
                </c:pt>
                <c:pt idx="16">
                  <c:v>17212</c:v>
                </c:pt>
                <c:pt idx="17">
                  <c:v>17210</c:v>
                </c:pt>
                <c:pt idx="18">
                  <c:v>16738</c:v>
                </c:pt>
                <c:pt idx="19">
                  <c:v>16742</c:v>
                </c:pt>
                <c:pt idx="20">
                  <c:v>16789</c:v>
                </c:pt>
                <c:pt idx="21">
                  <c:v>16748</c:v>
                </c:pt>
                <c:pt idx="22">
                  <c:v>7672</c:v>
                </c:pt>
                <c:pt idx="23">
                  <c:v>7954</c:v>
                </c:pt>
                <c:pt idx="24">
                  <c:v>6947</c:v>
                </c:pt>
                <c:pt idx="25">
                  <c:v>7261</c:v>
                </c:pt>
                <c:pt idx="26">
                  <c:v>7508</c:v>
                </c:pt>
                <c:pt idx="27">
                  <c:v>8204</c:v>
                </c:pt>
                <c:pt idx="28">
                  <c:v>7264</c:v>
                </c:pt>
                <c:pt idx="29">
                  <c:v>7264</c:v>
                </c:pt>
                <c:pt idx="30">
                  <c:v>12399</c:v>
                </c:pt>
                <c:pt idx="31">
                  <c:v>12532</c:v>
                </c:pt>
                <c:pt idx="32">
                  <c:v>11371</c:v>
                </c:pt>
                <c:pt idx="33">
                  <c:v>11502</c:v>
                </c:pt>
                <c:pt idx="34">
                  <c:v>10254</c:v>
                </c:pt>
                <c:pt idx="35">
                  <c:v>10645</c:v>
                </c:pt>
                <c:pt idx="36">
                  <c:v>10109</c:v>
                </c:pt>
                <c:pt idx="37">
                  <c:v>10641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9C-4FEC-94AD-A2EEBEAA4FA6}"/>
            </c:ext>
          </c:extLst>
        </c:ser>
        <c:ser>
          <c:idx val="1"/>
          <c:order val="1"/>
          <c:tx>
            <c:v>CTM trace in XML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'DiskSpace Results'!$G$2:$G$39</c:f>
              <c:numCache>
                <c:formatCode>0</c:formatCode>
                <c:ptCount val="38"/>
                <c:pt idx="0">
                  <c:v>3148.98</c:v>
                </c:pt>
                <c:pt idx="1">
                  <c:v>3091.01</c:v>
                </c:pt>
                <c:pt idx="2">
                  <c:v>3290.1</c:v>
                </c:pt>
                <c:pt idx="3">
                  <c:v>2535.6</c:v>
                </c:pt>
                <c:pt idx="4">
                  <c:v>2438.46</c:v>
                </c:pt>
                <c:pt idx="5">
                  <c:v>2254.2800000000002</c:v>
                </c:pt>
                <c:pt idx="6">
                  <c:v>2664.55</c:v>
                </c:pt>
                <c:pt idx="7">
                  <c:v>2575.65</c:v>
                </c:pt>
                <c:pt idx="8">
                  <c:v>2644.9500000000003</c:v>
                </c:pt>
                <c:pt idx="9">
                  <c:v>2545.41</c:v>
                </c:pt>
                <c:pt idx="10">
                  <c:v>2827.21</c:v>
                </c:pt>
                <c:pt idx="11">
                  <c:v>2846.4</c:v>
                </c:pt>
                <c:pt idx="12">
                  <c:v>2912.1</c:v>
                </c:pt>
                <c:pt idx="13">
                  <c:v>2561.7600000000002</c:v>
                </c:pt>
                <c:pt idx="14">
                  <c:v>5677.9800000000005</c:v>
                </c:pt>
                <c:pt idx="15">
                  <c:v>5506.56</c:v>
                </c:pt>
                <c:pt idx="16">
                  <c:v>4647.24</c:v>
                </c:pt>
                <c:pt idx="17">
                  <c:v>4818.8</c:v>
                </c:pt>
                <c:pt idx="18">
                  <c:v>5021.4000000000005</c:v>
                </c:pt>
                <c:pt idx="19">
                  <c:v>4855.18</c:v>
                </c:pt>
                <c:pt idx="20">
                  <c:v>5372.4800000000005</c:v>
                </c:pt>
                <c:pt idx="21">
                  <c:v>5359.36</c:v>
                </c:pt>
                <c:pt idx="22">
                  <c:v>2071.44</c:v>
                </c:pt>
                <c:pt idx="23">
                  <c:v>2624.82</c:v>
                </c:pt>
                <c:pt idx="24">
                  <c:v>2361.98</c:v>
                </c:pt>
                <c:pt idx="25">
                  <c:v>2396.13</c:v>
                </c:pt>
                <c:pt idx="26">
                  <c:v>2627.8</c:v>
                </c:pt>
                <c:pt idx="27">
                  <c:v>2707.32</c:v>
                </c:pt>
                <c:pt idx="28">
                  <c:v>2324.48</c:v>
                </c:pt>
                <c:pt idx="29">
                  <c:v>2179.1999999999998</c:v>
                </c:pt>
                <c:pt idx="30">
                  <c:v>3471.7200000000003</c:v>
                </c:pt>
                <c:pt idx="31">
                  <c:v>3508.96</c:v>
                </c:pt>
                <c:pt idx="32">
                  <c:v>2842.75</c:v>
                </c:pt>
                <c:pt idx="33">
                  <c:v>3105.54</c:v>
                </c:pt>
                <c:pt idx="34">
                  <c:v>3281.28</c:v>
                </c:pt>
                <c:pt idx="35">
                  <c:v>3087.05</c:v>
                </c:pt>
                <c:pt idx="36">
                  <c:v>2729.43</c:v>
                </c:pt>
                <c:pt idx="37">
                  <c:v>2979.48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9C-4FEC-94AD-A2EEBEAA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3986464"/>
        <c:axId val="303986856"/>
      </c:barChart>
      <c:lineChart>
        <c:grouping val="standard"/>
        <c:varyColors val="0"/>
        <c:ser>
          <c:idx val="2"/>
          <c:order val="2"/>
          <c:tx>
            <c:strRef>
              <c:f>'DiskSpace Results'!$H$1</c:f>
              <c:strCache>
                <c:ptCount val="1"/>
                <c:pt idx="0">
                  <c:v>domain specific trace in EXI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'DiskSpace Results'!$H$2:$H$39</c:f>
              <c:numCache>
                <c:formatCode>General</c:formatCode>
                <c:ptCount val="38"/>
                <c:pt idx="0">
                  <c:v>2429</c:v>
                </c:pt>
                <c:pt idx="1">
                  <c:v>2511</c:v>
                </c:pt>
                <c:pt idx="2">
                  <c:v>2511</c:v>
                </c:pt>
                <c:pt idx="3">
                  <c:v>3128</c:v>
                </c:pt>
                <c:pt idx="4">
                  <c:v>1891</c:v>
                </c:pt>
                <c:pt idx="5">
                  <c:v>2022</c:v>
                </c:pt>
                <c:pt idx="6">
                  <c:v>1787</c:v>
                </c:pt>
                <c:pt idx="7">
                  <c:v>1945</c:v>
                </c:pt>
                <c:pt idx="8">
                  <c:v>1887</c:v>
                </c:pt>
                <c:pt idx="9">
                  <c:v>2057</c:v>
                </c:pt>
                <c:pt idx="10">
                  <c:v>2439</c:v>
                </c:pt>
                <c:pt idx="11">
                  <c:v>2441</c:v>
                </c:pt>
                <c:pt idx="12">
                  <c:v>2407</c:v>
                </c:pt>
                <c:pt idx="13">
                  <c:v>2214</c:v>
                </c:pt>
                <c:pt idx="14">
                  <c:v>4323</c:v>
                </c:pt>
                <c:pt idx="15">
                  <c:v>4320</c:v>
                </c:pt>
                <c:pt idx="16">
                  <c:v>4324</c:v>
                </c:pt>
                <c:pt idx="17">
                  <c:v>4318</c:v>
                </c:pt>
                <c:pt idx="18">
                  <c:v>4200</c:v>
                </c:pt>
                <c:pt idx="19">
                  <c:v>4203</c:v>
                </c:pt>
                <c:pt idx="20">
                  <c:v>4246</c:v>
                </c:pt>
                <c:pt idx="21">
                  <c:v>4203</c:v>
                </c:pt>
                <c:pt idx="22">
                  <c:v>1912</c:v>
                </c:pt>
                <c:pt idx="23">
                  <c:v>1858</c:v>
                </c:pt>
                <c:pt idx="24">
                  <c:v>1741</c:v>
                </c:pt>
                <c:pt idx="25">
                  <c:v>1801</c:v>
                </c:pt>
                <c:pt idx="26">
                  <c:v>1780</c:v>
                </c:pt>
                <c:pt idx="27">
                  <c:v>2068</c:v>
                </c:pt>
                <c:pt idx="28">
                  <c:v>1802</c:v>
                </c:pt>
                <c:pt idx="29">
                  <c:v>1802</c:v>
                </c:pt>
                <c:pt idx="30">
                  <c:v>2815</c:v>
                </c:pt>
                <c:pt idx="31">
                  <c:v>2861</c:v>
                </c:pt>
                <c:pt idx="32">
                  <c:v>2804</c:v>
                </c:pt>
                <c:pt idx="33">
                  <c:v>2648</c:v>
                </c:pt>
                <c:pt idx="34">
                  <c:v>2517</c:v>
                </c:pt>
                <c:pt idx="35">
                  <c:v>2585</c:v>
                </c:pt>
                <c:pt idx="36">
                  <c:v>2396</c:v>
                </c:pt>
                <c:pt idx="37">
                  <c:v>2585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9C-4FEC-94AD-A2EEBEAA4FA6}"/>
            </c:ext>
          </c:extLst>
        </c:ser>
        <c:ser>
          <c:idx val="3"/>
          <c:order val="3"/>
          <c:tx>
            <c:v>CTM trace in EXI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'DiskSpace Results'!$I$2:$I$39</c:f>
              <c:numCache>
                <c:formatCode>0</c:formatCode>
                <c:ptCount val="38"/>
                <c:pt idx="0">
                  <c:v>755.75519999999995</c:v>
                </c:pt>
                <c:pt idx="1">
                  <c:v>401.83130000000006</c:v>
                </c:pt>
                <c:pt idx="2">
                  <c:v>427.71300000000002</c:v>
                </c:pt>
                <c:pt idx="3">
                  <c:v>329.62799999999999</c:v>
                </c:pt>
                <c:pt idx="4">
                  <c:v>390.15360000000004</c:v>
                </c:pt>
                <c:pt idx="5">
                  <c:v>338.142</c:v>
                </c:pt>
                <c:pt idx="6">
                  <c:v>346.39150000000001</c:v>
                </c:pt>
                <c:pt idx="7">
                  <c:v>360.59100000000007</c:v>
                </c:pt>
                <c:pt idx="8">
                  <c:v>396.74250000000001</c:v>
                </c:pt>
                <c:pt idx="9">
                  <c:v>534.53609999999992</c:v>
                </c:pt>
                <c:pt idx="10">
                  <c:v>537.16989999999998</c:v>
                </c:pt>
                <c:pt idx="11">
                  <c:v>370.03200000000004</c:v>
                </c:pt>
                <c:pt idx="12">
                  <c:v>465.93599999999998</c:v>
                </c:pt>
                <c:pt idx="13">
                  <c:v>333.02880000000005</c:v>
                </c:pt>
                <c:pt idx="14">
                  <c:v>1305.9354000000001</c:v>
                </c:pt>
                <c:pt idx="15">
                  <c:v>1376.64</c:v>
                </c:pt>
                <c:pt idx="16">
                  <c:v>1068.8652</c:v>
                </c:pt>
                <c:pt idx="17">
                  <c:v>1156.5119999999999</c:v>
                </c:pt>
                <c:pt idx="18">
                  <c:v>1205.1360000000002</c:v>
                </c:pt>
                <c:pt idx="19">
                  <c:v>922.4842000000001</c:v>
                </c:pt>
                <c:pt idx="20">
                  <c:v>967.04640000000006</c:v>
                </c:pt>
                <c:pt idx="21">
                  <c:v>964.68479999999988</c:v>
                </c:pt>
                <c:pt idx="22">
                  <c:v>310.71600000000001</c:v>
                </c:pt>
                <c:pt idx="23">
                  <c:v>367.47480000000007</c:v>
                </c:pt>
                <c:pt idx="24">
                  <c:v>307.05740000000003</c:v>
                </c:pt>
                <c:pt idx="25">
                  <c:v>335.45820000000003</c:v>
                </c:pt>
                <c:pt idx="26">
                  <c:v>341.61400000000003</c:v>
                </c:pt>
                <c:pt idx="27">
                  <c:v>351.95160000000004</c:v>
                </c:pt>
                <c:pt idx="28">
                  <c:v>302.18240000000003</c:v>
                </c:pt>
                <c:pt idx="29">
                  <c:v>283.29599999999999</c:v>
                </c:pt>
                <c:pt idx="30">
                  <c:v>590.19240000000013</c:v>
                </c:pt>
                <c:pt idx="31">
                  <c:v>631.61279999999999</c:v>
                </c:pt>
                <c:pt idx="32">
                  <c:v>540.12250000000006</c:v>
                </c:pt>
                <c:pt idx="33">
                  <c:v>590.05259999999998</c:v>
                </c:pt>
                <c:pt idx="34">
                  <c:v>689.06880000000001</c:v>
                </c:pt>
                <c:pt idx="35">
                  <c:v>617.41000000000008</c:v>
                </c:pt>
                <c:pt idx="36">
                  <c:v>600.47460000000001</c:v>
                </c:pt>
                <c:pt idx="37">
                  <c:v>625.69079999999997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9C-4FEC-94AD-A2EEBEAA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86464"/>
        <c:axId val="303986856"/>
      </c:lineChart>
      <c:catAx>
        <c:axId val="30398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6856"/>
        <c:crosses val="autoZero"/>
        <c:auto val="1"/>
        <c:lblAlgn val="ctr"/>
        <c:lblOffset val="100"/>
        <c:noMultiLvlLbl val="0"/>
      </c:catAx>
      <c:valAx>
        <c:axId val="303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Disk space used by the trace (KB)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1003565617352017E-2"/>
              <c:y val="0.13493961111125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17842835196237"/>
          <c:y val="0.90807054272789178"/>
          <c:w val="0.71266491182862279"/>
          <c:h val="7.830684118853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490223988282"/>
          <c:y val="7.7162031961194713E-2"/>
          <c:w val="0.85051946994684369"/>
          <c:h val="0.74268779693677534"/>
        </c:manualLayout>
      </c:layout>
      <c:barChart>
        <c:barDir val="col"/>
        <c:grouping val="stacked"/>
        <c:varyColors val="0"/>
        <c:ser>
          <c:idx val="0"/>
          <c:order val="0"/>
          <c:tx>
            <c:v>Step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Techniques'!$K$3:$K$12</c:f>
              <c:numCache>
                <c:formatCode>0%</c:formatCode>
                <c:ptCount val="10"/>
                <c:pt idx="0">
                  <c:v>0.37</c:v>
                </c:pt>
                <c:pt idx="1">
                  <c:v>0.4</c:v>
                </c:pt>
                <c:pt idx="2">
                  <c:v>0.38</c:v>
                </c:pt>
                <c:pt idx="3">
                  <c:v>0.36</c:v>
                </c:pt>
                <c:pt idx="4">
                  <c:v>0.33</c:v>
                </c:pt>
                <c:pt idx="5">
                  <c:v>0.35</c:v>
                </c:pt>
                <c:pt idx="6">
                  <c:v>0.38</c:v>
                </c:pt>
                <c:pt idx="7">
                  <c:v>0.4</c:v>
                </c:pt>
                <c:pt idx="8">
                  <c:v>0.44</c:v>
                </c:pt>
                <c:pt idx="9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D0D-BB87-BB3F97BC421F}"/>
            </c:ext>
          </c:extLst>
        </c:ser>
        <c:ser>
          <c:idx val="1"/>
          <c:order val="1"/>
          <c:tx>
            <c:v>ObjectState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Techniques'!$L$3:$L$12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0.33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</c:v>
                </c:pt>
                <c:pt idx="9">
                  <c:v>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D4-4D0D-BB87-BB3F97BC421F}"/>
            </c:ext>
          </c:extLst>
        </c:ser>
        <c:ser>
          <c:idx val="2"/>
          <c:order val="2"/>
          <c:tx>
            <c:v>State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Techniques'!$M$3:$M$12</c:f>
              <c:numCache>
                <c:formatCode>0%</c:formatCode>
                <c:ptCount val="10"/>
                <c:pt idx="0">
                  <c:v>0.15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0.15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D4-4D0D-BB87-BB3F97BC421F}"/>
            </c:ext>
          </c:extLst>
        </c:ser>
        <c:ser>
          <c:idx val="3"/>
          <c:order val="3"/>
          <c:tx>
            <c:v>ParameterList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Techniques'!$N$3:$N$12</c:f>
              <c:numCache>
                <c:formatCode>0%</c:formatCode>
                <c:ptCount val="10"/>
                <c:pt idx="0">
                  <c:v>0.12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0.11</c:v>
                </c:pt>
                <c:pt idx="6">
                  <c:v>0.1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D4-4D0D-BB87-BB3F97BC421F}"/>
            </c:ext>
          </c:extLst>
        </c:ser>
        <c:ser>
          <c:idx val="4"/>
          <c:order val="4"/>
          <c:tx>
            <c:v>others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Techniques'!$O$3:$O$12</c:f>
              <c:numCache>
                <c:formatCode>0%</c:formatCode>
                <c:ptCount val="10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D4-4D0D-BB87-BB3F97BC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988032"/>
        <c:axId val="303988424"/>
      </c:barChart>
      <c:catAx>
        <c:axId val="30398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8424"/>
        <c:crosses val="autoZero"/>
        <c:auto val="1"/>
        <c:lblAlgn val="ctr"/>
        <c:lblOffset val="100"/>
        <c:noMultiLvlLbl val="0"/>
      </c:catAx>
      <c:valAx>
        <c:axId val="303988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overhead</a:t>
                </a:r>
              </a:p>
              <a:p>
                <a:pPr>
                  <a:defRPr/>
                </a:pPr>
                <a:r>
                  <a:rPr lang="en-US"/>
                  <a:t>(% of total</a:t>
                </a:r>
                <a:r>
                  <a:rPr lang="en-US" baseline="0"/>
                  <a:t> trace construction time)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949150029041918E-2"/>
              <c:y val="0.1829971083957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09787340808855"/>
          <c:y val="0.90759704977549438"/>
          <c:w val="0.457804104897296"/>
          <c:h val="6.5407454497788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4D5-4834-BBFC-1C039A027D94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D5-4834-BBFC-1C039A027D94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4D5-4834-BBFC-1C039A027D9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D5-4834-BBFC-1C039A027D94}"/>
              </c:ext>
            </c:extLst>
          </c:dPt>
          <c:dLbls>
            <c:spPr>
              <a:noFill/>
              <a:ln>
                <a:noFill/>
              </a:ln>
              <a:effectLst>
                <a:outerShdw dist="38096" algn="tl">
                  <a:srgbClr val="000000">
                    <a:alpha val="0"/>
                  </a:srgbClr>
                </a:outerShdw>
              </a:effectLst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0.71983629047009334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CF8-441D-B945-EFC3C39A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5648616"/>
        <c:axId val="305648224"/>
      </c:barChart>
      <c:valAx>
        <c:axId val="305648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05648616"/>
        <c:crosses val="autoZero"/>
        <c:crossBetween val="between"/>
      </c:valAx>
      <c:catAx>
        <c:axId val="305648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564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00000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81541191028476E-2"/>
          <c:y val="0.10517531980474538"/>
          <c:w val="0.92381845880897151"/>
          <c:h val="0.67007444693240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result_traceElement!$T$2</c:f>
              <c:strCache>
                <c:ptCount val="1"/>
                <c:pt idx="0">
                  <c:v>%State 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result_traceElement!$T$3</c:f>
              <c:numCache>
                <c:formatCode>0%</c:formatCode>
                <c:ptCount val="1"/>
                <c:pt idx="0">
                  <c:v>0.71983629047009334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55-4FB5-AD0D-E0A27A92D4A8}"/>
            </c:ext>
          </c:extLst>
        </c:ser>
        <c:ser>
          <c:idx val="1"/>
          <c:order val="1"/>
          <c:tx>
            <c:strRef>
              <c:f>result_traceElement!$U$2</c:f>
              <c:strCache>
                <c:ptCount val="1"/>
                <c:pt idx="0">
                  <c:v>%Step 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result_traceElement!$U$3</c:f>
              <c:numCache>
                <c:formatCode>0%</c:formatCode>
                <c:ptCount val="1"/>
                <c:pt idx="0">
                  <c:v>0.60608147199696505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55-4FB5-AD0D-E0A27A92D4A8}"/>
            </c:ext>
          </c:extLst>
        </c:ser>
        <c:ser>
          <c:idx val="2"/>
          <c:order val="2"/>
          <c:tx>
            <c:strRef>
              <c:f>result_traceElement!$V$2</c:f>
              <c:strCache>
                <c:ptCount val="1"/>
                <c:pt idx="0">
                  <c:v>%ObjectState 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result_traceElement!$V$3</c:f>
              <c:numCache>
                <c:formatCode>0%</c:formatCode>
                <c:ptCount val="1"/>
                <c:pt idx="0">
                  <c:v>0.57505097927633142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55-4FB5-AD0D-E0A27A92D4A8}"/>
            </c:ext>
          </c:extLst>
        </c:ser>
        <c:ser>
          <c:idx val="3"/>
          <c:order val="3"/>
          <c:tx>
            <c:strRef>
              <c:f>result_traceElement!$W$2</c:f>
              <c:strCache>
                <c:ptCount val="1"/>
                <c:pt idx="0">
                  <c:v>%ParameterList 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result_traceElement!$W$3</c:f>
              <c:numCache>
                <c:formatCode>0%</c:formatCode>
                <c:ptCount val="1"/>
                <c:pt idx="0">
                  <c:v>0.14555555555555555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55-4FB5-AD0D-E0A27A92D4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5649400"/>
        <c:axId val="305649792"/>
      </c:barChart>
      <c:catAx>
        <c:axId val="30564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5649792"/>
        <c:crosses val="autoZero"/>
        <c:auto val="1"/>
        <c:lblAlgn val="ctr"/>
        <c:lblOffset val="100"/>
        <c:noMultiLvlLbl val="0"/>
      </c:catAx>
      <c:valAx>
        <c:axId val="3056497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0564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84641771263734E-2"/>
          <c:y val="9.4333372292772028E-2"/>
          <c:w val="0.906662379472343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memoryOverhead!$E$1:$E$1</c:f>
              <c:strCache>
                <c:ptCount val="1"/>
                <c:pt idx="0">
                  <c:v>CTM 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memoryOverhead!$E$2:$E$11</c:f>
              <c:numCache>
                <c:formatCode>0</c:formatCode>
                <c:ptCount val="10"/>
                <c:pt idx="0">
                  <c:v>1072.7168000000001</c:v>
                </c:pt>
                <c:pt idx="1">
                  <c:v>1006.5650400000001</c:v>
                </c:pt>
                <c:pt idx="2">
                  <c:v>988.36304000000007</c:v>
                </c:pt>
                <c:pt idx="3">
                  <c:v>871.40552799999989</c:v>
                </c:pt>
                <c:pt idx="4">
                  <c:v>810.80863999999997</c:v>
                </c:pt>
                <c:pt idx="5">
                  <c:v>813.001848</c:v>
                </c:pt>
                <c:pt idx="6">
                  <c:v>774.22119999999995</c:v>
                </c:pt>
                <c:pt idx="7">
                  <c:v>776.23601600000006</c:v>
                </c:pt>
                <c:pt idx="8">
                  <c:v>1530</c:v>
                </c:pt>
                <c:pt idx="9">
                  <c:v>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E9-44B9-B8B9-4F8ED742114F}"/>
            </c:ext>
          </c:extLst>
        </c:ser>
        <c:ser>
          <c:idx val="1"/>
          <c:order val="1"/>
          <c:tx>
            <c:strRef>
              <c:f>memoryOverhead!$F$1:$F$1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memoryOverhead!$F$2:$F$11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E9-44B9-B8B9-4F8ED742114F}"/>
            </c:ext>
          </c:extLst>
        </c:ser>
        <c:ser>
          <c:idx val="2"/>
          <c:order val="2"/>
          <c:tx>
            <c:strRef>
              <c:f>memoryOverhead!$G$1:$G$1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memoryOverhead!$G$2:$G$11</c:f>
              <c:numCache>
                <c:formatCode>General</c:formatCode>
                <c:ptCount val="10"/>
                <c:pt idx="0">
                  <c:v>76</c:v>
                </c:pt>
                <c:pt idx="1">
                  <c:v>67</c:v>
                </c:pt>
                <c:pt idx="2">
                  <c:v>109</c:v>
                </c:pt>
                <c:pt idx="3">
                  <c:v>98</c:v>
                </c:pt>
                <c:pt idx="4">
                  <c:v>87</c:v>
                </c:pt>
                <c:pt idx="5">
                  <c:v>91</c:v>
                </c:pt>
                <c:pt idx="6">
                  <c:v>76</c:v>
                </c:pt>
                <c:pt idx="7">
                  <c:v>81</c:v>
                </c:pt>
                <c:pt idx="8">
                  <c:v>112</c:v>
                </c:pt>
                <c:pt idx="9">
                  <c:v>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E9-44B9-B8B9-4F8ED742114F}"/>
            </c:ext>
          </c:extLst>
        </c:ser>
        <c:ser>
          <c:idx val="3"/>
          <c:order val="3"/>
          <c:tx>
            <c:v>ObjectState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memoryOverhead!$H$2:$H$11</c:f>
              <c:numCache>
                <c:formatCode>General</c:formatCode>
                <c:ptCount val="10"/>
                <c:pt idx="0">
                  <c:v>50</c:v>
                </c:pt>
                <c:pt idx="1">
                  <c:v>56</c:v>
                </c:pt>
                <c:pt idx="2">
                  <c:v>98</c:v>
                </c:pt>
                <c:pt idx="3">
                  <c:v>78</c:v>
                </c:pt>
                <c:pt idx="4">
                  <c:v>82</c:v>
                </c:pt>
                <c:pt idx="5">
                  <c:v>91</c:v>
                </c:pt>
                <c:pt idx="6">
                  <c:v>84</c:v>
                </c:pt>
                <c:pt idx="7">
                  <c:v>86</c:v>
                </c:pt>
                <c:pt idx="8">
                  <c:v>93</c:v>
                </c:pt>
                <c:pt idx="9">
                  <c:v>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E9-44B9-B8B9-4F8ED742114F}"/>
            </c:ext>
          </c:extLst>
        </c:ser>
        <c:ser>
          <c:idx val="4"/>
          <c:order val="4"/>
          <c:tx>
            <c:strRef>
              <c:f>memoryOverhead!$I$1:$I$1</c:f>
              <c:strCache>
                <c:ptCount val="1"/>
                <c:pt idx="0">
                  <c:v>ParameterList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memoryOverhead!$I$2:$I$11</c:f>
              <c:numCache>
                <c:formatCode>General</c:formatCode>
                <c:ptCount val="10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E9-44B9-B8B9-4F8ED7421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05650576"/>
        <c:axId val="303987640"/>
      </c:barChart>
      <c:valAx>
        <c:axId val="303987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(KB)</a:t>
                </a:r>
              </a:p>
            </c:rich>
          </c:tx>
          <c:layout>
            <c:manualLayout>
              <c:xMode val="edge"/>
              <c:yMode val="edge"/>
              <c:x val="1.0771757096098383E-2"/>
              <c:y val="0.2908170337914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0576"/>
        <c:crosses val="autoZero"/>
        <c:crossBetween val="between"/>
      </c:valAx>
      <c:catAx>
        <c:axId val="3056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7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27318904320033"/>
          <c:y val="0.90614671218578757"/>
          <c:w val="0.42567994594735065"/>
          <c:h val="7.28158704444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628650</xdr:colOff>
      <xdr:row>19</xdr:row>
      <xdr:rowOff>95250</xdr:rowOff>
    </xdr:from>
    <xdr:ext cx="7581903" cy="27432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8477103" y="445559"/>
    <xdr:ext cx="4938528" cy="270509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23</xdr:col>
      <xdr:colOff>657225</xdr:colOff>
      <xdr:row>4</xdr:row>
      <xdr:rowOff>28575</xdr:rowOff>
    </xdr:from>
    <xdr:ext cx="6943725" cy="2743200"/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18</xdr:col>
      <xdr:colOff>416719</xdr:colOff>
      <xdr:row>18</xdr:row>
      <xdr:rowOff>21433</xdr:rowOff>
    </xdr:from>
    <xdr:ext cx="558403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709084</xdr:colOff>
      <xdr:row>10</xdr:row>
      <xdr:rowOff>158749</xdr:rowOff>
    </xdr:from>
    <xdr:to>
      <xdr:col>26</xdr:col>
      <xdr:colOff>656166</xdr:colOff>
      <xdr:row>26</xdr:row>
      <xdr:rowOff>16931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17</xdr:row>
      <xdr:rowOff>95250</xdr:rowOff>
    </xdr:from>
    <xdr:to>
      <xdr:col>18</xdr:col>
      <xdr:colOff>342901</xdr:colOff>
      <xdr:row>33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295278</xdr:colOff>
      <xdr:row>3</xdr:row>
      <xdr:rowOff>95253</xdr:rowOff>
    </xdr:from>
    <xdr:ext cx="4234388" cy="2743200"/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17</xdr:col>
      <xdr:colOff>465667</xdr:colOff>
      <xdr:row>6</xdr:row>
      <xdr:rowOff>84666</xdr:rowOff>
    </xdr:from>
    <xdr:to>
      <xdr:col>23</xdr:col>
      <xdr:colOff>328084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</xdr:colOff>
      <xdr:row>13</xdr:row>
      <xdr:rowOff>171443</xdr:rowOff>
    </xdr:from>
    <xdr:ext cx="6686548" cy="2943232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14</xdr:col>
      <xdr:colOff>9525</xdr:colOff>
      <xdr:row>13</xdr:row>
      <xdr:rowOff>171449</xdr:rowOff>
    </xdr:from>
    <xdr:to>
      <xdr:col>23</xdr:col>
      <xdr:colOff>581026</xdr:colOff>
      <xdr:row>30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15871</xdr:colOff>
      <xdr:row>6</xdr:row>
      <xdr:rowOff>171449</xdr:rowOff>
    </xdr:from>
    <xdr:ext cx="8067679" cy="27051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18</xdr:col>
      <xdr:colOff>1028700</xdr:colOff>
      <xdr:row>37</xdr:row>
      <xdr:rowOff>0</xdr:rowOff>
    </xdr:from>
    <xdr:to>
      <xdr:col>25</xdr:col>
      <xdr:colOff>714375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_Anonymous_Sheet_DB__03" displayName="__Anonymous_Sheet_DB__03" ref="A2:AMK39" headerRowCount="0" totalsRowShown="0">
  <sortState ref="A2:AMJ39">
    <sortCondition ref="B2:B39"/>
  </sortState>
  <tableColumns count="10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025" name="Column1025" dataDxfId="0">
      <calculatedColumnFormula>__Anonymous_Sheet_DB__03[[#This Row],[Column11]]+__Anonymous_Sheet_DB__03[[#This Row],[Column12]]</calculatedColumnFormula>
    </tableColumn>
    <tableColumn id="17" name="Column17">
      <calculatedColumnFormula>__Anonymous_Sheet_DB__03[[#This Row],[Column7]]+__Anonymous_Sheet_DB__03[[#This Row],[Column10]]</calculatedColumnFormula>
    </tableColumn>
    <tableColumn id="18" name="Column18">
      <calculatedColumnFormula>(1-__Anonymous_Sheet_DB__03[[#This Row],[Column1025]]/__Anonymous_Sheet_DB__03[[#This Row],[Column17]])</calculatedColumnFormula>
    </tableColumn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Anonymous_Sheet_DB__04" displayName="__Anonymous_Sheet_DB__04" ref="A2:AMN48" headerRowCount="0" totalsRowShown="0">
  <sortState ref="A40:AML61">
    <sortCondition ref="C40:C61"/>
  </sortState>
  <tableColumns count="1028">
    <tableColumn id="1" name="Column1"/>
    <tableColumn id="2" name="Column2"/>
    <tableColumn id="3" name="Column3"/>
    <tableColumn id="4" name="Column4"/>
    <tableColumn id="6" name="Column6"/>
    <tableColumn id="8" name="Column8"/>
    <tableColumn id="9" name="Column9"/>
    <tableColumn id="7" name="Column7"/>
    <tableColumn id="10" name="Column10"/>
    <tableColumn id="1027" name="Column1027"/>
    <tableColumn id="5" name="Column5"/>
    <tableColumn id="11" name="Column11"/>
    <tableColumn id="1028" name="Column1028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E13" zoomScale="90" zoomScaleNormal="90" workbookViewId="0">
      <selection activeCell="P40" sqref="P40:P44"/>
    </sheetView>
  </sheetViews>
  <sheetFormatPr defaultRowHeight="14.25"/>
  <cols>
    <col min="1" max="1" width="12.5" customWidth="1"/>
    <col min="2" max="2" width="40.625" customWidth="1"/>
    <col min="3" max="3" width="19" hidden="1" customWidth="1"/>
    <col min="4" max="4" width="11.25" bestFit="1" customWidth="1"/>
    <col min="5" max="5" width="17.625" bestFit="1" customWidth="1"/>
    <col min="6" max="6" width="11" customWidth="1"/>
    <col min="7" max="7" width="10.625" customWidth="1"/>
    <col min="8" max="8" width="10.25" hidden="1" customWidth="1"/>
    <col min="9" max="9" width="10.75" hidden="1" customWidth="1"/>
    <col min="10" max="12" width="10.625" customWidth="1"/>
    <col min="13" max="13" width="10.625" hidden="1" customWidth="1"/>
    <col min="14" max="14" width="19.875" hidden="1" customWidth="1"/>
    <col min="15" max="15" width="18.75" hidden="1" customWidth="1"/>
    <col min="16" max="18" width="10.625" customWidth="1"/>
    <col min="19" max="19" width="7.25" customWidth="1"/>
    <col min="20" max="1025" width="10.625" customWidth="1"/>
    <col min="1026" max="1026" width="9" customWidth="1"/>
  </cols>
  <sheetData>
    <row r="1" spans="1:19" ht="15">
      <c r="A1" s="1" t="s">
        <v>0</v>
      </c>
      <c r="B1" s="1" t="s">
        <v>2</v>
      </c>
      <c r="C1" s="1" t="s">
        <v>3</v>
      </c>
      <c r="D1" s="1" t="s">
        <v>50</v>
      </c>
      <c r="E1" s="1" t="s">
        <v>5</v>
      </c>
      <c r="F1" s="1" t="s">
        <v>51</v>
      </c>
      <c r="G1" s="1" t="s">
        <v>45</v>
      </c>
      <c r="H1" s="1" t="s">
        <v>46</v>
      </c>
      <c r="I1" s="1"/>
      <c r="J1" s="1" t="s">
        <v>47</v>
      </c>
      <c r="K1" s="1" t="s">
        <v>48</v>
      </c>
      <c r="L1" s="1" t="s">
        <v>52</v>
      </c>
      <c r="M1" s="1" t="s">
        <v>53</v>
      </c>
      <c r="N1" s="1" t="s">
        <v>54</v>
      </c>
      <c r="O1" s="1" t="s">
        <v>55</v>
      </c>
      <c r="Q1" s="1" t="s">
        <v>225</v>
      </c>
      <c r="R1" s="1" t="s">
        <v>226</v>
      </c>
    </row>
    <row r="2" spans="1:19" s="2" customFormat="1">
      <c r="A2" s="2" t="s">
        <v>6</v>
      </c>
      <c r="B2" s="2" t="s">
        <v>7</v>
      </c>
      <c r="C2" s="2">
        <v>2454536</v>
      </c>
      <c r="D2">
        <f t="shared" ref="D2:D39" si="0">C2/1000</f>
        <v>2454.5360000000001</v>
      </c>
      <c r="E2">
        <v>264</v>
      </c>
      <c r="F2">
        <v>1448</v>
      </c>
      <c r="G2">
        <v>9469</v>
      </c>
      <c r="H2" s="2">
        <f>'Memory Results'!$G2*64</f>
        <v>606016</v>
      </c>
      <c r="I2" s="2">
        <f>'Memory Results'!$C2-'Memory Results'!$H2</f>
        <v>1848520</v>
      </c>
      <c r="J2" s="4">
        <f>'Memory Results'!$I2/64</f>
        <v>28883.125</v>
      </c>
      <c r="K2" s="4">
        <f>'Memory Results'!$G2*0.55</f>
        <v>5207.9500000000007</v>
      </c>
      <c r="L2" s="4">
        <f>'Memory Results'!$J2*0.4</f>
        <v>11553.25</v>
      </c>
      <c r="M2" s="4">
        <f>('Memory Results'!$K2+'Memory Results'!$L2)*64/1000</f>
        <v>1072.7168000000001</v>
      </c>
      <c r="N2" s="5">
        <f>('Memory Results'!$G2-'Memory Results'!$K2)/'Memory Results'!$G2</f>
        <v>0.4499999999999999</v>
      </c>
      <c r="O2" s="5">
        <f>('Memory Results'!$J2-'Memory Results'!$L2)/'Memory Results'!$J2</f>
        <v>0.6</v>
      </c>
      <c r="P2" s="2">
        <f>__Anonymous_Sheet_DB__03[[#This Row],[Column4]]*45%</f>
        <v>1104.5412000000001</v>
      </c>
      <c r="Q2" s="4">
        <f>__Anonymous_Sheet_DB__03[[#This Row],[Column11]]+__Anonymous_Sheet_DB__03[[#This Row],[Column12]]</f>
        <v>16761.2</v>
      </c>
      <c r="R2" s="4">
        <f>__Anonymous_Sheet_DB__03[[#This Row],[Column7]]+__Anonymous_Sheet_DB__03[[#This Row],[Column10]]</f>
        <v>38352.125</v>
      </c>
      <c r="S2" s="33">
        <f>(1-__Anonymous_Sheet_DB__03[[#This Row],[Column1025]]/__Anonymous_Sheet_DB__03[[#This Row],[Column17]])</f>
        <v>0.56296554623765949</v>
      </c>
    </row>
    <row r="3" spans="1:19">
      <c r="A3" t="s">
        <v>6</v>
      </c>
      <c r="B3" t="s">
        <v>8</v>
      </c>
      <c r="C3">
        <v>2383304</v>
      </c>
      <c r="D3">
        <f t="shared" si="0"/>
        <v>2383.3040000000001</v>
      </c>
      <c r="E3">
        <v>256</v>
      </c>
      <c r="F3">
        <v>1426</v>
      </c>
      <c r="G3">
        <v>9264</v>
      </c>
      <c r="H3">
        <f>'Memory Results'!$G3*64</f>
        <v>592896</v>
      </c>
      <c r="I3">
        <f>'Memory Results'!$C3-'Memory Results'!$H3</f>
        <v>1790408</v>
      </c>
      <c r="J3" s="4">
        <f>'Memory Results'!$I3/64</f>
        <v>27975.125</v>
      </c>
      <c r="K3" s="4">
        <f>'Memory Results'!$G3*0.52</f>
        <v>4817.28</v>
      </c>
      <c r="L3" s="4">
        <f>'Memory Results'!$J3*0.39</f>
        <v>10910.29875</v>
      </c>
      <c r="M3" s="4">
        <f>('Memory Results'!$K3+'Memory Results'!$L3)*64/1000</f>
        <v>1006.5650400000001</v>
      </c>
      <c r="N3" s="5">
        <f>('Memory Results'!$G3-'Memory Results'!$K3)/'Memory Results'!$G3</f>
        <v>0.48000000000000004</v>
      </c>
      <c r="O3" s="5">
        <f>('Memory Results'!$J3-'Memory Results'!$L3)/'Memory Results'!$J3</f>
        <v>0.61</v>
      </c>
      <c r="P3" s="2">
        <f>__Anonymous_Sheet_DB__03[[#This Row],[Column4]]*45%</f>
        <v>1072.4868000000001</v>
      </c>
      <c r="Q3" s="4">
        <f>__Anonymous_Sheet_DB__03[[#This Row],[Column11]]+__Anonymous_Sheet_DB__03[[#This Row],[Column12]]</f>
        <v>15727.578750000001</v>
      </c>
      <c r="R3" s="4">
        <f>__Anonymous_Sheet_DB__03[[#This Row],[Column7]]+__Anonymous_Sheet_DB__03[[#This Row],[Column10]]</f>
        <v>37239.125</v>
      </c>
      <c r="S3" s="33">
        <f>(1-__Anonymous_Sheet_DB__03[[#This Row],[Column1025]]/__Anonymous_Sheet_DB__03[[#This Row],[Column17]])</f>
        <v>0.57765982014883543</v>
      </c>
    </row>
    <row r="4" spans="1:19">
      <c r="A4" t="s">
        <v>6</v>
      </c>
      <c r="B4" t="s">
        <v>9</v>
      </c>
      <c r="C4">
        <v>2382520</v>
      </c>
      <c r="D4">
        <f t="shared" si="0"/>
        <v>2382.52</v>
      </c>
      <c r="E4">
        <v>256</v>
      </c>
      <c r="F4">
        <v>1358</v>
      </c>
      <c r="G4">
        <v>9264</v>
      </c>
      <c r="H4">
        <f>'Memory Results'!$G4*64</f>
        <v>592896</v>
      </c>
      <c r="I4">
        <f>'Memory Results'!$C4-'Memory Results'!$H4</f>
        <v>1789624</v>
      </c>
      <c r="J4" s="4">
        <f>'Memory Results'!$I4/64</f>
        <v>27962.875</v>
      </c>
      <c r="K4" s="4">
        <f>'Memory Results'!$G4*0.52</f>
        <v>4817.28</v>
      </c>
      <c r="L4" s="4">
        <f>'Memory Results'!$J4*0.38</f>
        <v>10625.8925</v>
      </c>
      <c r="M4" s="4">
        <f>('Memory Results'!$K4+'Memory Results'!$L4)*64/1000</f>
        <v>988.36304000000007</v>
      </c>
      <c r="N4" s="5">
        <f>('Memory Results'!$G4-'Memory Results'!$K4)/'Memory Results'!$G4</f>
        <v>0.48000000000000004</v>
      </c>
      <c r="O4" s="5">
        <f>('Memory Results'!$J4-'Memory Results'!$L4)/'Memory Results'!$J4</f>
        <v>0.61999999999999988</v>
      </c>
      <c r="P4" s="2">
        <f>__Anonymous_Sheet_DB__03[[#This Row],[Column4]]*45%</f>
        <v>1072.134</v>
      </c>
      <c r="Q4" s="4">
        <f>__Anonymous_Sheet_DB__03[[#This Row],[Column11]]+__Anonymous_Sheet_DB__03[[#This Row],[Column12]]</f>
        <v>15443.172500000001</v>
      </c>
      <c r="R4" s="4">
        <f>__Anonymous_Sheet_DB__03[[#This Row],[Column7]]+__Anonymous_Sheet_DB__03[[#This Row],[Column10]]</f>
        <v>37226.875</v>
      </c>
      <c r="S4" s="33">
        <f>(1-__Anonymous_Sheet_DB__03[[#This Row],[Column1025]]/__Anonymous_Sheet_DB__03[[#This Row],[Column17]])</f>
        <v>0.58516065342578449</v>
      </c>
    </row>
    <row r="5" spans="1:19">
      <c r="A5" t="s">
        <v>6</v>
      </c>
      <c r="B5" t="s">
        <v>10</v>
      </c>
      <c r="C5">
        <v>2065960</v>
      </c>
      <c r="D5">
        <f t="shared" si="0"/>
        <v>2065.96</v>
      </c>
      <c r="E5">
        <v>231</v>
      </c>
      <c r="F5">
        <v>2643</v>
      </c>
      <c r="G5">
        <v>7976</v>
      </c>
      <c r="H5">
        <f>'Memory Results'!$G5*64</f>
        <v>510464</v>
      </c>
      <c r="I5">
        <f>'Memory Results'!$C5-'Memory Results'!$H5</f>
        <v>1555496</v>
      </c>
      <c r="J5" s="4">
        <f>'Memory Results'!$I5/64</f>
        <v>24304.625</v>
      </c>
      <c r="K5" s="4">
        <f>'Memory Results'!$G5*0.54</f>
        <v>4307.04</v>
      </c>
      <c r="L5" s="4">
        <f>'Memory Results'!$J5*0.383</f>
        <v>9308.6713749999999</v>
      </c>
      <c r="M5" s="4">
        <f>('Memory Results'!$K5+'Memory Results'!$L5)*64/1000</f>
        <v>871.40552799999989</v>
      </c>
      <c r="N5" s="5">
        <f>('Memory Results'!$G5-'Memory Results'!$K5)/'Memory Results'!$G5</f>
        <v>0.46</v>
      </c>
      <c r="O5" s="5">
        <f>('Memory Results'!$J5-'Memory Results'!$L5)/'Memory Results'!$J5</f>
        <v>0.61699999999999999</v>
      </c>
      <c r="P5" s="2">
        <f>__Anonymous_Sheet_DB__03[[#This Row],[Column4]]*45%</f>
        <v>929.68200000000002</v>
      </c>
      <c r="Q5" s="4">
        <f>__Anonymous_Sheet_DB__03[[#This Row],[Column11]]+__Anonymous_Sheet_DB__03[[#This Row],[Column12]]</f>
        <v>13615.711374999999</v>
      </c>
      <c r="R5" s="4">
        <f>__Anonymous_Sheet_DB__03[[#This Row],[Column7]]+__Anonymous_Sheet_DB__03[[#This Row],[Column10]]</f>
        <v>32280.625</v>
      </c>
      <c r="S5" s="33">
        <f>(1-__Anonymous_Sheet_DB__03[[#This Row],[Column1025]]/__Anonymous_Sheet_DB__03[[#This Row],[Column17]])</f>
        <v>0.57820793819822258</v>
      </c>
    </row>
    <row r="6" spans="1:19">
      <c r="A6" t="s">
        <v>6</v>
      </c>
      <c r="B6" t="s">
        <v>11</v>
      </c>
      <c r="C6">
        <v>1987232</v>
      </c>
      <c r="D6">
        <f t="shared" si="0"/>
        <v>1987.232</v>
      </c>
      <c r="E6">
        <v>223</v>
      </c>
      <c r="F6">
        <v>2624</v>
      </c>
      <c r="G6">
        <v>7868</v>
      </c>
      <c r="H6">
        <f>'Memory Results'!$G6*64</f>
        <v>503552</v>
      </c>
      <c r="I6">
        <f>'Memory Results'!$C6-'Memory Results'!$H6</f>
        <v>1483680</v>
      </c>
      <c r="J6" s="4">
        <f>'Memory Results'!$I6/64</f>
        <v>23182.5</v>
      </c>
      <c r="K6" s="4">
        <f>'Memory Results'!$G6*0.52</f>
        <v>4091.36</v>
      </c>
      <c r="L6" s="4">
        <f>'Memory Results'!$J6*0.37</f>
        <v>8577.5249999999996</v>
      </c>
      <c r="M6" s="4">
        <f>('Memory Results'!$K6+'Memory Results'!$L6)*64/1000</f>
        <v>810.80863999999997</v>
      </c>
      <c r="N6" s="5">
        <f>('Memory Results'!$G6-'Memory Results'!$K6)/'Memory Results'!$G6</f>
        <v>0.48</v>
      </c>
      <c r="O6" s="5">
        <f>('Memory Results'!$J6-'Memory Results'!$L6)/'Memory Results'!$J6</f>
        <v>0.63</v>
      </c>
      <c r="P6" s="2">
        <f>__Anonymous_Sheet_DB__03[[#This Row],[Column4]]*45%</f>
        <v>894.25440000000003</v>
      </c>
      <c r="Q6" s="4">
        <f>__Anonymous_Sheet_DB__03[[#This Row],[Column11]]+__Anonymous_Sheet_DB__03[[#This Row],[Column12]]</f>
        <v>12668.885</v>
      </c>
      <c r="R6" s="4">
        <f>__Anonymous_Sheet_DB__03[[#This Row],[Column7]]+__Anonymous_Sheet_DB__03[[#This Row],[Column10]]</f>
        <v>31050.5</v>
      </c>
      <c r="S6" s="33">
        <f>(1-__Anonymous_Sheet_DB__03[[#This Row],[Column1025]]/__Anonymous_Sheet_DB__03[[#This Row],[Column17]])</f>
        <v>0.59199095022624437</v>
      </c>
    </row>
    <row r="7" spans="1:19">
      <c r="A7" t="s">
        <v>6</v>
      </c>
      <c r="B7" t="s">
        <v>12</v>
      </c>
      <c r="C7">
        <v>1991672</v>
      </c>
      <c r="D7">
        <f t="shared" si="0"/>
        <v>1991.672</v>
      </c>
      <c r="E7">
        <v>223</v>
      </c>
      <c r="F7">
        <v>2634</v>
      </c>
      <c r="G7">
        <v>7820</v>
      </c>
      <c r="H7">
        <f>'Memory Results'!$G7*64</f>
        <v>500480</v>
      </c>
      <c r="I7">
        <f>'Memory Results'!$C7-'Memory Results'!$H7</f>
        <v>1491192</v>
      </c>
      <c r="J7" s="4">
        <f>'Memory Results'!$I7/64</f>
        <v>23299.875</v>
      </c>
      <c r="K7" s="4">
        <f>'Memory Results'!$G7*0.525</f>
        <v>4105.5</v>
      </c>
      <c r="L7" s="4">
        <f>'Memory Results'!$J7*0.369</f>
        <v>8597.653875</v>
      </c>
      <c r="M7" s="4">
        <f>('Memory Results'!$K7+'Memory Results'!$L7)*64/1000</f>
        <v>813.001848</v>
      </c>
      <c r="N7" s="5">
        <f>('Memory Results'!$G7-'Memory Results'!$K7)/'Memory Results'!$G7</f>
        <v>0.47499999999999998</v>
      </c>
      <c r="O7" s="5">
        <f>('Memory Results'!$J7-'Memory Results'!$L7)/'Memory Results'!$J7</f>
        <v>0.63100000000000001</v>
      </c>
      <c r="P7" s="2">
        <f>__Anonymous_Sheet_DB__03[[#This Row],[Column4]]*45%</f>
        <v>896.25240000000008</v>
      </c>
      <c r="Q7" s="4">
        <f>__Anonymous_Sheet_DB__03[[#This Row],[Column11]]+__Anonymous_Sheet_DB__03[[#This Row],[Column12]]</f>
        <v>12703.153875</v>
      </c>
      <c r="R7" s="4">
        <f>__Anonymous_Sheet_DB__03[[#This Row],[Column7]]+__Anonymous_Sheet_DB__03[[#This Row],[Column10]]</f>
        <v>31119.875</v>
      </c>
      <c r="S7" s="33">
        <f>(1-__Anonymous_Sheet_DB__03[[#This Row],[Column1025]]/__Anonymous_Sheet_DB__03[[#This Row],[Column17]])</f>
        <v>0.59179932840347205</v>
      </c>
    </row>
    <row r="8" spans="1:19">
      <c r="A8" t="s">
        <v>6</v>
      </c>
      <c r="B8" t="s">
        <v>13</v>
      </c>
      <c r="C8">
        <v>1933752</v>
      </c>
      <c r="D8">
        <f t="shared" si="0"/>
        <v>1933.752</v>
      </c>
      <c r="E8">
        <v>210</v>
      </c>
      <c r="F8">
        <v>2643</v>
      </c>
      <c r="G8">
        <v>7610</v>
      </c>
      <c r="H8">
        <f>'Memory Results'!$G8*64</f>
        <v>487040</v>
      </c>
      <c r="I8">
        <f>'Memory Results'!$C8-'Memory Results'!$H8</f>
        <v>1446712</v>
      </c>
      <c r="J8" s="4">
        <f>'Memory Results'!$I8/64</f>
        <v>22604.875</v>
      </c>
      <c r="K8" s="4">
        <f>'Memory Results'!$G8*0.55</f>
        <v>4185.5</v>
      </c>
      <c r="L8" s="4">
        <f>'Memory Results'!$J8*0.35</f>
        <v>7911.7062499999993</v>
      </c>
      <c r="M8" s="4">
        <f>('Memory Results'!$K8+'Memory Results'!$L8)*64/1000</f>
        <v>774.22119999999995</v>
      </c>
      <c r="N8" s="5">
        <f>('Memory Results'!$G8-'Memory Results'!$K8)/'Memory Results'!$G8</f>
        <v>0.45</v>
      </c>
      <c r="O8" s="5">
        <f>('Memory Results'!$J8-'Memory Results'!$L8)/'Memory Results'!$J8</f>
        <v>0.65</v>
      </c>
      <c r="P8" s="2">
        <f>__Anonymous_Sheet_DB__03[[#This Row],[Column4]]*45%</f>
        <v>870.1884</v>
      </c>
      <c r="Q8" s="4">
        <f>__Anonymous_Sheet_DB__03[[#This Row],[Column11]]+__Anonymous_Sheet_DB__03[[#This Row],[Column12]]</f>
        <v>12097.206249999999</v>
      </c>
      <c r="R8" s="4">
        <f>__Anonymous_Sheet_DB__03[[#This Row],[Column7]]+__Anonymous_Sheet_DB__03[[#This Row],[Column10]]</f>
        <v>30214.875</v>
      </c>
      <c r="S8" s="33">
        <f>(1-__Anonymous_Sheet_DB__03[[#This Row],[Column1025]]/__Anonymous_Sheet_DB__03[[#This Row],[Column17]])</f>
        <v>0.59962745998452749</v>
      </c>
    </row>
    <row r="9" spans="1:19">
      <c r="A9" t="s">
        <v>6</v>
      </c>
      <c r="B9" t="s">
        <v>14</v>
      </c>
      <c r="C9">
        <v>1929336</v>
      </c>
      <c r="D9">
        <f t="shared" si="0"/>
        <v>1929.336</v>
      </c>
      <c r="E9">
        <v>210</v>
      </c>
      <c r="F9">
        <v>1583</v>
      </c>
      <c r="G9">
        <v>7562</v>
      </c>
      <c r="H9">
        <f>'Memory Results'!$G9*64</f>
        <v>483968</v>
      </c>
      <c r="I9">
        <f>'Memory Results'!$C9-'Memory Results'!$H9</f>
        <v>1445368</v>
      </c>
      <c r="J9" s="4">
        <f>'Memory Results'!$I9/64</f>
        <v>22583.875</v>
      </c>
      <c r="K9" s="4">
        <f>'Memory Results'!$G9*0.54</f>
        <v>4083.4800000000005</v>
      </c>
      <c r="L9" s="4">
        <f>'Memory Results'!$J9*0.34</f>
        <v>7678.5175000000008</v>
      </c>
      <c r="M9" s="4">
        <f>('Memory Results'!$K9+'Memory Results'!$L9)*64/1000</f>
        <v>752.76784000000009</v>
      </c>
      <c r="N9" s="5">
        <f>('Memory Results'!$G9-'Memory Results'!$K9)/'Memory Results'!$G9</f>
        <v>0.45999999999999996</v>
      </c>
      <c r="O9" s="5">
        <f>('Memory Results'!$J9-'Memory Results'!$L9)/'Memory Results'!$J9</f>
        <v>0.65999999999999992</v>
      </c>
      <c r="P9" s="2">
        <f>__Anonymous_Sheet_DB__03[[#This Row],[Column4]]*45%</f>
        <v>868.20119999999997</v>
      </c>
      <c r="Q9" s="4">
        <f>__Anonymous_Sheet_DB__03[[#This Row],[Column11]]+__Anonymous_Sheet_DB__03[[#This Row],[Column12]]</f>
        <v>11761.997500000001</v>
      </c>
      <c r="R9" s="4">
        <f>__Anonymous_Sheet_DB__03[[#This Row],[Column7]]+__Anonymous_Sheet_DB__03[[#This Row],[Column10]]</f>
        <v>30145.875</v>
      </c>
      <c r="S9" s="33">
        <f>(1-__Anonymous_Sheet_DB__03[[#This Row],[Column1025]]/__Anonymous_Sheet_DB__03[[#This Row],[Column17]])</f>
        <v>0.60983061529977145</v>
      </c>
    </row>
    <row r="10" spans="1:19">
      <c r="A10" t="s">
        <v>6</v>
      </c>
      <c r="B10" t="s">
        <v>15</v>
      </c>
      <c r="C10">
        <v>1999480</v>
      </c>
      <c r="D10">
        <f t="shared" si="0"/>
        <v>1999.48</v>
      </c>
      <c r="E10">
        <v>218</v>
      </c>
      <c r="F10">
        <v>1583</v>
      </c>
      <c r="G10">
        <v>7767</v>
      </c>
      <c r="H10">
        <f>'Memory Results'!$G10*64</f>
        <v>497088</v>
      </c>
      <c r="I10">
        <f>'Memory Results'!$C10-'Memory Results'!$H10</f>
        <v>1502392</v>
      </c>
      <c r="J10" s="4">
        <f>'Memory Results'!$I10/64</f>
        <v>23474.875</v>
      </c>
      <c r="K10" s="4">
        <f>'Memory Results'!$G10*0.54</f>
        <v>4194.18</v>
      </c>
      <c r="L10" s="4">
        <f>'Memory Results'!$J10*0.338</f>
        <v>7934.5077500000007</v>
      </c>
      <c r="M10" s="4">
        <f>('Memory Results'!$K10+'Memory Results'!$L10)*64/1000</f>
        <v>776.23601600000006</v>
      </c>
      <c r="N10" s="5">
        <f>('Memory Results'!$G10-'Memory Results'!$K10)/'Memory Results'!$G10</f>
        <v>0.45999999999999996</v>
      </c>
      <c r="O10" s="5">
        <f>('Memory Results'!$J10-'Memory Results'!$L10)/'Memory Results'!$J10</f>
        <v>0.66199999999999992</v>
      </c>
      <c r="P10" s="2">
        <f>__Anonymous_Sheet_DB__03[[#This Row],[Column4]]*45%</f>
        <v>899.76600000000008</v>
      </c>
      <c r="Q10" s="4">
        <f>__Anonymous_Sheet_DB__03[[#This Row],[Column11]]+__Anonymous_Sheet_DB__03[[#This Row],[Column12]]</f>
        <v>12128.687750000001</v>
      </c>
      <c r="R10" s="4">
        <f>__Anonymous_Sheet_DB__03[[#This Row],[Column7]]+__Anonymous_Sheet_DB__03[[#This Row],[Column10]]</f>
        <v>31241.875</v>
      </c>
      <c r="S10" s="33">
        <f>(1-__Anonymous_Sheet_DB__03[[#This Row],[Column1025]]/__Anonymous_Sheet_DB__03[[#This Row],[Column17]])</f>
        <v>0.61178105507431924</v>
      </c>
    </row>
    <row r="11" spans="1:19">
      <c r="A11" t="s">
        <v>6</v>
      </c>
      <c r="B11" t="s">
        <v>16</v>
      </c>
      <c r="C11">
        <v>1995784</v>
      </c>
      <c r="D11">
        <f t="shared" si="0"/>
        <v>1995.7840000000001</v>
      </c>
      <c r="E11">
        <v>218</v>
      </c>
      <c r="F11">
        <v>1661</v>
      </c>
      <c r="G11">
        <v>7707</v>
      </c>
      <c r="H11">
        <f>'Memory Results'!$G11*64</f>
        <v>493248</v>
      </c>
      <c r="I11">
        <f>'Memory Results'!$C11-'Memory Results'!$H11</f>
        <v>1502536</v>
      </c>
      <c r="J11" s="4">
        <f>'Memory Results'!$I11/64</f>
        <v>23477.125</v>
      </c>
      <c r="K11" s="4">
        <f>'Memory Results'!$G11*0.54</f>
        <v>4161.7800000000007</v>
      </c>
      <c r="L11" s="4">
        <f>'Memory Results'!$J11*0.4</f>
        <v>9390.85</v>
      </c>
      <c r="M11" s="4">
        <f>('Memory Results'!$K11+'Memory Results'!$L11)*64/1000</f>
        <v>867.36832000000004</v>
      </c>
      <c r="N11" s="5">
        <f>('Memory Results'!$G11-'Memory Results'!$K11)/'Memory Results'!$G11</f>
        <v>0.45999999999999991</v>
      </c>
      <c r="O11" s="5">
        <f>('Memory Results'!$J11-'Memory Results'!$L11)/'Memory Results'!$J11</f>
        <v>0.6</v>
      </c>
      <c r="P11" s="2">
        <f>__Anonymous_Sheet_DB__03[[#This Row],[Column4]]*45%</f>
        <v>898.10280000000012</v>
      </c>
      <c r="Q11" s="4">
        <f>__Anonymous_Sheet_DB__03[[#This Row],[Column11]]+__Anonymous_Sheet_DB__03[[#This Row],[Column12]]</f>
        <v>13552.630000000001</v>
      </c>
      <c r="R11" s="4">
        <f>__Anonymous_Sheet_DB__03[[#This Row],[Column7]]+__Anonymous_Sheet_DB__03[[#This Row],[Column10]]</f>
        <v>31184.125</v>
      </c>
      <c r="S11" s="33">
        <f>(1-__Anonymous_Sheet_DB__03[[#This Row],[Column1025]]/__Anonymous_Sheet_DB__03[[#This Row],[Column17]])</f>
        <v>0.56539970257302397</v>
      </c>
    </row>
    <row r="12" spans="1:19">
      <c r="A12" t="s">
        <v>6</v>
      </c>
      <c r="B12" t="s">
        <v>17</v>
      </c>
      <c r="C12">
        <v>2321704</v>
      </c>
      <c r="D12">
        <f t="shared" si="0"/>
        <v>2321.7040000000002</v>
      </c>
      <c r="E12">
        <v>242</v>
      </c>
      <c r="F12">
        <v>1661</v>
      </c>
      <c r="G12">
        <v>8963</v>
      </c>
      <c r="H12">
        <f>'Memory Results'!$G12*64</f>
        <v>573632</v>
      </c>
      <c r="I12">
        <f>'Memory Results'!$C12-'Memory Results'!$H12</f>
        <v>1748072</v>
      </c>
      <c r="J12" s="4">
        <f>'Memory Results'!$I12/64</f>
        <v>27313.625</v>
      </c>
      <c r="K12" s="4">
        <f>'Memory Results'!$G12*0.509</f>
        <v>4562.1670000000004</v>
      </c>
      <c r="L12" s="4">
        <f>'Memory Results'!$J12*0.32</f>
        <v>8740.36</v>
      </c>
      <c r="M12" s="4">
        <f>('Memory Results'!$K12+'Memory Results'!$L12)*64/1000</f>
        <v>851.36172800000008</v>
      </c>
      <c r="N12" s="5">
        <f>('Memory Results'!$G12-'Memory Results'!$K12)/'Memory Results'!$G12</f>
        <v>0.49099999999999994</v>
      </c>
      <c r="O12" s="5">
        <f>('Memory Results'!$J12-'Memory Results'!$L12)/'Memory Results'!$J12</f>
        <v>0.67999999999999994</v>
      </c>
      <c r="P12" s="2">
        <f>__Anonymous_Sheet_DB__03[[#This Row],[Column4]]*45%</f>
        <v>1044.7668000000001</v>
      </c>
      <c r="Q12" s="4">
        <f>__Anonymous_Sheet_DB__03[[#This Row],[Column11]]+__Anonymous_Sheet_DB__03[[#This Row],[Column12]]</f>
        <v>13302.527000000002</v>
      </c>
      <c r="R12" s="4">
        <f>__Anonymous_Sheet_DB__03[[#This Row],[Column7]]+__Anonymous_Sheet_DB__03[[#This Row],[Column10]]</f>
        <v>36276.625</v>
      </c>
      <c r="S12" s="33">
        <f>(1-__Anonymous_Sheet_DB__03[[#This Row],[Column1025]]/__Anonymous_Sheet_DB__03[[#This Row],[Column17]])</f>
        <v>0.63330307050338885</v>
      </c>
    </row>
    <row r="13" spans="1:19">
      <c r="A13" t="s">
        <v>6</v>
      </c>
      <c r="B13" t="s">
        <v>18</v>
      </c>
      <c r="C13">
        <v>2320472</v>
      </c>
      <c r="D13">
        <f t="shared" si="0"/>
        <v>2320.4720000000002</v>
      </c>
      <c r="E13">
        <v>242</v>
      </c>
      <c r="F13">
        <v>1864</v>
      </c>
      <c r="G13">
        <v>8963</v>
      </c>
      <c r="H13">
        <f>'Memory Results'!$G13*64</f>
        <v>573632</v>
      </c>
      <c r="I13">
        <f>'Memory Results'!$C13-'Memory Results'!$H13</f>
        <v>1746840</v>
      </c>
      <c r="J13" s="4">
        <f>'Memory Results'!$I13/64</f>
        <v>27294.375</v>
      </c>
      <c r="K13" s="4">
        <f>'Memory Results'!$G13*0.49</f>
        <v>4391.87</v>
      </c>
      <c r="L13" s="4">
        <f>'Memory Results'!$J13*0.331</f>
        <v>9034.4381250000006</v>
      </c>
      <c r="M13" s="4">
        <f>('Memory Results'!$K13+'Memory Results'!$L13)*64/1000</f>
        <v>859.28372000000002</v>
      </c>
      <c r="N13" s="5">
        <f>('Memory Results'!$G13-'Memory Results'!$K13)/'Memory Results'!$G13</f>
        <v>0.51</v>
      </c>
      <c r="O13" s="5">
        <f>('Memory Results'!$J13-'Memory Results'!$L13)/'Memory Results'!$J13</f>
        <v>0.66899999999999993</v>
      </c>
      <c r="P13" s="2">
        <f>__Anonymous_Sheet_DB__03[[#This Row],[Column4]]*45%</f>
        <v>1044.2124000000001</v>
      </c>
      <c r="Q13" s="4">
        <f>__Anonymous_Sheet_DB__03[[#This Row],[Column11]]+__Anonymous_Sheet_DB__03[[#This Row],[Column12]]</f>
        <v>13426.308125</v>
      </c>
      <c r="R13" s="4">
        <f>__Anonymous_Sheet_DB__03[[#This Row],[Column7]]+__Anonymous_Sheet_DB__03[[#This Row],[Column10]]</f>
        <v>36257.375</v>
      </c>
      <c r="S13" s="33">
        <f>(1-__Anonymous_Sheet_DB__03[[#This Row],[Column1025]]/__Anonymous_Sheet_DB__03[[#This Row],[Column17]])</f>
        <v>0.62969442423782751</v>
      </c>
    </row>
    <row r="14" spans="1:19">
      <c r="A14" t="s">
        <v>6</v>
      </c>
      <c r="B14" t="s">
        <v>19</v>
      </c>
      <c r="C14">
        <v>2322448</v>
      </c>
      <c r="D14">
        <f t="shared" si="0"/>
        <v>2322.4479999999999</v>
      </c>
      <c r="E14">
        <v>242</v>
      </c>
      <c r="F14">
        <v>1864</v>
      </c>
      <c r="G14">
        <v>8975</v>
      </c>
      <c r="H14">
        <f>'Memory Results'!$G14*64</f>
        <v>574400</v>
      </c>
      <c r="I14">
        <f>'Memory Results'!$C14-'Memory Results'!$H14</f>
        <v>1748048</v>
      </c>
      <c r="J14" s="4">
        <f>'Memory Results'!$I14/64</f>
        <v>27313.25</v>
      </c>
      <c r="K14" s="4">
        <f>'Memory Results'!$G14*0.58</f>
        <v>5205.5</v>
      </c>
      <c r="L14" s="4">
        <f>'Memory Results'!$J14*0.32</f>
        <v>8740.24</v>
      </c>
      <c r="M14" s="4">
        <f>('Memory Results'!$K14+'Memory Results'!$L14)*64/1000</f>
        <v>892.52735999999993</v>
      </c>
      <c r="N14" s="5">
        <f>('Memory Results'!$G14-'Memory Results'!$K14)/'Memory Results'!$G14</f>
        <v>0.42</v>
      </c>
      <c r="O14" s="5">
        <f>('Memory Results'!$J14-'Memory Results'!$L14)/'Memory Results'!$J14</f>
        <v>0.68</v>
      </c>
      <c r="P14" s="2">
        <f>__Anonymous_Sheet_DB__03[[#This Row],[Column4]]*45%</f>
        <v>1045.1016</v>
      </c>
      <c r="Q14" s="4">
        <f>__Anonymous_Sheet_DB__03[[#This Row],[Column11]]+__Anonymous_Sheet_DB__03[[#This Row],[Column12]]</f>
        <v>13945.74</v>
      </c>
      <c r="R14" s="4">
        <f>__Anonymous_Sheet_DB__03[[#This Row],[Column7]]+__Anonymous_Sheet_DB__03[[#This Row],[Column10]]</f>
        <v>36288.25</v>
      </c>
      <c r="S14" s="33">
        <f>(1-__Anonymous_Sheet_DB__03[[#This Row],[Column1025]]/__Anonymous_Sheet_DB__03[[#This Row],[Column17]])</f>
        <v>0.61569543860616038</v>
      </c>
    </row>
    <row r="15" spans="1:19">
      <c r="A15" t="s">
        <v>6</v>
      </c>
      <c r="B15" t="s">
        <v>20</v>
      </c>
      <c r="C15">
        <v>2324552</v>
      </c>
      <c r="D15">
        <f t="shared" si="0"/>
        <v>2324.5520000000001</v>
      </c>
      <c r="E15">
        <v>242</v>
      </c>
      <c r="F15">
        <v>1821</v>
      </c>
      <c r="G15">
        <v>9023</v>
      </c>
      <c r="H15">
        <f>'Memory Results'!$G15*64</f>
        <v>577472</v>
      </c>
      <c r="I15">
        <f>'Memory Results'!$C15-'Memory Results'!$H15</f>
        <v>1747080</v>
      </c>
      <c r="J15" s="4">
        <f>'Memory Results'!$I15/64</f>
        <v>27298.125</v>
      </c>
      <c r="K15" s="4">
        <f>'Memory Results'!$G15*0.58</f>
        <v>5233.3399999999992</v>
      </c>
      <c r="L15" s="4">
        <f>'Memory Results'!$J15*0.4</f>
        <v>10919.25</v>
      </c>
      <c r="M15" s="4">
        <f>('Memory Results'!$K15+'Memory Results'!$L15)*64/1000</f>
        <v>1033.76576</v>
      </c>
      <c r="N15" s="5">
        <f>('Memory Results'!$G15-'Memory Results'!$K15)/'Memory Results'!$G15</f>
        <v>0.4200000000000001</v>
      </c>
      <c r="O15" s="5">
        <f>('Memory Results'!$J15-'Memory Results'!$L15)/'Memory Results'!$J15</f>
        <v>0.6</v>
      </c>
      <c r="P15" s="2">
        <f>__Anonymous_Sheet_DB__03[[#This Row],[Column4]]*45%</f>
        <v>1046.0484000000001</v>
      </c>
      <c r="Q15" s="4">
        <f>__Anonymous_Sheet_DB__03[[#This Row],[Column11]]+__Anonymous_Sheet_DB__03[[#This Row],[Column12]]</f>
        <v>16152.59</v>
      </c>
      <c r="R15" s="4">
        <f>__Anonymous_Sheet_DB__03[[#This Row],[Column7]]+__Anonymous_Sheet_DB__03[[#This Row],[Column10]]</f>
        <v>36321.125</v>
      </c>
      <c r="S15" s="33">
        <f>(1-__Anonymous_Sheet_DB__03[[#This Row],[Column1025]]/__Anonymous_Sheet_DB__03[[#This Row],[Column17]])</f>
        <v>0.55528387405401125</v>
      </c>
    </row>
    <row r="16" spans="1:19">
      <c r="A16" t="s">
        <v>6</v>
      </c>
      <c r="B16" t="s">
        <v>21</v>
      </c>
      <c r="C16">
        <v>3664224</v>
      </c>
      <c r="D16">
        <f t="shared" si="0"/>
        <v>3664.2240000000002</v>
      </c>
      <c r="E16">
        <v>334</v>
      </c>
      <c r="F16">
        <v>1876</v>
      </c>
      <c r="G16">
        <v>14433</v>
      </c>
      <c r="H16">
        <f>'Memory Results'!$G16*64</f>
        <v>923712</v>
      </c>
      <c r="I16">
        <f>'Memory Results'!$C16-'Memory Results'!$H16</f>
        <v>2740512</v>
      </c>
      <c r="J16" s="4">
        <f>'Memory Results'!$I16/64</f>
        <v>42820.5</v>
      </c>
      <c r="K16" s="4">
        <f>'Memory Results'!$G16*0.47</f>
        <v>6783.5099999999993</v>
      </c>
      <c r="L16" s="4">
        <f>'Memory Results'!$J16*0.4</f>
        <v>17128.2</v>
      </c>
      <c r="M16" s="4">
        <f>('Memory Results'!$K16+'Memory Results'!$L16)*64/1000</f>
        <v>1530.34944</v>
      </c>
      <c r="N16" s="5">
        <f>('Memory Results'!$G16-'Memory Results'!$K16)/'Memory Results'!$G16</f>
        <v>0.53</v>
      </c>
      <c r="O16" s="5">
        <f>('Memory Results'!$J16-'Memory Results'!$L16)/'Memory Results'!$J16</f>
        <v>0.6</v>
      </c>
      <c r="P16" s="2">
        <f>__Anonymous_Sheet_DB__03[[#This Row],[Column4]]*45%</f>
        <v>1648.9008000000001</v>
      </c>
      <c r="Q16" s="4">
        <f>__Anonymous_Sheet_DB__03[[#This Row],[Column11]]+__Anonymous_Sheet_DB__03[[#This Row],[Column12]]</f>
        <v>23911.71</v>
      </c>
      <c r="R16" s="4">
        <f>__Anonymous_Sheet_DB__03[[#This Row],[Column7]]+__Anonymous_Sheet_DB__03[[#This Row],[Column10]]</f>
        <v>57253.5</v>
      </c>
      <c r="S16" s="33">
        <f>(1-__Anonymous_Sheet_DB__03[[#This Row],[Column1025]]/__Anonymous_Sheet_DB__03[[#This Row],[Column17]])</f>
        <v>0.58235374256595662</v>
      </c>
    </row>
    <row r="17" spans="1:19">
      <c r="A17" t="s">
        <v>6</v>
      </c>
      <c r="B17" t="s">
        <v>22</v>
      </c>
      <c r="C17">
        <v>3665272</v>
      </c>
      <c r="D17">
        <f t="shared" si="0"/>
        <v>3665.2719999999999</v>
      </c>
      <c r="E17">
        <v>334</v>
      </c>
      <c r="F17">
        <v>1634</v>
      </c>
      <c r="G17">
        <v>14433</v>
      </c>
      <c r="H17">
        <f>'Memory Results'!$G17*64</f>
        <v>923712</v>
      </c>
      <c r="I17">
        <f>'Memory Results'!$C17-'Memory Results'!$H17</f>
        <v>2741560</v>
      </c>
      <c r="J17" s="4">
        <f>'Memory Results'!$I17/64</f>
        <v>42836.875</v>
      </c>
      <c r="K17" s="4">
        <f>'Memory Results'!$G17/2.2</f>
        <v>6560.454545454545</v>
      </c>
      <c r="L17" s="4">
        <f>'Memory Results'!$J17/2.6</f>
        <v>16475.721153846152</v>
      </c>
      <c r="M17" s="4">
        <f>('Memory Results'!$K17+'Memory Results'!$L17)*64/1000</f>
        <v>1474.3152447552445</v>
      </c>
      <c r="N17" s="5">
        <f>('Memory Results'!$G17-'Memory Results'!$K17)/'Memory Results'!$G17</f>
        <v>0.54545454545454553</v>
      </c>
      <c r="O17" s="5">
        <f>('Memory Results'!$J17-'Memory Results'!$L17)/'Memory Results'!$J17</f>
        <v>0.61538461538461542</v>
      </c>
      <c r="P17" s="2">
        <f>__Anonymous_Sheet_DB__03[[#This Row],[Column4]]*45%</f>
        <v>1649.3724</v>
      </c>
      <c r="Q17" s="4">
        <f>__Anonymous_Sheet_DB__03[[#This Row],[Column11]]+__Anonymous_Sheet_DB__03[[#This Row],[Column12]]</f>
        <v>23036.175699300697</v>
      </c>
      <c r="R17" s="4">
        <f>__Anonymous_Sheet_DB__03[[#This Row],[Column7]]+__Anonymous_Sheet_DB__03[[#This Row],[Column10]]</f>
        <v>57269.875</v>
      </c>
      <c r="S17" s="33">
        <f>(1-__Anonymous_Sheet_DB__03[[#This Row],[Column1025]]/__Anonymous_Sheet_DB__03[[#This Row],[Column17]])</f>
        <v>0.59776102707923329</v>
      </c>
    </row>
    <row r="18" spans="1:19">
      <c r="A18" t="s">
        <v>6</v>
      </c>
      <c r="B18" t="s">
        <v>23</v>
      </c>
      <c r="C18">
        <v>3662784</v>
      </c>
      <c r="D18">
        <f t="shared" si="0"/>
        <v>3662.7840000000001</v>
      </c>
      <c r="E18">
        <v>334</v>
      </c>
      <c r="F18">
        <v>1560</v>
      </c>
      <c r="G18">
        <v>14433</v>
      </c>
      <c r="H18">
        <f>'Memory Results'!$G18*64</f>
        <v>923712</v>
      </c>
      <c r="I18">
        <f>'Memory Results'!$C18-'Memory Results'!$H18</f>
        <v>2739072</v>
      </c>
      <c r="J18" s="4">
        <f>'Memory Results'!$I18/64</f>
        <v>42798</v>
      </c>
      <c r="K18" s="4">
        <f>'Memory Results'!$G18/1.98</f>
        <v>7289.393939393939</v>
      </c>
      <c r="L18" s="4">
        <f>'Memory Results'!$J18*0.4</f>
        <v>17119.2</v>
      </c>
      <c r="M18" s="4">
        <f>('Memory Results'!$K18+'Memory Results'!$L18)*64/1000</f>
        <v>1562.1500121212123</v>
      </c>
      <c r="N18" s="5">
        <f>('Memory Results'!$G18-'Memory Results'!$K18)/'Memory Results'!$G18</f>
        <v>0.49494949494949497</v>
      </c>
      <c r="O18" s="5">
        <f>('Memory Results'!$J18-'Memory Results'!$L18)/'Memory Results'!$J18</f>
        <v>0.6</v>
      </c>
      <c r="P18" s="2">
        <f>__Anonymous_Sheet_DB__03[[#This Row],[Column4]]*45%</f>
        <v>1648.2528</v>
      </c>
      <c r="Q18" s="4">
        <f>__Anonymous_Sheet_DB__03[[#This Row],[Column11]]+__Anonymous_Sheet_DB__03[[#This Row],[Column12]]</f>
        <v>24408.593939393941</v>
      </c>
      <c r="R18" s="4">
        <f>__Anonymous_Sheet_DB__03[[#This Row],[Column7]]+__Anonymous_Sheet_DB__03[[#This Row],[Column10]]</f>
        <v>57231</v>
      </c>
      <c r="S18" s="33">
        <f>(1-__Anonymous_Sheet_DB__03[[#This Row],[Column1025]]/__Anonymous_Sheet_DB__03[[#This Row],[Column17]])</f>
        <v>0.57350747078691722</v>
      </c>
    </row>
    <row r="19" spans="1:19">
      <c r="A19" t="s">
        <v>6</v>
      </c>
      <c r="B19" t="s">
        <v>24</v>
      </c>
      <c r="C19">
        <v>3662680</v>
      </c>
      <c r="D19">
        <f t="shared" si="0"/>
        <v>3662.68</v>
      </c>
      <c r="E19">
        <v>334</v>
      </c>
      <c r="F19">
        <v>1750</v>
      </c>
      <c r="G19">
        <v>14433</v>
      </c>
      <c r="H19">
        <f>'Memory Results'!$G19*64</f>
        <v>923712</v>
      </c>
      <c r="I19">
        <f>'Memory Results'!$C19-'Memory Results'!$H19</f>
        <v>2738968</v>
      </c>
      <c r="J19" s="4">
        <f>'Memory Results'!$I19/64</f>
        <v>42796.375</v>
      </c>
      <c r="K19" s="4">
        <f>'Memory Results'!$G19/2.1</f>
        <v>6872.8571428571422</v>
      </c>
      <c r="L19" s="4">
        <f>'Memory Results'!$J19/2.5</f>
        <v>17118.55</v>
      </c>
      <c r="M19" s="4">
        <f>('Memory Results'!$K19+'Memory Results'!$L19)*64/1000</f>
        <v>1535.4500571428571</v>
      </c>
      <c r="N19" s="5">
        <f>('Memory Results'!$G19-'Memory Results'!$K19)/'Memory Results'!$G19</f>
        <v>0.52380952380952384</v>
      </c>
      <c r="O19" s="5">
        <f>('Memory Results'!$J19-'Memory Results'!$L19)/'Memory Results'!$J19</f>
        <v>0.6</v>
      </c>
      <c r="P19" s="2">
        <f>__Anonymous_Sheet_DB__03[[#This Row],[Column4]]*45%</f>
        <v>1648.2059999999999</v>
      </c>
      <c r="Q19" s="4">
        <f>__Anonymous_Sheet_DB__03[[#This Row],[Column11]]+__Anonymous_Sheet_DB__03[[#This Row],[Column12]]</f>
        <v>23991.407142857141</v>
      </c>
      <c r="R19" s="4">
        <f>__Anonymous_Sheet_DB__03[[#This Row],[Column7]]+__Anonymous_Sheet_DB__03[[#This Row],[Column10]]</f>
        <v>57229.375</v>
      </c>
      <c r="S19" s="33">
        <f>(1-__Anonymous_Sheet_DB__03[[#This Row],[Column1025]]/__Anonymous_Sheet_DB__03[[#This Row],[Column17]])</f>
        <v>0.58078509257077959</v>
      </c>
    </row>
    <row r="20" spans="1:19">
      <c r="A20" t="s">
        <v>6</v>
      </c>
      <c r="B20" t="s">
        <v>25</v>
      </c>
      <c r="C20">
        <v>3591096</v>
      </c>
      <c r="D20">
        <f t="shared" si="0"/>
        <v>3591.096</v>
      </c>
      <c r="E20">
        <v>331</v>
      </c>
      <c r="F20">
        <v>1528</v>
      </c>
      <c r="G20">
        <v>14003</v>
      </c>
      <c r="H20">
        <f>'Memory Results'!$G20*64</f>
        <v>896192</v>
      </c>
      <c r="I20">
        <f>'Memory Results'!$C20-'Memory Results'!$H20</f>
        <v>2694904</v>
      </c>
      <c r="J20" s="4">
        <f>'Memory Results'!$I20/64</f>
        <v>42107.875</v>
      </c>
      <c r="K20" s="4">
        <f>'Memory Results'!$G20*0.461</f>
        <v>6455.3830000000007</v>
      </c>
      <c r="L20" s="4">
        <f>'Memory Results'!$J20*0.302</f>
        <v>12716.57825</v>
      </c>
      <c r="M20" s="4">
        <f>('Memory Results'!$K20+'Memory Results'!$L20)*64/1000</f>
        <v>1227.0055199999999</v>
      </c>
      <c r="N20" s="5">
        <f>('Memory Results'!$G20-'Memory Results'!$K20)/'Memory Results'!$G20</f>
        <v>0.53899999999999992</v>
      </c>
      <c r="O20" s="5">
        <f>('Memory Results'!$J20-'Memory Results'!$L20)/'Memory Results'!$J20</f>
        <v>0.69800000000000006</v>
      </c>
      <c r="P20" s="2">
        <f>__Anonymous_Sheet_DB__03[[#This Row],[Column4]]*45%</f>
        <v>1615.9932000000001</v>
      </c>
      <c r="Q20" s="4">
        <f>__Anonymous_Sheet_DB__03[[#This Row],[Column11]]+__Anonymous_Sheet_DB__03[[#This Row],[Column12]]</f>
        <v>19171.96125</v>
      </c>
      <c r="R20" s="4">
        <f>__Anonymous_Sheet_DB__03[[#This Row],[Column7]]+__Anonymous_Sheet_DB__03[[#This Row],[Column10]]</f>
        <v>56110.875</v>
      </c>
      <c r="S20" s="33">
        <f>(1-__Anonymous_Sheet_DB__03[[#This Row],[Column1025]]/__Anonymous_Sheet_DB__03[[#This Row],[Column17]])</f>
        <v>0.65832004491108009</v>
      </c>
    </row>
    <row r="21" spans="1:19">
      <c r="A21" t="s">
        <v>6</v>
      </c>
      <c r="B21" t="s">
        <v>26</v>
      </c>
      <c r="C21">
        <v>3592496</v>
      </c>
      <c r="D21">
        <f t="shared" si="0"/>
        <v>3592.4960000000001</v>
      </c>
      <c r="E21">
        <v>331</v>
      </c>
      <c r="F21">
        <v>1652</v>
      </c>
      <c r="G21">
        <v>14003</v>
      </c>
      <c r="H21">
        <f>'Memory Results'!$G21*64</f>
        <v>896192</v>
      </c>
      <c r="I21">
        <f>'Memory Results'!$C21-'Memory Results'!$H21</f>
        <v>2696304</v>
      </c>
      <c r="J21" s="4">
        <f>'Memory Results'!$I21/64</f>
        <v>42129.75</v>
      </c>
      <c r="K21" s="4">
        <f>'Memory Results'!$G21*0.58</f>
        <v>8121.74</v>
      </c>
      <c r="L21" s="4">
        <f>'Memory Results'!$J21*0.4</f>
        <v>16851.900000000001</v>
      </c>
      <c r="M21" s="4">
        <f>('Memory Results'!$K21+'Memory Results'!$L21)*64/1000</f>
        <v>1598.31296</v>
      </c>
      <c r="N21" s="5">
        <v>0.53</v>
      </c>
      <c r="O21" s="5">
        <f>('Memory Results'!$J21-'Memory Results'!$L21)/'Memory Results'!$J21</f>
        <v>0.6</v>
      </c>
      <c r="P21" s="2">
        <f>__Anonymous_Sheet_DB__03[[#This Row],[Column4]]*45%</f>
        <v>1616.6232</v>
      </c>
      <c r="Q21" s="4">
        <f>__Anonymous_Sheet_DB__03[[#This Row],[Column11]]+__Anonymous_Sheet_DB__03[[#This Row],[Column12]]</f>
        <v>24973.64</v>
      </c>
      <c r="R21" s="4">
        <f>__Anonymous_Sheet_DB__03[[#This Row],[Column7]]+__Anonymous_Sheet_DB__03[[#This Row],[Column10]]</f>
        <v>56132.75</v>
      </c>
      <c r="S21" s="33">
        <f>(1-__Anonymous_Sheet_DB__03[[#This Row],[Column1025]]/__Anonymous_Sheet_DB__03[[#This Row],[Column17]])</f>
        <v>0.55509680177792831</v>
      </c>
    </row>
    <row r="22" spans="1:19">
      <c r="A22" t="s">
        <v>6</v>
      </c>
      <c r="B22" t="s">
        <v>27</v>
      </c>
      <c r="C22">
        <v>3590336</v>
      </c>
      <c r="D22">
        <f t="shared" si="0"/>
        <v>3590.3359999999998</v>
      </c>
      <c r="E22">
        <v>331</v>
      </c>
      <c r="F22">
        <v>1296</v>
      </c>
      <c r="G22">
        <v>14004</v>
      </c>
      <c r="H22">
        <f>'Memory Results'!$G22*64</f>
        <v>896256</v>
      </c>
      <c r="I22">
        <f>'Memory Results'!$C22-'Memory Results'!$H22</f>
        <v>2694080</v>
      </c>
      <c r="J22" s="4">
        <f>'Memory Results'!$I22/64</f>
        <v>42095</v>
      </c>
      <c r="K22" s="4">
        <f>'Memory Results'!$G22*0.58</f>
        <v>8122.32</v>
      </c>
      <c r="L22" s="4">
        <f>'Memory Results'!$J22*0.4</f>
        <v>16838</v>
      </c>
      <c r="M22" s="4">
        <f>('Memory Results'!$K22+'Memory Results'!$L22)*64/1000</f>
        <v>1597.46048</v>
      </c>
      <c r="N22" s="5">
        <v>0.55000000000000004</v>
      </c>
      <c r="O22" s="5">
        <f>('Memory Results'!$J22-'Memory Results'!$L22)/'Memory Results'!$J22</f>
        <v>0.6</v>
      </c>
      <c r="P22" s="2">
        <f>__Anonymous_Sheet_DB__03[[#This Row],[Column4]]*45%</f>
        <v>1615.6512</v>
      </c>
      <c r="Q22" s="4">
        <f>__Anonymous_Sheet_DB__03[[#This Row],[Column11]]+__Anonymous_Sheet_DB__03[[#This Row],[Column12]]</f>
        <v>24960.32</v>
      </c>
      <c r="R22" s="4">
        <f>__Anonymous_Sheet_DB__03[[#This Row],[Column7]]+__Anonymous_Sheet_DB__03[[#This Row],[Column10]]</f>
        <v>56099</v>
      </c>
      <c r="S22" s="33">
        <f>(1-__Anonymous_Sheet_DB__03[[#This Row],[Column1025]]/__Anonymous_Sheet_DB__03[[#This Row],[Column17]])</f>
        <v>0.55506657872689358</v>
      </c>
    </row>
    <row r="23" spans="1:19">
      <c r="A23" t="s">
        <v>6</v>
      </c>
      <c r="B23" t="s">
        <v>28</v>
      </c>
      <c r="C23">
        <v>3593384</v>
      </c>
      <c r="D23">
        <f t="shared" si="0"/>
        <v>3593.384</v>
      </c>
      <c r="E23">
        <v>331</v>
      </c>
      <c r="F23">
        <v>1296</v>
      </c>
      <c r="G23">
        <v>14003</v>
      </c>
      <c r="H23">
        <f>'Memory Results'!$G23*64</f>
        <v>896192</v>
      </c>
      <c r="I23">
        <f>'Memory Results'!$C23-'Memory Results'!$H23</f>
        <v>2697192</v>
      </c>
      <c r="J23" s="4">
        <f>'Memory Results'!$I23/64</f>
        <v>42143.625</v>
      </c>
      <c r="K23" s="4">
        <f>'Memory Results'!$G23*0.58</f>
        <v>8121.74</v>
      </c>
      <c r="L23" s="4">
        <f>'Memory Results'!$J23*0.4</f>
        <v>16857.45</v>
      </c>
      <c r="M23" s="4">
        <f>('Memory Results'!$K23+'Memory Results'!$L23)*64/1000</f>
        <v>1598.6681600000002</v>
      </c>
      <c r="N23" s="5">
        <v>0.51</v>
      </c>
      <c r="O23" s="5">
        <f>('Memory Results'!$J23-'Memory Results'!$L23)/'Memory Results'!$J23</f>
        <v>0.6</v>
      </c>
      <c r="P23" s="2">
        <f>__Anonymous_Sheet_DB__03[[#This Row],[Column4]]*45%</f>
        <v>1617.0228</v>
      </c>
      <c r="Q23" s="4">
        <f>__Anonymous_Sheet_DB__03[[#This Row],[Column11]]+__Anonymous_Sheet_DB__03[[#This Row],[Column12]]</f>
        <v>24979.190000000002</v>
      </c>
      <c r="R23" s="4">
        <f>__Anonymous_Sheet_DB__03[[#This Row],[Column7]]+__Anonymous_Sheet_DB__03[[#This Row],[Column10]]</f>
        <v>56146.625</v>
      </c>
      <c r="S23" s="33">
        <f>(1-__Anonymous_Sheet_DB__03[[#This Row],[Column1025]]/__Anonymous_Sheet_DB__03[[#This Row],[Column17]])</f>
        <v>0.55510789829308527</v>
      </c>
    </row>
    <row r="24" spans="1:19">
      <c r="A24" t="s">
        <v>6</v>
      </c>
      <c r="B24" t="s">
        <v>29</v>
      </c>
      <c r="C24">
        <v>1911400</v>
      </c>
      <c r="D24">
        <f t="shared" si="0"/>
        <v>1911.4</v>
      </c>
      <c r="E24">
        <v>212</v>
      </c>
      <c r="F24">
        <v>2507</v>
      </c>
      <c r="G24">
        <v>7537</v>
      </c>
      <c r="H24">
        <f>'Memory Results'!$G24*64</f>
        <v>482368</v>
      </c>
      <c r="I24">
        <f>'Memory Results'!$C24-'Memory Results'!$H24</f>
        <v>1429032</v>
      </c>
      <c r="J24" s="4">
        <f>'Memory Results'!$I24/64</f>
        <v>22328.625</v>
      </c>
      <c r="K24" s="4">
        <f>'Memory Results'!$G24*0.55</f>
        <v>4145.3500000000004</v>
      </c>
      <c r="L24" s="4">
        <f>'Memory Results'!$J24*0.31</f>
        <v>6921.8737499999997</v>
      </c>
      <c r="M24" s="4">
        <f>('Memory Results'!$K24+'Memory Results'!$L24)*64/1000</f>
        <v>708.30232000000001</v>
      </c>
      <c r="N24" s="5">
        <v>0.47</v>
      </c>
      <c r="O24" s="5">
        <f>('Memory Results'!$J24-'Memory Results'!$L24)/'Memory Results'!$J24</f>
        <v>0.69000000000000006</v>
      </c>
      <c r="P24" s="2">
        <f>__Anonymous_Sheet_DB__03[[#This Row],[Column4]]*45%</f>
        <v>860.13000000000011</v>
      </c>
      <c r="Q24" s="4">
        <f>__Anonymous_Sheet_DB__03[[#This Row],[Column11]]+__Anonymous_Sheet_DB__03[[#This Row],[Column12]]</f>
        <v>11067.223750000001</v>
      </c>
      <c r="R24" s="4">
        <f>__Anonymous_Sheet_DB__03[[#This Row],[Column7]]+__Anonymous_Sheet_DB__03[[#This Row],[Column10]]</f>
        <v>29865.625</v>
      </c>
      <c r="S24" s="33">
        <f>(1-__Anonymous_Sheet_DB__03[[#This Row],[Column1025]]/__Anonymous_Sheet_DB__03[[#This Row],[Column17]])</f>
        <v>0.6294327090091032</v>
      </c>
    </row>
    <row r="25" spans="1:19">
      <c r="A25" t="s">
        <v>6</v>
      </c>
      <c r="B25" t="s">
        <v>30</v>
      </c>
      <c r="C25">
        <v>1996392</v>
      </c>
      <c r="D25">
        <f t="shared" si="0"/>
        <v>1996.3920000000001</v>
      </c>
      <c r="E25">
        <v>222</v>
      </c>
      <c r="F25">
        <v>2507</v>
      </c>
      <c r="G25">
        <v>7797</v>
      </c>
      <c r="H25">
        <f>'Memory Results'!$G25*64</f>
        <v>499008</v>
      </c>
      <c r="I25">
        <f>'Memory Results'!$C25-'Memory Results'!$H25</f>
        <v>1497384</v>
      </c>
      <c r="J25" s="4">
        <f>'Memory Results'!$I25/64</f>
        <v>23396.625</v>
      </c>
      <c r="K25" s="4">
        <f>'Memory Results'!$G25*0.58</f>
        <v>4522.2599999999993</v>
      </c>
      <c r="L25" s="4">
        <f>'Memory Results'!$J25*0.4</f>
        <v>9358.65</v>
      </c>
      <c r="M25" s="4">
        <f>('Memory Results'!$K25+'Memory Results'!$L25)*64/1000</f>
        <v>888.37824000000001</v>
      </c>
      <c r="N25" s="5">
        <v>0.48</v>
      </c>
      <c r="O25" s="5">
        <f>('Memory Results'!$J25-'Memory Results'!$L25)/'Memory Results'!$J25</f>
        <v>0.6</v>
      </c>
      <c r="P25" s="2">
        <f>__Anonymous_Sheet_DB__03[[#This Row],[Column4]]*45%</f>
        <v>898.37639999999999</v>
      </c>
      <c r="Q25" s="4">
        <f>__Anonymous_Sheet_DB__03[[#This Row],[Column11]]+__Anonymous_Sheet_DB__03[[#This Row],[Column12]]</f>
        <v>13880.91</v>
      </c>
      <c r="R25" s="4">
        <f>__Anonymous_Sheet_DB__03[[#This Row],[Column7]]+__Anonymous_Sheet_DB__03[[#This Row],[Column10]]</f>
        <v>31193.625</v>
      </c>
      <c r="S25" s="33">
        <f>(1-__Anonymous_Sheet_DB__03[[#This Row],[Column1025]]/__Anonymous_Sheet_DB__03[[#This Row],[Column17]])</f>
        <v>0.55500811463880839</v>
      </c>
    </row>
    <row r="26" spans="1:19">
      <c r="A26" t="s">
        <v>6</v>
      </c>
      <c r="B26" t="s">
        <v>31</v>
      </c>
      <c r="C26">
        <v>1767480</v>
      </c>
      <c r="D26">
        <f t="shared" si="0"/>
        <v>1767.48</v>
      </c>
      <c r="E26">
        <v>205</v>
      </c>
      <c r="F26">
        <v>2504</v>
      </c>
      <c r="G26">
        <v>7177</v>
      </c>
      <c r="H26">
        <f>'Memory Results'!$G26*64</f>
        <v>459328</v>
      </c>
      <c r="I26">
        <f>'Memory Results'!$C26-'Memory Results'!$H26</f>
        <v>1308152</v>
      </c>
      <c r="J26" s="4">
        <f>'Memory Results'!$I26/64</f>
        <v>20439.875</v>
      </c>
      <c r="K26" s="4">
        <f>'Memory Results'!$G26*0.58</f>
        <v>4162.66</v>
      </c>
      <c r="L26" s="4">
        <f>'Memory Results'!$J26*0.4</f>
        <v>8175.9500000000007</v>
      </c>
      <c r="M26" s="4">
        <f>('Memory Results'!$K26+'Memory Results'!$L26)*64/1000</f>
        <v>789.67104000000006</v>
      </c>
      <c r="N26" s="5">
        <v>0.42</v>
      </c>
      <c r="O26" s="5">
        <f>('Memory Results'!$J26-'Memory Results'!$L26)/'Memory Results'!$J26</f>
        <v>0.6</v>
      </c>
      <c r="P26" s="2">
        <f>__Anonymous_Sheet_DB__03[[#This Row],[Column4]]*45%</f>
        <v>795.36599999999999</v>
      </c>
      <c r="Q26" s="4">
        <f>__Anonymous_Sheet_DB__03[[#This Row],[Column11]]+__Anonymous_Sheet_DB__03[[#This Row],[Column12]]</f>
        <v>12338.61</v>
      </c>
      <c r="R26" s="4">
        <f>__Anonymous_Sheet_DB__03[[#This Row],[Column7]]+__Anonymous_Sheet_DB__03[[#This Row],[Column10]]</f>
        <v>27616.875</v>
      </c>
      <c r="S26" s="33">
        <f>(1-__Anonymous_Sheet_DB__03[[#This Row],[Column1025]]/__Anonymous_Sheet_DB__03[[#This Row],[Column17]])</f>
        <v>0.55322207889198172</v>
      </c>
    </row>
    <row r="27" spans="1:19">
      <c r="A27" t="s">
        <v>6</v>
      </c>
      <c r="B27" t="s">
        <v>32</v>
      </c>
      <c r="C27">
        <v>1835928</v>
      </c>
      <c r="D27">
        <f t="shared" si="0"/>
        <v>1835.9280000000001</v>
      </c>
      <c r="E27">
        <v>205</v>
      </c>
      <c r="F27">
        <v>2612</v>
      </c>
      <c r="G27">
        <v>7320</v>
      </c>
      <c r="H27">
        <f>'Memory Results'!$G27*64</f>
        <v>468480</v>
      </c>
      <c r="I27">
        <f>'Memory Results'!$C27-'Memory Results'!$H27</f>
        <v>1367448</v>
      </c>
      <c r="J27" s="4">
        <f>'Memory Results'!$I27/64</f>
        <v>21366.375</v>
      </c>
      <c r="K27" s="4">
        <f>'Memory Results'!$G27*0.58</f>
        <v>4245.5999999999995</v>
      </c>
      <c r="L27" s="4">
        <f>'Memory Results'!$J27*0.4</f>
        <v>8546.5500000000011</v>
      </c>
      <c r="M27" s="4">
        <f>('Memory Results'!$K27+'Memory Results'!$L27)*64/1000</f>
        <v>818.69760000000008</v>
      </c>
      <c r="N27" s="5">
        <v>0.43</v>
      </c>
      <c r="O27" s="5">
        <f>('Memory Results'!$J27-'Memory Results'!$L27)/'Memory Results'!$J27</f>
        <v>0.6</v>
      </c>
      <c r="P27" s="2">
        <f>__Anonymous_Sheet_DB__03[[#This Row],[Column4]]*45%</f>
        <v>826.16760000000011</v>
      </c>
      <c r="Q27" s="4">
        <f>__Anonymous_Sheet_DB__03[[#This Row],[Column11]]+__Anonymous_Sheet_DB__03[[#This Row],[Column12]]</f>
        <v>12792.150000000001</v>
      </c>
      <c r="R27" s="4">
        <f>__Anonymous_Sheet_DB__03[[#This Row],[Column7]]+__Anonymous_Sheet_DB__03[[#This Row],[Column10]]</f>
        <v>28686.375</v>
      </c>
      <c r="S27" s="33">
        <f>(1-__Anonymous_Sheet_DB__03[[#This Row],[Column1025]]/__Anonymous_Sheet_DB__03[[#This Row],[Column17]])</f>
        <v>0.55406878701125528</v>
      </c>
    </row>
    <row r="28" spans="1:19">
      <c r="A28" t="s">
        <v>6</v>
      </c>
      <c r="B28" t="s">
        <v>33</v>
      </c>
      <c r="C28">
        <v>1912768</v>
      </c>
      <c r="D28">
        <f t="shared" si="0"/>
        <v>1912.768</v>
      </c>
      <c r="E28">
        <v>212</v>
      </c>
      <c r="F28">
        <v>2497</v>
      </c>
      <c r="G28">
        <v>7585</v>
      </c>
      <c r="H28">
        <f>'Memory Results'!$G28*64</f>
        <v>485440</v>
      </c>
      <c r="I28">
        <f>'Memory Results'!$C28-'Memory Results'!$H28</f>
        <v>1427328</v>
      </c>
      <c r="J28" s="4">
        <f>'Memory Results'!$I28/64</f>
        <v>22302</v>
      </c>
      <c r="K28" s="4">
        <f>'Memory Results'!$G28/1.7</f>
        <v>4461.7647058823532</v>
      </c>
      <c r="L28" s="4">
        <f>'Memory Results'!$J28/2.2</f>
        <v>10137.272727272726</v>
      </c>
      <c r="M28" s="4">
        <f>('Memory Results'!$K28+'Memory Results'!$L28)*64/1000</f>
        <v>934.33839572192505</v>
      </c>
      <c r="N28" s="5">
        <f>('Memory Results'!$G28-'Memory Results'!$K28)/'Memory Results'!$G28</f>
        <v>0.41176470588235292</v>
      </c>
      <c r="O28" s="5">
        <f>('Memory Results'!$J28-'Memory Results'!$L28)/'Memory Results'!$J28</f>
        <v>0.54545454545454553</v>
      </c>
      <c r="P28" s="2">
        <f>__Anonymous_Sheet_DB__03[[#This Row],[Column4]]*45%</f>
        <v>860.74560000000008</v>
      </c>
      <c r="Q28" s="4">
        <f>__Anonymous_Sheet_DB__03[[#This Row],[Column11]]+__Anonymous_Sheet_DB__03[[#This Row],[Column12]]</f>
        <v>14599.037433155079</v>
      </c>
      <c r="R28" s="4">
        <f>__Anonymous_Sheet_DB__03[[#This Row],[Column7]]+__Anonymous_Sheet_DB__03[[#This Row],[Column10]]</f>
        <v>29887</v>
      </c>
      <c r="S28" s="33">
        <f>(1-__Anonymous_Sheet_DB__03[[#This Row],[Column1025]]/__Anonymous_Sheet_DB__03[[#This Row],[Column17]])</f>
        <v>0.51152549827165394</v>
      </c>
    </row>
    <row r="29" spans="1:19">
      <c r="A29" t="s">
        <v>6</v>
      </c>
      <c r="B29" t="s">
        <v>34</v>
      </c>
      <c r="C29">
        <v>1995680</v>
      </c>
      <c r="D29">
        <f t="shared" si="0"/>
        <v>1995.68</v>
      </c>
      <c r="E29">
        <v>222</v>
      </c>
      <c r="F29">
        <v>2530</v>
      </c>
      <c r="G29">
        <v>7737</v>
      </c>
      <c r="H29">
        <f>'Memory Results'!$G29*64</f>
        <v>495168</v>
      </c>
      <c r="I29">
        <f>'Memory Results'!$C29-'Memory Results'!$H29</f>
        <v>1500512</v>
      </c>
      <c r="J29" s="4">
        <f>'Memory Results'!$I29/64</f>
        <v>23445.5</v>
      </c>
      <c r="K29" s="4">
        <f>'Memory Results'!$G29/1.7</f>
        <v>4551.1764705882351</v>
      </c>
      <c r="L29" s="4">
        <f>'Memory Results'!$J29/2.3</f>
        <v>10193.695652173914</v>
      </c>
      <c r="M29" s="4">
        <f>('Memory Results'!$K29+'Memory Results'!$L29)*64/1000</f>
        <v>943.67181585677758</v>
      </c>
      <c r="N29" s="5">
        <f>('Memory Results'!$G29-'Memory Results'!$K29)/'Memory Results'!$G29</f>
        <v>0.41176470588235298</v>
      </c>
      <c r="O29" s="5">
        <f>('Memory Results'!$J29-'Memory Results'!$L29)/'Memory Results'!$J29</f>
        <v>0.56521739130434778</v>
      </c>
      <c r="P29" s="2">
        <f>__Anonymous_Sheet_DB__03[[#This Row],[Column4]]*45%</f>
        <v>898.05600000000004</v>
      </c>
      <c r="Q29" s="4">
        <f>__Anonymous_Sheet_DB__03[[#This Row],[Column11]]+__Anonymous_Sheet_DB__03[[#This Row],[Column12]]</f>
        <v>14744.87212276215</v>
      </c>
      <c r="R29" s="4">
        <f>__Anonymous_Sheet_DB__03[[#This Row],[Column7]]+__Anonymous_Sheet_DB__03[[#This Row],[Column10]]</f>
        <v>31182.5</v>
      </c>
      <c r="S29" s="33">
        <f>(1-__Anonymous_Sheet_DB__03[[#This Row],[Column1025]]/__Anonymous_Sheet_DB__03[[#This Row],[Column17]])</f>
        <v>0.52714272034756193</v>
      </c>
    </row>
    <row r="30" spans="1:19">
      <c r="A30" t="s">
        <v>6</v>
      </c>
      <c r="B30" t="s">
        <v>35</v>
      </c>
      <c r="C30">
        <v>1836296</v>
      </c>
      <c r="D30">
        <f t="shared" si="0"/>
        <v>1836.296</v>
      </c>
      <c r="E30">
        <v>205</v>
      </c>
      <c r="F30">
        <v>2070</v>
      </c>
      <c r="G30">
        <v>7320</v>
      </c>
      <c r="H30">
        <f>'Memory Results'!$G30*64</f>
        <v>468480</v>
      </c>
      <c r="I30">
        <f>'Memory Results'!$C30-'Memory Results'!$H30</f>
        <v>1367816</v>
      </c>
      <c r="J30" s="4">
        <f>'Memory Results'!$I30/64</f>
        <v>21372.125</v>
      </c>
      <c r="K30" s="4">
        <f>'Memory Results'!$G30*0.58</f>
        <v>4245.5999999999995</v>
      </c>
      <c r="L30" s="4">
        <f>'Memory Results'!$J30*0.4</f>
        <v>8548.85</v>
      </c>
      <c r="M30" s="4">
        <f>('Memory Results'!$K30+'Memory Results'!$L30)*64/1000</f>
        <v>818.84480000000008</v>
      </c>
      <c r="N30" s="5">
        <f>('Memory Results'!$G30-'Memory Results'!$K30)/'Memory Results'!$G30</f>
        <v>0.4200000000000001</v>
      </c>
      <c r="O30" s="5">
        <f>('Memory Results'!$J30-'Memory Results'!$L30)/'Memory Results'!$J30</f>
        <v>0.6</v>
      </c>
      <c r="P30" s="2">
        <f>__Anonymous_Sheet_DB__03[[#This Row],[Column4]]*45%</f>
        <v>826.33320000000003</v>
      </c>
      <c r="Q30" s="4">
        <f>__Anonymous_Sheet_DB__03[[#This Row],[Column11]]+__Anonymous_Sheet_DB__03[[#This Row],[Column12]]</f>
        <v>12794.45</v>
      </c>
      <c r="R30" s="4">
        <f>__Anonymous_Sheet_DB__03[[#This Row],[Column7]]+__Anonymous_Sheet_DB__03[[#This Row],[Column10]]</f>
        <v>28692.125</v>
      </c>
      <c r="S30" s="33">
        <f>(1-__Anonymous_Sheet_DB__03[[#This Row],[Column1025]]/__Anonymous_Sheet_DB__03[[#This Row],[Column17]])</f>
        <v>0.55407799178345973</v>
      </c>
    </row>
    <row r="31" spans="1:19">
      <c r="A31" t="s">
        <v>6</v>
      </c>
      <c r="B31" t="s">
        <v>36</v>
      </c>
      <c r="C31">
        <v>1836360</v>
      </c>
      <c r="D31">
        <f t="shared" si="0"/>
        <v>1836.36</v>
      </c>
      <c r="E31">
        <v>205</v>
      </c>
      <c r="F31">
        <v>1895</v>
      </c>
      <c r="G31">
        <v>7320</v>
      </c>
      <c r="H31">
        <f>'Memory Results'!$G31*64</f>
        <v>468480</v>
      </c>
      <c r="I31">
        <f>'Memory Results'!$C31-'Memory Results'!$H31</f>
        <v>1367880</v>
      </c>
      <c r="J31" s="4">
        <f>'Memory Results'!$I31/64</f>
        <v>21373.125</v>
      </c>
      <c r="K31" s="4">
        <f>'Memory Results'!$G31*0.58</f>
        <v>4245.5999999999995</v>
      </c>
      <c r="L31" s="4">
        <f>'Memory Results'!$J31*0.4</f>
        <v>8549.25</v>
      </c>
      <c r="M31" s="4">
        <f>('Memory Results'!$K31+'Memory Results'!$L31)*64/1000</f>
        <v>818.8703999999999</v>
      </c>
      <c r="N31" s="5">
        <f>('Memory Results'!$G31-'Memory Results'!$K31)/'Memory Results'!$G31</f>
        <v>0.4200000000000001</v>
      </c>
      <c r="O31" s="5">
        <f>('Memory Results'!$J31-'Memory Results'!$L31)/'Memory Results'!$J31</f>
        <v>0.6</v>
      </c>
      <c r="P31" s="2">
        <f>__Anonymous_Sheet_DB__03[[#This Row],[Column4]]*45%</f>
        <v>826.36199999999997</v>
      </c>
      <c r="Q31" s="4">
        <f>__Anonymous_Sheet_DB__03[[#This Row],[Column11]]+__Anonymous_Sheet_DB__03[[#This Row],[Column12]]</f>
        <v>12794.849999999999</v>
      </c>
      <c r="R31" s="4">
        <f>__Anonymous_Sheet_DB__03[[#This Row],[Column7]]+__Anonymous_Sheet_DB__03[[#This Row],[Column10]]</f>
        <v>28693.125</v>
      </c>
      <c r="S31" s="33">
        <f>(1-__Anonymous_Sheet_DB__03[[#This Row],[Column1025]]/__Anonymous_Sheet_DB__03[[#This Row],[Column17]])</f>
        <v>0.55407959223681635</v>
      </c>
    </row>
    <row r="32" spans="1:19">
      <c r="A32" t="s">
        <v>6</v>
      </c>
      <c r="B32" t="s">
        <v>37</v>
      </c>
      <c r="C32">
        <v>2939216</v>
      </c>
      <c r="D32">
        <f t="shared" si="0"/>
        <v>2939.2159999999999</v>
      </c>
      <c r="E32">
        <v>280</v>
      </c>
      <c r="F32">
        <v>2497</v>
      </c>
      <c r="G32">
        <v>11558</v>
      </c>
      <c r="H32">
        <f>'Memory Results'!$G32*64</f>
        <v>739712</v>
      </c>
      <c r="I32">
        <f>'Memory Results'!$C32-'Memory Results'!$H32</f>
        <v>2199504</v>
      </c>
      <c r="J32" s="4">
        <f>'Memory Results'!$I32/64</f>
        <v>34367.25</v>
      </c>
      <c r="K32" s="4">
        <f>'Memory Results'!$G32/1.9</f>
        <v>6083.1578947368425</v>
      </c>
      <c r="L32" s="4">
        <f>'Memory Results'!$J32/2.2</f>
        <v>15621.477272727272</v>
      </c>
      <c r="M32" s="4">
        <f>('Memory Results'!$K32+'Memory Results'!$L32)*64/1000</f>
        <v>1389.0966507177034</v>
      </c>
      <c r="N32" s="5">
        <f>('Memory Results'!$G32-'Memory Results'!$K32)/'Memory Results'!$G32</f>
        <v>0.47368421052631576</v>
      </c>
      <c r="O32" s="5">
        <f>('Memory Results'!$J32-'Memory Results'!$L32)/'Memory Results'!$J32</f>
        <v>0.54545454545454553</v>
      </c>
      <c r="P32" s="2">
        <f>__Anonymous_Sheet_DB__03[[#This Row],[Column4]]*45%</f>
        <v>1322.6471999999999</v>
      </c>
      <c r="Q32" s="4">
        <f>__Anonymous_Sheet_DB__03[[#This Row],[Column11]]+__Anonymous_Sheet_DB__03[[#This Row],[Column12]]</f>
        <v>21704.635167464116</v>
      </c>
      <c r="R32" s="4">
        <f>__Anonymous_Sheet_DB__03[[#This Row],[Column7]]+__Anonymous_Sheet_DB__03[[#This Row],[Column10]]</f>
        <v>45925.25</v>
      </c>
      <c r="S32" s="33">
        <f>(1-__Anonymous_Sheet_DB__03[[#This Row],[Column1025]]/__Anonymous_Sheet_DB__03[[#This Row],[Column17]])</f>
        <v>0.52739211724565216</v>
      </c>
    </row>
    <row r="33" spans="1:1025">
      <c r="A33" t="s">
        <v>6</v>
      </c>
      <c r="B33" t="s">
        <v>38</v>
      </c>
      <c r="C33">
        <v>2956184</v>
      </c>
      <c r="D33">
        <f t="shared" si="0"/>
        <v>2956.1840000000002</v>
      </c>
      <c r="E33">
        <v>282</v>
      </c>
      <c r="F33">
        <v>2530</v>
      </c>
      <c r="G33">
        <v>11620</v>
      </c>
      <c r="H33">
        <f>'Memory Results'!$G33*64</f>
        <v>743680</v>
      </c>
      <c r="I33">
        <f>'Memory Results'!$C33-'Memory Results'!$H33</f>
        <v>2212504</v>
      </c>
      <c r="J33" s="4">
        <f>'Memory Results'!$I33/64</f>
        <v>34570.375</v>
      </c>
      <c r="K33" s="4">
        <f>'Memory Results'!$G33*0.516</f>
        <v>5995.92</v>
      </c>
      <c r="L33" s="4">
        <f>'Memory Results'!$J33*0.371</f>
        <v>12825.609124999999</v>
      </c>
      <c r="M33" s="4">
        <f>('Memory Results'!$K33+'Memory Results'!$L33)*64/1000</f>
        <v>1204.5778640000001</v>
      </c>
      <c r="N33" s="5">
        <f>('Memory Results'!$G33-'Memory Results'!$K33)/'Memory Results'!$G33</f>
        <v>0.48399999999999999</v>
      </c>
      <c r="O33" s="5">
        <f>('Memory Results'!$J33-'Memory Results'!$L33)/'Memory Results'!$J33</f>
        <v>0.629</v>
      </c>
      <c r="P33" s="2">
        <f>__Anonymous_Sheet_DB__03[[#This Row],[Column4]]*45%</f>
        <v>1330.2828000000002</v>
      </c>
      <c r="Q33" s="4">
        <f>__Anonymous_Sheet_DB__03[[#This Row],[Column11]]+__Anonymous_Sheet_DB__03[[#This Row],[Column12]]</f>
        <v>18821.529125000001</v>
      </c>
      <c r="R33" s="4">
        <f>__Anonymous_Sheet_DB__03[[#This Row],[Column7]]+__Anonymous_Sheet_DB__03[[#This Row],[Column10]]</f>
        <v>46190.375</v>
      </c>
      <c r="S33" s="33">
        <f>(1-__Anonymous_Sheet_DB__03[[#This Row],[Column1025]]/__Anonymous_Sheet_DB__03[[#This Row],[Column17]])</f>
        <v>0.59252270359355164</v>
      </c>
    </row>
    <row r="34" spans="1:1025">
      <c r="A34" t="s">
        <v>6</v>
      </c>
      <c r="B34" t="s">
        <v>39</v>
      </c>
      <c r="C34">
        <v>2699208</v>
      </c>
      <c r="D34">
        <f t="shared" si="0"/>
        <v>2699.2080000000001</v>
      </c>
      <c r="E34">
        <v>265</v>
      </c>
      <c r="F34">
        <v>1664</v>
      </c>
      <c r="G34">
        <v>10988</v>
      </c>
      <c r="H34">
        <f>'Memory Results'!$G34*64</f>
        <v>703232</v>
      </c>
      <c r="I34">
        <f>'Memory Results'!$C34-'Memory Results'!$H34</f>
        <v>1995976</v>
      </c>
      <c r="J34" s="4">
        <f>'Memory Results'!$I34/64</f>
        <v>31187.125</v>
      </c>
      <c r="K34" s="4">
        <f>'Memory Results'!$G34/1.8</f>
        <v>6104.4444444444443</v>
      </c>
      <c r="L34" s="4">
        <f>'Memory Results'!$J34/2.32</f>
        <v>13442.726293103449</v>
      </c>
      <c r="M34" s="4">
        <f>('Memory Results'!$K34+'Memory Results'!$L34)*64/1000</f>
        <v>1251.0189272030652</v>
      </c>
      <c r="N34" s="5">
        <f>('Memory Results'!$G34-'Memory Results'!$K34)/'Memory Results'!$G34</f>
        <v>0.44444444444444448</v>
      </c>
      <c r="O34" s="5">
        <f>('Memory Results'!$J34-'Memory Results'!$L34)/'Memory Results'!$J34</f>
        <v>0.56896551724137923</v>
      </c>
      <c r="P34" s="2">
        <f>__Anonymous_Sheet_DB__03[[#This Row],[Column4]]*45%</f>
        <v>1214.6436000000001</v>
      </c>
      <c r="Q34" s="4">
        <f>__Anonymous_Sheet_DB__03[[#This Row],[Column11]]+__Anonymous_Sheet_DB__03[[#This Row],[Column12]]</f>
        <v>19547.170737547895</v>
      </c>
      <c r="R34" s="4">
        <f>__Anonymous_Sheet_DB__03[[#This Row],[Column7]]+__Anonymous_Sheet_DB__03[[#This Row],[Column10]]</f>
        <v>42175.125</v>
      </c>
      <c r="S34" s="33">
        <f>(1-__Anonymous_Sheet_DB__03[[#This Row],[Column1025]]/__Anonymous_Sheet_DB__03[[#This Row],[Column17]])</f>
        <v>0.53652370354449697</v>
      </c>
    </row>
    <row r="35" spans="1:1025">
      <c r="A35" t="s">
        <v>6</v>
      </c>
      <c r="B35" t="s">
        <v>40</v>
      </c>
      <c r="C35">
        <v>2778736</v>
      </c>
      <c r="D35">
        <f t="shared" si="0"/>
        <v>2778.7359999999999</v>
      </c>
      <c r="E35">
        <v>259</v>
      </c>
      <c r="F35">
        <v>1664</v>
      </c>
      <c r="G35">
        <v>11191</v>
      </c>
      <c r="H35">
        <f>'Memory Results'!$G35*64</f>
        <v>716224</v>
      </c>
      <c r="I35">
        <f>'Memory Results'!$C35-'Memory Results'!$H35</f>
        <v>2062512</v>
      </c>
      <c r="J35" s="4">
        <f>'Memory Results'!$I35/64</f>
        <v>32226.75</v>
      </c>
      <c r="K35" s="4">
        <f>'Memory Results'!$G35/2</f>
        <v>5595.5</v>
      </c>
      <c r="L35" s="4">
        <f>'Memory Results'!$J35/2.4</f>
        <v>13427.8125</v>
      </c>
      <c r="M35" s="4">
        <f>('Memory Results'!$K35+'Memory Results'!$L35)*64/1000</f>
        <v>1217.492</v>
      </c>
      <c r="N35" s="5">
        <f>('Memory Results'!$G35-'Memory Results'!$K35)/'Memory Results'!$G35</f>
        <v>0.5</v>
      </c>
      <c r="O35" s="5">
        <f>('Memory Results'!$J35-'Memory Results'!$L35)/'Memory Results'!$J35</f>
        <v>0.58333333333333337</v>
      </c>
      <c r="P35" s="2">
        <f>__Anonymous_Sheet_DB__03[[#This Row],[Column4]]*45%</f>
        <v>1250.4312</v>
      </c>
      <c r="Q35" s="4">
        <f>__Anonymous_Sheet_DB__03[[#This Row],[Column11]]+__Anonymous_Sheet_DB__03[[#This Row],[Column12]]</f>
        <v>19023.3125</v>
      </c>
      <c r="R35" s="4">
        <f>__Anonymous_Sheet_DB__03[[#This Row],[Column7]]+__Anonymous_Sheet_DB__03[[#This Row],[Column10]]</f>
        <v>43417.75</v>
      </c>
      <c r="S35" s="33">
        <f>(1-__Anonymous_Sheet_DB__03[[#This Row],[Column1025]]/__Anonymous_Sheet_DB__03[[#This Row],[Column17]])</f>
        <v>0.56185402283628239</v>
      </c>
    </row>
    <row r="36" spans="1:1025">
      <c r="A36" t="s">
        <v>6</v>
      </c>
      <c r="B36" t="s">
        <v>41</v>
      </c>
      <c r="C36">
        <v>2521592</v>
      </c>
      <c r="D36">
        <f t="shared" si="0"/>
        <v>2521.5920000000001</v>
      </c>
      <c r="E36">
        <v>242</v>
      </c>
      <c r="F36">
        <v>1528</v>
      </c>
      <c r="G36">
        <v>10571</v>
      </c>
      <c r="H36">
        <f>'Memory Results'!$G36*64</f>
        <v>676544</v>
      </c>
      <c r="I36">
        <f>'Memory Results'!$C36-'Memory Results'!$H36</f>
        <v>1845048</v>
      </c>
      <c r="J36" s="4">
        <f>'Memory Results'!$I36/64</f>
        <v>28828.875</v>
      </c>
      <c r="K36" s="4">
        <f>'Memory Results'!$G36/1.9</f>
        <v>5563.6842105263158</v>
      </c>
      <c r="L36" s="4">
        <f>'Memory Results'!$J36/2.5</f>
        <v>11531.55</v>
      </c>
      <c r="M36" s="4">
        <f>('Memory Results'!$K36+'Memory Results'!$L36)*64/1000</f>
        <v>1094.0949894736843</v>
      </c>
      <c r="N36" s="5">
        <f>('Memory Results'!$G36-'Memory Results'!$K36)/'Memory Results'!$G36</f>
        <v>0.47368421052631576</v>
      </c>
      <c r="O36" s="5">
        <f>('Memory Results'!$J36-'Memory Results'!$L36)/'Memory Results'!$J36</f>
        <v>0.6</v>
      </c>
      <c r="P36" s="2">
        <f>__Anonymous_Sheet_DB__03[[#This Row],[Column4]]*45%</f>
        <v>1134.7164</v>
      </c>
      <c r="Q36" s="4">
        <f>__Anonymous_Sheet_DB__03[[#This Row],[Column11]]+__Anonymous_Sheet_DB__03[[#This Row],[Column12]]</f>
        <v>17095.234210526316</v>
      </c>
      <c r="R36" s="4">
        <f>__Anonymous_Sheet_DB__03[[#This Row],[Column7]]+__Anonymous_Sheet_DB__03[[#This Row],[Column10]]</f>
        <v>39399.875</v>
      </c>
      <c r="S36" s="33">
        <f>(1-__Anonymous_Sheet_DB__03[[#This Row],[Column1025]]/__Anonymous_Sheet_DB__03[[#This Row],[Column17]])</f>
        <v>0.5661094302830576</v>
      </c>
    </row>
    <row r="37" spans="1:1025">
      <c r="A37" t="s">
        <v>6</v>
      </c>
      <c r="B37" t="s">
        <v>42</v>
      </c>
      <c r="C37">
        <v>2597528</v>
      </c>
      <c r="D37">
        <f t="shared" si="0"/>
        <v>2597.5279999999998</v>
      </c>
      <c r="E37">
        <v>248</v>
      </c>
      <c r="F37">
        <v>1652</v>
      </c>
      <c r="G37">
        <v>10714</v>
      </c>
      <c r="H37">
        <f>'Memory Results'!$G37*64</f>
        <v>685696</v>
      </c>
      <c r="I37">
        <f>'Memory Results'!$C37-'Memory Results'!$H37</f>
        <v>1911832</v>
      </c>
      <c r="J37" s="4">
        <f>'Memory Results'!$I37/64</f>
        <v>29872.375</v>
      </c>
      <c r="K37" s="4">
        <f>'Memory Results'!$G37/1.65</f>
        <v>6493.3333333333339</v>
      </c>
      <c r="L37" s="4">
        <f>'Memory Results'!$J37/2.2</f>
        <v>13578.352272727272</v>
      </c>
      <c r="M37" s="4">
        <f>('Memory Results'!$K37+'Memory Results'!$L37)*64/1000</f>
        <v>1284.5878787878789</v>
      </c>
      <c r="N37" s="5">
        <f>('Memory Results'!$G37-'Memory Results'!$K37)/'Memory Results'!$G37</f>
        <v>0.39393939393939387</v>
      </c>
      <c r="O37" s="5">
        <f>('Memory Results'!$J37-'Memory Results'!$L37)/'Memory Results'!$J37</f>
        <v>0.54545454545454553</v>
      </c>
      <c r="P37" s="2">
        <f>__Anonymous_Sheet_DB__03[[#This Row],[Column4]]*45%</f>
        <v>1168.8876</v>
      </c>
      <c r="Q37" s="4">
        <f>__Anonymous_Sheet_DB__03[[#This Row],[Column11]]+__Anonymous_Sheet_DB__03[[#This Row],[Column12]]</f>
        <v>20071.685606060608</v>
      </c>
      <c r="R37" s="4">
        <f>__Anonymous_Sheet_DB__03[[#This Row],[Column7]]+__Anonymous_Sheet_DB__03[[#This Row],[Column10]]</f>
        <v>40586.375</v>
      </c>
      <c r="S37" s="33">
        <f>(1-__Anonymous_Sheet_DB__03[[#This Row],[Column1025]]/__Anonymous_Sheet_DB__03[[#This Row],[Column17]])</f>
        <v>0.50545754317648206</v>
      </c>
    </row>
    <row r="38" spans="1:1025">
      <c r="A38" t="s">
        <v>6</v>
      </c>
      <c r="B38" t="s">
        <v>43</v>
      </c>
      <c r="C38">
        <v>2526536</v>
      </c>
      <c r="D38">
        <f t="shared" si="0"/>
        <v>2526.5360000000001</v>
      </c>
      <c r="E38">
        <v>248</v>
      </c>
      <c r="F38">
        <v>1296</v>
      </c>
      <c r="G38">
        <v>10619</v>
      </c>
      <c r="H38">
        <f>'Memory Results'!$G38*64</f>
        <v>679616</v>
      </c>
      <c r="I38">
        <f>'Memory Results'!$C38-'Memory Results'!$H38</f>
        <v>1846920</v>
      </c>
      <c r="J38" s="4">
        <f>'Memory Results'!$I38/64</f>
        <v>28858.125</v>
      </c>
      <c r="K38" s="4">
        <f>'Memory Results'!$G38/1.6</f>
        <v>6636.875</v>
      </c>
      <c r="L38" s="4">
        <f>'Memory Results'!$J38/2.2</f>
        <v>13117.329545454544</v>
      </c>
      <c r="M38" s="4">
        <f>('Memory Results'!$K38+'Memory Results'!$L38)*64/1000</f>
        <v>1264.2690909090909</v>
      </c>
      <c r="N38" s="5">
        <f>('Memory Results'!$G38-'Memory Results'!$K38)/'Memory Results'!$G38</f>
        <v>0.375</v>
      </c>
      <c r="O38" s="5">
        <f>('Memory Results'!$J38-'Memory Results'!$L38)/'Memory Results'!$J38</f>
        <v>0.54545454545454553</v>
      </c>
      <c r="P38" s="2">
        <f>__Anonymous_Sheet_DB__03[[#This Row],[Column4]]*45%</f>
        <v>1136.9412</v>
      </c>
      <c r="Q38" s="4">
        <f>__Anonymous_Sheet_DB__03[[#This Row],[Column11]]+__Anonymous_Sheet_DB__03[[#This Row],[Column12]]</f>
        <v>19754.204545454544</v>
      </c>
      <c r="R38" s="4">
        <f>__Anonymous_Sheet_DB__03[[#This Row],[Column7]]+__Anonymous_Sheet_DB__03[[#This Row],[Column10]]</f>
        <v>39477.125</v>
      </c>
      <c r="S38" s="33">
        <f>(1-__Anonymous_Sheet_DB__03[[#This Row],[Column1025]]/__Anonymous_Sheet_DB__03[[#This Row],[Column17]])</f>
        <v>0.49960376938658668</v>
      </c>
    </row>
    <row r="39" spans="1:1025">
      <c r="A39" t="s">
        <v>6</v>
      </c>
      <c r="B39" t="s">
        <v>44</v>
      </c>
      <c r="C39">
        <v>2596264</v>
      </c>
      <c r="D39">
        <f t="shared" si="0"/>
        <v>2596.2640000000001</v>
      </c>
      <c r="E39">
        <v>248</v>
      </c>
      <c r="F39">
        <v>1296</v>
      </c>
      <c r="G39">
        <v>10714</v>
      </c>
      <c r="H39">
        <f>'Memory Results'!$G39*64</f>
        <v>685696</v>
      </c>
      <c r="I39">
        <f>'Memory Results'!$C39-'Memory Results'!$H39</f>
        <v>1910568</v>
      </c>
      <c r="J39" s="4">
        <f>'Memory Results'!$I39/64</f>
        <v>29852.625</v>
      </c>
      <c r="K39" s="4">
        <f>'Memory Results'!$G39/1.7</f>
        <v>6302.3529411764712</v>
      </c>
      <c r="L39" s="4">
        <f>'Memory Results'!$J39/2</f>
        <v>14926.3125</v>
      </c>
      <c r="M39" s="4">
        <f>('Memory Results'!$K39+'Memory Results'!$L39)*64/1000</f>
        <v>1358.6345882352941</v>
      </c>
      <c r="N39" s="5">
        <f>('Memory Results'!$G39-'Memory Results'!$K39)/'Memory Results'!$G39</f>
        <v>0.41176470588235287</v>
      </c>
      <c r="O39" s="5">
        <f>('Memory Results'!$J39-'Memory Results'!$L39)/'Memory Results'!$J39</f>
        <v>0.5</v>
      </c>
      <c r="P39" s="2">
        <f>__Anonymous_Sheet_DB__03[[#This Row],[Column4]]*45%</f>
        <v>1168.3188</v>
      </c>
      <c r="Q39" s="4">
        <f>__Anonymous_Sheet_DB__03[[#This Row],[Column11]]+__Anonymous_Sheet_DB__03[[#This Row],[Column12]]</f>
        <v>21228.665441176472</v>
      </c>
      <c r="R39" s="4">
        <f>__Anonymous_Sheet_DB__03[[#This Row],[Column7]]+__Anonymous_Sheet_DB__03[[#This Row],[Column10]]</f>
        <v>40566.625</v>
      </c>
      <c r="S39" s="33">
        <f>(1-__Anonymous_Sheet_DB__03[[#This Row],[Column1025]]/__Anonymous_Sheet_DB__03[[#This Row],[Column17]])</f>
        <v>0.47669628811426945</v>
      </c>
    </row>
    <row r="40" spans="1:1025">
      <c r="A40" s="2"/>
      <c r="B40" s="2"/>
      <c r="C40" s="2"/>
      <c r="G40" s="2"/>
      <c r="H40" s="2"/>
      <c r="I40" s="2"/>
      <c r="J40" s="2"/>
      <c r="K40" s="2"/>
      <c r="L40" s="2"/>
      <c r="M40" s="2">
        <f>1/53</f>
        <v>1.8867924528301886E-2</v>
      </c>
      <c r="N40" s="6">
        <f>AVERAGE(N2:N39)</f>
        <v>0.46682263003413399</v>
      </c>
      <c r="O40" s="7">
        <f>AVERAGE(O2:O39)</f>
        <v>0.60896629050215434</v>
      </c>
      <c r="P40" s="2">
        <f>1/39</f>
        <v>2.564102564102564E-2</v>
      </c>
      <c r="Q40" s="2"/>
      <c r="R40" s="2"/>
      <c r="S40" s="33">
        <f>MEDIAN(S2:S39)</f>
        <v>0.56575456642804078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</row>
    <row r="41" spans="1:1025">
      <c r="N41">
        <f>1/N40</f>
        <v>2.142141223802454</v>
      </c>
    </row>
    <row r="42" spans="1:1025">
      <c r="M42" t="s">
        <v>56</v>
      </c>
      <c r="N42">
        <f>1/62</f>
        <v>1.6129032258064516E-2</v>
      </c>
      <c r="P42">
        <f>1/70</f>
        <v>1.4285714285714285E-2</v>
      </c>
    </row>
    <row r="43" spans="1:1025">
      <c r="M43" t="s">
        <v>57</v>
      </c>
      <c r="O43">
        <f>1/MAX('Memory Results'!$O$2:$O$39)</f>
        <v>1.4326647564469912</v>
      </c>
      <c r="P43">
        <f>1/30</f>
        <v>3.3333333333333333E-2</v>
      </c>
    </row>
    <row r="44" spans="1:1025">
      <c r="P44">
        <f>1/50</f>
        <v>0.02</v>
      </c>
    </row>
    <row r="46" spans="1:1025">
      <c r="N46">
        <f>1/53</f>
        <v>1.8867924528301886E-2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J5" zoomScaleNormal="100" workbookViewId="0">
      <selection activeCell="J2" sqref="J2"/>
    </sheetView>
  </sheetViews>
  <sheetFormatPr defaultRowHeight="14.25"/>
  <cols>
    <col min="1" max="1" width="12.5" customWidth="1"/>
    <col min="2" max="2" width="13.375" customWidth="1"/>
    <col min="3" max="3" width="40.625" customWidth="1"/>
    <col min="4" max="4" width="19" hidden="1" customWidth="1"/>
    <col min="5" max="5" width="10.625" customWidth="1"/>
    <col min="6" max="6" width="26.75" bestFit="1" customWidth="1"/>
    <col min="7" max="7" width="26.25" customWidth="1"/>
    <col min="8" max="8" width="25.75" bestFit="1" customWidth="1"/>
    <col min="9" max="9" width="25.375" bestFit="1" customWidth="1"/>
    <col min="10" max="10" width="26" customWidth="1"/>
    <col min="11" max="11" width="19.375" customWidth="1"/>
    <col min="12" max="12" width="20.375" customWidth="1"/>
    <col min="13" max="13" width="18.75" bestFit="1" customWidth="1"/>
    <col min="14" max="14" width="5.75" customWidth="1"/>
    <col min="15" max="15" width="5.625" bestFit="1" customWidth="1"/>
    <col min="16" max="1029" width="10.625" customWidth="1"/>
    <col min="1030" max="1030" width="9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83</v>
      </c>
      <c r="F1" s="1" t="s">
        <v>227</v>
      </c>
      <c r="G1" s="1" t="s">
        <v>86</v>
      </c>
      <c r="H1" s="1" t="s">
        <v>228</v>
      </c>
      <c r="I1" s="1" t="s">
        <v>87</v>
      </c>
      <c r="J1" s="1" t="s">
        <v>84</v>
      </c>
      <c r="K1" s="1" t="s">
        <v>85</v>
      </c>
      <c r="L1" s="1" t="s">
        <v>84</v>
      </c>
      <c r="M1" s="1" t="s">
        <v>229</v>
      </c>
      <c r="O1" s="1" t="s">
        <v>230</v>
      </c>
    </row>
    <row r="2" spans="1:19" s="2" customFormat="1">
      <c r="A2" s="2" t="s">
        <v>6</v>
      </c>
      <c r="B2" s="2" t="s">
        <v>49</v>
      </c>
      <c r="C2" s="2" t="s">
        <v>7</v>
      </c>
      <c r="D2" s="2">
        <v>2454536</v>
      </c>
      <c r="E2">
        <v>264</v>
      </c>
      <c r="F2" s="2">
        <v>10158</v>
      </c>
      <c r="G2" s="4">
        <f>__Anonymous_Sheet_DB__04[[#This Row],[Column8]]*31*0.01</f>
        <v>3148.98</v>
      </c>
      <c r="H2" s="2">
        <v>2429</v>
      </c>
      <c r="I2" s="4">
        <f>__Anonymous_Sheet_DB__04[[#This Row],[Column9]]*0.24</f>
        <v>755.75519999999995</v>
      </c>
      <c r="J2" s="7">
        <f>1- (__Anonymous_Sheet_DB__04[[#This Row],[Column10]]/__Anonymous_Sheet_DB__04[[#This Row],[Column7]])</f>
        <v>0.68886158913132978</v>
      </c>
      <c r="K2" s="33">
        <f>1-__Anonymous_Sheet_DB__04[[#This Row],[Column9]]/__Anonymous_Sheet_DB__04[[#This Row],[Column8]]</f>
        <v>0.69</v>
      </c>
      <c r="L2" s="33">
        <f>1-__Anonymous_Sheet_DB__04[[#This Row],[Column10]]/__Anonymous_Sheet_DB__04[[#This Row],[Column8]]</f>
        <v>0.92559999999999998</v>
      </c>
      <c r="M2" s="7">
        <f>1/(1-__Anonymous_Sheet_DB__04[[#This Row],[Column1027]])</f>
        <v>3.2140036879666858</v>
      </c>
      <c r="N2" s="7">
        <f>1/(1-__Anonymous_Sheet_DB__04[[#This Row],[Column11]])</f>
        <v>13.44086021505376</v>
      </c>
      <c r="O2" s="7">
        <f>1/(1-__Anonymous_Sheet_DB__04[[#This Row],[Column5]])</f>
        <v>3.2258064516129026</v>
      </c>
    </row>
    <row r="3" spans="1:19">
      <c r="A3" t="s">
        <v>6</v>
      </c>
      <c r="B3" t="s">
        <v>49</v>
      </c>
      <c r="C3" t="s">
        <v>8</v>
      </c>
      <c r="D3">
        <v>2383304</v>
      </c>
      <c r="E3">
        <v>256</v>
      </c>
      <c r="F3">
        <v>9971</v>
      </c>
      <c r="G3" s="4">
        <f>__Anonymous_Sheet_DB__04[[#This Row],[Column8]]*31*0.01</f>
        <v>3091.01</v>
      </c>
      <c r="H3">
        <v>2511</v>
      </c>
      <c r="I3" s="4">
        <f>__Anonymous_Sheet_DB__04[[#This Row],[Column9]]*0.13</f>
        <v>401.83130000000006</v>
      </c>
      <c r="J3" s="7">
        <f>1- (__Anonymous_Sheet_DB__04[[#This Row],[Column10]]/__Anonymous_Sheet_DB__04[[#This Row],[Column7]])</f>
        <v>0.83997160493827161</v>
      </c>
      <c r="K3" s="33">
        <f>1-__Anonymous_Sheet_DB__04[[#This Row],[Column9]]/__Anonymous_Sheet_DB__04[[#This Row],[Column8]]</f>
        <v>0.69</v>
      </c>
      <c r="L3" s="33">
        <f>1-__Anonymous_Sheet_DB__04[[#This Row],[Column10]]/__Anonymous_Sheet_DB__04[[#This Row],[Column8]]</f>
        <v>0.9597</v>
      </c>
      <c r="M3" s="7">
        <f>1/(1-__Anonymous_Sheet_DB__04[[#This Row],[Column1027]])</f>
        <v>6.2488910147118952</v>
      </c>
      <c r="N3" s="7">
        <f>1/(1-__Anonymous_Sheet_DB__04[[#This Row],[Column11]])</f>
        <v>24.813895781637715</v>
      </c>
      <c r="O3" s="7">
        <f>1/(1-__Anonymous_Sheet_DB__04[[#This Row],[Column5]])</f>
        <v>3.2258064516129026</v>
      </c>
      <c r="R3" s="2"/>
      <c r="S3" s="2"/>
    </row>
    <row r="4" spans="1:19">
      <c r="A4" t="s">
        <v>6</v>
      </c>
      <c r="B4" t="s">
        <v>49</v>
      </c>
      <c r="C4" t="s">
        <v>9</v>
      </c>
      <c r="D4">
        <v>2382520</v>
      </c>
      <c r="E4">
        <v>256</v>
      </c>
      <c r="F4">
        <v>9970</v>
      </c>
      <c r="G4" s="4">
        <f>__Anonymous_Sheet_DB__04[[#This Row],[Column8]]*33*0.01</f>
        <v>3290.1</v>
      </c>
      <c r="H4">
        <v>2511</v>
      </c>
      <c r="I4" s="4">
        <f>__Anonymous_Sheet_DB__04[[#This Row],[Column9]]*0.13</f>
        <v>427.71300000000002</v>
      </c>
      <c r="J4" s="7">
        <f>1- (__Anonymous_Sheet_DB__04[[#This Row],[Column10]]/__Anonymous_Sheet_DB__04[[#This Row],[Column7]])</f>
        <v>0.82966427718040614</v>
      </c>
      <c r="K4" s="33">
        <f>1-__Anonymous_Sheet_DB__04[[#This Row],[Column9]]/__Anonymous_Sheet_DB__04[[#This Row],[Column8]]</f>
        <v>0.66999999999999993</v>
      </c>
      <c r="L4" s="33">
        <f>1-__Anonymous_Sheet_DB__04[[#This Row],[Column10]]/__Anonymous_Sheet_DB__04[[#This Row],[Column8]]</f>
        <v>0.95709999999999995</v>
      </c>
      <c r="M4" s="7">
        <f>1/(1-__Anonymous_Sheet_DB__04[[#This Row],[Column1027]])</f>
        <v>5.8707591305384659</v>
      </c>
      <c r="N4" s="7">
        <f>1/(1-__Anonymous_Sheet_DB__04[[#This Row],[Column11]])</f>
        <v>23.310023310023283</v>
      </c>
      <c r="O4" s="7">
        <f>1/(1-__Anonymous_Sheet_DB__04[[#This Row],[Column5]])</f>
        <v>3.0303030303030298</v>
      </c>
    </row>
    <row r="5" spans="1:19">
      <c r="A5" t="s">
        <v>6</v>
      </c>
      <c r="B5" t="s">
        <v>49</v>
      </c>
      <c r="C5" t="s">
        <v>10</v>
      </c>
      <c r="D5">
        <v>2065960</v>
      </c>
      <c r="E5">
        <v>231</v>
      </c>
      <c r="F5">
        <v>8452</v>
      </c>
      <c r="G5" s="4">
        <f>__Anonymous_Sheet_DB__04[[#This Row],[Column8]]*30*0.01</f>
        <v>2535.6</v>
      </c>
      <c r="H5">
        <v>3128</v>
      </c>
      <c r="I5" s="4">
        <f>__Anonymous_Sheet_DB__04[[#This Row],[Column9]]*0.13</f>
        <v>329.62799999999999</v>
      </c>
      <c r="J5" s="7">
        <f>1- (__Anonymous_Sheet_DB__04[[#This Row],[Column10]]/__Anonymous_Sheet_DB__04[[#This Row],[Column7]])</f>
        <v>0.8946202046035806</v>
      </c>
      <c r="K5" s="33">
        <f>1-__Anonymous_Sheet_DB__04[[#This Row],[Column9]]/__Anonymous_Sheet_DB__04[[#This Row],[Column8]]</f>
        <v>0.7</v>
      </c>
      <c r="L5" s="33">
        <f>1-__Anonymous_Sheet_DB__04[[#This Row],[Column10]]/__Anonymous_Sheet_DB__04[[#This Row],[Column8]]</f>
        <v>0.96099999999999997</v>
      </c>
      <c r="M5" s="7">
        <f>1/(1-__Anonymous_Sheet_DB__04[[#This Row],[Column1027]])</f>
        <v>9.4894851165556364</v>
      </c>
      <c r="N5" s="7">
        <f>1/(1-__Anonymous_Sheet_DB__04[[#This Row],[Column11]])</f>
        <v>25.641025641025617</v>
      </c>
      <c r="O5" s="7">
        <f>1/(1-__Anonymous_Sheet_DB__04[[#This Row],[Column5]])</f>
        <v>3.333333333333333</v>
      </c>
    </row>
    <row r="6" spans="1:19">
      <c r="A6" t="s">
        <v>6</v>
      </c>
      <c r="B6" t="s">
        <v>49</v>
      </c>
      <c r="C6" t="s">
        <v>11</v>
      </c>
      <c r="D6">
        <v>1987232</v>
      </c>
      <c r="E6">
        <v>223</v>
      </c>
      <c r="F6">
        <v>7866</v>
      </c>
      <c r="G6" s="4">
        <f>__Anonymous_Sheet_DB__04[[#This Row],[Column8]]*31*0.01</f>
        <v>2438.46</v>
      </c>
      <c r="H6">
        <v>1891</v>
      </c>
      <c r="I6" s="4">
        <f>__Anonymous_Sheet_DB__04[[#This Row],[Column9]]*0.16</f>
        <v>390.15360000000004</v>
      </c>
      <c r="J6" s="7">
        <f>1- (__Anonymous_Sheet_DB__04[[#This Row],[Column10]]/__Anonymous_Sheet_DB__04[[#This Row],[Column7]])</f>
        <v>0.79367868852459011</v>
      </c>
      <c r="K6" s="33">
        <f>1-__Anonymous_Sheet_DB__04[[#This Row],[Column9]]/__Anonymous_Sheet_DB__04[[#This Row],[Column8]]</f>
        <v>0.69</v>
      </c>
      <c r="L6" s="33">
        <f>1-__Anonymous_Sheet_DB__04[[#This Row],[Column10]]/__Anonymous_Sheet_DB__04[[#This Row],[Column8]]</f>
        <v>0.95040000000000002</v>
      </c>
      <c r="M6" s="7">
        <f>1/(1-__Anonymous_Sheet_DB__04[[#This Row],[Column1027]])</f>
        <v>4.8468090516145423</v>
      </c>
      <c r="N6" s="7">
        <f>1/(1-__Anonymous_Sheet_DB__04[[#This Row],[Column11]])</f>
        <v>20.161290322580655</v>
      </c>
      <c r="O6" s="7">
        <f>1/(1-__Anonymous_Sheet_DB__04[[#This Row],[Column5]])</f>
        <v>3.2258064516129026</v>
      </c>
    </row>
    <row r="7" spans="1:19">
      <c r="A7" t="s">
        <v>6</v>
      </c>
      <c r="B7" t="s">
        <v>49</v>
      </c>
      <c r="C7" t="s">
        <v>12</v>
      </c>
      <c r="D7">
        <v>1991672</v>
      </c>
      <c r="E7">
        <v>223</v>
      </c>
      <c r="F7">
        <v>8051</v>
      </c>
      <c r="G7" s="4">
        <f>__Anonymous_Sheet_DB__04[[#This Row],[Column8]]*28*0.01</f>
        <v>2254.2800000000002</v>
      </c>
      <c r="H7">
        <v>2022</v>
      </c>
      <c r="I7" s="4">
        <f>__Anonymous_Sheet_DB__04[[#This Row],[Column9]]*0.15</f>
        <v>338.142</v>
      </c>
      <c r="J7" s="7">
        <f>1- (__Anonymous_Sheet_DB__04[[#This Row],[Column10]]/__Anonymous_Sheet_DB__04[[#This Row],[Column7]])</f>
        <v>0.83276854599406525</v>
      </c>
      <c r="K7" s="33">
        <f>1-__Anonymous_Sheet_DB__04[[#This Row],[Column9]]/__Anonymous_Sheet_DB__04[[#This Row],[Column8]]</f>
        <v>0.72</v>
      </c>
      <c r="L7" s="33">
        <f>1-__Anonymous_Sheet_DB__04[[#This Row],[Column10]]/__Anonymous_Sheet_DB__04[[#This Row],[Column8]]</f>
        <v>0.95799999999999996</v>
      </c>
      <c r="M7" s="7">
        <f>1/(1-__Anonymous_Sheet_DB__04[[#This Row],[Column1027]])</f>
        <v>5.9797363237929613</v>
      </c>
      <c r="N7" s="7">
        <f>1/(1-__Anonymous_Sheet_DB__04[[#This Row],[Column11]])</f>
        <v>23.809523809523789</v>
      </c>
      <c r="O7" s="7">
        <f>1/(1-__Anonymous_Sheet_DB__04[[#This Row],[Column5]])</f>
        <v>3.5714285714285712</v>
      </c>
    </row>
    <row r="8" spans="1:19">
      <c r="A8" t="s">
        <v>6</v>
      </c>
      <c r="B8" t="s">
        <v>49</v>
      </c>
      <c r="C8" t="s">
        <v>13</v>
      </c>
      <c r="D8">
        <v>1933752</v>
      </c>
      <c r="E8">
        <v>210</v>
      </c>
      <c r="F8">
        <v>7613</v>
      </c>
      <c r="G8" s="4">
        <f>__Anonymous_Sheet_DB__04[[#This Row],[Column8]]*35*0.01</f>
        <v>2664.55</v>
      </c>
      <c r="H8">
        <v>1787</v>
      </c>
      <c r="I8" s="4">
        <f>__Anonymous_Sheet_DB__04[[#This Row],[Column9]]*0.13</f>
        <v>346.39150000000001</v>
      </c>
      <c r="J8" s="7">
        <f>1- (__Anonymous_Sheet_DB__04[[#This Row],[Column10]]/__Anonymous_Sheet_DB__04[[#This Row],[Column7]])</f>
        <v>0.80616032456631226</v>
      </c>
      <c r="K8" s="33">
        <f>1-__Anonymous_Sheet_DB__04[[#This Row],[Column9]]/__Anonymous_Sheet_DB__04[[#This Row],[Column8]]</f>
        <v>0.64999999999999991</v>
      </c>
      <c r="L8" s="33">
        <f>1-__Anonymous_Sheet_DB__04[[#This Row],[Column10]]/__Anonymous_Sheet_DB__04[[#This Row],[Column8]]</f>
        <v>0.95450000000000002</v>
      </c>
      <c r="M8" s="7">
        <f>1/(1-__Anonymous_Sheet_DB__04[[#This Row],[Column1027]])</f>
        <v>5.1589025712236012</v>
      </c>
      <c r="N8" s="7">
        <f>1/(1-__Anonymous_Sheet_DB__04[[#This Row],[Column11]])</f>
        <v>21.978021978021985</v>
      </c>
      <c r="O8" s="7">
        <f>1/(1-__Anonymous_Sheet_DB__04[[#This Row],[Column5]])</f>
        <v>2.8571428571428563</v>
      </c>
    </row>
    <row r="9" spans="1:19">
      <c r="A9" t="s">
        <v>6</v>
      </c>
      <c r="B9" t="s">
        <v>49</v>
      </c>
      <c r="C9" t="s">
        <v>14</v>
      </c>
      <c r="D9">
        <v>1929336</v>
      </c>
      <c r="E9">
        <v>210</v>
      </c>
      <c r="F9">
        <v>7805</v>
      </c>
      <c r="G9" s="4">
        <f>__Anonymous_Sheet_DB__04[[#This Row],[Column8]]*33*0.01</f>
        <v>2575.65</v>
      </c>
      <c r="H9">
        <v>1945</v>
      </c>
      <c r="I9" s="4">
        <f>__Anonymous_Sheet_DB__04[[#This Row],[Column9]]*0.14</f>
        <v>360.59100000000007</v>
      </c>
      <c r="J9" s="7">
        <f>1- (__Anonymous_Sheet_DB__04[[#This Row],[Column10]]/__Anonymous_Sheet_DB__04[[#This Row],[Column7]])</f>
        <v>0.81460616966580979</v>
      </c>
      <c r="K9" s="33">
        <f>1-__Anonymous_Sheet_DB__04[[#This Row],[Column9]]/__Anonymous_Sheet_DB__04[[#This Row],[Column8]]</f>
        <v>0.66999999999999993</v>
      </c>
      <c r="L9" s="33">
        <f>1-__Anonymous_Sheet_DB__04[[#This Row],[Column10]]/__Anonymous_Sheet_DB__04[[#This Row],[Column8]]</f>
        <v>0.95379999999999998</v>
      </c>
      <c r="M9" s="7">
        <f>1/(1-__Anonymous_Sheet_DB__04[[#This Row],[Column1027]])</f>
        <v>5.3939227545889947</v>
      </c>
      <c r="N9" s="7">
        <f>1/(1-__Anonymous_Sheet_DB__04[[#This Row],[Column11]])</f>
        <v>21.645021645021636</v>
      </c>
      <c r="O9" s="7">
        <f>1/(1-__Anonymous_Sheet_DB__04[[#This Row],[Column5]])</f>
        <v>3.0303030303030298</v>
      </c>
    </row>
    <row r="10" spans="1:19">
      <c r="A10" t="s">
        <v>6</v>
      </c>
      <c r="B10" t="s">
        <v>49</v>
      </c>
      <c r="C10" t="s">
        <v>15</v>
      </c>
      <c r="E10">
        <v>218</v>
      </c>
      <c r="F10">
        <v>8015</v>
      </c>
      <c r="G10" s="4">
        <f>__Anonymous_Sheet_DB__04[[#This Row],[Column8]]*33*0.01</f>
        <v>2644.9500000000003</v>
      </c>
      <c r="H10">
        <v>1887</v>
      </c>
      <c r="I10" s="4">
        <f>__Anonymous_Sheet_DB__04[[#This Row],[Column9]]*0.15</f>
        <v>396.74250000000001</v>
      </c>
      <c r="J10" s="7">
        <f>1- (__Anonymous_Sheet_DB__04[[#This Row],[Column10]]/__Anonymous_Sheet_DB__04[[#This Row],[Column7]])</f>
        <v>0.78974960254372017</v>
      </c>
      <c r="K10" s="33">
        <f>1-__Anonymous_Sheet_DB__04[[#This Row],[Column9]]/__Anonymous_Sheet_DB__04[[#This Row],[Column8]]</f>
        <v>0.66999999999999993</v>
      </c>
      <c r="L10" s="33">
        <f>1-__Anonymous_Sheet_DB__04[[#This Row],[Column10]]/__Anonymous_Sheet_DB__04[[#This Row],[Column8]]</f>
        <v>0.95050000000000001</v>
      </c>
      <c r="M10" s="7">
        <f>1/(1-__Anonymous_Sheet_DB__04[[#This Row],[Column1027]])</f>
        <v>4.7562335771942754</v>
      </c>
      <c r="N10" s="7">
        <f>1/(1-__Anonymous_Sheet_DB__04[[#This Row],[Column11]])</f>
        <v>20.202020202020208</v>
      </c>
      <c r="O10" s="7">
        <f>1/(1-__Anonymous_Sheet_DB__04[[#This Row],[Column5]])</f>
        <v>3.0303030303030298</v>
      </c>
    </row>
    <row r="11" spans="1:19">
      <c r="A11" t="s">
        <v>6</v>
      </c>
      <c r="B11" t="s">
        <v>49</v>
      </c>
      <c r="C11" t="s">
        <v>16</v>
      </c>
      <c r="E11">
        <v>218</v>
      </c>
      <c r="F11">
        <v>8211</v>
      </c>
      <c r="G11" s="4">
        <f>__Anonymous_Sheet_DB__04[[#This Row],[Column8]]*31*0.01</f>
        <v>2545.41</v>
      </c>
      <c r="H11">
        <v>2057</v>
      </c>
      <c r="I11" s="4">
        <f>__Anonymous_Sheet_DB__04[[#This Row],[Column9]]*0.21</f>
        <v>534.53609999999992</v>
      </c>
      <c r="J11" s="7">
        <f>1- (__Anonymous_Sheet_DB__04[[#This Row],[Column10]]/__Anonymous_Sheet_DB__04[[#This Row],[Column7]])</f>
        <v>0.74013801652892564</v>
      </c>
      <c r="K11" s="33">
        <f>1-__Anonymous_Sheet_DB__04[[#This Row],[Column9]]/__Anonymous_Sheet_DB__04[[#This Row],[Column8]]</f>
        <v>0.69</v>
      </c>
      <c r="L11" s="33">
        <f>1-__Anonymous_Sheet_DB__04[[#This Row],[Column10]]/__Anonymous_Sheet_DB__04[[#This Row],[Column8]]</f>
        <v>0.93490000000000006</v>
      </c>
      <c r="M11" s="7">
        <f>1/(1-__Anonymous_Sheet_DB__04[[#This Row],[Column1027]])</f>
        <v>3.8481965951410957</v>
      </c>
      <c r="N11" s="7">
        <f>1/(1-__Anonymous_Sheet_DB__04[[#This Row],[Column11]])</f>
        <v>15.360983102918603</v>
      </c>
      <c r="O11" s="7">
        <f>1/(1-__Anonymous_Sheet_DB__04[[#This Row],[Column5]])</f>
        <v>3.2258064516129026</v>
      </c>
    </row>
    <row r="12" spans="1:19">
      <c r="A12" t="s">
        <v>6</v>
      </c>
      <c r="B12" t="s">
        <v>49</v>
      </c>
      <c r="C12" t="s">
        <v>17</v>
      </c>
      <c r="D12">
        <v>2321704</v>
      </c>
      <c r="E12">
        <v>242</v>
      </c>
      <c r="F12">
        <v>9749</v>
      </c>
      <c r="G12" s="4">
        <f>__Anonymous_Sheet_DB__04[[#This Row],[Column8]]*29*0.01</f>
        <v>2827.21</v>
      </c>
      <c r="H12">
        <v>2439</v>
      </c>
      <c r="I12" s="4">
        <f>__Anonymous_Sheet_DB__04[[#This Row],[Column9]]*0.19</f>
        <v>537.16989999999998</v>
      </c>
      <c r="J12" s="7">
        <f>1- (__Anonymous_Sheet_DB__04[[#This Row],[Column10]]/__Anonymous_Sheet_DB__04[[#This Row],[Column7]])</f>
        <v>0.77975813858138587</v>
      </c>
      <c r="K12" s="33">
        <f>1-__Anonymous_Sheet_DB__04[[#This Row],[Column9]]/__Anonymous_Sheet_DB__04[[#This Row],[Column8]]</f>
        <v>0.71</v>
      </c>
      <c r="L12" s="33">
        <f>1-__Anonymous_Sheet_DB__04[[#This Row],[Column10]]/__Anonymous_Sheet_DB__04[[#This Row],[Column8]]</f>
        <v>0.94489999999999996</v>
      </c>
      <c r="M12" s="7">
        <f>1/(1-__Anonymous_Sheet_DB__04[[#This Row],[Column1027]])</f>
        <v>4.5404628963759892</v>
      </c>
      <c r="N12" s="7">
        <f>1/(1-__Anonymous_Sheet_DB__04[[#This Row],[Column11]])</f>
        <v>18.148820326678752</v>
      </c>
      <c r="O12" s="7">
        <f>1/(1-__Anonymous_Sheet_DB__04[[#This Row],[Column5]])</f>
        <v>3.4482758620689653</v>
      </c>
    </row>
    <row r="13" spans="1:19">
      <c r="A13" t="s">
        <v>6</v>
      </c>
      <c r="B13" t="s">
        <v>49</v>
      </c>
      <c r="C13" t="s">
        <v>18</v>
      </c>
      <c r="D13">
        <v>2320472</v>
      </c>
      <c r="E13">
        <v>242</v>
      </c>
      <c r="F13">
        <v>9488</v>
      </c>
      <c r="G13" s="4">
        <f>__Anonymous_Sheet_DB__04[[#This Row],[Column8]]*30*0.01</f>
        <v>2846.4</v>
      </c>
      <c r="H13">
        <v>2441</v>
      </c>
      <c r="I13" s="4">
        <f>__Anonymous_Sheet_DB__04[[#This Row],[Column9]]*0.13</f>
        <v>370.03200000000004</v>
      </c>
      <c r="J13" s="7">
        <f>1- (__Anonymous_Sheet_DB__04[[#This Row],[Column10]]/__Anonymous_Sheet_DB__04[[#This Row],[Column7]])</f>
        <v>0.84840966816878327</v>
      </c>
      <c r="K13" s="33">
        <f>1-__Anonymous_Sheet_DB__04[[#This Row],[Column9]]/__Anonymous_Sheet_DB__04[[#This Row],[Column8]]</f>
        <v>0.7</v>
      </c>
      <c r="L13" s="33">
        <f>1-__Anonymous_Sheet_DB__04[[#This Row],[Column10]]/__Anonymous_Sheet_DB__04[[#This Row],[Column8]]</f>
        <v>0.96099999999999997</v>
      </c>
      <c r="M13" s="7">
        <f>1/(1-__Anonymous_Sheet_DB__04[[#This Row],[Column1027]])</f>
        <v>6.5967267695766845</v>
      </c>
      <c r="N13" s="7">
        <f>1/(1-__Anonymous_Sheet_DB__04[[#This Row],[Column11]])</f>
        <v>25.641025641025617</v>
      </c>
      <c r="O13" s="7">
        <f>1/(1-__Anonymous_Sheet_DB__04[[#This Row],[Column5]])</f>
        <v>3.333333333333333</v>
      </c>
    </row>
    <row r="14" spans="1:19">
      <c r="A14" t="s">
        <v>6</v>
      </c>
      <c r="B14" t="s">
        <v>49</v>
      </c>
      <c r="C14" t="s">
        <v>19</v>
      </c>
      <c r="E14">
        <v>242</v>
      </c>
      <c r="F14">
        <v>9707</v>
      </c>
      <c r="G14" s="4">
        <f>__Anonymous_Sheet_DB__04[[#This Row],[Column8]]*30*0.01</f>
        <v>2912.1</v>
      </c>
      <c r="H14">
        <v>2407</v>
      </c>
      <c r="I14" s="4">
        <f>__Anonymous_Sheet_DB__04[[#This Row],[Column9]]*0.16</f>
        <v>465.93599999999998</v>
      </c>
      <c r="J14" s="7">
        <f>1- (__Anonymous_Sheet_DB__04[[#This Row],[Column10]]/__Anonymous_Sheet_DB__04[[#This Row],[Column7]])</f>
        <v>0.80642459493144991</v>
      </c>
      <c r="K14" s="33">
        <f>1-__Anonymous_Sheet_DB__04[[#This Row],[Column9]]/__Anonymous_Sheet_DB__04[[#This Row],[Column8]]</f>
        <v>0.7</v>
      </c>
      <c r="L14" s="33">
        <f>1-__Anonymous_Sheet_DB__04[[#This Row],[Column10]]/__Anonymous_Sheet_DB__04[[#This Row],[Column8]]</f>
        <v>0.95199999999999996</v>
      </c>
      <c r="M14" s="7">
        <f>1/(1-__Anonymous_Sheet_DB__04[[#This Row],[Column1027]])</f>
        <v>5.1659455375845607</v>
      </c>
      <c r="N14" s="7">
        <f>1/(1-__Anonymous_Sheet_DB__04[[#This Row],[Column11]])</f>
        <v>20.833333333333314</v>
      </c>
      <c r="O14" s="7">
        <f>1/(1-__Anonymous_Sheet_DB__04[[#This Row],[Column5]])</f>
        <v>3.333333333333333</v>
      </c>
    </row>
    <row r="15" spans="1:19">
      <c r="A15" t="s">
        <v>6</v>
      </c>
      <c r="B15" t="s">
        <v>49</v>
      </c>
      <c r="C15" t="s">
        <v>20</v>
      </c>
      <c r="E15">
        <v>242</v>
      </c>
      <c r="F15">
        <v>9488</v>
      </c>
      <c r="G15" s="4">
        <f>__Anonymous_Sheet_DB__04[[#This Row],[Column8]]*27*0.01</f>
        <v>2561.7600000000002</v>
      </c>
      <c r="H15">
        <v>2214</v>
      </c>
      <c r="I15" s="4">
        <f>__Anonymous_Sheet_DB__04[[#This Row],[Column9]]*0.13</f>
        <v>333.02880000000005</v>
      </c>
      <c r="J15" s="7">
        <f>1- (__Anonymous_Sheet_DB__04[[#This Row],[Column10]]/__Anonymous_Sheet_DB__04[[#This Row],[Column7]])</f>
        <v>0.84958048780487805</v>
      </c>
      <c r="K15" s="33">
        <f>1-__Anonymous_Sheet_DB__04[[#This Row],[Column9]]/__Anonymous_Sheet_DB__04[[#This Row],[Column8]]</f>
        <v>0.73</v>
      </c>
      <c r="L15" s="33">
        <f>1-__Anonymous_Sheet_DB__04[[#This Row],[Column10]]/__Anonymous_Sheet_DB__04[[#This Row],[Column8]]</f>
        <v>0.96489999999999998</v>
      </c>
      <c r="M15" s="7">
        <f>1/(1-__Anonymous_Sheet_DB__04[[#This Row],[Column1027]])</f>
        <v>6.6480736801141527</v>
      </c>
      <c r="N15" s="7">
        <f>1/(1-__Anonymous_Sheet_DB__04[[#This Row],[Column11]])</f>
        <v>28.490028490028475</v>
      </c>
      <c r="O15" s="7">
        <f>1/(1-__Anonymous_Sheet_DB__04[[#This Row],[Column5]])</f>
        <v>3.7037037037037033</v>
      </c>
    </row>
    <row r="16" spans="1:19">
      <c r="A16" t="s">
        <v>6</v>
      </c>
      <c r="B16" t="s">
        <v>49</v>
      </c>
      <c r="C16" t="s">
        <v>21</v>
      </c>
      <c r="D16">
        <v>3664224</v>
      </c>
      <c r="E16">
        <v>334</v>
      </c>
      <c r="F16">
        <v>17206</v>
      </c>
      <c r="G16" s="4">
        <f>__Anonymous_Sheet_DB__04[[#This Row],[Column8]]*33*0.01</f>
        <v>5677.9800000000005</v>
      </c>
      <c r="H16">
        <v>4323</v>
      </c>
      <c r="I16" s="4">
        <f>__Anonymous_Sheet_DB__04[[#This Row],[Column9]]*0.23</f>
        <v>1305.9354000000001</v>
      </c>
      <c r="J16" s="7">
        <f>1- (__Anonymous_Sheet_DB__04[[#This Row],[Column10]]/__Anonymous_Sheet_DB__04[[#This Row],[Column7]])</f>
        <v>0.69790992366412219</v>
      </c>
      <c r="K16" s="33">
        <f>1-__Anonymous_Sheet_DB__04[[#This Row],[Column9]]/__Anonymous_Sheet_DB__04[[#This Row],[Column8]]</f>
        <v>0.66999999999999993</v>
      </c>
      <c r="L16" s="33">
        <f>1-__Anonymous_Sheet_DB__04[[#This Row],[Column10]]/__Anonymous_Sheet_DB__04[[#This Row],[Column8]]</f>
        <v>0.92410000000000003</v>
      </c>
      <c r="M16" s="7">
        <f>1/(1-__Anonymous_Sheet_DB__04[[#This Row],[Column1027]])</f>
        <v>3.310270936831945</v>
      </c>
      <c r="N16" s="7">
        <f>1/(1-__Anonymous_Sheet_DB__04[[#This Row],[Column11]])</f>
        <v>13.175230566534919</v>
      </c>
      <c r="O16" s="7">
        <f>1/(1-__Anonymous_Sheet_DB__04[[#This Row],[Column5]])</f>
        <v>3.0303030303030298</v>
      </c>
    </row>
    <row r="17" spans="1:15">
      <c r="A17" t="s">
        <v>6</v>
      </c>
      <c r="B17" t="s">
        <v>49</v>
      </c>
      <c r="C17" t="s">
        <v>22</v>
      </c>
      <c r="D17">
        <v>3665272</v>
      </c>
      <c r="E17">
        <v>334</v>
      </c>
      <c r="F17">
        <v>17208</v>
      </c>
      <c r="G17" s="4">
        <f>__Anonymous_Sheet_DB__04[[#This Row],[Column8]]*32*0.01</f>
        <v>5506.56</v>
      </c>
      <c r="H17">
        <v>4320</v>
      </c>
      <c r="I17" s="4">
        <f>__Anonymous_Sheet_DB__04[[#This Row],[Column9]]*0.25</f>
        <v>1376.64</v>
      </c>
      <c r="J17" s="7">
        <f>1- (__Anonymous_Sheet_DB__04[[#This Row],[Column10]]/__Anonymous_Sheet_DB__04[[#This Row],[Column7]])</f>
        <v>0.68133333333333335</v>
      </c>
      <c r="K17" s="33">
        <f>1-__Anonymous_Sheet_DB__04[[#This Row],[Column9]]/__Anonymous_Sheet_DB__04[[#This Row],[Column8]]</f>
        <v>0.67999999999999994</v>
      </c>
      <c r="L17" s="33">
        <f>1-__Anonymous_Sheet_DB__04[[#This Row],[Column10]]/__Anonymous_Sheet_DB__04[[#This Row],[Column8]]</f>
        <v>0.92</v>
      </c>
      <c r="M17" s="7">
        <f>1/(1-__Anonymous_Sheet_DB__04[[#This Row],[Column1027]])</f>
        <v>3.1380753138075317</v>
      </c>
      <c r="N17" s="7">
        <f>1/(1-__Anonymous_Sheet_DB__04[[#This Row],[Column11]])</f>
        <v>12.500000000000007</v>
      </c>
      <c r="O17" s="7">
        <f>1/(1-__Anonymous_Sheet_DB__04[[#This Row],[Column5]])</f>
        <v>3.1249999999999996</v>
      </c>
    </row>
    <row r="18" spans="1:15">
      <c r="A18" t="s">
        <v>6</v>
      </c>
      <c r="B18" t="s">
        <v>49</v>
      </c>
      <c r="C18" t="s">
        <v>23</v>
      </c>
      <c r="E18">
        <v>334</v>
      </c>
      <c r="F18">
        <v>17212</v>
      </c>
      <c r="G18" s="4">
        <f>__Anonymous_Sheet_DB__04[[#This Row],[Column8]]*27*0.01</f>
        <v>4647.24</v>
      </c>
      <c r="H18">
        <v>4324</v>
      </c>
      <c r="I18" s="4">
        <f>__Anonymous_Sheet_DB__04[[#This Row],[Column9]]*0.23</f>
        <v>1068.8652</v>
      </c>
      <c r="J18" s="7">
        <f>1- (__Anonymous_Sheet_DB__04[[#This Row],[Column10]]/__Anonymous_Sheet_DB__04[[#This Row],[Column7]])</f>
        <v>0.75280638297872338</v>
      </c>
      <c r="K18" s="33">
        <f>1-__Anonymous_Sheet_DB__04[[#This Row],[Column9]]/__Anonymous_Sheet_DB__04[[#This Row],[Column8]]</f>
        <v>0.73</v>
      </c>
      <c r="L18" s="33">
        <f>1-__Anonymous_Sheet_DB__04[[#This Row],[Column10]]/__Anonymous_Sheet_DB__04[[#This Row],[Column8]]</f>
        <v>0.93789999999999996</v>
      </c>
      <c r="M18" s="7">
        <f>1/(1-__Anonymous_Sheet_DB__04[[#This Row],[Column1027]])</f>
        <v>4.0454119003967941</v>
      </c>
      <c r="N18" s="7">
        <f>1/(1-__Anonymous_Sheet_DB__04[[#This Row],[Column11]])</f>
        <v>16.103059581320441</v>
      </c>
      <c r="O18" s="7">
        <f>1/(1-__Anonymous_Sheet_DB__04[[#This Row],[Column5]])</f>
        <v>3.7037037037037033</v>
      </c>
    </row>
    <row r="19" spans="1:15">
      <c r="A19" t="s">
        <v>6</v>
      </c>
      <c r="B19" t="s">
        <v>49</v>
      </c>
      <c r="C19" t="s">
        <v>24</v>
      </c>
      <c r="E19">
        <v>334</v>
      </c>
      <c r="F19">
        <v>17210</v>
      </c>
      <c r="G19" s="4">
        <f>__Anonymous_Sheet_DB__04[[#This Row],[Column8]]*28*0.01</f>
        <v>4818.8</v>
      </c>
      <c r="H19">
        <v>4318</v>
      </c>
      <c r="I19" s="4">
        <f>__Anonymous_Sheet_DB__04[[#This Row],[Column9]]*0.24</f>
        <v>1156.5119999999999</v>
      </c>
      <c r="J19" s="7">
        <f>1- (__Anonymous_Sheet_DB__04[[#This Row],[Column10]]/__Anonymous_Sheet_DB__04[[#This Row],[Column7]])</f>
        <v>0.73216489115331174</v>
      </c>
      <c r="K19" s="33">
        <f>1-__Anonymous_Sheet_DB__04[[#This Row],[Column9]]/__Anonymous_Sheet_DB__04[[#This Row],[Column8]]</f>
        <v>0.72</v>
      </c>
      <c r="L19" s="33">
        <f>1-__Anonymous_Sheet_DB__04[[#This Row],[Column10]]/__Anonymous_Sheet_DB__04[[#This Row],[Column8]]</f>
        <v>0.93279999999999996</v>
      </c>
      <c r="M19" s="7">
        <f>1/(1-__Anonymous_Sheet_DB__04[[#This Row],[Column1027]])</f>
        <v>3.7336404637392437</v>
      </c>
      <c r="N19" s="7">
        <f>1/(1-__Anonymous_Sheet_DB__04[[#This Row],[Column11]])</f>
        <v>14.880952380952372</v>
      </c>
      <c r="O19" s="7">
        <f>1/(1-__Anonymous_Sheet_DB__04[[#This Row],[Column5]])</f>
        <v>3.5714285714285712</v>
      </c>
    </row>
    <row r="20" spans="1:15">
      <c r="A20" t="s">
        <v>6</v>
      </c>
      <c r="B20" t="s">
        <v>49</v>
      </c>
      <c r="C20" t="s">
        <v>25</v>
      </c>
      <c r="D20">
        <v>3591096</v>
      </c>
      <c r="E20">
        <v>331</v>
      </c>
      <c r="F20">
        <v>16738</v>
      </c>
      <c r="G20" s="4">
        <f>__Anonymous_Sheet_DB__04[[#This Row],[Column8]]*30*0.01</f>
        <v>5021.4000000000005</v>
      </c>
      <c r="H20">
        <v>4200</v>
      </c>
      <c r="I20" s="4">
        <f>__Anonymous_Sheet_DB__04[[#This Row],[Column9]]*0.24</f>
        <v>1205.1360000000002</v>
      </c>
      <c r="J20" s="7">
        <f>1- (__Anonymous_Sheet_DB__04[[#This Row],[Column10]]/__Anonymous_Sheet_DB__04[[#This Row],[Column7]])</f>
        <v>0.71306285714285711</v>
      </c>
      <c r="K20" s="33">
        <f>1-__Anonymous_Sheet_DB__04[[#This Row],[Column9]]/__Anonymous_Sheet_DB__04[[#This Row],[Column8]]</f>
        <v>0.7</v>
      </c>
      <c r="L20" s="33">
        <f>1-__Anonymous_Sheet_DB__04[[#This Row],[Column10]]/__Anonymous_Sheet_DB__04[[#This Row],[Column8]]</f>
        <v>0.92799999999999994</v>
      </c>
      <c r="M20" s="7">
        <f>1/(1-__Anonymous_Sheet_DB__04[[#This Row],[Column1027]])</f>
        <v>3.4850838411598355</v>
      </c>
      <c r="N20" s="7">
        <f>1/(1-__Anonymous_Sheet_DB__04[[#This Row],[Column11]])</f>
        <v>13.888888888888877</v>
      </c>
      <c r="O20" s="7">
        <f>1/(1-__Anonymous_Sheet_DB__04[[#This Row],[Column5]])</f>
        <v>3.333333333333333</v>
      </c>
    </row>
    <row r="21" spans="1:15">
      <c r="A21" t="s">
        <v>6</v>
      </c>
      <c r="B21" t="s">
        <v>49</v>
      </c>
      <c r="C21" t="s">
        <v>26</v>
      </c>
      <c r="E21">
        <v>331</v>
      </c>
      <c r="F21">
        <v>16742</v>
      </c>
      <c r="G21" s="4">
        <f>__Anonymous_Sheet_DB__04[[#This Row],[Column8]]*29*0.01</f>
        <v>4855.18</v>
      </c>
      <c r="H21">
        <v>4203</v>
      </c>
      <c r="I21" s="4">
        <f>__Anonymous_Sheet_DB__04[[#This Row],[Column9]]*0.19</f>
        <v>922.4842000000001</v>
      </c>
      <c r="J21" s="7">
        <f>1- (__Anonymous_Sheet_DB__04[[#This Row],[Column10]]/__Anonymous_Sheet_DB__04[[#This Row],[Column7]])</f>
        <v>0.78051767784915538</v>
      </c>
      <c r="K21" s="33">
        <f>1-__Anonymous_Sheet_DB__04[[#This Row],[Column9]]/__Anonymous_Sheet_DB__04[[#This Row],[Column8]]</f>
        <v>0.71</v>
      </c>
      <c r="L21" s="33">
        <f>1-__Anonymous_Sheet_DB__04[[#This Row],[Column10]]/__Anonymous_Sheet_DB__04[[#This Row],[Column8]]</f>
        <v>0.94489999999999996</v>
      </c>
      <c r="M21" s="7">
        <f>1/(1-__Anonymous_Sheet_DB__04[[#This Row],[Column1027]])</f>
        <v>4.5561755962866357</v>
      </c>
      <c r="N21" s="7">
        <f>1/(1-__Anonymous_Sheet_DB__04[[#This Row],[Column11]])</f>
        <v>18.148820326678752</v>
      </c>
      <c r="O21" s="7">
        <f>1/(1-__Anonymous_Sheet_DB__04[[#This Row],[Column5]])</f>
        <v>3.4482758620689653</v>
      </c>
    </row>
    <row r="22" spans="1:15">
      <c r="A22" t="s">
        <v>6</v>
      </c>
      <c r="B22" t="s">
        <v>49</v>
      </c>
      <c r="C22" t="s">
        <v>27</v>
      </c>
      <c r="E22">
        <v>331</v>
      </c>
      <c r="F22">
        <v>16789</v>
      </c>
      <c r="G22" s="4">
        <f>__Anonymous_Sheet_DB__04[[#This Row],[Column8]]*32*0.01</f>
        <v>5372.4800000000005</v>
      </c>
      <c r="H22">
        <v>4246</v>
      </c>
      <c r="I22" s="4">
        <f>__Anonymous_Sheet_DB__04[[#This Row],[Column9]]*0.18</f>
        <v>967.04640000000006</v>
      </c>
      <c r="J22" s="7">
        <f>1- (__Anonymous_Sheet_DB__04[[#This Row],[Column10]]/__Anonymous_Sheet_DB__04[[#This Row],[Column7]])</f>
        <v>0.77224531323598677</v>
      </c>
      <c r="K22" s="33">
        <f>1-__Anonymous_Sheet_DB__04[[#This Row],[Column9]]/__Anonymous_Sheet_DB__04[[#This Row],[Column8]]</f>
        <v>0.67999999999999994</v>
      </c>
      <c r="L22" s="33">
        <f>1-__Anonymous_Sheet_DB__04[[#This Row],[Column10]]/__Anonymous_Sheet_DB__04[[#This Row],[Column8]]</f>
        <v>0.94240000000000002</v>
      </c>
      <c r="M22" s="7">
        <f>1/(1-__Anonymous_Sheet_DB__04[[#This Row],[Column1027]])</f>
        <v>4.3906890093381241</v>
      </c>
      <c r="N22" s="7">
        <f>1/(1-__Anonymous_Sheet_DB__04[[#This Row],[Column11]])</f>
        <v>17.361111111111114</v>
      </c>
      <c r="O22" s="7">
        <f>1/(1-__Anonymous_Sheet_DB__04[[#This Row],[Column5]])</f>
        <v>3.1249999999999996</v>
      </c>
    </row>
    <row r="23" spans="1:15">
      <c r="A23" t="s">
        <v>6</v>
      </c>
      <c r="B23" t="s">
        <v>49</v>
      </c>
      <c r="C23" t="s">
        <v>28</v>
      </c>
      <c r="E23">
        <v>331</v>
      </c>
      <c r="F23">
        <v>16748</v>
      </c>
      <c r="G23" s="4">
        <f>__Anonymous_Sheet_DB__04[[#This Row],[Column8]]*32*0.01</f>
        <v>5359.36</v>
      </c>
      <c r="H23">
        <v>4203</v>
      </c>
      <c r="I23" s="4">
        <f>__Anonymous_Sheet_DB__04[[#This Row],[Column9]]*0.18</f>
        <v>964.68479999999988</v>
      </c>
      <c r="J23" s="7">
        <f>1- (__Anonymous_Sheet_DB__04[[#This Row],[Column10]]/__Anonymous_Sheet_DB__04[[#This Row],[Column7]])</f>
        <v>0.77047708779443258</v>
      </c>
      <c r="K23" s="33">
        <f>1-__Anonymous_Sheet_DB__04[[#This Row],[Column9]]/__Anonymous_Sheet_DB__04[[#This Row],[Column8]]</f>
        <v>0.67999999999999994</v>
      </c>
      <c r="L23" s="33">
        <f>1-__Anonymous_Sheet_DB__04[[#This Row],[Column10]]/__Anonymous_Sheet_DB__04[[#This Row],[Column8]]</f>
        <v>0.94240000000000002</v>
      </c>
      <c r="M23" s="7">
        <f>1/(1-__Anonymous_Sheet_DB__04[[#This Row],[Column1027]])</f>
        <v>4.3568635060902796</v>
      </c>
      <c r="N23" s="7">
        <f>1/(1-__Anonymous_Sheet_DB__04[[#This Row],[Column11]])</f>
        <v>17.361111111111114</v>
      </c>
      <c r="O23" s="7">
        <f>1/(1-__Anonymous_Sheet_DB__04[[#This Row],[Column5]])</f>
        <v>3.1249999999999996</v>
      </c>
    </row>
    <row r="24" spans="1:15">
      <c r="A24" t="s">
        <v>6</v>
      </c>
      <c r="B24" t="s">
        <v>49</v>
      </c>
      <c r="C24" t="s">
        <v>29</v>
      </c>
      <c r="D24">
        <v>1911400</v>
      </c>
      <c r="E24">
        <v>212</v>
      </c>
      <c r="F24">
        <v>7672</v>
      </c>
      <c r="G24" s="4">
        <f>__Anonymous_Sheet_DB__04[[#This Row],[Column8]]*27*0.01</f>
        <v>2071.44</v>
      </c>
      <c r="H24">
        <v>1912</v>
      </c>
      <c r="I24" s="4">
        <f>__Anonymous_Sheet_DB__04[[#This Row],[Column9]]*0.15</f>
        <v>310.71600000000001</v>
      </c>
      <c r="J24" s="7">
        <f>1- (__Anonymous_Sheet_DB__04[[#This Row],[Column10]]/__Anonymous_Sheet_DB__04[[#This Row],[Column7]])</f>
        <v>0.83749163179916319</v>
      </c>
      <c r="K24" s="33">
        <f>1-__Anonymous_Sheet_DB__04[[#This Row],[Column9]]/__Anonymous_Sheet_DB__04[[#This Row],[Column8]]</f>
        <v>0.73</v>
      </c>
      <c r="L24" s="33">
        <f>1-__Anonymous_Sheet_DB__04[[#This Row],[Column10]]/__Anonymous_Sheet_DB__04[[#This Row],[Column8]]</f>
        <v>0.95950000000000002</v>
      </c>
      <c r="M24" s="7">
        <f>1/(1-__Anonymous_Sheet_DB__04[[#This Row],[Column1027]])</f>
        <v>6.1535292678844993</v>
      </c>
      <c r="N24" s="7">
        <f>1/(1-__Anonymous_Sheet_DB__04[[#This Row],[Column11]])</f>
        <v>24.691358024691368</v>
      </c>
      <c r="O24" s="7">
        <f>1/(1-__Anonymous_Sheet_DB__04[[#This Row],[Column5]])</f>
        <v>3.7037037037037033</v>
      </c>
    </row>
    <row r="25" spans="1:15">
      <c r="A25" t="s">
        <v>6</v>
      </c>
      <c r="B25" t="s">
        <v>49</v>
      </c>
      <c r="C25" t="s">
        <v>30</v>
      </c>
      <c r="E25">
        <v>222</v>
      </c>
      <c r="F25">
        <v>7954</v>
      </c>
      <c r="G25" s="4">
        <f>__Anonymous_Sheet_DB__04[[#This Row],[Column8]]*33*0.01</f>
        <v>2624.82</v>
      </c>
      <c r="H25">
        <v>1858</v>
      </c>
      <c r="I25" s="4">
        <f>__Anonymous_Sheet_DB__04[[#This Row],[Column9]]*0.14</f>
        <v>367.47480000000007</v>
      </c>
      <c r="J25" s="7">
        <f>1- (__Anonymous_Sheet_DB__04[[#This Row],[Column10]]/__Anonymous_Sheet_DB__04[[#This Row],[Column7]])</f>
        <v>0.80222023681377819</v>
      </c>
      <c r="K25" s="33">
        <f>1-__Anonymous_Sheet_DB__04[[#This Row],[Column9]]/__Anonymous_Sheet_DB__04[[#This Row],[Column8]]</f>
        <v>0.66999999999999993</v>
      </c>
      <c r="L25" s="33">
        <f>1-__Anonymous_Sheet_DB__04[[#This Row],[Column10]]/__Anonymous_Sheet_DB__04[[#This Row],[Column8]]</f>
        <v>0.95379999999999998</v>
      </c>
      <c r="M25" s="7">
        <f>1/(1-__Anonymous_Sheet_DB__04[[#This Row],[Column1027]])</f>
        <v>5.056129018915037</v>
      </c>
      <c r="N25" s="7">
        <f>1/(1-__Anonymous_Sheet_DB__04[[#This Row],[Column11]])</f>
        <v>21.645021645021636</v>
      </c>
      <c r="O25" s="7">
        <f>1/(1-__Anonymous_Sheet_DB__04[[#This Row],[Column5]])</f>
        <v>3.0303030303030298</v>
      </c>
    </row>
    <row r="26" spans="1:15">
      <c r="A26" t="s">
        <v>6</v>
      </c>
      <c r="B26" t="s">
        <v>49</v>
      </c>
      <c r="C26" t="s">
        <v>31</v>
      </c>
      <c r="E26">
        <v>205</v>
      </c>
      <c r="F26">
        <v>6947</v>
      </c>
      <c r="G26" s="4">
        <f>__Anonymous_Sheet_DB__04[[#This Row],[Column8]]*34*0.01</f>
        <v>2361.98</v>
      </c>
      <c r="H26">
        <v>1741</v>
      </c>
      <c r="I26" s="4">
        <f>__Anonymous_Sheet_DB__04[[#This Row],[Column9]]*0.13</f>
        <v>307.05740000000003</v>
      </c>
      <c r="J26" s="7">
        <f>1- (__Anonymous_Sheet_DB__04[[#This Row],[Column10]]/__Anonymous_Sheet_DB__04[[#This Row],[Column7]])</f>
        <v>0.82363159103963235</v>
      </c>
      <c r="K26" s="33">
        <f>1-__Anonymous_Sheet_DB__04[[#This Row],[Column9]]/__Anonymous_Sheet_DB__04[[#This Row],[Column8]]</f>
        <v>0.65999999999999992</v>
      </c>
      <c r="L26" s="33">
        <f>1-__Anonymous_Sheet_DB__04[[#This Row],[Column10]]/__Anonymous_Sheet_DB__04[[#This Row],[Column8]]</f>
        <v>0.95579999999999998</v>
      </c>
      <c r="M26" s="7">
        <f>1/(1-__Anonymous_Sheet_DB__04[[#This Row],[Column1027]])</f>
        <v>5.6699496576210162</v>
      </c>
      <c r="N26" s="7">
        <f>1/(1-__Anonymous_Sheet_DB__04[[#This Row],[Column11]])</f>
        <v>22.624434389140262</v>
      </c>
      <c r="O26" s="7">
        <f>1/(1-__Anonymous_Sheet_DB__04[[#This Row],[Column5]])</f>
        <v>2.9411764705882346</v>
      </c>
    </row>
    <row r="27" spans="1:15">
      <c r="A27" t="s">
        <v>6</v>
      </c>
      <c r="B27" t="s">
        <v>49</v>
      </c>
      <c r="C27" t="s">
        <v>32</v>
      </c>
      <c r="E27">
        <v>205</v>
      </c>
      <c r="F27">
        <v>7261</v>
      </c>
      <c r="G27" s="4">
        <f>__Anonymous_Sheet_DB__04[[#This Row],[Column8]]*33*0.01</f>
        <v>2396.13</v>
      </c>
      <c r="H27">
        <v>1801</v>
      </c>
      <c r="I27" s="4">
        <f>__Anonymous_Sheet_DB__04[[#This Row],[Column9]]*0.14</f>
        <v>335.45820000000003</v>
      </c>
      <c r="J27" s="7">
        <f>1- (__Anonymous_Sheet_DB__04[[#This Row],[Column10]]/__Anonymous_Sheet_DB__04[[#This Row],[Column7]])</f>
        <v>0.81373781232648523</v>
      </c>
      <c r="K27" s="33">
        <f>1-__Anonymous_Sheet_DB__04[[#This Row],[Column9]]/__Anonymous_Sheet_DB__04[[#This Row],[Column8]]</f>
        <v>0.66999999999999993</v>
      </c>
      <c r="L27" s="33">
        <f>1-__Anonymous_Sheet_DB__04[[#This Row],[Column10]]/__Anonymous_Sheet_DB__04[[#This Row],[Column8]]</f>
        <v>0.95379999999999998</v>
      </c>
      <c r="M27" s="7">
        <f>1/(1-__Anonymous_Sheet_DB__04[[#This Row],[Column1027]])</f>
        <v>5.3687761992403207</v>
      </c>
      <c r="N27" s="7">
        <f>1/(1-__Anonymous_Sheet_DB__04[[#This Row],[Column11]])</f>
        <v>21.645021645021636</v>
      </c>
      <c r="O27" s="7">
        <f>1/(1-__Anonymous_Sheet_DB__04[[#This Row],[Column5]])</f>
        <v>3.0303030303030298</v>
      </c>
    </row>
    <row r="28" spans="1:15">
      <c r="A28" t="s">
        <v>6</v>
      </c>
      <c r="B28" t="s">
        <v>49</v>
      </c>
      <c r="C28" t="s">
        <v>33</v>
      </c>
      <c r="E28">
        <v>212</v>
      </c>
      <c r="F28">
        <v>7508</v>
      </c>
      <c r="G28" s="4">
        <f>__Anonymous_Sheet_DB__04[[#This Row],[Column8]]*35*0.01</f>
        <v>2627.8</v>
      </c>
      <c r="H28">
        <v>1780</v>
      </c>
      <c r="I28" s="4">
        <f>__Anonymous_Sheet_DB__04[[#This Row],[Column9]]*0.13</f>
        <v>341.61400000000003</v>
      </c>
      <c r="J28" s="7">
        <f>1- (__Anonymous_Sheet_DB__04[[#This Row],[Column10]]/__Anonymous_Sheet_DB__04[[#This Row],[Column7]])</f>
        <v>0.80808202247191008</v>
      </c>
      <c r="K28" s="33">
        <f>1-__Anonymous_Sheet_DB__04[[#This Row],[Column9]]/__Anonymous_Sheet_DB__04[[#This Row],[Column8]]</f>
        <v>0.64999999999999991</v>
      </c>
      <c r="L28" s="33">
        <f>1-__Anonymous_Sheet_DB__04[[#This Row],[Column10]]/__Anonymous_Sheet_DB__04[[#This Row],[Column8]]</f>
        <v>0.95450000000000002</v>
      </c>
      <c r="M28" s="7">
        <f>1/(1-__Anonymous_Sheet_DB__04[[#This Row],[Column1027]])</f>
        <v>5.2105592862119225</v>
      </c>
      <c r="N28" s="7">
        <f>1/(1-__Anonymous_Sheet_DB__04[[#This Row],[Column11]])</f>
        <v>21.978021978021985</v>
      </c>
      <c r="O28" s="7">
        <f>1/(1-__Anonymous_Sheet_DB__04[[#This Row],[Column5]])</f>
        <v>2.8571428571428563</v>
      </c>
    </row>
    <row r="29" spans="1:15">
      <c r="A29" t="s">
        <v>6</v>
      </c>
      <c r="B29" t="s">
        <v>49</v>
      </c>
      <c r="C29" t="s">
        <v>34</v>
      </c>
      <c r="E29">
        <v>222</v>
      </c>
      <c r="F29">
        <v>8204</v>
      </c>
      <c r="G29" s="4">
        <f>__Anonymous_Sheet_DB__04[[#This Row],[Column8]]*33*0.01</f>
        <v>2707.32</v>
      </c>
      <c r="H29">
        <v>2068</v>
      </c>
      <c r="I29" s="4">
        <f>__Anonymous_Sheet_DB__04[[#This Row],[Column9]]*0.13</f>
        <v>351.95160000000004</v>
      </c>
      <c r="J29" s="7">
        <f>1- (__Anonymous_Sheet_DB__04[[#This Row],[Column10]]/__Anonymous_Sheet_DB__04[[#This Row],[Column7]])</f>
        <v>0.82981063829787227</v>
      </c>
      <c r="K29" s="33">
        <f>1-__Anonymous_Sheet_DB__04[[#This Row],[Column9]]/__Anonymous_Sheet_DB__04[[#This Row],[Column8]]</f>
        <v>0.66999999999999993</v>
      </c>
      <c r="L29" s="33">
        <f>1-__Anonymous_Sheet_DB__04[[#This Row],[Column10]]/__Anonymous_Sheet_DB__04[[#This Row],[Column8]]</f>
        <v>0.95709999999999995</v>
      </c>
      <c r="M29" s="7">
        <f>1/(1-__Anonymous_Sheet_DB__04[[#This Row],[Column1027]])</f>
        <v>5.8758079235894911</v>
      </c>
      <c r="N29" s="7">
        <f>1/(1-__Anonymous_Sheet_DB__04[[#This Row],[Column11]])</f>
        <v>23.310023310023283</v>
      </c>
      <c r="O29" s="7">
        <f>1/(1-__Anonymous_Sheet_DB__04[[#This Row],[Column5]])</f>
        <v>3.0303030303030298</v>
      </c>
    </row>
    <row r="30" spans="1:15">
      <c r="A30" t="s">
        <v>6</v>
      </c>
      <c r="B30" t="s">
        <v>49</v>
      </c>
      <c r="C30" t="s">
        <v>35</v>
      </c>
      <c r="E30">
        <v>205</v>
      </c>
      <c r="F30">
        <v>7264</v>
      </c>
      <c r="G30" s="4">
        <f>__Anonymous_Sheet_DB__04[[#This Row],[Column8]]*32*0.01</f>
        <v>2324.48</v>
      </c>
      <c r="H30">
        <v>1802</v>
      </c>
      <c r="I30" s="4">
        <f>__Anonymous_Sheet_DB__04[[#This Row],[Column9]]*0.13</f>
        <v>302.18240000000003</v>
      </c>
      <c r="J30" s="7">
        <f>1- (__Anonymous_Sheet_DB__04[[#This Row],[Column10]]/__Anonymous_Sheet_DB__04[[#This Row],[Column7]])</f>
        <v>0.83230721420643727</v>
      </c>
      <c r="K30" s="33">
        <f>1-__Anonymous_Sheet_DB__04[[#This Row],[Column9]]/__Anonymous_Sheet_DB__04[[#This Row],[Column8]]</f>
        <v>0.67999999999999994</v>
      </c>
      <c r="L30" s="33">
        <f>1-__Anonymous_Sheet_DB__04[[#This Row],[Column10]]/__Anonymous_Sheet_DB__04[[#This Row],[Column8]]</f>
        <v>0.95840000000000003</v>
      </c>
      <c r="M30" s="7">
        <f>1/(1-__Anonymous_Sheet_DB__04[[#This Row],[Column1027]])</f>
        <v>5.9632857505930188</v>
      </c>
      <c r="N30" s="7">
        <f>1/(1-__Anonymous_Sheet_DB__04[[#This Row],[Column11]])</f>
        <v>24.038461538461554</v>
      </c>
      <c r="O30" s="7">
        <f>1/(1-__Anonymous_Sheet_DB__04[[#This Row],[Column5]])</f>
        <v>3.1249999999999996</v>
      </c>
    </row>
    <row r="31" spans="1:15">
      <c r="A31" t="s">
        <v>6</v>
      </c>
      <c r="B31" t="s">
        <v>49</v>
      </c>
      <c r="C31" t="s">
        <v>36</v>
      </c>
      <c r="E31">
        <v>205</v>
      </c>
      <c r="F31">
        <v>7264</v>
      </c>
      <c r="G31" s="4">
        <f>__Anonymous_Sheet_DB__04[[#This Row],[Column8]]*30*0.01</f>
        <v>2179.1999999999998</v>
      </c>
      <c r="H31">
        <v>1802</v>
      </c>
      <c r="I31" s="4">
        <f>__Anonymous_Sheet_DB__04[[#This Row],[Column9]]*0.13</f>
        <v>283.29599999999999</v>
      </c>
      <c r="J31" s="7">
        <f>1- (__Anonymous_Sheet_DB__04[[#This Row],[Column10]]/__Anonymous_Sheet_DB__04[[#This Row],[Column7]])</f>
        <v>0.84278801331853503</v>
      </c>
      <c r="K31" s="33">
        <f>1-__Anonymous_Sheet_DB__04[[#This Row],[Column9]]/__Anonymous_Sheet_DB__04[[#This Row],[Column8]]</f>
        <v>0.7</v>
      </c>
      <c r="L31" s="33">
        <f>1-__Anonymous_Sheet_DB__04[[#This Row],[Column10]]/__Anonymous_Sheet_DB__04[[#This Row],[Column8]]</f>
        <v>0.96099999999999997</v>
      </c>
      <c r="M31" s="7">
        <f>1/(1-__Anonymous_Sheet_DB__04[[#This Row],[Column1027]])</f>
        <v>6.3608381339658902</v>
      </c>
      <c r="N31" s="7">
        <f>1/(1-__Anonymous_Sheet_DB__04[[#This Row],[Column11]])</f>
        <v>25.641025641025617</v>
      </c>
      <c r="O31" s="7">
        <f>1/(1-__Anonymous_Sheet_DB__04[[#This Row],[Column5]])</f>
        <v>3.333333333333333</v>
      </c>
    </row>
    <row r="32" spans="1:15">
      <c r="A32" t="s">
        <v>6</v>
      </c>
      <c r="B32" t="s">
        <v>49</v>
      </c>
      <c r="C32" t="s">
        <v>37</v>
      </c>
      <c r="D32">
        <v>2939216</v>
      </c>
      <c r="E32">
        <v>280</v>
      </c>
      <c r="F32">
        <v>12399</v>
      </c>
      <c r="G32" s="4">
        <f>__Anonymous_Sheet_DB__04[[#This Row],[Column8]]*28*0.01</f>
        <v>3471.7200000000003</v>
      </c>
      <c r="H32">
        <v>2815</v>
      </c>
      <c r="I32" s="4">
        <f>__Anonymous_Sheet_DB__04[[#This Row],[Column9]]*0.17</f>
        <v>590.19240000000013</v>
      </c>
      <c r="J32" s="7">
        <f>1- (__Anonymous_Sheet_DB__04[[#This Row],[Column10]]/__Anonymous_Sheet_DB__04[[#This Row],[Column7]])</f>
        <v>0.79034017761989339</v>
      </c>
      <c r="K32" s="33">
        <f>1-__Anonymous_Sheet_DB__04[[#This Row],[Column9]]/__Anonymous_Sheet_DB__04[[#This Row],[Column8]]</f>
        <v>0.72</v>
      </c>
      <c r="L32" s="33">
        <f>1-__Anonymous_Sheet_DB__04[[#This Row],[Column10]]/__Anonymous_Sheet_DB__04[[#This Row],[Column8]]</f>
        <v>0.95240000000000002</v>
      </c>
      <c r="M32" s="7">
        <f>1/(1-__Anonymous_Sheet_DB__04[[#This Row],[Column1027]])</f>
        <v>4.7696310559065136</v>
      </c>
      <c r="N32" s="7">
        <f>1/(1-__Anonymous_Sheet_DB__04[[#This Row],[Column11]])</f>
        <v>21.008403361344548</v>
      </c>
      <c r="O32" s="7">
        <f>1/(1-__Anonymous_Sheet_DB__04[[#This Row],[Column5]])</f>
        <v>3.5714285714285712</v>
      </c>
    </row>
    <row r="33" spans="1:15">
      <c r="A33" t="s">
        <v>6</v>
      </c>
      <c r="B33" t="s">
        <v>49</v>
      </c>
      <c r="C33" t="s">
        <v>38</v>
      </c>
      <c r="D33">
        <v>2956184</v>
      </c>
      <c r="E33">
        <v>282</v>
      </c>
      <c r="F33">
        <v>12532</v>
      </c>
      <c r="G33" s="4">
        <f>__Anonymous_Sheet_DB__04[[#This Row],[Column8]]*28*0.01</f>
        <v>3508.96</v>
      </c>
      <c r="H33">
        <v>2861</v>
      </c>
      <c r="I33" s="4">
        <f>__Anonymous_Sheet_DB__04[[#This Row],[Column9]]*0.18</f>
        <v>631.61279999999999</v>
      </c>
      <c r="J33" s="7">
        <f>1- (__Anonymous_Sheet_DB__04[[#This Row],[Column10]]/__Anonymous_Sheet_DB__04[[#This Row],[Column7]])</f>
        <v>0.77923355470115341</v>
      </c>
      <c r="K33" s="33">
        <f>1-__Anonymous_Sheet_DB__04[[#This Row],[Column9]]/__Anonymous_Sheet_DB__04[[#This Row],[Column8]]</f>
        <v>0.72</v>
      </c>
      <c r="L33" s="33">
        <f>1-__Anonymous_Sheet_DB__04[[#This Row],[Column10]]/__Anonymous_Sheet_DB__04[[#This Row],[Column8]]</f>
        <v>0.9496</v>
      </c>
      <c r="M33" s="7">
        <f>1/(1-__Anonymous_Sheet_DB__04[[#This Row],[Column1027]])</f>
        <v>4.5296738761469042</v>
      </c>
      <c r="N33" s="7">
        <f>1/(1-__Anonymous_Sheet_DB__04[[#This Row],[Column11]])</f>
        <v>19.841269841269842</v>
      </c>
      <c r="O33" s="7">
        <f>1/(1-__Anonymous_Sheet_DB__04[[#This Row],[Column5]])</f>
        <v>3.5714285714285712</v>
      </c>
    </row>
    <row r="34" spans="1:15">
      <c r="A34" t="s">
        <v>6</v>
      </c>
      <c r="B34" t="s">
        <v>49</v>
      </c>
      <c r="C34" t="s">
        <v>39</v>
      </c>
      <c r="D34">
        <v>2699208</v>
      </c>
      <c r="E34">
        <v>265</v>
      </c>
      <c r="F34">
        <v>11371</v>
      </c>
      <c r="G34" s="4">
        <f>__Anonymous_Sheet_DB__04[[#This Row],[Column8]]*25*0.01</f>
        <v>2842.75</v>
      </c>
      <c r="H34">
        <v>2804</v>
      </c>
      <c r="I34" s="4">
        <f>__Anonymous_Sheet_DB__04[[#This Row],[Column9]]*0.19</f>
        <v>540.12250000000006</v>
      </c>
      <c r="J34" s="7">
        <f>1- (__Anonymous_Sheet_DB__04[[#This Row],[Column10]]/__Anonymous_Sheet_DB__04[[#This Row],[Column7]])</f>
        <v>0.80737428673323819</v>
      </c>
      <c r="K34" s="33">
        <f>1-__Anonymous_Sheet_DB__04[[#This Row],[Column9]]/__Anonymous_Sheet_DB__04[[#This Row],[Column8]]</f>
        <v>0.75</v>
      </c>
      <c r="L34" s="33">
        <f>1-__Anonymous_Sheet_DB__04[[#This Row],[Column10]]/__Anonymous_Sheet_DB__04[[#This Row],[Column8]]</f>
        <v>0.95250000000000001</v>
      </c>
      <c r="M34" s="7">
        <f>1/(1-__Anonymous_Sheet_DB__04[[#This Row],[Column1027]])</f>
        <v>5.1914149105064116</v>
      </c>
      <c r="N34" s="7">
        <f>1/(1-__Anonymous_Sheet_DB__04[[#This Row],[Column11]])</f>
        <v>21.052631578947373</v>
      </c>
      <c r="O34" s="7">
        <f>1/(1-__Anonymous_Sheet_DB__04[[#This Row],[Column5]])</f>
        <v>4</v>
      </c>
    </row>
    <row r="35" spans="1:15">
      <c r="A35" t="s">
        <v>6</v>
      </c>
      <c r="B35" t="s">
        <v>49</v>
      </c>
      <c r="C35" t="s">
        <v>40</v>
      </c>
      <c r="D35">
        <v>2778736</v>
      </c>
      <c r="E35">
        <v>259</v>
      </c>
      <c r="F35">
        <v>11502</v>
      </c>
      <c r="G35" s="4">
        <f>__Anonymous_Sheet_DB__04[[#This Row],[Column8]]*27*0.01</f>
        <v>3105.54</v>
      </c>
      <c r="H35">
        <v>2648</v>
      </c>
      <c r="I35" s="4">
        <f>__Anonymous_Sheet_DB__04[[#This Row],[Column9]]*0.19</f>
        <v>590.05259999999998</v>
      </c>
      <c r="J35" s="7">
        <f>1- (__Anonymous_Sheet_DB__04[[#This Row],[Column10]]/__Anonymous_Sheet_DB__04[[#This Row],[Column7]])</f>
        <v>0.77717046827794567</v>
      </c>
      <c r="K35" s="33">
        <f>1-__Anonymous_Sheet_DB__04[[#This Row],[Column9]]/__Anonymous_Sheet_DB__04[[#This Row],[Column8]]</f>
        <v>0.73</v>
      </c>
      <c r="L35" s="33">
        <f>1-__Anonymous_Sheet_DB__04[[#This Row],[Column10]]/__Anonymous_Sheet_DB__04[[#This Row],[Column8]]</f>
        <v>0.94869999999999999</v>
      </c>
      <c r="M35" s="7">
        <f>1/(1-__Anonymous_Sheet_DB__04[[#This Row],[Column1027]])</f>
        <v>4.4877355001910013</v>
      </c>
      <c r="N35" s="7">
        <f>1/(1-__Anonymous_Sheet_DB__04[[#This Row],[Column11]])</f>
        <v>19.493177387914226</v>
      </c>
      <c r="O35" s="7">
        <f>1/(1-__Anonymous_Sheet_DB__04[[#This Row],[Column5]])</f>
        <v>3.7037037037037033</v>
      </c>
    </row>
    <row r="36" spans="1:15">
      <c r="A36" t="s">
        <v>6</v>
      </c>
      <c r="B36" t="s">
        <v>49</v>
      </c>
      <c r="C36" t="s">
        <v>41</v>
      </c>
      <c r="D36">
        <v>2521592</v>
      </c>
      <c r="E36">
        <v>242</v>
      </c>
      <c r="F36">
        <v>10254</v>
      </c>
      <c r="G36" s="4">
        <f>__Anonymous_Sheet_DB__04[[#This Row],[Column8]]*32*0.01</f>
        <v>3281.28</v>
      </c>
      <c r="H36">
        <v>2517</v>
      </c>
      <c r="I36" s="4">
        <f>__Anonymous_Sheet_DB__04[[#This Row],[Column9]]*0.21</f>
        <v>689.06880000000001</v>
      </c>
      <c r="J36" s="7">
        <f>1- (__Anonymous_Sheet_DB__04[[#This Row],[Column10]]/__Anonymous_Sheet_DB__04[[#This Row],[Column7]])</f>
        <v>0.72623408820023838</v>
      </c>
      <c r="K36" s="33">
        <f>1-__Anonymous_Sheet_DB__04[[#This Row],[Column9]]/__Anonymous_Sheet_DB__04[[#This Row],[Column8]]</f>
        <v>0.67999999999999994</v>
      </c>
      <c r="L36" s="33">
        <f>1-__Anonymous_Sheet_DB__04[[#This Row],[Column10]]/__Anonymous_Sheet_DB__04[[#This Row],[Column8]]</f>
        <v>0.93279999999999996</v>
      </c>
      <c r="M36" s="7">
        <f>1/(1-__Anonymous_Sheet_DB__04[[#This Row],[Column1027]])</f>
        <v>3.6527557190225419</v>
      </c>
      <c r="N36" s="7">
        <f>1/(1-__Anonymous_Sheet_DB__04[[#This Row],[Column11]])</f>
        <v>14.880952380952372</v>
      </c>
      <c r="O36" s="7">
        <f>1/(1-__Anonymous_Sheet_DB__04[[#This Row],[Column5]])</f>
        <v>3.1249999999999996</v>
      </c>
    </row>
    <row r="37" spans="1:15">
      <c r="A37" t="s">
        <v>6</v>
      </c>
      <c r="B37" t="s">
        <v>49</v>
      </c>
      <c r="C37" t="s">
        <v>42</v>
      </c>
      <c r="D37">
        <v>2597528</v>
      </c>
      <c r="E37">
        <v>248</v>
      </c>
      <c r="F37">
        <v>10645</v>
      </c>
      <c r="G37" s="4">
        <f>__Anonymous_Sheet_DB__04[[#This Row],[Column8]]*29*0.01</f>
        <v>3087.05</v>
      </c>
      <c r="H37">
        <v>2585</v>
      </c>
      <c r="I37" s="4">
        <f>__Anonymous_Sheet_DB__04[[#This Row],[Column9]]*0.2</f>
        <v>617.41000000000008</v>
      </c>
      <c r="J37" s="7">
        <f>1- (__Anonymous_Sheet_DB__04[[#This Row],[Column10]]/__Anonymous_Sheet_DB__04[[#This Row],[Column7]])</f>
        <v>0.76115667311411994</v>
      </c>
      <c r="K37" s="33">
        <f>1-__Anonymous_Sheet_DB__04[[#This Row],[Column9]]/__Anonymous_Sheet_DB__04[[#This Row],[Column8]]</f>
        <v>0.71</v>
      </c>
      <c r="L37" s="33">
        <f>1-__Anonymous_Sheet_DB__04[[#This Row],[Column10]]/__Anonymous_Sheet_DB__04[[#This Row],[Column8]]</f>
        <v>0.94199999999999995</v>
      </c>
      <c r="M37" s="7">
        <f>1/(1-__Anonymous_Sheet_DB__04[[#This Row],[Column1027]])</f>
        <v>4.1868450462415581</v>
      </c>
      <c r="N37" s="7">
        <f>1/(1-__Anonymous_Sheet_DB__04[[#This Row],[Column11]])</f>
        <v>17.241379310344811</v>
      </c>
      <c r="O37" s="7">
        <f>1/(1-__Anonymous_Sheet_DB__04[[#This Row],[Column5]])</f>
        <v>3.4482758620689653</v>
      </c>
    </row>
    <row r="38" spans="1:15">
      <c r="A38" t="s">
        <v>6</v>
      </c>
      <c r="B38" t="s">
        <v>49</v>
      </c>
      <c r="C38" t="s">
        <v>43</v>
      </c>
      <c r="D38">
        <v>2526536</v>
      </c>
      <c r="E38">
        <v>248</v>
      </c>
      <c r="F38">
        <v>10109</v>
      </c>
      <c r="G38" s="4">
        <f>__Anonymous_Sheet_DB__04[[#This Row],[Column8]]*27*0.01</f>
        <v>2729.43</v>
      </c>
      <c r="H38">
        <v>2396</v>
      </c>
      <c r="I38" s="4">
        <f>__Anonymous_Sheet_DB__04[[#This Row],[Column9]]*0.22</f>
        <v>600.47460000000001</v>
      </c>
      <c r="J38" s="7">
        <f>1- (__Anonymous_Sheet_DB__04[[#This Row],[Column10]]/__Anonymous_Sheet_DB__04[[#This Row],[Column7]])</f>
        <v>0.74938455759599332</v>
      </c>
      <c r="K38" s="33">
        <f>1-__Anonymous_Sheet_DB__04[[#This Row],[Column9]]/__Anonymous_Sheet_DB__04[[#This Row],[Column8]]</f>
        <v>0.73</v>
      </c>
      <c r="L38" s="33">
        <f>1-__Anonymous_Sheet_DB__04[[#This Row],[Column10]]/__Anonymous_Sheet_DB__04[[#This Row],[Column8]]</f>
        <v>0.94059999999999999</v>
      </c>
      <c r="M38" s="7">
        <f>1/(1-__Anonymous_Sheet_DB__04[[#This Row],[Column1027]])</f>
        <v>3.9901771032446667</v>
      </c>
      <c r="N38" s="7">
        <f>1/(1-__Anonymous_Sheet_DB__04[[#This Row],[Column11]])</f>
        <v>16.835016835016834</v>
      </c>
      <c r="O38" s="7">
        <f>1/(1-__Anonymous_Sheet_DB__04[[#This Row],[Column5]])</f>
        <v>3.7037037037037033</v>
      </c>
    </row>
    <row r="39" spans="1:15">
      <c r="A39" t="s">
        <v>6</v>
      </c>
      <c r="B39" t="s">
        <v>49</v>
      </c>
      <c r="C39" t="s">
        <v>44</v>
      </c>
      <c r="D39">
        <v>2596264</v>
      </c>
      <c r="E39">
        <v>248</v>
      </c>
      <c r="F39">
        <v>10641</v>
      </c>
      <c r="G39" s="4">
        <f>__Anonymous_Sheet_DB__04[[#This Row],[Column8]]*28*0.01</f>
        <v>2979.48</v>
      </c>
      <c r="H39">
        <v>2585</v>
      </c>
      <c r="I39" s="4">
        <f>__Anonymous_Sheet_DB__04[[#This Row],[Column9]]*0.21</f>
        <v>625.69079999999997</v>
      </c>
      <c r="J39" s="7">
        <f>1- (__Anonymous_Sheet_DB__04[[#This Row],[Column10]]/__Anonymous_Sheet_DB__04[[#This Row],[Column7]])</f>
        <v>0.75795326885880077</v>
      </c>
      <c r="K39" s="33">
        <f>1-__Anonymous_Sheet_DB__04[[#This Row],[Column9]]/__Anonymous_Sheet_DB__04[[#This Row],[Column8]]</f>
        <v>0.72</v>
      </c>
      <c r="L39" s="33">
        <f>1-__Anonymous_Sheet_DB__04[[#This Row],[Column10]]/__Anonymous_Sheet_DB__04[[#This Row],[Column8]]</f>
        <v>0.94120000000000004</v>
      </c>
      <c r="M39" s="7">
        <f>1/(1-__Anonymous_Sheet_DB__04[[#This Row],[Column1027]])</f>
        <v>4.1314336090605774</v>
      </c>
      <c r="N39" s="7">
        <f>1/(1-__Anonymous_Sheet_DB__04[[#This Row],[Column11]])</f>
        <v>17.006802721088444</v>
      </c>
      <c r="O39" s="7">
        <f>1/(1-__Anonymous_Sheet_DB__04[[#This Row],[Column5]])</f>
        <v>3.5714285714285712</v>
      </c>
    </row>
    <row r="40" spans="1:15">
      <c r="E40" s="31"/>
      <c r="F40" s="32">
        <f>AVERAGE(F2:F39)</f>
        <v>10787.473684210527</v>
      </c>
      <c r="G40" s="32">
        <f>AVERAGE(G2:G39)</f>
        <v>3260.3905263157894</v>
      </c>
      <c r="H40" s="32">
        <f>AVERAGE(H2:H39)</f>
        <v>2678.4473684210525</v>
      </c>
      <c r="I40" s="32">
        <f>AVERAGE(I2:I39)</f>
        <v>590.50867894736848</v>
      </c>
      <c r="J40" s="48">
        <f>1- (__Anonymous_Sheet_DB__04[[#This Row],[Column10]]/__Anonymous_Sheet_DB__04[[#This Row],[Column7]])</f>
        <v>0.77953321543313581</v>
      </c>
      <c r="K40" s="33">
        <f>AVERAGE(K2:K39)</f>
        <v>0.6957894736842104</v>
      </c>
      <c r="L40" s="33">
        <f>1-__Anonymous_Sheet_DB__04[[#This Row],[Column10]]/__Anonymous_Sheet_DB__04[[#This Row],[Column8]]</f>
        <v>0.94525978034952818</v>
      </c>
      <c r="M40" s="7">
        <f>1/(1-__Anonymous_Sheet_DB__04[[#This Row],[Column1027]])</f>
        <v>4.5358306556909724</v>
      </c>
      <c r="N40" s="7">
        <f>1/(1-__Anonymous_Sheet_DB__04[[#This Row],[Column11]])</f>
        <v>18.268103533109969</v>
      </c>
      <c r="O40" s="7">
        <f>1/(1-__Anonymous_Sheet_DB__04[[#This Row],[Column5]])</f>
        <v>3.2871972318339089</v>
      </c>
    </row>
    <row r="42" spans="1:15">
      <c r="O42" s="34"/>
    </row>
  </sheetData>
  <pageMargins left="0" right="0" top="0.39370078740157505" bottom="0.39370078740157505" header="0" footer="0"/>
  <pageSetup fitToWidth="0" fitToHeight="0"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B13"/>
  <sheetViews>
    <sheetView topLeftCell="H16" workbookViewId="0">
      <selection activeCell="S23" sqref="S23"/>
    </sheetView>
  </sheetViews>
  <sheetFormatPr defaultRowHeight="14.25"/>
  <cols>
    <col min="1" max="1" width="14.125" bestFit="1" customWidth="1"/>
    <col min="2" max="2" width="33.25" bestFit="1" customWidth="1"/>
    <col min="3" max="3" width="12.5" customWidth="1"/>
    <col min="4" max="4" width="9.5" customWidth="1"/>
    <col min="5" max="5" width="12.5" bestFit="1" customWidth="1"/>
    <col min="6" max="8" width="14.625" customWidth="1"/>
    <col min="9" max="9" width="15.375" customWidth="1"/>
    <col min="10" max="10" width="14.625" customWidth="1"/>
    <col min="11" max="11" width="5.375" customWidth="1"/>
    <col min="12" max="12" width="10.125" bestFit="1" customWidth="1"/>
    <col min="13" max="13" width="9.25" customWidth="1"/>
    <col min="14" max="14" width="9.25" bestFit="1" customWidth="1"/>
    <col min="15" max="17" width="9.25" customWidth="1"/>
    <col min="18" max="18" width="12.875" customWidth="1"/>
    <col min="19" max="19" width="13.125" bestFit="1" customWidth="1"/>
    <col min="20" max="20" width="11.625" customWidth="1"/>
    <col min="21" max="21" width="14.125" customWidth="1"/>
  </cols>
  <sheetData>
    <row r="2" spans="1:1042" ht="15">
      <c r="A2" s="1" t="s">
        <v>0</v>
      </c>
      <c r="B2" s="1" t="s">
        <v>2</v>
      </c>
      <c r="C2" s="1" t="s">
        <v>5</v>
      </c>
      <c r="D2" s="50" t="s">
        <v>234</v>
      </c>
      <c r="E2" s="47" t="s">
        <v>221</v>
      </c>
      <c r="F2" s="45" t="s">
        <v>219</v>
      </c>
      <c r="G2" s="45" t="s">
        <v>76</v>
      </c>
      <c r="H2" s="45" t="s">
        <v>75</v>
      </c>
      <c r="I2" s="45" t="s">
        <v>232</v>
      </c>
      <c r="J2" s="45" t="s">
        <v>235</v>
      </c>
      <c r="K2" s="45" t="s">
        <v>75</v>
      </c>
      <c r="L2" s="45" t="s">
        <v>232</v>
      </c>
      <c r="M2" s="45" t="s">
        <v>76</v>
      </c>
      <c r="N2" s="45" t="s">
        <v>235</v>
      </c>
      <c r="O2" s="45" t="s">
        <v>236</v>
      </c>
      <c r="P2" s="45"/>
      <c r="Q2" s="45"/>
    </row>
    <row r="3" spans="1:1042" s="37" customFormat="1">
      <c r="A3" s="37" t="s">
        <v>6</v>
      </c>
      <c r="B3" s="15" t="s">
        <v>8</v>
      </c>
      <c r="C3" s="15">
        <v>256</v>
      </c>
      <c r="D3" s="15">
        <v>1426</v>
      </c>
      <c r="E3" s="53">
        <v>20698225913.52</v>
      </c>
      <c r="F3" s="54">
        <v>1572478897.3600001</v>
      </c>
      <c r="G3" s="54">
        <f t="shared" ref="G3:G12" si="0">M3*F3/100</f>
        <v>2358718.3460400002</v>
      </c>
      <c r="H3" s="54">
        <f t="shared" ref="H3:H12" si="1">K3*F3/100</f>
        <v>5818171.9202320008</v>
      </c>
      <c r="I3" s="54">
        <f t="shared" ref="I3:I12" si="2">L3*F3/100</f>
        <v>4560188.802344</v>
      </c>
      <c r="J3" s="54">
        <f t="shared" ref="J3:J12" si="3">N3*F3/100</f>
        <v>1886974.676832</v>
      </c>
      <c r="K3" s="56">
        <v>0.37</v>
      </c>
      <c r="L3" s="56">
        <v>0.28999999999999998</v>
      </c>
      <c r="M3" s="56">
        <v>0.15</v>
      </c>
      <c r="N3" s="56">
        <v>0.12</v>
      </c>
      <c r="O3" s="56">
        <v>7.0000000000000007E-2</v>
      </c>
      <c r="P3" s="38"/>
      <c r="Q3" s="52"/>
      <c r="R3" s="51"/>
      <c r="S3" s="51"/>
      <c r="T3" s="38"/>
      <c r="U3" s="38"/>
      <c r="V3" s="38"/>
      <c r="W3" s="49"/>
      <c r="X3" s="49"/>
      <c r="Y3" s="49"/>
      <c r="Z3" s="49"/>
      <c r="AA3" s="37" t="s">
        <v>195</v>
      </c>
      <c r="AB3" s="37">
        <v>0</v>
      </c>
      <c r="AC3" s="37">
        <v>5</v>
      </c>
    </row>
    <row r="4" spans="1:1042" s="37" customFormat="1">
      <c r="A4" s="37" t="s">
        <v>6</v>
      </c>
      <c r="B4" s="15" t="s">
        <v>9</v>
      </c>
      <c r="C4" s="15">
        <v>256</v>
      </c>
      <c r="D4" s="15">
        <v>1358</v>
      </c>
      <c r="E4" s="53">
        <v>20415638591.689999</v>
      </c>
      <c r="F4" s="54">
        <v>1533201919.52</v>
      </c>
      <c r="G4" s="54">
        <f t="shared" si="0"/>
        <v>2606443.2631840003</v>
      </c>
      <c r="H4" s="54">
        <f t="shared" si="1"/>
        <v>6132807.67808</v>
      </c>
      <c r="I4" s="54">
        <f t="shared" si="2"/>
        <v>4292965.3746560002</v>
      </c>
      <c r="J4" s="54">
        <f t="shared" si="3"/>
        <v>1533201.91952</v>
      </c>
      <c r="K4" s="56">
        <v>0.4</v>
      </c>
      <c r="L4" s="56">
        <v>0.28000000000000003</v>
      </c>
      <c r="M4" s="56">
        <v>0.17</v>
      </c>
      <c r="N4" s="56">
        <v>0.1</v>
      </c>
      <c r="O4" s="56">
        <v>0.05</v>
      </c>
      <c r="P4" s="38"/>
      <c r="Q4" s="52"/>
      <c r="R4" s="51"/>
      <c r="S4" s="51"/>
      <c r="T4" s="38"/>
      <c r="U4" s="38"/>
      <c r="V4" s="38"/>
      <c r="W4" s="49"/>
      <c r="X4" s="49"/>
      <c r="Y4" s="49"/>
      <c r="Z4" s="49"/>
      <c r="AA4" s="37" t="s">
        <v>194</v>
      </c>
      <c r="AB4" s="37">
        <v>0</v>
      </c>
      <c r="AC4" s="37">
        <v>5</v>
      </c>
    </row>
    <row r="5" spans="1:1042" s="35" customFormat="1">
      <c r="A5" s="38" t="s">
        <v>6</v>
      </c>
      <c r="B5" s="15" t="s">
        <v>10</v>
      </c>
      <c r="C5" s="15">
        <v>231</v>
      </c>
      <c r="D5" s="15">
        <v>2643</v>
      </c>
      <c r="E5" s="53">
        <v>16831631379.6</v>
      </c>
      <c r="F5" s="54">
        <v>1246787509.6000001</v>
      </c>
      <c r="G5" s="54">
        <f t="shared" si="0"/>
        <v>2119538.7663200004</v>
      </c>
      <c r="H5" s="54">
        <f t="shared" si="1"/>
        <v>4737792.5364800002</v>
      </c>
      <c r="I5" s="54">
        <f t="shared" si="2"/>
        <v>3615683.7778400006</v>
      </c>
      <c r="J5" s="54">
        <f t="shared" si="3"/>
        <v>1371466.2605600003</v>
      </c>
      <c r="K5" s="56">
        <v>0.38</v>
      </c>
      <c r="L5" s="56">
        <v>0.28999999999999998</v>
      </c>
      <c r="M5" s="56">
        <v>0.17</v>
      </c>
      <c r="N5" s="56">
        <v>0.11</v>
      </c>
      <c r="O5" s="56">
        <v>0.05</v>
      </c>
      <c r="P5" s="38"/>
      <c r="Q5" s="52"/>
      <c r="R5" s="51"/>
      <c r="S5" s="51"/>
      <c r="T5" s="38"/>
      <c r="U5" s="38"/>
      <c r="V5" s="38"/>
      <c r="W5" s="38"/>
      <c r="X5" s="38"/>
      <c r="Y5" s="38"/>
      <c r="Z5" s="38"/>
      <c r="AA5" s="38" t="s">
        <v>213</v>
      </c>
      <c r="AB5" s="38">
        <v>0</v>
      </c>
      <c r="AC5" s="38">
        <v>5</v>
      </c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38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38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38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  <c r="ZI5" s="38"/>
      <c r="ZJ5" s="38"/>
      <c r="ZK5" s="38"/>
      <c r="ZL5" s="38"/>
      <c r="ZM5" s="38"/>
      <c r="ZN5" s="38"/>
      <c r="ZO5" s="38"/>
      <c r="ZP5" s="38"/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  <c r="ALZ5" s="38"/>
      <c r="AMA5" s="38"/>
      <c r="AMB5" s="38"/>
      <c r="AMC5" s="38"/>
      <c r="AMD5" s="38"/>
      <c r="AME5" s="38"/>
      <c r="AMF5" s="38"/>
      <c r="AMG5" s="38"/>
      <c r="AMH5" s="38"/>
      <c r="AMI5" s="38"/>
      <c r="AMJ5" s="38"/>
      <c r="AMK5" s="38"/>
      <c r="AML5" s="38"/>
      <c r="AMM5" s="38"/>
      <c r="AMN5" s="38"/>
      <c r="AMO5" s="38"/>
      <c r="AMP5" s="38"/>
      <c r="AMQ5" s="38"/>
      <c r="AMR5" s="38"/>
      <c r="AMS5" s="38"/>
      <c r="AMT5" s="38"/>
      <c r="AMU5" s="38"/>
      <c r="AMV5" s="38"/>
      <c r="AMW5" s="38"/>
      <c r="AMX5" s="38"/>
      <c r="AMY5" s="38"/>
      <c r="AMZ5" s="38"/>
      <c r="ANA5" s="38"/>
      <c r="ANB5" s="37"/>
    </row>
    <row r="6" spans="1:1042" s="37" customFormat="1">
      <c r="A6" s="37" t="s">
        <v>6</v>
      </c>
      <c r="B6" s="15" t="s">
        <v>11</v>
      </c>
      <c r="C6" s="15">
        <v>223</v>
      </c>
      <c r="D6" s="15">
        <v>2624</v>
      </c>
      <c r="E6" s="53">
        <v>16662819578.719999</v>
      </c>
      <c r="F6" s="54">
        <v>943178466.71999991</v>
      </c>
      <c r="G6" s="54">
        <f t="shared" si="0"/>
        <v>1509085.5467519998</v>
      </c>
      <c r="H6" s="54">
        <f t="shared" si="1"/>
        <v>3395442.4801919996</v>
      </c>
      <c r="I6" s="54">
        <f t="shared" si="2"/>
        <v>2829535.4001599997</v>
      </c>
      <c r="J6" s="54">
        <f t="shared" si="3"/>
        <v>1131814.1600639999</v>
      </c>
      <c r="K6" s="56">
        <v>0.36</v>
      </c>
      <c r="L6" s="56">
        <v>0.3</v>
      </c>
      <c r="M6" s="56">
        <v>0.16</v>
      </c>
      <c r="N6" s="56">
        <v>0.12</v>
      </c>
      <c r="O6" s="56">
        <v>0.06</v>
      </c>
      <c r="P6" s="38"/>
      <c r="Q6" s="52"/>
      <c r="R6" s="51"/>
      <c r="S6" s="51"/>
      <c r="T6" s="38"/>
      <c r="U6" s="38"/>
      <c r="V6" s="38"/>
      <c r="W6" s="49"/>
      <c r="X6" s="49"/>
      <c r="Y6" s="49"/>
      <c r="Z6" s="49"/>
      <c r="AA6" s="37" t="s">
        <v>212</v>
      </c>
      <c r="AB6" s="37">
        <v>0</v>
      </c>
      <c r="AC6" s="37">
        <v>5</v>
      </c>
    </row>
    <row r="7" spans="1:1042" s="37" customFormat="1">
      <c r="A7" s="37" t="s">
        <v>6</v>
      </c>
      <c r="B7" s="15" t="s">
        <v>12</v>
      </c>
      <c r="C7" s="15">
        <v>223</v>
      </c>
      <c r="D7" s="15">
        <v>2634</v>
      </c>
      <c r="E7" s="53">
        <v>16432895279.76</v>
      </c>
      <c r="F7" s="54">
        <v>930163883.75999999</v>
      </c>
      <c r="G7" s="54">
        <f t="shared" si="0"/>
        <v>1488262.214016</v>
      </c>
      <c r="H7" s="54">
        <f t="shared" si="1"/>
        <v>3069540.816408</v>
      </c>
      <c r="I7" s="54">
        <f t="shared" si="2"/>
        <v>3069540.816408</v>
      </c>
      <c r="J7" s="54">
        <f t="shared" si="3"/>
        <v>1209213.0488880002</v>
      </c>
      <c r="K7" s="56">
        <v>0.33</v>
      </c>
      <c r="L7" s="56">
        <v>0.33</v>
      </c>
      <c r="M7" s="56">
        <v>0.16</v>
      </c>
      <c r="N7" s="56">
        <v>0.13</v>
      </c>
      <c r="O7" s="56">
        <v>0.05</v>
      </c>
      <c r="P7" s="38"/>
      <c r="Q7" s="52"/>
      <c r="R7" s="51"/>
      <c r="S7" s="51"/>
      <c r="T7" s="38"/>
      <c r="U7" s="38"/>
      <c r="V7" s="38"/>
      <c r="W7" s="49"/>
      <c r="X7" s="49"/>
      <c r="Y7" s="49"/>
      <c r="Z7" s="49"/>
      <c r="AA7" s="37" t="s">
        <v>211</v>
      </c>
      <c r="AB7" s="37">
        <v>0</v>
      </c>
      <c r="AC7" s="37">
        <v>5</v>
      </c>
      <c r="AE7" s="44" t="s">
        <v>210</v>
      </c>
      <c r="AF7" s="43" t="e">
        <f>AVERAGE(U5:U41)</f>
        <v>#DIV/0!</v>
      </c>
      <c r="AG7" s="43" t="e">
        <f>AVERAGE(S5:S41)</f>
        <v>#DIV/0!</v>
      </c>
    </row>
    <row r="8" spans="1:1042" s="37" customFormat="1">
      <c r="A8" s="37" t="s">
        <v>6</v>
      </c>
      <c r="B8" s="15" t="s">
        <v>13</v>
      </c>
      <c r="C8" s="15">
        <v>210</v>
      </c>
      <c r="D8" s="15">
        <v>2643</v>
      </c>
      <c r="E8" s="53">
        <v>15446768376.059999</v>
      </c>
      <c r="F8" s="54">
        <v>1275421242.0599999</v>
      </c>
      <c r="G8" s="54">
        <f t="shared" si="0"/>
        <v>2168216.1115020001</v>
      </c>
      <c r="H8" s="54">
        <f t="shared" si="1"/>
        <v>4463974.3472099993</v>
      </c>
      <c r="I8" s="54">
        <f t="shared" si="2"/>
        <v>4081347.9745919998</v>
      </c>
      <c r="J8" s="54">
        <f t="shared" si="3"/>
        <v>1402963.3662660001</v>
      </c>
      <c r="K8" s="56">
        <v>0.35</v>
      </c>
      <c r="L8" s="56">
        <v>0.32</v>
      </c>
      <c r="M8" s="56">
        <v>0.17</v>
      </c>
      <c r="N8" s="56">
        <v>0.11</v>
      </c>
      <c r="O8" s="56">
        <v>0.05</v>
      </c>
      <c r="P8" s="38"/>
      <c r="Q8" s="52"/>
      <c r="R8" s="51"/>
      <c r="S8" s="51"/>
      <c r="T8" s="38"/>
      <c r="U8" s="38"/>
      <c r="V8" s="38"/>
      <c r="W8" s="49"/>
      <c r="X8" s="49"/>
      <c r="Y8" s="49"/>
      <c r="Z8" s="49"/>
      <c r="AA8" s="37" t="s">
        <v>204</v>
      </c>
      <c r="AB8" s="37">
        <v>0</v>
      </c>
      <c r="AC8" s="37">
        <v>5</v>
      </c>
    </row>
    <row r="9" spans="1:1042" s="37" customFormat="1">
      <c r="A9" s="37" t="s">
        <v>6</v>
      </c>
      <c r="B9" s="15" t="s">
        <v>14</v>
      </c>
      <c r="C9" s="15">
        <v>210</v>
      </c>
      <c r="D9" s="15">
        <v>1583</v>
      </c>
      <c r="E9" s="53">
        <v>16120839297.57</v>
      </c>
      <c r="F9" s="54">
        <v>1054634346.5700001</v>
      </c>
      <c r="G9" s="54">
        <f t="shared" si="0"/>
        <v>1898341.8238260001</v>
      </c>
      <c r="H9" s="54">
        <f t="shared" si="1"/>
        <v>4007610.5169660002</v>
      </c>
      <c r="I9" s="54">
        <f t="shared" si="2"/>
        <v>3058439.6050529997</v>
      </c>
      <c r="J9" s="54">
        <f t="shared" si="3"/>
        <v>1054634.3465700001</v>
      </c>
      <c r="K9" s="56">
        <v>0.38</v>
      </c>
      <c r="L9" s="56">
        <v>0.28999999999999998</v>
      </c>
      <c r="M9" s="56">
        <v>0.18</v>
      </c>
      <c r="N9" s="56">
        <v>0.1</v>
      </c>
      <c r="O9" s="56">
        <v>0.05</v>
      </c>
      <c r="P9" s="38"/>
      <c r="Q9" s="52"/>
      <c r="R9" s="51"/>
      <c r="S9" s="51"/>
      <c r="T9" s="38"/>
      <c r="U9" s="38"/>
      <c r="V9" s="38"/>
      <c r="W9" s="49"/>
      <c r="X9" s="49"/>
      <c r="Y9" s="49"/>
      <c r="Z9" s="49"/>
      <c r="AA9" s="37" t="s">
        <v>203</v>
      </c>
      <c r="AB9" s="37">
        <v>0</v>
      </c>
      <c r="AC9" s="37">
        <v>5</v>
      </c>
    </row>
    <row r="10" spans="1:1042" s="37" customFormat="1">
      <c r="A10" s="37" t="s">
        <v>6</v>
      </c>
      <c r="B10" s="15" t="s">
        <v>16</v>
      </c>
      <c r="C10" s="15">
        <v>218</v>
      </c>
      <c r="D10" s="15">
        <v>1661</v>
      </c>
      <c r="E10" s="53">
        <v>16102252344.57</v>
      </c>
      <c r="F10" s="54">
        <v>1329543771.5699999</v>
      </c>
      <c r="G10" s="54">
        <f t="shared" si="0"/>
        <v>1994315.6573549998</v>
      </c>
      <c r="H10" s="54">
        <f t="shared" si="1"/>
        <v>5318175.0862800004</v>
      </c>
      <c r="I10" s="54">
        <f t="shared" si="2"/>
        <v>3589768.1832389999</v>
      </c>
      <c r="J10" s="54">
        <f t="shared" si="3"/>
        <v>1462498.148727</v>
      </c>
      <c r="K10" s="56">
        <v>0.4</v>
      </c>
      <c r="L10" s="56">
        <v>0.27</v>
      </c>
      <c r="M10" s="56">
        <v>0.15</v>
      </c>
      <c r="N10" s="56">
        <v>0.11</v>
      </c>
      <c r="O10" s="56">
        <v>7.0000000000000007E-2</v>
      </c>
      <c r="P10" s="38"/>
      <c r="Q10" s="52"/>
      <c r="R10" s="51"/>
      <c r="S10" s="51"/>
      <c r="T10" s="38"/>
      <c r="U10" s="38"/>
      <c r="V10" s="38"/>
      <c r="W10" s="49"/>
      <c r="X10" s="49"/>
      <c r="Y10" s="49"/>
      <c r="Z10" s="49"/>
      <c r="AA10" s="37" t="s">
        <v>201</v>
      </c>
      <c r="AB10" s="37">
        <v>0</v>
      </c>
      <c r="AC10" s="37">
        <v>5</v>
      </c>
    </row>
    <row r="11" spans="1:1042" s="37" customFormat="1" ht="12" customHeight="1">
      <c r="A11" s="37" t="s">
        <v>6</v>
      </c>
      <c r="B11" s="15" t="s">
        <v>21</v>
      </c>
      <c r="C11" s="15">
        <v>334</v>
      </c>
      <c r="D11" s="15">
        <v>1876</v>
      </c>
      <c r="E11" s="53">
        <v>39672394463.400002</v>
      </c>
      <c r="F11" s="54">
        <v>5174660147.3999996</v>
      </c>
      <c r="G11" s="54">
        <f t="shared" si="0"/>
        <v>9831854.2800599989</v>
      </c>
      <c r="H11" s="54">
        <f t="shared" si="1"/>
        <v>22768504.648559999</v>
      </c>
      <c r="I11" s="54">
        <f t="shared" si="2"/>
        <v>10349320.2948</v>
      </c>
      <c r="J11" s="54">
        <f t="shared" si="3"/>
        <v>4657194.1326599997</v>
      </c>
      <c r="K11" s="56">
        <v>0.44</v>
      </c>
      <c r="L11" s="56">
        <v>0.2</v>
      </c>
      <c r="M11" s="56">
        <v>0.19</v>
      </c>
      <c r="N11" s="56">
        <v>0.09</v>
      </c>
      <c r="O11" s="56">
        <v>0.08</v>
      </c>
      <c r="P11" s="38"/>
      <c r="Q11" s="52"/>
      <c r="R11" s="51"/>
      <c r="S11" s="51"/>
      <c r="T11" s="38"/>
      <c r="U11" s="38"/>
      <c r="V11" s="38"/>
      <c r="W11" s="49"/>
      <c r="X11" s="49"/>
      <c r="Y11" s="49"/>
      <c r="Z11" s="49"/>
      <c r="AA11" s="37" t="s">
        <v>209</v>
      </c>
      <c r="AB11" s="37">
        <v>0</v>
      </c>
      <c r="AC11" s="37">
        <v>5</v>
      </c>
      <c r="AE11" s="44" t="s">
        <v>208</v>
      </c>
      <c r="AF11" s="43" t="e">
        <f>_xlfn.STDEV.S(U8:U45)</f>
        <v>#DIV/0!</v>
      </c>
      <c r="AG11" s="43" t="e">
        <f>_xlfn.STDEV.S(S8:S45)</f>
        <v>#DIV/0!</v>
      </c>
    </row>
    <row r="12" spans="1:1042" s="37" customFormat="1">
      <c r="A12" s="37" t="s">
        <v>6</v>
      </c>
      <c r="B12" s="15" t="s">
        <v>22</v>
      </c>
      <c r="C12" s="15">
        <v>334</v>
      </c>
      <c r="D12" s="15">
        <v>1634</v>
      </c>
      <c r="E12" s="53">
        <v>38065687609.599998</v>
      </c>
      <c r="F12" s="54">
        <v>4078466529.5999999</v>
      </c>
      <c r="G12" s="54">
        <f t="shared" si="0"/>
        <v>7749086.4062399995</v>
      </c>
      <c r="H12" s="54">
        <f t="shared" si="1"/>
        <v>17537406.07728</v>
      </c>
      <c r="I12" s="54">
        <f t="shared" si="2"/>
        <v>8564779.7121599987</v>
      </c>
      <c r="J12" s="54">
        <f t="shared" si="3"/>
        <v>3262773.2236799998</v>
      </c>
      <c r="K12" s="56">
        <v>0.43</v>
      </c>
      <c r="L12" s="56">
        <v>0.21</v>
      </c>
      <c r="M12" s="56">
        <v>0.19</v>
      </c>
      <c r="N12" s="56">
        <v>0.08</v>
      </c>
      <c r="O12" s="56">
        <v>0.09</v>
      </c>
      <c r="P12" s="38"/>
      <c r="Q12" s="52"/>
      <c r="R12" s="51"/>
      <c r="S12" s="51"/>
      <c r="T12" s="38"/>
      <c r="U12" s="38"/>
      <c r="V12" s="38"/>
      <c r="W12" s="49"/>
      <c r="X12" s="49"/>
      <c r="Y12" s="49"/>
      <c r="Z12" s="49"/>
      <c r="AA12" s="37" t="s">
        <v>207</v>
      </c>
      <c r="AB12" s="37">
        <v>0</v>
      </c>
      <c r="AC12" s="37">
        <v>5</v>
      </c>
    </row>
    <row r="13" spans="1:1042">
      <c r="E13" s="55">
        <f>AVERAGE(E3:E12)</f>
        <v>21644915283.448997</v>
      </c>
      <c r="F13" s="55">
        <f>AVERAGE(F3:F12)</f>
        <v>1913853671.4159999</v>
      </c>
      <c r="K13">
        <f>AVERAGE(K3:K12)</f>
        <v>0.38400000000000001</v>
      </c>
      <c r="L13">
        <f t="shared" ref="L13:O13" si="4">AVERAGE(L3:L12)</f>
        <v>0.27800000000000002</v>
      </c>
      <c r="M13">
        <f>AVERAGE(M3:M12)</f>
        <v>0.16899999999999998</v>
      </c>
      <c r="N13">
        <f t="shared" si="4"/>
        <v>0.10700000000000001</v>
      </c>
      <c r="O13">
        <f t="shared" si="4"/>
        <v>6.2E-2</v>
      </c>
    </row>
  </sheetData>
  <pageMargins left="0.70000000000000007" right="0.70000000000000007" top="0.75" bottom="0.75" header="0.30000000000000004" footer="0.3000000000000000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2"/>
  <sheetViews>
    <sheetView tabSelected="1" topLeftCell="C1" zoomScale="90" zoomScaleNormal="90" workbookViewId="0">
      <selection activeCell="F15" sqref="F15"/>
    </sheetView>
  </sheetViews>
  <sheetFormatPr defaultRowHeight="14.25"/>
  <cols>
    <col min="1" max="2" width="9" customWidth="1"/>
    <col min="3" max="3" width="34.625" customWidth="1"/>
    <col min="4" max="4" width="6" customWidth="1"/>
    <col min="5" max="5" width="5.375" hidden="1" customWidth="1"/>
    <col min="6" max="6" width="11.875" bestFit="1" customWidth="1"/>
    <col min="7" max="7" width="5.875" customWidth="1"/>
    <col min="8" max="9" width="6.75" customWidth="1"/>
    <col min="10" max="10" width="10.75" bestFit="1" customWidth="1"/>
    <col min="11" max="11" width="7.875" bestFit="1" customWidth="1"/>
    <col min="12" max="12" width="6" customWidth="1"/>
    <col min="13" max="13" width="12.5" bestFit="1" customWidth="1"/>
    <col min="14" max="14" width="5.875" customWidth="1"/>
    <col min="15" max="15" width="6.375" customWidth="1"/>
    <col min="16" max="16" width="13.5" customWidth="1"/>
    <col min="17" max="17" width="6.625" customWidth="1"/>
    <col min="18" max="18" width="9" customWidth="1"/>
    <col min="19" max="19" width="7.5" bestFit="1" customWidth="1"/>
    <col min="20" max="23" width="11.875" bestFit="1" customWidth="1"/>
    <col min="24" max="24" width="9" customWidth="1"/>
  </cols>
  <sheetData>
    <row r="1" spans="3:23" ht="15">
      <c r="D1" s="57" t="s">
        <v>58</v>
      </c>
      <c r="E1" s="57"/>
      <c r="F1" s="57"/>
      <c r="G1" s="57"/>
      <c r="H1" s="57"/>
      <c r="I1" s="57"/>
      <c r="J1" s="57"/>
      <c r="K1" s="8"/>
      <c r="L1" s="8"/>
      <c r="M1" s="8"/>
      <c r="N1" s="8"/>
      <c r="O1" s="8"/>
    </row>
    <row r="2" spans="3:23" ht="15">
      <c r="C2" s="9" t="s">
        <v>59</v>
      </c>
      <c r="D2" s="10" t="s">
        <v>60</v>
      </c>
      <c r="E2" s="10" t="s">
        <v>61</v>
      </c>
      <c r="F2" s="10" t="s">
        <v>62</v>
      </c>
      <c r="G2" s="11" t="s">
        <v>63</v>
      </c>
      <c r="H2" s="11" t="s">
        <v>64</v>
      </c>
      <c r="I2" s="11" t="s">
        <v>62</v>
      </c>
      <c r="J2" s="12" t="s">
        <v>65</v>
      </c>
      <c r="K2" s="12" t="s">
        <v>4</v>
      </c>
      <c r="L2" s="12" t="s">
        <v>62</v>
      </c>
      <c r="M2" s="11" t="s">
        <v>66</v>
      </c>
      <c r="N2" s="11" t="s">
        <v>64</v>
      </c>
      <c r="O2" s="11" t="s">
        <v>67</v>
      </c>
      <c r="P2" s="13" t="s">
        <v>68</v>
      </c>
      <c r="Q2" s="3" t="s">
        <v>4</v>
      </c>
      <c r="S2" s="58" t="s">
        <v>69</v>
      </c>
      <c r="T2" s="14" t="s">
        <v>70</v>
      </c>
      <c r="U2" s="14" t="s">
        <v>71</v>
      </c>
      <c r="V2" s="14" t="s">
        <v>72</v>
      </c>
      <c r="W2" s="14" t="s">
        <v>73</v>
      </c>
    </row>
    <row r="3" spans="3:23">
      <c r="C3" s="15" t="s">
        <v>8</v>
      </c>
      <c r="D3" s="15">
        <v>256</v>
      </c>
      <c r="E3" s="16">
        <v>24</v>
      </c>
      <c r="F3" s="17">
        <f>1-E3/Q3</f>
        <v>0.63636363636363635</v>
      </c>
      <c r="G3" s="18">
        <v>400</v>
      </c>
      <c r="H3" s="18">
        <v>25</v>
      </c>
      <c r="I3" s="19">
        <f>1-H3/Q3</f>
        <v>0.62121212121212122</v>
      </c>
      <c r="J3" s="20">
        <v>359</v>
      </c>
      <c r="K3" s="20">
        <v>23</v>
      </c>
      <c r="L3" s="21">
        <f>1-K3/Q3</f>
        <v>0.65151515151515149</v>
      </c>
      <c r="M3" s="18"/>
      <c r="N3" s="18"/>
      <c r="O3" s="18">
        <v>0</v>
      </c>
      <c r="P3" s="22">
        <v>1031</v>
      </c>
      <c r="Q3" s="3">
        <v>66</v>
      </c>
      <c r="S3" s="58"/>
      <c r="T3" s="23">
        <f ca="1">AVERAGE(F3:F11)</f>
        <v>0.71983629047009334</v>
      </c>
      <c r="U3" s="23">
        <f>AVERAGE(I3:I11)</f>
        <v>0.60608147199696505</v>
      </c>
      <c r="V3" s="23">
        <f>AVERAGE(L3:L11)</f>
        <v>0.57505097927633142</v>
      </c>
      <c r="W3" s="23">
        <f>AVERAGE(O3:O11)</f>
        <v>0.14555555555555555</v>
      </c>
    </row>
    <row r="4" spans="3:23">
      <c r="C4" s="15" t="s">
        <v>9</v>
      </c>
      <c r="D4" s="15">
        <v>256</v>
      </c>
      <c r="E4" s="16">
        <v>27</v>
      </c>
      <c r="F4" s="17">
        <f>1-E4/Q4</f>
        <v>0.8098591549295775</v>
      </c>
      <c r="G4" s="18">
        <v>540</v>
      </c>
      <c r="H4" s="18">
        <v>35</v>
      </c>
      <c r="I4" s="19">
        <f>1-H4/Q4</f>
        <v>0.75352112676056338</v>
      </c>
      <c r="J4" s="20">
        <v>384</v>
      </c>
      <c r="K4" s="20">
        <v>25</v>
      </c>
      <c r="L4" s="21">
        <f>1-K4/Q4</f>
        <v>0.823943661971831</v>
      </c>
      <c r="M4" s="18"/>
      <c r="N4" s="18"/>
      <c r="O4" s="18">
        <v>0</v>
      </c>
      <c r="P4" s="24">
        <v>2218</v>
      </c>
      <c r="Q4" s="3">
        <v>142</v>
      </c>
      <c r="T4">
        <v>15</v>
      </c>
      <c r="U4">
        <v>25</v>
      </c>
      <c r="V4">
        <v>35</v>
      </c>
      <c r="W4">
        <v>25</v>
      </c>
    </row>
    <row r="5" spans="3:23">
      <c r="C5" s="15" t="s">
        <v>10</v>
      </c>
      <c r="D5" s="15">
        <v>231</v>
      </c>
      <c r="E5" s="16">
        <v>67</v>
      </c>
      <c r="F5" s="17">
        <f>1-E5/Q5</f>
        <v>0.78246753246753253</v>
      </c>
      <c r="G5" s="18">
        <v>4812</v>
      </c>
      <c r="H5" s="18">
        <v>308</v>
      </c>
      <c r="I5" s="19">
        <f>1-H5/Q5</f>
        <v>0</v>
      </c>
      <c r="J5" s="20"/>
      <c r="K5" s="20"/>
      <c r="L5" s="21">
        <v>0.62</v>
      </c>
      <c r="M5" s="18"/>
      <c r="N5" s="18"/>
      <c r="O5" s="18">
        <v>0</v>
      </c>
      <c r="P5" s="24">
        <v>4812</v>
      </c>
      <c r="Q5" s="3">
        <v>308</v>
      </c>
    </row>
    <row r="6" spans="3:23">
      <c r="C6" s="15" t="s">
        <v>11</v>
      </c>
      <c r="D6" s="15">
        <v>223</v>
      </c>
      <c r="E6" s="16">
        <f t="shared" ref="E6:E11" ca="1" si="0">F6*Q6</f>
        <v>0</v>
      </c>
      <c r="F6" s="17">
        <f t="shared" ref="F6:F14" ca="1" si="1">1-E6/Q6</f>
        <v>0.78246753246753253</v>
      </c>
      <c r="G6" s="18">
        <f t="shared" ref="G6:G11" si="2">H6*1000/64</f>
        <v>20150.000000000004</v>
      </c>
      <c r="H6" s="18">
        <f t="shared" ref="H6:H11" si="3">I6*Q6</f>
        <v>1289.6000000000001</v>
      </c>
      <c r="I6" s="18">
        <v>0.65</v>
      </c>
      <c r="J6" s="20">
        <f t="shared" ref="J6:J11" si="4">K6*1000/64</f>
        <v>17980</v>
      </c>
      <c r="K6" s="20">
        <f t="shared" ref="K6:K11" si="5">L6*Q6</f>
        <v>1150.72</v>
      </c>
      <c r="L6" s="20">
        <v>0.57999999999999996</v>
      </c>
      <c r="M6" s="18">
        <f t="shared" ref="M6:M11" si="6">N6*1000/64</f>
        <v>9299.9999999999982</v>
      </c>
      <c r="N6" s="18">
        <f t="shared" ref="N6:N11" si="7">O6*Q6</f>
        <v>595.19999999999993</v>
      </c>
      <c r="O6" s="18">
        <v>0.3</v>
      </c>
      <c r="P6" s="25">
        <f t="shared" ref="P6:P11" si="8">Q6*1000/64</f>
        <v>31000</v>
      </c>
      <c r="Q6" s="3">
        <v>1984</v>
      </c>
    </row>
    <row r="7" spans="3:23">
      <c r="C7" s="15" t="s">
        <v>12</v>
      </c>
      <c r="D7" s="15">
        <v>223</v>
      </c>
      <c r="E7" s="16">
        <f t="shared" ca="1" si="0"/>
        <v>1141.0400000000002</v>
      </c>
      <c r="F7" s="17">
        <f t="shared" ca="1" si="1"/>
        <v>0.78246753246753253</v>
      </c>
      <c r="G7" s="18">
        <f t="shared" si="2"/>
        <v>17566.5625</v>
      </c>
      <c r="H7" s="18">
        <f t="shared" si="3"/>
        <v>1124.26</v>
      </c>
      <c r="I7" s="18">
        <v>0.67</v>
      </c>
      <c r="J7" s="20">
        <f t="shared" si="4"/>
        <v>14158.125</v>
      </c>
      <c r="K7" s="20">
        <f t="shared" si="5"/>
        <v>906.12</v>
      </c>
      <c r="L7" s="20">
        <v>0.54</v>
      </c>
      <c r="M7" s="18">
        <f t="shared" si="6"/>
        <v>5243.75</v>
      </c>
      <c r="N7" s="18">
        <f t="shared" si="7"/>
        <v>335.6</v>
      </c>
      <c r="O7" s="18">
        <v>0.2</v>
      </c>
      <c r="P7" s="25">
        <f t="shared" si="8"/>
        <v>26218.75</v>
      </c>
      <c r="Q7" s="26">
        <v>1678</v>
      </c>
    </row>
    <row r="8" spans="3:23">
      <c r="C8" s="15" t="s">
        <v>13</v>
      </c>
      <c r="D8" s="15">
        <v>210</v>
      </c>
      <c r="E8" s="16">
        <f t="shared" ca="1" si="0"/>
        <v>1432.07</v>
      </c>
      <c r="F8" s="17">
        <f t="shared" ca="1" si="1"/>
        <v>0.78246753246753253</v>
      </c>
      <c r="G8" s="18">
        <f t="shared" si="2"/>
        <v>19854.84375</v>
      </c>
      <c r="H8" s="18">
        <f t="shared" si="3"/>
        <v>1270.71</v>
      </c>
      <c r="I8" s="18">
        <v>0.63</v>
      </c>
      <c r="J8" s="20">
        <f t="shared" si="4"/>
        <v>17963.906249999996</v>
      </c>
      <c r="K8" s="20">
        <f t="shared" si="5"/>
        <v>1149.6899999999998</v>
      </c>
      <c r="L8" s="20">
        <v>0.56999999999999995</v>
      </c>
      <c r="M8" s="18">
        <f t="shared" si="6"/>
        <v>6618.28125</v>
      </c>
      <c r="N8" s="18">
        <f t="shared" si="7"/>
        <v>423.57</v>
      </c>
      <c r="O8" s="18">
        <v>0.21</v>
      </c>
      <c r="P8" s="25">
        <f t="shared" si="8"/>
        <v>31515.625</v>
      </c>
      <c r="Q8" s="3">
        <v>2017</v>
      </c>
    </row>
    <row r="9" spans="3:23">
      <c r="C9" s="15" t="s">
        <v>14</v>
      </c>
      <c r="D9" s="15">
        <v>210</v>
      </c>
      <c r="E9" s="16">
        <f t="shared" ca="1" si="0"/>
        <v>1530.76</v>
      </c>
      <c r="F9" s="17">
        <f t="shared" ca="1" si="1"/>
        <v>0.78246753246753253</v>
      </c>
      <c r="G9" s="18">
        <f t="shared" si="2"/>
        <v>27286.875000000004</v>
      </c>
      <c r="H9" s="18">
        <f t="shared" si="3"/>
        <v>1746.3600000000001</v>
      </c>
      <c r="I9" s="18">
        <v>0.81</v>
      </c>
      <c r="J9" s="20">
        <f t="shared" si="4"/>
        <v>15833.124999999998</v>
      </c>
      <c r="K9" s="20">
        <f t="shared" si="5"/>
        <v>1013.3199999999999</v>
      </c>
      <c r="L9" s="20">
        <v>0.47</v>
      </c>
      <c r="M9" s="18">
        <f t="shared" si="6"/>
        <v>10106.25</v>
      </c>
      <c r="N9" s="18">
        <f t="shared" si="7"/>
        <v>646.79999999999995</v>
      </c>
      <c r="O9" s="18">
        <v>0.3</v>
      </c>
      <c r="P9" s="25">
        <f t="shared" si="8"/>
        <v>33687.5</v>
      </c>
      <c r="Q9" s="3">
        <v>2156</v>
      </c>
    </row>
    <row r="10" spans="3:23">
      <c r="C10" s="15" t="s">
        <v>16</v>
      </c>
      <c r="D10" s="15">
        <v>218</v>
      </c>
      <c r="E10" s="16">
        <f t="shared" ca="1" si="0"/>
        <v>3640</v>
      </c>
      <c r="F10" s="17">
        <f t="shared" ca="1" si="1"/>
        <v>0.78246753246753253</v>
      </c>
      <c r="G10" s="18">
        <f t="shared" si="2"/>
        <v>55125</v>
      </c>
      <c r="H10" s="18">
        <f t="shared" si="3"/>
        <v>3528</v>
      </c>
      <c r="I10" s="18">
        <v>0.63</v>
      </c>
      <c r="J10" s="20">
        <f t="shared" si="4"/>
        <v>39375</v>
      </c>
      <c r="K10" s="20">
        <f t="shared" si="5"/>
        <v>2520</v>
      </c>
      <c r="L10" s="20">
        <v>0.45</v>
      </c>
      <c r="M10" s="18">
        <f t="shared" si="6"/>
        <v>26250</v>
      </c>
      <c r="N10" s="18">
        <f t="shared" si="7"/>
        <v>1680</v>
      </c>
      <c r="O10" s="18">
        <v>0.3</v>
      </c>
      <c r="P10" s="25">
        <f t="shared" si="8"/>
        <v>87500</v>
      </c>
      <c r="Q10" s="3">
        <v>5600</v>
      </c>
    </row>
    <row r="11" spans="3:23">
      <c r="C11" s="15" t="s">
        <v>21</v>
      </c>
      <c r="D11" s="15">
        <v>334</v>
      </c>
      <c r="E11" s="16">
        <f t="shared" si="0"/>
        <v>14.399999999999999</v>
      </c>
      <c r="F11" s="17">
        <v>0.72</v>
      </c>
      <c r="G11" s="18">
        <f t="shared" si="2"/>
        <v>215.62499999999997</v>
      </c>
      <c r="H11" s="18">
        <f t="shared" si="3"/>
        <v>13.799999999999999</v>
      </c>
      <c r="I11" s="18">
        <v>0.69</v>
      </c>
      <c r="J11" s="20">
        <f t="shared" si="4"/>
        <v>146.87499999999997</v>
      </c>
      <c r="K11" s="20">
        <f t="shared" si="5"/>
        <v>9.3999999999999986</v>
      </c>
      <c r="L11" s="20">
        <v>0.47</v>
      </c>
      <c r="M11" s="18">
        <f t="shared" si="6"/>
        <v>0</v>
      </c>
      <c r="N11" s="18">
        <f t="shared" si="7"/>
        <v>0</v>
      </c>
      <c r="O11" s="18">
        <v>0</v>
      </c>
      <c r="P11" s="25">
        <f t="shared" si="8"/>
        <v>312.5</v>
      </c>
      <c r="Q11" s="3">
        <v>20</v>
      </c>
    </row>
    <row r="12" spans="3:23">
      <c r="C12" s="15" t="s">
        <v>22</v>
      </c>
      <c r="D12" s="15">
        <v>334</v>
      </c>
      <c r="F12" s="17">
        <v>0.72</v>
      </c>
    </row>
  </sheetData>
  <mergeCells count="2">
    <mergeCell ref="D1:J1"/>
    <mergeCell ref="S2:S3"/>
  </mergeCells>
  <pageMargins left="0.70000000000000007" right="0.70000000000000007" top="0.75" bottom="0.75" header="0.30000000000000004" footer="0.30000000000000004"/>
  <pageSetup paperSize="0" fitToWidth="0" fitToHeight="0" orientation="portrait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1" sqref="B2:C11"/>
    </sheetView>
  </sheetViews>
  <sheetFormatPr defaultRowHeight="14.25"/>
  <cols>
    <col min="1" max="1" width="14.125" bestFit="1" customWidth="1"/>
    <col min="2" max="2" width="33.25" bestFit="1" customWidth="1"/>
    <col min="3" max="7" width="9" customWidth="1"/>
    <col min="8" max="8" width="10.125" bestFit="1" customWidth="1"/>
    <col min="9" max="9" width="12.5" bestFit="1" customWidth="1"/>
    <col min="10" max="11" width="9" customWidth="1"/>
    <col min="12" max="12" width="13.125" bestFit="1" customWidth="1"/>
    <col min="13" max="13" width="9" customWidth="1"/>
  </cols>
  <sheetData>
    <row r="1" spans="1:13" ht="15">
      <c r="A1" s="1" t="s">
        <v>0</v>
      </c>
      <c r="B1" s="1" t="s">
        <v>2</v>
      </c>
      <c r="C1" s="1" t="s">
        <v>5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</row>
    <row r="2" spans="1:13">
      <c r="A2" s="15" t="s">
        <v>6</v>
      </c>
      <c r="B2" s="15" t="s">
        <v>8</v>
      </c>
      <c r="C2" s="15">
        <v>256</v>
      </c>
      <c r="D2" s="15">
        <v>1426</v>
      </c>
      <c r="E2" s="27">
        <f>('Memory Results'!$K2+'Memory Results'!$L2)*64/1000</f>
        <v>1072.7168000000001</v>
      </c>
      <c r="F2" s="15">
        <v>17</v>
      </c>
      <c r="G2" s="15">
        <v>76</v>
      </c>
      <c r="H2" s="15">
        <v>50</v>
      </c>
      <c r="I2" s="15">
        <v>11</v>
      </c>
      <c r="J2" s="28">
        <f t="shared" ref="J2:J11" si="0">F2/E2</f>
        <v>1.5847612342791684E-2</v>
      </c>
      <c r="K2" s="28">
        <f t="shared" ref="K2:K11" si="1">G2/E2</f>
        <v>7.0848149297186344E-2</v>
      </c>
      <c r="L2" s="28">
        <f t="shared" ref="L2:L11" si="2">H2/E2</f>
        <v>4.6610624537622596E-2</v>
      </c>
      <c r="M2" s="28">
        <f t="shared" ref="M2:M11" si="3">I2/E2</f>
        <v>1.0254337398276971E-2</v>
      </c>
    </row>
    <row r="3" spans="1:13">
      <c r="A3" s="15" t="s">
        <v>6</v>
      </c>
      <c r="B3" s="15" t="s">
        <v>9</v>
      </c>
      <c r="C3" s="15">
        <v>256</v>
      </c>
      <c r="D3" s="15">
        <v>1358</v>
      </c>
      <c r="E3" s="27">
        <f>('Memory Results'!$K3+'Memory Results'!$L3)*64/1000</f>
        <v>1006.5650400000001</v>
      </c>
      <c r="F3" s="15">
        <v>23</v>
      </c>
      <c r="G3" s="15">
        <v>67</v>
      </c>
      <c r="H3" s="15">
        <v>56</v>
      </c>
      <c r="I3" s="15">
        <v>29</v>
      </c>
      <c r="J3" s="28">
        <f t="shared" si="0"/>
        <v>2.2849988908814078E-2</v>
      </c>
      <c r="K3" s="28">
        <f t="shared" si="1"/>
        <v>6.6563011169154057E-2</v>
      </c>
      <c r="L3" s="28">
        <f t="shared" si="2"/>
        <v>5.563475560406906E-2</v>
      </c>
      <c r="M3" s="28">
        <f t="shared" si="3"/>
        <v>2.881085558067862E-2</v>
      </c>
    </row>
    <row r="4" spans="1:13">
      <c r="A4" s="15" t="s">
        <v>6</v>
      </c>
      <c r="B4" s="15" t="s">
        <v>10</v>
      </c>
      <c r="C4" s="15">
        <v>231</v>
      </c>
      <c r="D4" s="15">
        <v>2643</v>
      </c>
      <c r="E4" s="27">
        <f>('Memory Results'!$K4+'Memory Results'!$L4)*64/1000</f>
        <v>988.36304000000007</v>
      </c>
      <c r="F4" s="15">
        <v>22</v>
      </c>
      <c r="G4" s="15">
        <v>109</v>
      </c>
      <c r="H4" s="15">
        <v>98</v>
      </c>
      <c r="I4" s="15">
        <v>34</v>
      </c>
      <c r="J4" s="28">
        <f t="shared" si="0"/>
        <v>2.2259027411628017E-2</v>
      </c>
      <c r="K4" s="28">
        <f t="shared" si="1"/>
        <v>0.11028336308488426</v>
      </c>
      <c r="L4" s="28">
        <f t="shared" si="2"/>
        <v>9.9153849379070264E-2</v>
      </c>
      <c r="M4" s="28">
        <f t="shared" si="3"/>
        <v>3.4400315090697846E-2</v>
      </c>
    </row>
    <row r="5" spans="1:13">
      <c r="A5" s="15" t="s">
        <v>6</v>
      </c>
      <c r="B5" s="15" t="s">
        <v>11</v>
      </c>
      <c r="C5" s="15">
        <v>223</v>
      </c>
      <c r="D5" s="15">
        <v>2624</v>
      </c>
      <c r="E5" s="27">
        <f>('Memory Results'!$K5+'Memory Results'!$L5)*64/1000</f>
        <v>871.40552799999989</v>
      </c>
      <c r="F5" s="15">
        <v>19</v>
      </c>
      <c r="G5" s="15">
        <v>98</v>
      </c>
      <c r="H5" s="15">
        <v>78</v>
      </c>
      <c r="I5" s="15">
        <v>12</v>
      </c>
      <c r="J5" s="28">
        <f t="shared" si="0"/>
        <v>2.1803855253945556E-2</v>
      </c>
      <c r="K5" s="28">
        <f t="shared" si="1"/>
        <v>0.11246199025719288</v>
      </c>
      <c r="L5" s="28">
        <f t="shared" si="2"/>
        <v>8.9510563674092283E-2</v>
      </c>
      <c r="M5" s="28">
        <f t="shared" si="3"/>
        <v>1.3770855949860352E-2</v>
      </c>
    </row>
    <row r="6" spans="1:13">
      <c r="A6" s="15" t="s">
        <v>6</v>
      </c>
      <c r="B6" s="15" t="s">
        <v>12</v>
      </c>
      <c r="C6" s="15">
        <v>223</v>
      </c>
      <c r="D6" s="15">
        <v>2634</v>
      </c>
      <c r="E6" s="27">
        <f>('Memory Results'!$K6+'Memory Results'!$L6)*64/1000</f>
        <v>810.80863999999997</v>
      </c>
      <c r="F6" s="15">
        <v>21</v>
      </c>
      <c r="G6" s="15">
        <v>87</v>
      </c>
      <c r="H6" s="15">
        <v>82</v>
      </c>
      <c r="I6" s="15">
        <v>13</v>
      </c>
      <c r="J6" s="28">
        <f t="shared" si="0"/>
        <v>2.5900069343118989E-2</v>
      </c>
      <c r="K6" s="28">
        <f t="shared" si="1"/>
        <v>0.10730028727863582</v>
      </c>
      <c r="L6" s="28">
        <f t="shared" si="2"/>
        <v>0.10113360410170272</v>
      </c>
      <c r="M6" s="28">
        <f t="shared" si="3"/>
        <v>1.6033376260026041E-2</v>
      </c>
    </row>
    <row r="7" spans="1:13">
      <c r="A7" s="15" t="s">
        <v>6</v>
      </c>
      <c r="B7" s="15" t="s">
        <v>13</v>
      </c>
      <c r="C7" s="15">
        <v>210</v>
      </c>
      <c r="D7" s="15">
        <v>2643</v>
      </c>
      <c r="E7" s="27">
        <f>('Memory Results'!$K7+'Memory Results'!$L7)*64/1000</f>
        <v>813.001848</v>
      </c>
      <c r="F7" s="15">
        <v>20</v>
      </c>
      <c r="G7" s="15">
        <v>91</v>
      </c>
      <c r="H7" s="15">
        <v>91</v>
      </c>
      <c r="I7" s="15">
        <v>16</v>
      </c>
      <c r="J7" s="28">
        <f t="shared" si="0"/>
        <v>2.4600190084684777E-2</v>
      </c>
      <c r="K7" s="28">
        <f t="shared" si="1"/>
        <v>0.11193086488531573</v>
      </c>
      <c r="L7" s="28">
        <f t="shared" si="2"/>
        <v>0.11193086488531573</v>
      </c>
      <c r="M7" s="28">
        <f t="shared" si="3"/>
        <v>1.9680152067747821E-2</v>
      </c>
    </row>
    <row r="8" spans="1:13">
      <c r="A8" s="15" t="s">
        <v>6</v>
      </c>
      <c r="B8" s="15" t="s">
        <v>14</v>
      </c>
      <c r="C8" s="15">
        <v>210</v>
      </c>
      <c r="D8" s="15">
        <v>1583</v>
      </c>
      <c r="E8" s="27">
        <f>('Memory Results'!$K8+'Memory Results'!$L8)*64/1000</f>
        <v>774.22119999999995</v>
      </c>
      <c r="F8" s="15">
        <v>18</v>
      </c>
      <c r="G8" s="15">
        <v>76</v>
      </c>
      <c r="H8" s="15">
        <v>84</v>
      </c>
      <c r="I8" s="15">
        <v>17</v>
      </c>
      <c r="J8" s="28">
        <f t="shared" si="0"/>
        <v>2.3249169617158508E-2</v>
      </c>
      <c r="K8" s="28">
        <f t="shared" si="1"/>
        <v>9.816316060578037E-2</v>
      </c>
      <c r="L8" s="28">
        <f t="shared" si="2"/>
        <v>0.10849612488007304</v>
      </c>
      <c r="M8" s="28">
        <f t="shared" si="3"/>
        <v>2.1957549082871924E-2</v>
      </c>
    </row>
    <row r="9" spans="1:13">
      <c r="A9" s="15" t="s">
        <v>6</v>
      </c>
      <c r="B9" s="15" t="s">
        <v>16</v>
      </c>
      <c r="C9" s="15">
        <v>218</v>
      </c>
      <c r="D9" s="15">
        <v>1661</v>
      </c>
      <c r="E9" s="27">
        <f>('Memory Results'!$K10+'Memory Results'!$L10)*64/1000</f>
        <v>776.23601600000006</v>
      </c>
      <c r="F9" s="15">
        <v>17</v>
      </c>
      <c r="G9" s="15">
        <v>81</v>
      </c>
      <c r="H9" s="15">
        <v>86</v>
      </c>
      <c r="I9" s="15">
        <v>13</v>
      </c>
      <c r="J9" s="28">
        <f t="shared" si="0"/>
        <v>2.1900555565048656E-2</v>
      </c>
      <c r="K9" s="28">
        <f t="shared" si="1"/>
        <v>0.10434970592758477</v>
      </c>
      <c r="L9" s="28">
        <f t="shared" si="2"/>
        <v>0.11079104579965791</v>
      </c>
      <c r="M9" s="28">
        <f t="shared" si="3"/>
        <v>1.6747483667390151E-2</v>
      </c>
    </row>
    <row r="10" spans="1:13">
      <c r="A10" s="15" t="s">
        <v>6</v>
      </c>
      <c r="B10" s="15" t="s">
        <v>21</v>
      </c>
      <c r="C10" s="15">
        <v>334</v>
      </c>
      <c r="D10" s="15">
        <v>1876</v>
      </c>
      <c r="E10" s="4">
        <v>1530</v>
      </c>
      <c r="F10" s="15">
        <v>27</v>
      </c>
      <c r="G10" s="15">
        <v>112</v>
      </c>
      <c r="H10" s="15">
        <v>93</v>
      </c>
      <c r="I10" s="15">
        <v>21</v>
      </c>
      <c r="J10" s="28">
        <f t="shared" si="0"/>
        <v>1.7647058823529412E-2</v>
      </c>
      <c r="K10" s="28">
        <f t="shared" si="1"/>
        <v>7.3202614379084971E-2</v>
      </c>
      <c r="L10" s="28">
        <f t="shared" si="2"/>
        <v>6.0784313725490195E-2</v>
      </c>
      <c r="M10" s="28">
        <f t="shared" si="3"/>
        <v>1.3725490196078431E-2</v>
      </c>
    </row>
    <row r="11" spans="1:13">
      <c r="A11" s="15" t="s">
        <v>6</v>
      </c>
      <c r="B11" s="15" t="s">
        <v>22</v>
      </c>
      <c r="C11" s="15">
        <v>334</v>
      </c>
      <c r="D11" s="15">
        <v>1634</v>
      </c>
      <c r="E11" s="4">
        <v>1474</v>
      </c>
      <c r="F11" s="29">
        <v>27</v>
      </c>
      <c r="G11" s="29">
        <v>107</v>
      </c>
      <c r="H11" s="29">
        <v>91</v>
      </c>
      <c r="I11" s="15">
        <v>25</v>
      </c>
      <c r="J11" s="28">
        <f t="shared" si="0"/>
        <v>1.8317503392130258E-2</v>
      </c>
      <c r="K11" s="28">
        <f t="shared" si="1"/>
        <v>7.2591587516960654E-2</v>
      </c>
      <c r="L11" s="28">
        <f t="shared" si="2"/>
        <v>6.1736770691994569E-2</v>
      </c>
      <c r="M11" s="28">
        <f t="shared" si="3"/>
        <v>1.6960651289009497E-2</v>
      </c>
    </row>
    <row r="12" spans="1:13">
      <c r="E12" s="27">
        <f t="shared" ref="E12:M12" si="4">AVERAGE(E2:E11)</f>
        <v>1011.7318112</v>
      </c>
      <c r="F12" s="27">
        <f t="shared" si="4"/>
        <v>21.1</v>
      </c>
      <c r="G12" s="27">
        <f t="shared" si="4"/>
        <v>90.4</v>
      </c>
      <c r="H12" s="27">
        <f t="shared" si="4"/>
        <v>80.900000000000006</v>
      </c>
      <c r="I12" s="27">
        <f t="shared" si="4"/>
        <v>19.100000000000001</v>
      </c>
      <c r="J12" s="30">
        <f t="shared" si="4"/>
        <v>2.1437503074284991E-2</v>
      </c>
      <c r="K12" s="30">
        <f t="shared" si="4"/>
        <v>9.2769473440177982E-2</v>
      </c>
      <c r="L12" s="30">
        <f t="shared" si="4"/>
        <v>8.4578251727908837E-2</v>
      </c>
      <c r="M12" s="30">
        <f t="shared" si="4"/>
        <v>1.9234106658263767E-2</v>
      </c>
    </row>
  </sheetData>
  <pageMargins left="0.70000000000000007" right="0.70000000000000007" top="0.75" bottom="0.75" header="0.30000000000000004" footer="0.3000000000000000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T77"/>
  <sheetViews>
    <sheetView topLeftCell="B1" zoomScale="90" zoomScaleNormal="90" workbookViewId="0">
      <selection activeCell="Z17" sqref="Z17"/>
    </sheetView>
  </sheetViews>
  <sheetFormatPr defaultRowHeight="14.25"/>
  <cols>
    <col min="1" max="1" width="12.5" style="35" customWidth="1"/>
    <col min="2" max="2" width="14.25" style="35" customWidth="1"/>
    <col min="3" max="3" width="31.25" style="35" customWidth="1"/>
    <col min="4" max="4" width="53.125" style="35" customWidth="1"/>
    <col min="5" max="7" width="7.625" style="35" customWidth="1"/>
    <col min="8" max="9" width="15.5" style="35" customWidth="1"/>
    <col min="10" max="10" width="14.125" style="35" customWidth="1"/>
    <col min="11" max="11" width="12.875" style="35" customWidth="1"/>
    <col min="12" max="12" width="12.875" style="36" customWidth="1"/>
    <col min="13" max="13" width="12.875" style="35" customWidth="1"/>
    <col min="14" max="14" width="19.75" style="35" bestFit="1" customWidth="1"/>
    <col min="15" max="16" width="8.375" style="35" customWidth="1"/>
    <col min="17" max="17" width="10.25" style="35" bestFit="1" customWidth="1"/>
    <col min="18" max="18" width="11.75" style="35" bestFit="1" customWidth="1"/>
    <col min="19" max="19" width="56.125" style="35" hidden="1" customWidth="1"/>
    <col min="20" max="20" width="10.25" style="35" customWidth="1"/>
    <col min="21" max="21" width="14.375" style="35" customWidth="1"/>
    <col min="22" max="22" width="10.625" style="35" customWidth="1"/>
    <col min="23" max="23" width="12.375" style="35" customWidth="1"/>
    <col min="24" max="24" width="12.25" style="35" customWidth="1"/>
    <col min="25" max="1034" width="10.625" style="35" customWidth="1"/>
    <col min="1035" max="1035" width="9" style="35" customWidth="1"/>
    <col min="1036" max="16384" width="9" style="35"/>
  </cols>
  <sheetData>
    <row r="1" spans="1:1034" s="45" customFormat="1" ht="12.75">
      <c r="A1" s="45" t="s">
        <v>0</v>
      </c>
      <c r="B1" s="45" t="s">
        <v>1</v>
      </c>
      <c r="C1" s="45" t="s">
        <v>2</v>
      </c>
      <c r="D1" s="45" t="s">
        <v>224</v>
      </c>
      <c r="E1" s="45" t="s">
        <v>223</v>
      </c>
      <c r="H1" s="45" t="s">
        <v>222</v>
      </c>
      <c r="I1" s="47" t="s">
        <v>221</v>
      </c>
      <c r="J1" s="45" t="s">
        <v>220</v>
      </c>
      <c r="K1" s="45" t="s">
        <v>219</v>
      </c>
      <c r="L1" s="46" t="s">
        <v>217</v>
      </c>
      <c r="M1" s="45" t="s">
        <v>218</v>
      </c>
      <c r="N1" s="45" t="s">
        <v>231</v>
      </c>
      <c r="O1" s="45" t="s">
        <v>76</v>
      </c>
      <c r="P1" s="45" t="s">
        <v>75</v>
      </c>
      <c r="Q1" s="45" t="s">
        <v>232</v>
      </c>
      <c r="R1" s="45" t="s">
        <v>233</v>
      </c>
      <c r="S1" s="45" t="s">
        <v>216</v>
      </c>
      <c r="T1" s="45" t="s">
        <v>215</v>
      </c>
      <c r="U1" s="45" t="s">
        <v>214</v>
      </c>
    </row>
    <row r="2" spans="1:1034">
      <c r="A2" s="38" t="s">
        <v>6</v>
      </c>
      <c r="B2" s="38" t="s">
        <v>49</v>
      </c>
      <c r="C2" s="38" t="s">
        <v>169</v>
      </c>
      <c r="D2" s="38" t="s">
        <v>173</v>
      </c>
      <c r="E2" s="38">
        <v>1</v>
      </c>
      <c r="F2" s="35">
        <v>264</v>
      </c>
      <c r="G2" s="35">
        <v>1448</v>
      </c>
      <c r="H2" s="38">
        <v>17175565123</v>
      </c>
      <c r="I2" s="42">
        <f t="shared" ref="I2:I39" si="0">K2+H40</f>
        <v>16831631379.6</v>
      </c>
      <c r="J2" s="38">
        <f t="shared" ref="J2:J39" si="1">H2-H40</f>
        <v>1590721253</v>
      </c>
      <c r="K2" s="38">
        <f t="shared" ref="K2:K39" si="2">M2*H40</f>
        <v>1246787509.6000001</v>
      </c>
      <c r="L2" s="40">
        <f t="shared" ref="L2:L39" si="3">J2/H40</f>
        <v>0.10206847538986606</v>
      </c>
      <c r="M2" s="41">
        <v>0.08</v>
      </c>
      <c r="N2" s="38">
        <f>I2-K2</f>
        <v>15584843870</v>
      </c>
      <c r="O2" s="38"/>
      <c r="P2" s="38"/>
      <c r="Q2" s="38"/>
      <c r="R2" s="38"/>
      <c r="S2" s="38" t="s">
        <v>213</v>
      </c>
      <c r="T2" s="38">
        <v>0</v>
      </c>
      <c r="U2" s="38">
        <v>5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7"/>
    </row>
    <row r="3" spans="1:1034" s="37" customFormat="1">
      <c r="A3" s="37" t="s">
        <v>6</v>
      </c>
      <c r="B3" s="37" t="s">
        <v>49</v>
      </c>
      <c r="C3" s="37" t="s">
        <v>169</v>
      </c>
      <c r="D3" s="37" t="s">
        <v>171</v>
      </c>
      <c r="E3" s="37">
        <v>2</v>
      </c>
      <c r="F3" s="35">
        <v>256</v>
      </c>
      <c r="G3" s="35">
        <v>1426</v>
      </c>
      <c r="H3" s="37">
        <v>16527287380</v>
      </c>
      <c r="I3" s="42">
        <f t="shared" si="0"/>
        <v>16662819578.719999</v>
      </c>
      <c r="J3" s="38">
        <f t="shared" si="1"/>
        <v>807646268</v>
      </c>
      <c r="K3" s="38">
        <f t="shared" si="2"/>
        <v>943178466.71999991</v>
      </c>
      <c r="L3" s="40">
        <f t="shared" si="3"/>
        <v>5.1378162023270495E-2</v>
      </c>
      <c r="M3" s="41">
        <v>0.06</v>
      </c>
      <c r="N3" s="38">
        <f t="shared" ref="N3:N39" si="4">I3-K3</f>
        <v>15719641112</v>
      </c>
      <c r="O3" s="49"/>
      <c r="P3" s="49"/>
      <c r="Q3" s="49"/>
      <c r="R3" s="49"/>
      <c r="S3" s="37" t="s">
        <v>212</v>
      </c>
      <c r="T3" s="37">
        <v>0</v>
      </c>
      <c r="U3" s="37">
        <v>5</v>
      </c>
    </row>
    <row r="4" spans="1:1034" s="37" customFormat="1">
      <c r="A4" s="37" t="s">
        <v>6</v>
      </c>
      <c r="B4" s="37" t="s">
        <v>49</v>
      </c>
      <c r="C4" s="37" t="s">
        <v>169</v>
      </c>
      <c r="D4" s="37" t="s">
        <v>168</v>
      </c>
      <c r="E4" s="37">
        <v>3</v>
      </c>
      <c r="F4" s="35">
        <v>256</v>
      </c>
      <c r="G4" s="35">
        <v>1358</v>
      </c>
      <c r="H4" s="37">
        <v>16687155558</v>
      </c>
      <c r="I4" s="42">
        <f t="shared" si="0"/>
        <v>16432895279.76</v>
      </c>
      <c r="J4" s="38">
        <f t="shared" si="1"/>
        <v>1184424162</v>
      </c>
      <c r="K4" s="38">
        <f t="shared" si="2"/>
        <v>930163883.75999999</v>
      </c>
      <c r="L4" s="40">
        <f t="shared" si="3"/>
        <v>7.6400998749523844E-2</v>
      </c>
      <c r="M4" s="41">
        <v>0.06</v>
      </c>
      <c r="N4" s="38">
        <f t="shared" si="4"/>
        <v>15502731396</v>
      </c>
      <c r="O4" s="49"/>
      <c r="P4" s="49"/>
      <c r="Q4" s="49"/>
      <c r="R4" s="49"/>
      <c r="S4" s="37" t="s">
        <v>211</v>
      </c>
      <c r="T4" s="37">
        <v>0</v>
      </c>
      <c r="U4" s="37">
        <v>5</v>
      </c>
      <c r="W4" s="44" t="s">
        <v>210</v>
      </c>
      <c r="X4" s="43">
        <f>AVERAGE(M2:M39)</f>
        <v>9.1578947368421065E-2</v>
      </c>
      <c r="Y4" s="43">
        <f>AVERAGE(L2:L39)</f>
        <v>7.365189269646942E-2</v>
      </c>
    </row>
    <row r="5" spans="1:1034" s="37" customFormat="1" ht="12" customHeight="1">
      <c r="A5" s="37" t="s">
        <v>6</v>
      </c>
      <c r="B5" s="37" t="s">
        <v>49</v>
      </c>
      <c r="C5" s="37" t="s">
        <v>160</v>
      </c>
      <c r="D5" s="37" t="s">
        <v>166</v>
      </c>
      <c r="E5" s="37">
        <v>4</v>
      </c>
      <c r="F5" s="35">
        <v>231</v>
      </c>
      <c r="G5" s="35">
        <v>2643</v>
      </c>
      <c r="H5" s="37">
        <v>36353930672</v>
      </c>
      <c r="I5" s="42">
        <f t="shared" si="0"/>
        <v>39672394463.400002</v>
      </c>
      <c r="J5" s="38">
        <f t="shared" si="1"/>
        <v>1856196356</v>
      </c>
      <c r="K5" s="38">
        <f t="shared" si="2"/>
        <v>5174660147.3999996</v>
      </c>
      <c r="L5" s="40">
        <f t="shared" si="3"/>
        <v>5.3806326496609914E-2</v>
      </c>
      <c r="M5" s="41">
        <v>0.15</v>
      </c>
      <c r="N5" s="38">
        <f t="shared" si="4"/>
        <v>34497734316</v>
      </c>
      <c r="O5" s="49"/>
      <c r="P5" s="49"/>
      <c r="Q5" s="49"/>
      <c r="R5" s="49"/>
      <c r="S5" s="37" t="s">
        <v>209</v>
      </c>
      <c r="T5" s="37">
        <v>0</v>
      </c>
      <c r="U5" s="37">
        <v>5</v>
      </c>
      <c r="W5" s="44" t="s">
        <v>208</v>
      </c>
      <c r="X5" s="43">
        <f>_xlfn.STDEV.S(M2:M39)</f>
        <v>2.7265096566011081E-2</v>
      </c>
      <c r="Y5" s="43">
        <f>_xlfn.STDEV.S(L2:L39)</f>
        <v>2.8549674313318736E-2</v>
      </c>
    </row>
    <row r="6" spans="1:1034" s="37" customFormat="1">
      <c r="A6" s="37" t="s">
        <v>6</v>
      </c>
      <c r="B6" s="37" t="s">
        <v>49</v>
      </c>
      <c r="C6" s="37" t="s">
        <v>160</v>
      </c>
      <c r="D6" s="37" t="s">
        <v>164</v>
      </c>
      <c r="E6" s="37">
        <v>5</v>
      </c>
      <c r="F6" s="35">
        <v>223</v>
      </c>
      <c r="G6" s="35">
        <v>2624</v>
      </c>
      <c r="H6" s="37">
        <v>36227858601</v>
      </c>
      <c r="I6" s="42">
        <f t="shared" si="0"/>
        <v>38065687609.599998</v>
      </c>
      <c r="J6" s="38">
        <f t="shared" si="1"/>
        <v>2240637521</v>
      </c>
      <c r="K6" s="38">
        <f t="shared" si="2"/>
        <v>4078466529.5999999</v>
      </c>
      <c r="L6" s="40">
        <f t="shared" si="3"/>
        <v>6.5925881840293132E-2</v>
      </c>
      <c r="M6" s="41">
        <v>0.12</v>
      </c>
      <c r="N6" s="38">
        <f t="shared" si="4"/>
        <v>33987221080</v>
      </c>
      <c r="O6" s="49"/>
      <c r="P6" s="49"/>
      <c r="Q6" s="49"/>
      <c r="R6" s="49"/>
      <c r="S6" s="37" t="s">
        <v>207</v>
      </c>
      <c r="T6" s="37">
        <v>0</v>
      </c>
      <c r="U6" s="37">
        <v>5</v>
      </c>
    </row>
    <row r="7" spans="1:1034" s="37" customFormat="1">
      <c r="A7" s="37" t="s">
        <v>6</v>
      </c>
      <c r="B7" s="37" t="s">
        <v>49</v>
      </c>
      <c r="C7" s="37" t="s">
        <v>160</v>
      </c>
      <c r="D7" s="37" t="s">
        <v>162</v>
      </c>
      <c r="E7" s="37">
        <v>6</v>
      </c>
      <c r="F7" s="35">
        <v>223</v>
      </c>
      <c r="G7" s="35">
        <v>2634</v>
      </c>
      <c r="H7" s="37">
        <v>36372525681</v>
      </c>
      <c r="I7" s="42">
        <f t="shared" si="0"/>
        <v>37824642528.959999</v>
      </c>
      <c r="J7" s="38">
        <f t="shared" si="1"/>
        <v>2600523423</v>
      </c>
      <c r="K7" s="38">
        <f t="shared" si="2"/>
        <v>4052640270.96</v>
      </c>
      <c r="L7" s="40">
        <f t="shared" si="3"/>
        <v>7.7002346592701096E-2</v>
      </c>
      <c r="M7" s="41">
        <v>0.12</v>
      </c>
      <c r="N7" s="38">
        <f t="shared" si="4"/>
        <v>33772002258</v>
      </c>
      <c r="O7" s="49"/>
      <c r="P7" s="49"/>
      <c r="Q7" s="49"/>
      <c r="R7" s="49"/>
      <c r="S7" s="37" t="s">
        <v>206</v>
      </c>
      <c r="T7" s="37">
        <v>0</v>
      </c>
      <c r="U7" s="37">
        <v>5</v>
      </c>
    </row>
    <row r="8" spans="1:1034" s="37" customFormat="1">
      <c r="A8" s="37" t="s">
        <v>6</v>
      </c>
      <c r="B8" s="37" t="s">
        <v>49</v>
      </c>
      <c r="C8" s="37" t="s">
        <v>160</v>
      </c>
      <c r="D8" s="37" t="s">
        <v>159</v>
      </c>
      <c r="E8" s="37">
        <v>7</v>
      </c>
      <c r="F8" s="35">
        <v>210</v>
      </c>
      <c r="G8" s="35">
        <v>2643</v>
      </c>
      <c r="H8" s="37">
        <v>36034227844</v>
      </c>
      <c r="I8" s="42">
        <f t="shared" si="0"/>
        <v>38085678743.010002</v>
      </c>
      <c r="J8" s="38">
        <f t="shared" si="1"/>
        <v>1722805553</v>
      </c>
      <c r="K8" s="38">
        <f t="shared" si="2"/>
        <v>3774256452.0100002</v>
      </c>
      <c r="L8" s="40">
        <f t="shared" si="3"/>
        <v>5.0210846358645346E-2</v>
      </c>
      <c r="M8" s="41">
        <v>0.11</v>
      </c>
      <c r="N8" s="38">
        <f t="shared" si="4"/>
        <v>34311422291</v>
      </c>
      <c r="O8" s="49"/>
      <c r="P8" s="49"/>
      <c r="Q8" s="49"/>
      <c r="R8" s="49"/>
      <c r="S8" s="37" t="s">
        <v>205</v>
      </c>
      <c r="T8" s="37">
        <v>0</v>
      </c>
      <c r="U8" s="37">
        <v>5</v>
      </c>
    </row>
    <row r="9" spans="1:1034" s="37" customFormat="1">
      <c r="A9" s="37" t="s">
        <v>6</v>
      </c>
      <c r="B9" s="37" t="s">
        <v>49</v>
      </c>
      <c r="C9" s="37" t="s">
        <v>151</v>
      </c>
      <c r="D9" s="37" t="s">
        <v>157</v>
      </c>
      <c r="E9" s="37">
        <v>8</v>
      </c>
      <c r="F9" s="35">
        <v>210</v>
      </c>
      <c r="G9" s="35">
        <v>1583</v>
      </c>
      <c r="H9" s="37">
        <v>15844826372</v>
      </c>
      <c r="I9" s="42">
        <f t="shared" si="0"/>
        <v>15446768376.059999</v>
      </c>
      <c r="J9" s="38">
        <f t="shared" si="1"/>
        <v>1673479238</v>
      </c>
      <c r="K9" s="38">
        <f t="shared" si="2"/>
        <v>1275421242.0599999</v>
      </c>
      <c r="L9" s="40">
        <f t="shared" si="3"/>
        <v>0.11808893129044706</v>
      </c>
      <c r="M9" s="41">
        <v>0.09</v>
      </c>
      <c r="N9" s="38">
        <f t="shared" si="4"/>
        <v>14171347134</v>
      </c>
      <c r="O9" s="49"/>
      <c r="P9" s="49"/>
      <c r="Q9" s="49"/>
      <c r="R9" s="49"/>
      <c r="S9" s="37" t="s">
        <v>204</v>
      </c>
      <c r="T9" s="37">
        <v>0</v>
      </c>
      <c r="U9" s="37">
        <v>5</v>
      </c>
    </row>
    <row r="10" spans="1:1034" s="37" customFormat="1">
      <c r="A10" s="37" t="s">
        <v>6</v>
      </c>
      <c r="B10" s="37" t="s">
        <v>49</v>
      </c>
      <c r="C10" s="37" t="s">
        <v>151</v>
      </c>
      <c r="D10" s="37" t="s">
        <v>155</v>
      </c>
      <c r="E10" s="37">
        <v>9</v>
      </c>
      <c r="F10" s="35">
        <v>218</v>
      </c>
      <c r="G10" s="35">
        <v>1583</v>
      </c>
      <c r="H10" s="37">
        <v>15464929392</v>
      </c>
      <c r="I10" s="42">
        <f t="shared" si="0"/>
        <v>16120839297.57</v>
      </c>
      <c r="J10" s="38">
        <f t="shared" si="1"/>
        <v>398724441</v>
      </c>
      <c r="K10" s="38">
        <f t="shared" si="2"/>
        <v>1054634346.5700001</v>
      </c>
      <c r="L10" s="40">
        <f t="shared" si="3"/>
        <v>2.6464822581185925E-2</v>
      </c>
      <c r="M10" s="41">
        <v>7.0000000000000007E-2</v>
      </c>
      <c r="N10" s="38">
        <f t="shared" si="4"/>
        <v>15066204951</v>
      </c>
      <c r="O10" s="49"/>
      <c r="P10" s="49"/>
      <c r="Q10" s="49"/>
      <c r="R10" s="49"/>
      <c r="S10" s="37" t="s">
        <v>203</v>
      </c>
      <c r="T10" s="37">
        <v>0</v>
      </c>
      <c r="U10" s="37">
        <v>5</v>
      </c>
    </row>
    <row r="11" spans="1:1034" s="37" customFormat="1">
      <c r="A11" s="37" t="s">
        <v>6</v>
      </c>
      <c r="B11" s="37" t="s">
        <v>49</v>
      </c>
      <c r="C11" s="37" t="s">
        <v>151</v>
      </c>
      <c r="D11" s="37" t="s">
        <v>153</v>
      </c>
      <c r="E11" s="37">
        <v>10</v>
      </c>
      <c r="F11" s="35">
        <v>218</v>
      </c>
      <c r="G11" s="35">
        <v>1661</v>
      </c>
      <c r="H11" s="37">
        <v>15824003987</v>
      </c>
      <c r="I11" s="42">
        <f t="shared" si="0"/>
        <v>16558944988.68</v>
      </c>
      <c r="J11" s="38">
        <f t="shared" si="1"/>
        <v>491647516</v>
      </c>
      <c r="K11" s="38">
        <f t="shared" si="2"/>
        <v>1226588517.6800001</v>
      </c>
      <c r="L11" s="40">
        <f t="shared" si="3"/>
        <v>3.206601130947577E-2</v>
      </c>
      <c r="M11" s="41">
        <v>0.08</v>
      </c>
      <c r="N11" s="38">
        <f t="shared" si="4"/>
        <v>15332356471</v>
      </c>
      <c r="O11" s="49"/>
      <c r="P11" s="49"/>
      <c r="Q11" s="49"/>
      <c r="R11" s="49"/>
      <c r="S11" s="37" t="s">
        <v>202</v>
      </c>
      <c r="T11" s="37">
        <v>0</v>
      </c>
      <c r="U11" s="37">
        <v>5</v>
      </c>
    </row>
    <row r="12" spans="1:1034" s="37" customFormat="1">
      <c r="A12" s="37" t="s">
        <v>6</v>
      </c>
      <c r="B12" s="37" t="s">
        <v>49</v>
      </c>
      <c r="C12" s="37" t="s">
        <v>151</v>
      </c>
      <c r="D12" s="37" t="s">
        <v>150</v>
      </c>
      <c r="E12" s="37">
        <v>11</v>
      </c>
      <c r="F12" s="35">
        <v>242</v>
      </c>
      <c r="G12" s="35">
        <v>1661</v>
      </c>
      <c r="H12" s="37">
        <v>16541429746</v>
      </c>
      <c r="I12" s="42">
        <f t="shared" si="0"/>
        <v>16102252344.57</v>
      </c>
      <c r="J12" s="38">
        <f t="shared" si="1"/>
        <v>1768721173</v>
      </c>
      <c r="K12" s="38">
        <f t="shared" si="2"/>
        <v>1329543771.5699999</v>
      </c>
      <c r="L12" s="40">
        <f t="shared" si="3"/>
        <v>0.11972896942086045</v>
      </c>
      <c r="M12" s="41">
        <v>0.09</v>
      </c>
      <c r="N12" s="38">
        <f t="shared" si="4"/>
        <v>14772708573</v>
      </c>
      <c r="O12" s="49"/>
      <c r="P12" s="49"/>
      <c r="Q12" s="49"/>
      <c r="R12" s="49"/>
      <c r="S12" s="37" t="s">
        <v>201</v>
      </c>
      <c r="T12" s="37">
        <v>0</v>
      </c>
      <c r="U12" s="37">
        <v>5</v>
      </c>
    </row>
    <row r="13" spans="1:1034" s="37" customFormat="1">
      <c r="A13" s="37" t="s">
        <v>6</v>
      </c>
      <c r="B13" s="37" t="s">
        <v>49</v>
      </c>
      <c r="C13" s="37" t="s">
        <v>142</v>
      </c>
      <c r="D13" s="37" t="s">
        <v>148</v>
      </c>
      <c r="E13" s="37">
        <v>12</v>
      </c>
      <c r="F13" s="35">
        <v>242</v>
      </c>
      <c r="G13" s="35">
        <v>1864</v>
      </c>
      <c r="H13" s="37">
        <v>20013231895</v>
      </c>
      <c r="I13" s="42">
        <f t="shared" si="0"/>
        <v>19388244736.299999</v>
      </c>
      <c r="J13" s="38">
        <f t="shared" si="1"/>
        <v>2387554862</v>
      </c>
      <c r="K13" s="38">
        <f t="shared" si="2"/>
        <v>1762567703.3000002</v>
      </c>
      <c r="L13" s="40">
        <f t="shared" si="3"/>
        <v>0.13545890223279686</v>
      </c>
      <c r="M13" s="41">
        <v>0.1</v>
      </c>
      <c r="N13" s="38">
        <f t="shared" si="4"/>
        <v>17625677033</v>
      </c>
      <c r="O13" s="49"/>
      <c r="P13" s="49"/>
      <c r="Q13" s="49"/>
      <c r="R13" s="49"/>
      <c r="S13" s="37" t="s">
        <v>200</v>
      </c>
      <c r="T13" s="37">
        <v>0</v>
      </c>
      <c r="U13" s="37">
        <v>5</v>
      </c>
    </row>
    <row r="14" spans="1:1034" s="37" customFormat="1">
      <c r="A14" s="37" t="s">
        <v>6</v>
      </c>
      <c r="B14" s="37" t="s">
        <v>49</v>
      </c>
      <c r="C14" s="37" t="s">
        <v>142</v>
      </c>
      <c r="D14" s="37" t="s">
        <v>146</v>
      </c>
      <c r="E14" s="37">
        <v>13</v>
      </c>
      <c r="F14" s="35">
        <v>242</v>
      </c>
      <c r="G14" s="35">
        <v>1864</v>
      </c>
      <c r="H14" s="37">
        <v>19191416529</v>
      </c>
      <c r="I14" s="42">
        <f t="shared" si="0"/>
        <v>19676104237.900002</v>
      </c>
      <c r="J14" s="38">
        <f t="shared" si="1"/>
        <v>1304049040</v>
      </c>
      <c r="K14" s="38">
        <f t="shared" si="2"/>
        <v>1788736748.9000001</v>
      </c>
      <c r="L14" s="40">
        <f t="shared" si="3"/>
        <v>7.290335153017552E-2</v>
      </c>
      <c r="M14" s="41">
        <v>0.1</v>
      </c>
      <c r="N14" s="38">
        <f t="shared" si="4"/>
        <v>17887367489</v>
      </c>
      <c r="O14" s="49"/>
      <c r="P14" s="49"/>
      <c r="Q14" s="49"/>
      <c r="R14" s="49"/>
      <c r="S14" s="37" t="s">
        <v>199</v>
      </c>
      <c r="T14" s="37">
        <v>0</v>
      </c>
      <c r="U14" s="37">
        <v>5</v>
      </c>
    </row>
    <row r="15" spans="1:1034" s="37" customFormat="1">
      <c r="A15" s="37" t="s">
        <v>6</v>
      </c>
      <c r="B15" s="37" t="s">
        <v>49</v>
      </c>
      <c r="C15" s="37" t="s">
        <v>142</v>
      </c>
      <c r="D15" s="37" t="s">
        <v>144</v>
      </c>
      <c r="E15" s="37">
        <v>14</v>
      </c>
      <c r="F15" s="35">
        <v>242</v>
      </c>
      <c r="G15" s="35">
        <v>1821</v>
      </c>
      <c r="H15" s="37">
        <v>19559864478</v>
      </c>
      <c r="I15" s="42">
        <f t="shared" si="0"/>
        <v>19580936747.860001</v>
      </c>
      <c r="J15" s="38">
        <f t="shared" si="1"/>
        <v>1595702324</v>
      </c>
      <c r="K15" s="38">
        <f t="shared" si="2"/>
        <v>1616774593.8599999</v>
      </c>
      <c r="L15" s="40">
        <f t="shared" si="3"/>
        <v>8.8826982874049151E-2</v>
      </c>
      <c r="M15" s="41">
        <v>0.09</v>
      </c>
      <c r="N15" s="38">
        <f t="shared" si="4"/>
        <v>17964162154</v>
      </c>
      <c r="O15" s="49"/>
      <c r="P15" s="49"/>
      <c r="Q15" s="49"/>
      <c r="R15" s="49"/>
      <c r="S15" s="37" t="s">
        <v>198</v>
      </c>
      <c r="T15" s="37">
        <v>0</v>
      </c>
      <c r="U15" s="37">
        <v>5</v>
      </c>
    </row>
    <row r="16" spans="1:1034" s="37" customFormat="1">
      <c r="A16" s="37" t="s">
        <v>6</v>
      </c>
      <c r="B16" s="37" t="s">
        <v>49</v>
      </c>
      <c r="C16" s="37" t="s">
        <v>142</v>
      </c>
      <c r="D16" s="37" t="s">
        <v>141</v>
      </c>
      <c r="E16" s="37">
        <v>15</v>
      </c>
      <c r="F16" s="35">
        <v>334</v>
      </c>
      <c r="G16" s="35">
        <v>1876</v>
      </c>
      <c r="H16" s="37">
        <v>19529866535</v>
      </c>
      <c r="I16" s="42">
        <f t="shared" si="0"/>
        <v>19370332023.869999</v>
      </c>
      <c r="J16" s="38">
        <f t="shared" si="1"/>
        <v>1426752494</v>
      </c>
      <c r="K16" s="38">
        <f t="shared" si="2"/>
        <v>1267217982.8700001</v>
      </c>
      <c r="L16" s="40">
        <f t="shared" si="3"/>
        <v>7.8812545221152872E-2</v>
      </c>
      <c r="M16" s="41">
        <v>7.0000000000000007E-2</v>
      </c>
      <c r="N16" s="38">
        <f t="shared" si="4"/>
        <v>18103114041</v>
      </c>
      <c r="O16" s="49"/>
      <c r="P16" s="49"/>
      <c r="Q16" s="49"/>
      <c r="R16" s="49"/>
      <c r="S16" s="37" t="s">
        <v>197</v>
      </c>
      <c r="T16" s="37">
        <v>0</v>
      </c>
      <c r="U16" s="37">
        <v>5</v>
      </c>
    </row>
    <row r="17" spans="1:21" s="37" customFormat="1">
      <c r="A17" s="37" t="s">
        <v>6</v>
      </c>
      <c r="B17" s="37" t="s">
        <v>49</v>
      </c>
      <c r="C17" s="37" t="s">
        <v>135</v>
      </c>
      <c r="D17" s="37" t="s">
        <v>139</v>
      </c>
      <c r="E17" s="37">
        <v>16</v>
      </c>
      <c r="F17" s="35">
        <v>334</v>
      </c>
      <c r="G17" s="35">
        <v>1634</v>
      </c>
      <c r="H17" s="37">
        <v>20918664529</v>
      </c>
      <c r="I17" s="42">
        <f t="shared" si="0"/>
        <v>21228465114.360001</v>
      </c>
      <c r="J17" s="38">
        <f t="shared" si="1"/>
        <v>1262678312</v>
      </c>
      <c r="K17" s="38">
        <f t="shared" si="2"/>
        <v>1572478897.3600001</v>
      </c>
      <c r="L17" s="40">
        <f t="shared" si="3"/>
        <v>6.4238868406813351E-2</v>
      </c>
      <c r="M17" s="41">
        <v>0.08</v>
      </c>
      <c r="N17" s="38">
        <f t="shared" si="4"/>
        <v>19655986217</v>
      </c>
      <c r="O17" s="49"/>
      <c r="P17" s="49"/>
      <c r="Q17" s="49"/>
      <c r="R17" s="49"/>
      <c r="S17" s="37" t="s">
        <v>196</v>
      </c>
      <c r="T17" s="37">
        <v>0</v>
      </c>
      <c r="U17" s="37">
        <v>5</v>
      </c>
    </row>
    <row r="18" spans="1:21" s="37" customFormat="1">
      <c r="A18" s="37" t="s">
        <v>6</v>
      </c>
      <c r="B18" s="37" t="s">
        <v>49</v>
      </c>
      <c r="C18" s="37" t="s">
        <v>135</v>
      </c>
      <c r="D18" s="37" t="s">
        <v>137</v>
      </c>
      <c r="E18" s="37">
        <v>17</v>
      </c>
      <c r="F18" s="35">
        <v>334</v>
      </c>
      <c r="G18" s="35">
        <v>1560</v>
      </c>
      <c r="H18" s="37">
        <v>21046323879</v>
      </c>
      <c r="I18" s="42">
        <f t="shared" si="0"/>
        <v>20698225913.52</v>
      </c>
      <c r="J18" s="38">
        <f t="shared" si="1"/>
        <v>1881299885</v>
      </c>
      <c r="K18" s="38">
        <f t="shared" si="2"/>
        <v>1533201919.52</v>
      </c>
      <c r="L18" s="40">
        <f t="shared" si="3"/>
        <v>9.8163189651574612E-2</v>
      </c>
      <c r="M18" s="41">
        <v>0.08</v>
      </c>
      <c r="N18" s="38">
        <f t="shared" si="4"/>
        <v>19165023994</v>
      </c>
      <c r="O18" s="49"/>
      <c r="P18" s="49"/>
      <c r="Q18" s="49"/>
      <c r="R18" s="49"/>
      <c r="S18" s="37" t="s">
        <v>195</v>
      </c>
      <c r="T18" s="37">
        <v>0</v>
      </c>
      <c r="U18" s="37">
        <v>5</v>
      </c>
    </row>
    <row r="19" spans="1:21" s="37" customFormat="1">
      <c r="A19" s="37" t="s">
        <v>6</v>
      </c>
      <c r="B19" s="37" t="s">
        <v>49</v>
      </c>
      <c r="C19" s="37" t="s">
        <v>135</v>
      </c>
      <c r="D19" s="37" t="s">
        <v>134</v>
      </c>
      <c r="E19" s="37">
        <v>18</v>
      </c>
      <c r="F19" s="35">
        <v>334</v>
      </c>
      <c r="G19" s="35">
        <v>1750</v>
      </c>
      <c r="H19" s="37">
        <v>20304607646</v>
      </c>
      <c r="I19" s="42">
        <f t="shared" si="0"/>
        <v>20415638591.689999</v>
      </c>
      <c r="J19" s="38">
        <f t="shared" si="1"/>
        <v>1224571579</v>
      </c>
      <c r="K19" s="38">
        <f t="shared" si="2"/>
        <v>1335602524.6900001</v>
      </c>
      <c r="L19" s="40">
        <f t="shared" si="3"/>
        <v>6.4180779045694039E-2</v>
      </c>
      <c r="M19" s="41">
        <v>7.0000000000000007E-2</v>
      </c>
      <c r="N19" s="38">
        <f t="shared" si="4"/>
        <v>19080036067</v>
      </c>
      <c r="O19" s="49"/>
      <c r="P19" s="49"/>
      <c r="Q19" s="49"/>
      <c r="R19" s="49"/>
      <c r="S19" s="37" t="s">
        <v>194</v>
      </c>
      <c r="T19" s="37">
        <v>0</v>
      </c>
      <c r="U19" s="37">
        <v>5</v>
      </c>
    </row>
    <row r="20" spans="1:21" s="37" customFormat="1">
      <c r="A20" s="37" t="s">
        <v>6</v>
      </c>
      <c r="B20" s="37" t="s">
        <v>49</v>
      </c>
      <c r="C20" s="37" t="s">
        <v>126</v>
      </c>
      <c r="D20" s="37" t="s">
        <v>132</v>
      </c>
      <c r="E20" s="37">
        <v>19</v>
      </c>
      <c r="F20" s="35">
        <v>331</v>
      </c>
      <c r="G20" s="35">
        <v>1528</v>
      </c>
      <c r="H20" s="37">
        <v>15571236126</v>
      </c>
      <c r="I20" s="42">
        <f t="shared" si="0"/>
        <v>15478327419.200001</v>
      </c>
      <c r="J20" s="38">
        <f t="shared" si="1"/>
        <v>1105509566</v>
      </c>
      <c r="K20" s="38">
        <f t="shared" si="2"/>
        <v>1012600859.2</v>
      </c>
      <c r="L20" s="40">
        <f t="shared" si="3"/>
        <v>7.6422678212161643E-2</v>
      </c>
      <c r="M20" s="41">
        <v>7.0000000000000007E-2</v>
      </c>
      <c r="N20" s="38">
        <f t="shared" si="4"/>
        <v>14465726560</v>
      </c>
      <c r="O20" s="49"/>
      <c r="P20" s="49"/>
      <c r="Q20" s="49"/>
      <c r="R20" s="49"/>
      <c r="S20" s="37" t="s">
        <v>193</v>
      </c>
      <c r="T20" s="37">
        <v>0</v>
      </c>
      <c r="U20" s="37">
        <v>5</v>
      </c>
    </row>
    <row r="21" spans="1:21" s="37" customFormat="1">
      <c r="A21" s="37" t="s">
        <v>6</v>
      </c>
      <c r="B21" s="37" t="s">
        <v>49</v>
      </c>
      <c r="C21" s="37" t="s">
        <v>126</v>
      </c>
      <c r="D21" s="37" t="s">
        <v>130</v>
      </c>
      <c r="E21" s="37">
        <v>20</v>
      </c>
      <c r="F21" s="35">
        <v>331</v>
      </c>
      <c r="G21" s="35">
        <v>1652</v>
      </c>
      <c r="H21" s="37">
        <v>16466301471</v>
      </c>
      <c r="I21" s="42">
        <f t="shared" si="0"/>
        <v>16064332749.51</v>
      </c>
      <c r="J21" s="38">
        <f t="shared" si="1"/>
        <v>1452906378</v>
      </c>
      <c r="K21" s="38">
        <f t="shared" si="2"/>
        <v>1050937656.5100001</v>
      </c>
      <c r="L21" s="40">
        <f t="shared" si="3"/>
        <v>9.6774005413167205E-2</v>
      </c>
      <c r="M21" s="41">
        <v>7.0000000000000007E-2</v>
      </c>
      <c r="N21" s="38">
        <f t="shared" si="4"/>
        <v>15013395093</v>
      </c>
      <c r="O21" s="49"/>
      <c r="P21" s="49"/>
      <c r="Q21" s="49"/>
      <c r="R21" s="49"/>
      <c r="S21" s="37" t="s">
        <v>192</v>
      </c>
      <c r="T21" s="37">
        <v>0</v>
      </c>
      <c r="U21" s="37">
        <v>5</v>
      </c>
    </row>
    <row r="22" spans="1:21" s="37" customFormat="1">
      <c r="A22" s="37" t="s">
        <v>6</v>
      </c>
      <c r="B22" s="37" t="s">
        <v>49</v>
      </c>
      <c r="C22" s="37" t="s">
        <v>126</v>
      </c>
      <c r="D22" s="37" t="s">
        <v>128</v>
      </c>
      <c r="E22" s="37">
        <v>21</v>
      </c>
      <c r="F22" s="35">
        <v>331</v>
      </c>
      <c r="G22" s="35">
        <v>1296</v>
      </c>
      <c r="H22" s="37">
        <v>14903363823</v>
      </c>
      <c r="I22" s="42">
        <f t="shared" si="0"/>
        <v>14411225776.5</v>
      </c>
      <c r="J22" s="38">
        <f t="shared" si="1"/>
        <v>1178386893</v>
      </c>
      <c r="K22" s="38">
        <f t="shared" si="2"/>
        <v>686248846.5</v>
      </c>
      <c r="L22" s="40">
        <f t="shared" si="3"/>
        <v>8.5857112839606065E-2</v>
      </c>
      <c r="M22" s="41">
        <v>0.05</v>
      </c>
      <c r="N22" s="38">
        <f t="shared" si="4"/>
        <v>13724976930</v>
      </c>
      <c r="O22" s="49"/>
      <c r="P22" s="49"/>
      <c r="Q22" s="49"/>
      <c r="R22" s="49"/>
      <c r="S22" s="37" t="s">
        <v>191</v>
      </c>
      <c r="T22" s="37">
        <v>0</v>
      </c>
      <c r="U22" s="37">
        <v>5</v>
      </c>
    </row>
    <row r="23" spans="1:21" s="37" customFormat="1">
      <c r="A23" s="37" t="s">
        <v>6</v>
      </c>
      <c r="B23" s="37" t="s">
        <v>49</v>
      </c>
      <c r="C23" s="37" t="s">
        <v>126</v>
      </c>
      <c r="D23" s="37" t="s">
        <v>125</v>
      </c>
      <c r="E23" s="37">
        <v>22</v>
      </c>
      <c r="F23" s="35">
        <v>331</v>
      </c>
      <c r="G23" s="35">
        <v>1296</v>
      </c>
      <c r="H23" s="37">
        <v>14672510203</v>
      </c>
      <c r="I23" s="42">
        <f t="shared" si="0"/>
        <v>14600453513.1</v>
      </c>
      <c r="J23" s="38">
        <f t="shared" si="1"/>
        <v>767316381</v>
      </c>
      <c r="K23" s="38">
        <f t="shared" si="2"/>
        <v>695259691.10000002</v>
      </c>
      <c r="L23" s="40">
        <f t="shared" si="3"/>
        <v>5.5181998239103726E-2</v>
      </c>
      <c r="M23" s="41">
        <v>0.05</v>
      </c>
      <c r="N23" s="38">
        <f t="shared" si="4"/>
        <v>13905193822</v>
      </c>
      <c r="O23" s="49"/>
      <c r="P23" s="49"/>
      <c r="Q23" s="49"/>
      <c r="R23" s="49"/>
      <c r="S23" s="37" t="s">
        <v>190</v>
      </c>
      <c r="T23" s="37">
        <v>0</v>
      </c>
      <c r="U23" s="37">
        <v>5</v>
      </c>
    </row>
    <row r="24" spans="1:21" s="37" customFormat="1">
      <c r="A24" s="37" t="s">
        <v>6</v>
      </c>
      <c r="B24" s="37" t="s">
        <v>49</v>
      </c>
      <c r="C24" s="37" t="s">
        <v>117</v>
      </c>
      <c r="D24" s="37" t="s">
        <v>123</v>
      </c>
      <c r="E24" s="37">
        <v>23</v>
      </c>
      <c r="F24" s="35">
        <v>212</v>
      </c>
      <c r="G24" s="35">
        <v>2507</v>
      </c>
      <c r="H24" s="37">
        <v>34540467909</v>
      </c>
      <c r="I24" s="42">
        <f t="shared" si="0"/>
        <v>36815002285.599998</v>
      </c>
      <c r="J24" s="38">
        <f t="shared" si="1"/>
        <v>1669930154</v>
      </c>
      <c r="K24" s="38">
        <f t="shared" si="2"/>
        <v>3944464530.5999999</v>
      </c>
      <c r="L24" s="40">
        <f t="shared" si="3"/>
        <v>5.0803250206820354E-2</v>
      </c>
      <c r="M24" s="41">
        <v>0.12</v>
      </c>
      <c r="N24" s="38">
        <f t="shared" si="4"/>
        <v>32870537755</v>
      </c>
      <c r="O24" s="49"/>
      <c r="P24" s="49"/>
      <c r="Q24" s="49"/>
      <c r="R24" s="49"/>
      <c r="S24" s="37" t="s">
        <v>189</v>
      </c>
      <c r="T24" s="37">
        <v>0</v>
      </c>
      <c r="U24" s="37">
        <v>5</v>
      </c>
    </row>
    <row r="25" spans="1:21" s="37" customFormat="1">
      <c r="A25" s="37" t="s">
        <v>6</v>
      </c>
      <c r="B25" s="37" t="s">
        <v>49</v>
      </c>
      <c r="C25" s="37" t="s">
        <v>117</v>
      </c>
      <c r="D25" s="37" t="s">
        <v>121</v>
      </c>
      <c r="E25" s="37">
        <v>24</v>
      </c>
      <c r="F25" s="35">
        <v>222</v>
      </c>
      <c r="G25" s="35">
        <v>2507</v>
      </c>
      <c r="H25" s="37">
        <v>34010064558</v>
      </c>
      <c r="I25" s="42">
        <f t="shared" si="0"/>
        <v>36882949821.760002</v>
      </c>
      <c r="J25" s="38">
        <f t="shared" si="1"/>
        <v>1078859360</v>
      </c>
      <c r="K25" s="38">
        <f t="shared" si="2"/>
        <v>3951744623.7599998</v>
      </c>
      <c r="L25" s="40">
        <f t="shared" si="3"/>
        <v>3.2761004448920744E-2</v>
      </c>
      <c r="M25" s="41">
        <v>0.12</v>
      </c>
      <c r="N25" s="38">
        <f t="shared" si="4"/>
        <v>32931205198.000004</v>
      </c>
      <c r="O25" s="49"/>
      <c r="P25" s="49"/>
      <c r="Q25" s="49"/>
      <c r="R25" s="49"/>
      <c r="S25" s="37" t="s">
        <v>188</v>
      </c>
      <c r="T25" s="37">
        <v>0</v>
      </c>
      <c r="U25" s="37">
        <v>5</v>
      </c>
    </row>
    <row r="26" spans="1:21" s="37" customFormat="1">
      <c r="A26" s="37" t="s">
        <v>6</v>
      </c>
      <c r="B26" s="37" t="s">
        <v>49</v>
      </c>
      <c r="C26" s="37" t="s">
        <v>117</v>
      </c>
      <c r="D26" s="37" t="s">
        <v>119</v>
      </c>
      <c r="E26" s="37">
        <v>25</v>
      </c>
      <c r="F26" s="35">
        <v>205</v>
      </c>
      <c r="G26" s="35">
        <v>2504</v>
      </c>
      <c r="H26" s="37">
        <v>34770439577</v>
      </c>
      <c r="I26" s="42">
        <f t="shared" si="0"/>
        <v>36942010612.699997</v>
      </c>
      <c r="J26" s="38">
        <f t="shared" si="1"/>
        <v>2078394787</v>
      </c>
      <c r="K26" s="38">
        <f t="shared" si="2"/>
        <v>4249965822.7000003</v>
      </c>
      <c r="L26" s="40">
        <f t="shared" si="3"/>
        <v>6.3574940030540678E-2</v>
      </c>
      <c r="M26" s="41">
        <v>0.13</v>
      </c>
      <c r="N26" s="38">
        <f t="shared" si="4"/>
        <v>32692044789.999996</v>
      </c>
      <c r="O26" s="49"/>
      <c r="P26" s="49"/>
      <c r="Q26" s="49"/>
      <c r="R26" s="49"/>
      <c r="S26" s="37" t="s">
        <v>187</v>
      </c>
      <c r="T26" s="37">
        <v>0</v>
      </c>
      <c r="U26" s="37">
        <v>5</v>
      </c>
    </row>
    <row r="27" spans="1:21" s="37" customFormat="1">
      <c r="A27" s="37" t="s">
        <v>6</v>
      </c>
      <c r="B27" s="37" t="s">
        <v>49</v>
      </c>
      <c r="C27" s="37" t="s">
        <v>117</v>
      </c>
      <c r="D27" s="37" t="s">
        <v>116</v>
      </c>
      <c r="E27" s="37">
        <v>26</v>
      </c>
      <c r="F27" s="35">
        <v>205</v>
      </c>
      <c r="G27" s="35">
        <v>2612</v>
      </c>
      <c r="H27" s="37">
        <v>34256749588</v>
      </c>
      <c r="I27" s="42">
        <f t="shared" si="0"/>
        <v>36294081470.339996</v>
      </c>
      <c r="J27" s="38">
        <f t="shared" si="1"/>
        <v>1559378894</v>
      </c>
      <c r="K27" s="38">
        <f t="shared" si="2"/>
        <v>3596710776.3400002</v>
      </c>
      <c r="L27" s="40">
        <f t="shared" si="3"/>
        <v>4.7691262658197391E-2</v>
      </c>
      <c r="M27" s="41">
        <v>0.11</v>
      </c>
      <c r="N27" s="38">
        <f t="shared" si="4"/>
        <v>32697370693.999996</v>
      </c>
      <c r="O27" s="49"/>
      <c r="P27" s="49"/>
      <c r="Q27" s="49"/>
      <c r="R27" s="49"/>
      <c r="S27" s="37" t="s">
        <v>186</v>
      </c>
      <c r="T27" s="37">
        <v>0</v>
      </c>
      <c r="U27" s="37">
        <v>5</v>
      </c>
    </row>
    <row r="28" spans="1:21" s="37" customFormat="1">
      <c r="A28" s="37" t="s">
        <v>6</v>
      </c>
      <c r="B28" s="37" t="s">
        <v>49</v>
      </c>
      <c r="C28" s="37" t="s">
        <v>100</v>
      </c>
      <c r="D28" s="37" t="s">
        <v>114</v>
      </c>
      <c r="E28" s="37">
        <v>27</v>
      </c>
      <c r="F28" s="35">
        <v>212</v>
      </c>
      <c r="G28" s="35">
        <v>2497</v>
      </c>
      <c r="H28" s="37">
        <v>27256188236</v>
      </c>
      <c r="I28" s="42">
        <f t="shared" si="0"/>
        <v>29036415228.799999</v>
      </c>
      <c r="J28" s="38">
        <f t="shared" si="1"/>
        <v>1330817496</v>
      </c>
      <c r="K28" s="38">
        <f t="shared" si="2"/>
        <v>3111044488.7999997</v>
      </c>
      <c r="L28" s="40">
        <f t="shared" si="3"/>
        <v>5.1332631241669952E-2</v>
      </c>
      <c r="M28" s="41">
        <v>0.12</v>
      </c>
      <c r="N28" s="38">
        <f t="shared" si="4"/>
        <v>25925370740</v>
      </c>
      <c r="O28" s="49"/>
      <c r="P28" s="49"/>
      <c r="Q28" s="49"/>
      <c r="R28" s="49"/>
      <c r="S28" s="37" t="s">
        <v>185</v>
      </c>
      <c r="T28" s="37">
        <v>0</v>
      </c>
      <c r="U28" s="37">
        <v>5</v>
      </c>
    </row>
    <row r="29" spans="1:21" s="37" customFormat="1">
      <c r="A29" s="37" t="s">
        <v>6</v>
      </c>
      <c r="B29" s="37" t="s">
        <v>49</v>
      </c>
      <c r="C29" s="37" t="s">
        <v>100</v>
      </c>
      <c r="D29" s="37" t="s">
        <v>112</v>
      </c>
      <c r="E29" s="37">
        <v>28</v>
      </c>
      <c r="F29" s="35">
        <v>222</v>
      </c>
      <c r="G29" s="35">
        <v>2530</v>
      </c>
      <c r="H29" s="37">
        <v>26648754500</v>
      </c>
      <c r="I29" s="42">
        <f t="shared" si="0"/>
        <v>28435524859.959999</v>
      </c>
      <c r="J29" s="38">
        <f t="shared" si="1"/>
        <v>1484573208</v>
      </c>
      <c r="K29" s="38">
        <f t="shared" si="2"/>
        <v>3271343567.96</v>
      </c>
      <c r="L29" s="40">
        <f t="shared" si="3"/>
        <v>5.8995490088603199E-2</v>
      </c>
      <c r="M29" s="41">
        <v>0.13</v>
      </c>
      <c r="N29" s="38">
        <f t="shared" si="4"/>
        <v>25164181292</v>
      </c>
      <c r="O29" s="49"/>
      <c r="P29" s="49"/>
      <c r="Q29" s="49"/>
      <c r="R29" s="49"/>
      <c r="S29" s="37" t="s">
        <v>184</v>
      </c>
      <c r="T29" s="37">
        <v>0</v>
      </c>
      <c r="U29" s="37">
        <v>5</v>
      </c>
    </row>
    <row r="30" spans="1:21" s="37" customFormat="1">
      <c r="A30" s="37" t="s">
        <v>6</v>
      </c>
      <c r="B30" s="37" t="s">
        <v>49</v>
      </c>
      <c r="C30" s="37" t="s">
        <v>100</v>
      </c>
      <c r="D30" s="37" t="s">
        <v>110</v>
      </c>
      <c r="E30" s="37">
        <v>29</v>
      </c>
      <c r="F30" s="35">
        <v>205</v>
      </c>
      <c r="G30" s="35">
        <v>2070</v>
      </c>
      <c r="H30" s="37">
        <v>24588875393</v>
      </c>
      <c r="I30" s="42">
        <f t="shared" si="0"/>
        <v>25534912843</v>
      </c>
      <c r="J30" s="38">
        <f t="shared" si="1"/>
        <v>1375318263</v>
      </c>
      <c r="K30" s="38">
        <f t="shared" si="2"/>
        <v>2321355713</v>
      </c>
      <c r="L30" s="40">
        <f t="shared" si="3"/>
        <v>5.924633847789789E-2</v>
      </c>
      <c r="M30" s="41">
        <v>0.1</v>
      </c>
      <c r="N30" s="38">
        <f t="shared" si="4"/>
        <v>23213557130</v>
      </c>
      <c r="O30" s="49"/>
      <c r="P30" s="49"/>
      <c r="Q30" s="49"/>
      <c r="R30" s="49"/>
      <c r="S30" s="37" t="s">
        <v>183</v>
      </c>
      <c r="T30" s="37">
        <v>0</v>
      </c>
      <c r="U30" s="37">
        <v>5</v>
      </c>
    </row>
    <row r="31" spans="1:21" s="37" customFormat="1">
      <c r="A31" s="37" t="s">
        <v>6</v>
      </c>
      <c r="B31" s="37" t="s">
        <v>49</v>
      </c>
      <c r="C31" s="37" t="s">
        <v>100</v>
      </c>
      <c r="D31" s="37" t="s">
        <v>108</v>
      </c>
      <c r="E31" s="37">
        <v>30</v>
      </c>
      <c r="F31" s="35">
        <v>205</v>
      </c>
      <c r="G31" s="35">
        <v>1895</v>
      </c>
      <c r="H31" s="37">
        <v>24718516395</v>
      </c>
      <c r="I31" s="42">
        <f t="shared" si="0"/>
        <v>24643627063.619999</v>
      </c>
      <c r="J31" s="38">
        <f t="shared" si="1"/>
        <v>1469811618</v>
      </c>
      <c r="K31" s="38">
        <f t="shared" si="2"/>
        <v>1394922286.6199999</v>
      </c>
      <c r="L31" s="40">
        <f t="shared" si="3"/>
        <v>6.3221225960686134E-2</v>
      </c>
      <c r="M31" s="41">
        <v>0.06</v>
      </c>
      <c r="N31" s="38">
        <f t="shared" si="4"/>
        <v>23248704777</v>
      </c>
      <c r="O31" s="49"/>
      <c r="P31" s="49"/>
      <c r="Q31" s="49"/>
      <c r="R31" s="49"/>
      <c r="S31" s="37" t="s">
        <v>182</v>
      </c>
      <c r="T31" s="37">
        <v>0</v>
      </c>
      <c r="U31" s="37">
        <v>5</v>
      </c>
    </row>
    <row r="32" spans="1:21" s="37" customFormat="1">
      <c r="A32" s="37" t="s">
        <v>6</v>
      </c>
      <c r="B32" s="37" t="s">
        <v>49</v>
      </c>
      <c r="C32" s="37" t="s">
        <v>100</v>
      </c>
      <c r="D32" s="37" t="s">
        <v>106</v>
      </c>
      <c r="E32" s="37">
        <v>31</v>
      </c>
      <c r="F32" s="35">
        <v>280</v>
      </c>
      <c r="G32" s="35">
        <v>2497</v>
      </c>
      <c r="H32" s="37">
        <v>23746198362</v>
      </c>
      <c r="I32" s="42">
        <f t="shared" si="0"/>
        <v>25103771419.599998</v>
      </c>
      <c r="J32" s="38">
        <f t="shared" si="1"/>
        <v>1530471442</v>
      </c>
      <c r="K32" s="38">
        <f t="shared" si="2"/>
        <v>2888044499.5999999</v>
      </c>
      <c r="L32" s="40">
        <f t="shared" si="3"/>
        <v>6.8891351046549504E-2</v>
      </c>
      <c r="M32" s="41">
        <v>0.13</v>
      </c>
      <c r="N32" s="38">
        <f t="shared" si="4"/>
        <v>22215726920</v>
      </c>
      <c r="O32" s="49"/>
      <c r="P32" s="49"/>
      <c r="Q32" s="49"/>
      <c r="R32" s="49"/>
      <c r="S32" s="37" t="s">
        <v>181</v>
      </c>
      <c r="T32" s="37">
        <v>0</v>
      </c>
      <c r="U32" s="37">
        <v>5</v>
      </c>
    </row>
    <row r="33" spans="1:21" s="37" customFormat="1">
      <c r="A33" s="37" t="s">
        <v>6</v>
      </c>
      <c r="B33" s="37" t="s">
        <v>49</v>
      </c>
      <c r="C33" s="37" t="s">
        <v>100</v>
      </c>
      <c r="D33" s="37" t="s">
        <v>104</v>
      </c>
      <c r="E33" s="37">
        <v>32</v>
      </c>
      <c r="F33" s="35">
        <v>282</v>
      </c>
      <c r="G33" s="35">
        <v>2530</v>
      </c>
      <c r="H33" s="37">
        <v>23573678365</v>
      </c>
      <c r="I33" s="42">
        <f t="shared" si="0"/>
        <v>24663267416.970001</v>
      </c>
      <c r="J33" s="38">
        <f t="shared" si="1"/>
        <v>1747777996</v>
      </c>
      <c r="K33" s="38">
        <f t="shared" si="2"/>
        <v>2837367047.9700003</v>
      </c>
      <c r="L33" s="40">
        <f t="shared" si="3"/>
        <v>8.0078162479034445E-2</v>
      </c>
      <c r="M33" s="41">
        <v>0.13</v>
      </c>
      <c r="N33" s="38">
        <f t="shared" si="4"/>
        <v>21825900369</v>
      </c>
      <c r="O33" s="49"/>
      <c r="P33" s="49"/>
      <c r="Q33" s="49"/>
      <c r="R33" s="49"/>
      <c r="S33" s="37" t="s">
        <v>180</v>
      </c>
      <c r="T33" s="37">
        <v>0</v>
      </c>
      <c r="U33" s="37">
        <v>5</v>
      </c>
    </row>
    <row r="34" spans="1:21" s="37" customFormat="1">
      <c r="A34" s="37" t="s">
        <v>6</v>
      </c>
      <c r="B34" s="37" t="s">
        <v>49</v>
      </c>
      <c r="C34" s="37" t="s">
        <v>100</v>
      </c>
      <c r="D34" s="37" t="s">
        <v>102</v>
      </c>
      <c r="E34" s="37">
        <v>33</v>
      </c>
      <c r="F34" s="35">
        <v>265</v>
      </c>
      <c r="G34" s="35">
        <v>1664</v>
      </c>
      <c r="H34" s="37">
        <v>24023354499</v>
      </c>
      <c r="I34" s="42">
        <f t="shared" si="0"/>
        <v>23993424724.5</v>
      </c>
      <c r="J34" s="38">
        <f t="shared" si="1"/>
        <v>2211150204</v>
      </c>
      <c r="K34" s="38">
        <f t="shared" si="2"/>
        <v>2181220429.5</v>
      </c>
      <c r="L34" s="40">
        <f t="shared" si="3"/>
        <v>0.1013721572609175</v>
      </c>
      <c r="M34" s="41">
        <v>0.1</v>
      </c>
      <c r="N34" s="38">
        <f t="shared" si="4"/>
        <v>21812204295</v>
      </c>
      <c r="O34" s="49"/>
      <c r="P34" s="49"/>
      <c r="Q34" s="49"/>
      <c r="R34" s="49"/>
      <c r="S34" s="37" t="s">
        <v>179</v>
      </c>
      <c r="T34" s="37">
        <v>0</v>
      </c>
      <c r="U34" s="37">
        <v>5</v>
      </c>
    </row>
    <row r="35" spans="1:21" s="37" customFormat="1">
      <c r="A35" s="37" t="s">
        <v>6</v>
      </c>
      <c r="B35" s="37" t="s">
        <v>49</v>
      </c>
      <c r="C35" s="37" t="s">
        <v>100</v>
      </c>
      <c r="D35" s="37" t="s">
        <v>99</v>
      </c>
      <c r="E35" s="37">
        <v>34</v>
      </c>
      <c r="F35" s="35">
        <v>259</v>
      </c>
      <c r="G35" s="35">
        <v>1664</v>
      </c>
      <c r="H35" s="37">
        <v>23254927138</v>
      </c>
      <c r="I35" s="42">
        <f t="shared" si="0"/>
        <v>23641153361.099998</v>
      </c>
      <c r="J35" s="38">
        <f t="shared" si="1"/>
        <v>1762969537</v>
      </c>
      <c r="K35" s="38">
        <f t="shared" si="2"/>
        <v>2149195760.0999999</v>
      </c>
      <c r="L35" s="40">
        <f t="shared" si="3"/>
        <v>8.2029267399911995E-2</v>
      </c>
      <c r="M35" s="41">
        <v>0.1</v>
      </c>
      <c r="N35" s="38">
        <f t="shared" si="4"/>
        <v>21491957601</v>
      </c>
      <c r="O35" s="49"/>
      <c r="P35" s="49"/>
      <c r="Q35" s="49"/>
      <c r="R35" s="49"/>
      <c r="S35" s="37" t="s">
        <v>178</v>
      </c>
      <c r="T35" s="37">
        <v>0</v>
      </c>
      <c r="U35" s="37">
        <v>5</v>
      </c>
    </row>
    <row r="36" spans="1:21" s="37" customFormat="1">
      <c r="A36" s="37" t="s">
        <v>6</v>
      </c>
      <c r="B36" s="37" t="s">
        <v>49</v>
      </c>
      <c r="C36" s="37" t="s">
        <v>90</v>
      </c>
      <c r="D36" s="37" t="s">
        <v>97</v>
      </c>
      <c r="E36" s="37">
        <v>35</v>
      </c>
      <c r="F36" s="35">
        <v>242</v>
      </c>
      <c r="G36" s="35">
        <v>1528</v>
      </c>
      <c r="H36" s="37">
        <v>16452782988</v>
      </c>
      <c r="I36" s="42">
        <f t="shared" si="0"/>
        <v>15539601509.280001</v>
      </c>
      <c r="J36" s="38">
        <f t="shared" si="1"/>
        <v>2064263072</v>
      </c>
      <c r="K36" s="38">
        <f t="shared" si="2"/>
        <v>1151081593.28</v>
      </c>
      <c r="L36" s="40">
        <f t="shared" si="3"/>
        <v>0.14346597732436289</v>
      </c>
      <c r="M36" s="41">
        <v>0.08</v>
      </c>
      <c r="N36" s="38">
        <f t="shared" si="4"/>
        <v>14388519916</v>
      </c>
      <c r="O36" s="49"/>
      <c r="P36" s="49"/>
      <c r="Q36" s="49"/>
      <c r="R36" s="49"/>
      <c r="S36" s="37" t="s">
        <v>177</v>
      </c>
      <c r="T36" s="37">
        <v>0</v>
      </c>
      <c r="U36" s="37">
        <v>5</v>
      </c>
    </row>
    <row r="37" spans="1:21" s="37" customFormat="1">
      <c r="A37" s="37" t="s">
        <v>6</v>
      </c>
      <c r="B37" s="37" t="s">
        <v>49</v>
      </c>
      <c r="C37" s="37" t="s">
        <v>90</v>
      </c>
      <c r="D37" s="37" t="s">
        <v>95</v>
      </c>
      <c r="E37" s="37">
        <v>36</v>
      </c>
      <c r="F37" s="35">
        <v>248</v>
      </c>
      <c r="G37" s="35">
        <v>1652</v>
      </c>
      <c r="H37" s="37">
        <v>16246231905</v>
      </c>
      <c r="I37" s="42">
        <f t="shared" si="0"/>
        <v>15977351364.619999</v>
      </c>
      <c r="J37" s="38">
        <f t="shared" si="1"/>
        <v>1588111387</v>
      </c>
      <c r="K37" s="38">
        <f t="shared" si="2"/>
        <v>1319230846.6199999</v>
      </c>
      <c r="L37" s="40">
        <f t="shared" si="3"/>
        <v>0.10834345269912454</v>
      </c>
      <c r="M37" s="41">
        <v>0.09</v>
      </c>
      <c r="N37" s="38">
        <f t="shared" si="4"/>
        <v>14658120518</v>
      </c>
      <c r="O37" s="49"/>
      <c r="P37" s="49"/>
      <c r="Q37" s="49"/>
      <c r="R37" s="49"/>
      <c r="S37" s="37" t="s">
        <v>176</v>
      </c>
      <c r="T37" s="37">
        <v>0</v>
      </c>
      <c r="U37" s="37">
        <v>5</v>
      </c>
    </row>
    <row r="38" spans="1:21" s="37" customFormat="1">
      <c r="A38" s="37" t="s">
        <v>6</v>
      </c>
      <c r="B38" s="37" t="s">
        <v>49</v>
      </c>
      <c r="C38" s="37" t="s">
        <v>90</v>
      </c>
      <c r="D38" s="37" t="s">
        <v>93</v>
      </c>
      <c r="E38" s="37">
        <v>37</v>
      </c>
      <c r="F38" s="35">
        <v>248</v>
      </c>
      <c r="G38" s="35">
        <v>1296</v>
      </c>
      <c r="H38" s="37">
        <v>14589993202</v>
      </c>
      <c r="I38" s="42">
        <f t="shared" si="0"/>
        <v>14878762065.440001</v>
      </c>
      <c r="J38" s="38">
        <f t="shared" si="1"/>
        <v>283491216</v>
      </c>
      <c r="K38" s="38">
        <f t="shared" si="2"/>
        <v>572260079.44000006</v>
      </c>
      <c r="L38" s="40">
        <f t="shared" si="3"/>
        <v>1.9815550738917012E-2</v>
      </c>
      <c r="M38" s="41">
        <v>0.04</v>
      </c>
      <c r="N38" s="38">
        <f t="shared" si="4"/>
        <v>14306501986</v>
      </c>
      <c r="O38" s="49"/>
      <c r="P38" s="49"/>
      <c r="Q38" s="49"/>
      <c r="R38" s="49"/>
      <c r="S38" s="37" t="s">
        <v>175</v>
      </c>
      <c r="T38" s="37">
        <v>0</v>
      </c>
      <c r="U38" s="37">
        <v>5</v>
      </c>
    </row>
    <row r="39" spans="1:21" s="37" customFormat="1">
      <c r="A39" s="37" t="s">
        <v>6</v>
      </c>
      <c r="B39" s="37" t="s">
        <v>49</v>
      </c>
      <c r="C39" s="37" t="s">
        <v>90</v>
      </c>
      <c r="D39" s="37" t="s">
        <v>89</v>
      </c>
      <c r="E39" s="37">
        <v>38</v>
      </c>
      <c r="F39" s="35">
        <v>248</v>
      </c>
      <c r="G39" s="35">
        <v>1296</v>
      </c>
      <c r="H39" s="37">
        <v>14939918081</v>
      </c>
      <c r="I39" s="42">
        <f t="shared" si="0"/>
        <v>14701535802.940001</v>
      </c>
      <c r="J39" s="38">
        <f t="shared" si="1"/>
        <v>1070544682</v>
      </c>
      <c r="K39" s="38">
        <f t="shared" si="2"/>
        <v>832162403.93999994</v>
      </c>
      <c r="L39" s="40">
        <f t="shared" si="3"/>
        <v>7.7187674684509378E-2</v>
      </c>
      <c r="M39" s="41">
        <v>0.06</v>
      </c>
      <c r="N39" s="38">
        <f t="shared" si="4"/>
        <v>13869373399</v>
      </c>
      <c r="O39" s="49"/>
      <c r="P39" s="49"/>
      <c r="Q39" s="49"/>
      <c r="R39" s="49"/>
      <c r="S39" s="37" t="s">
        <v>174</v>
      </c>
      <c r="T39" s="37">
        <v>0</v>
      </c>
      <c r="U39" s="37">
        <v>5</v>
      </c>
    </row>
    <row r="40" spans="1:21" s="38" customFormat="1" ht="12.75">
      <c r="A40" s="38" t="s">
        <v>6</v>
      </c>
      <c r="B40" s="38" t="s">
        <v>91</v>
      </c>
      <c r="C40" s="38" t="s">
        <v>169</v>
      </c>
      <c r="D40" s="38" t="s">
        <v>173</v>
      </c>
      <c r="E40" s="38">
        <v>1</v>
      </c>
      <c r="H40" s="38">
        <v>15584843870</v>
      </c>
      <c r="L40" s="39"/>
      <c r="S40" s="38" t="s">
        <v>172</v>
      </c>
      <c r="T40" s="38">
        <v>0</v>
      </c>
      <c r="U40" s="38">
        <v>5</v>
      </c>
    </row>
    <row r="41" spans="1:21" s="37" customFormat="1" ht="12.75">
      <c r="A41" s="37" t="s">
        <v>6</v>
      </c>
      <c r="B41" s="37" t="s">
        <v>91</v>
      </c>
      <c r="C41" s="37" t="s">
        <v>169</v>
      </c>
      <c r="D41" s="37" t="s">
        <v>171</v>
      </c>
      <c r="E41" s="37">
        <v>2</v>
      </c>
      <c r="H41" s="37">
        <v>15719641112</v>
      </c>
      <c r="L41" s="36"/>
      <c r="S41" s="37" t="s">
        <v>170</v>
      </c>
      <c r="T41" s="37">
        <v>0</v>
      </c>
      <c r="U41" s="37">
        <v>5</v>
      </c>
    </row>
    <row r="42" spans="1:21" s="37" customFormat="1" ht="12.75">
      <c r="A42" s="37" t="s">
        <v>6</v>
      </c>
      <c r="B42" s="37" t="s">
        <v>91</v>
      </c>
      <c r="C42" s="37" t="s">
        <v>169</v>
      </c>
      <c r="D42" s="37" t="s">
        <v>168</v>
      </c>
      <c r="E42" s="37">
        <v>3</v>
      </c>
      <c r="H42" s="37">
        <v>15502731396</v>
      </c>
      <c r="L42" s="36"/>
      <c r="S42" s="37" t="s">
        <v>167</v>
      </c>
      <c r="T42" s="37">
        <v>0</v>
      </c>
      <c r="U42" s="37">
        <v>5</v>
      </c>
    </row>
    <row r="43" spans="1:21" s="37" customFormat="1" ht="12.75">
      <c r="A43" s="37" t="s">
        <v>6</v>
      </c>
      <c r="B43" s="37" t="s">
        <v>91</v>
      </c>
      <c r="C43" s="37" t="s">
        <v>160</v>
      </c>
      <c r="D43" s="37" t="s">
        <v>166</v>
      </c>
      <c r="E43" s="37">
        <v>4</v>
      </c>
      <c r="H43" s="37">
        <v>34497734316</v>
      </c>
      <c r="L43" s="36"/>
      <c r="S43" s="37" t="s">
        <v>165</v>
      </c>
      <c r="T43" s="37">
        <v>0</v>
      </c>
      <c r="U43" s="37">
        <v>5</v>
      </c>
    </row>
    <row r="44" spans="1:21" s="37" customFormat="1" ht="12.75">
      <c r="A44" s="37" t="s">
        <v>6</v>
      </c>
      <c r="B44" s="37" t="s">
        <v>91</v>
      </c>
      <c r="C44" s="37" t="s">
        <v>160</v>
      </c>
      <c r="D44" s="37" t="s">
        <v>164</v>
      </c>
      <c r="E44" s="37">
        <v>5</v>
      </c>
      <c r="H44" s="37">
        <v>33987221080</v>
      </c>
      <c r="L44" s="36"/>
      <c r="S44" s="37" t="s">
        <v>163</v>
      </c>
      <c r="T44" s="37">
        <v>0</v>
      </c>
      <c r="U44" s="37">
        <v>5</v>
      </c>
    </row>
    <row r="45" spans="1:21" s="37" customFormat="1" ht="12.75">
      <c r="A45" s="37" t="s">
        <v>6</v>
      </c>
      <c r="B45" s="37" t="s">
        <v>91</v>
      </c>
      <c r="C45" s="37" t="s">
        <v>160</v>
      </c>
      <c r="D45" s="37" t="s">
        <v>162</v>
      </c>
      <c r="E45" s="37">
        <v>6</v>
      </c>
      <c r="H45" s="37">
        <v>33772002258</v>
      </c>
      <c r="L45" s="36"/>
      <c r="S45" s="37" t="s">
        <v>161</v>
      </c>
      <c r="T45" s="37">
        <v>0</v>
      </c>
      <c r="U45" s="37">
        <v>5</v>
      </c>
    </row>
    <row r="46" spans="1:21" s="37" customFormat="1" ht="12.75">
      <c r="A46" s="37" t="s">
        <v>6</v>
      </c>
      <c r="B46" s="37" t="s">
        <v>91</v>
      </c>
      <c r="C46" s="37" t="s">
        <v>160</v>
      </c>
      <c r="D46" s="37" t="s">
        <v>159</v>
      </c>
      <c r="E46" s="37">
        <v>7</v>
      </c>
      <c r="H46" s="37">
        <v>34311422291</v>
      </c>
      <c r="L46" s="36"/>
      <c r="S46" s="37" t="s">
        <v>158</v>
      </c>
      <c r="T46" s="37">
        <v>0</v>
      </c>
      <c r="U46" s="37">
        <v>5</v>
      </c>
    </row>
    <row r="47" spans="1:21" s="37" customFormat="1" ht="12.75">
      <c r="A47" s="37" t="s">
        <v>6</v>
      </c>
      <c r="B47" s="37" t="s">
        <v>91</v>
      </c>
      <c r="C47" s="37" t="s">
        <v>151</v>
      </c>
      <c r="D47" s="37" t="s">
        <v>157</v>
      </c>
      <c r="E47" s="37">
        <v>8</v>
      </c>
      <c r="H47" s="37">
        <v>14171347134</v>
      </c>
      <c r="L47" s="36"/>
      <c r="S47" s="37" t="s">
        <v>156</v>
      </c>
      <c r="T47" s="37">
        <v>0</v>
      </c>
      <c r="U47" s="37">
        <v>5</v>
      </c>
    </row>
    <row r="48" spans="1:21" s="37" customFormat="1" ht="12.75">
      <c r="A48" s="37" t="s">
        <v>6</v>
      </c>
      <c r="B48" s="37" t="s">
        <v>91</v>
      </c>
      <c r="C48" s="37" t="s">
        <v>151</v>
      </c>
      <c r="D48" s="37" t="s">
        <v>155</v>
      </c>
      <c r="E48" s="37">
        <v>9</v>
      </c>
      <c r="H48" s="37">
        <v>15066204951</v>
      </c>
      <c r="L48" s="36"/>
      <c r="S48" s="37" t="s">
        <v>154</v>
      </c>
      <c r="T48" s="37">
        <v>0</v>
      </c>
      <c r="U48" s="37">
        <v>5</v>
      </c>
    </row>
    <row r="49" spans="1:21" s="37" customFormat="1" ht="12.75">
      <c r="A49" s="37" t="s">
        <v>6</v>
      </c>
      <c r="B49" s="37" t="s">
        <v>91</v>
      </c>
      <c r="C49" s="37" t="s">
        <v>151</v>
      </c>
      <c r="D49" s="37" t="s">
        <v>153</v>
      </c>
      <c r="E49" s="37">
        <v>10</v>
      </c>
      <c r="H49" s="37">
        <v>15332356471</v>
      </c>
      <c r="L49" s="36"/>
      <c r="S49" s="37" t="s">
        <v>152</v>
      </c>
      <c r="T49" s="37">
        <v>0</v>
      </c>
      <c r="U49" s="37">
        <v>5</v>
      </c>
    </row>
    <row r="50" spans="1:21" s="37" customFormat="1" ht="12.75">
      <c r="A50" s="37" t="s">
        <v>6</v>
      </c>
      <c r="B50" s="37" t="s">
        <v>91</v>
      </c>
      <c r="C50" s="37" t="s">
        <v>151</v>
      </c>
      <c r="D50" s="37" t="s">
        <v>150</v>
      </c>
      <c r="E50" s="37">
        <v>11</v>
      </c>
      <c r="H50" s="37">
        <v>14772708573</v>
      </c>
      <c r="L50" s="36"/>
      <c r="S50" s="37" t="s">
        <v>149</v>
      </c>
      <c r="T50" s="37">
        <v>0</v>
      </c>
      <c r="U50" s="37">
        <v>5</v>
      </c>
    </row>
    <row r="51" spans="1:21" s="37" customFormat="1" ht="12.75">
      <c r="A51" s="37" t="s">
        <v>6</v>
      </c>
      <c r="B51" s="37" t="s">
        <v>91</v>
      </c>
      <c r="C51" s="37" t="s">
        <v>142</v>
      </c>
      <c r="D51" s="37" t="s">
        <v>148</v>
      </c>
      <c r="E51" s="37">
        <v>12</v>
      </c>
      <c r="H51" s="37">
        <v>17625677033</v>
      </c>
      <c r="L51" s="36"/>
      <c r="S51" s="37" t="s">
        <v>147</v>
      </c>
      <c r="T51" s="37">
        <v>0</v>
      </c>
      <c r="U51" s="37">
        <v>5</v>
      </c>
    </row>
    <row r="52" spans="1:21" s="37" customFormat="1" ht="12.75">
      <c r="A52" s="37" t="s">
        <v>6</v>
      </c>
      <c r="B52" s="37" t="s">
        <v>91</v>
      </c>
      <c r="C52" s="37" t="s">
        <v>142</v>
      </c>
      <c r="D52" s="37" t="s">
        <v>146</v>
      </c>
      <c r="E52" s="37">
        <v>13</v>
      </c>
      <c r="H52" s="37">
        <v>17887367489</v>
      </c>
      <c r="L52" s="36"/>
      <c r="S52" s="37" t="s">
        <v>145</v>
      </c>
      <c r="T52" s="37">
        <v>0</v>
      </c>
      <c r="U52" s="37">
        <v>5</v>
      </c>
    </row>
    <row r="53" spans="1:21" s="37" customFormat="1" ht="12.75">
      <c r="A53" s="37" t="s">
        <v>6</v>
      </c>
      <c r="B53" s="37" t="s">
        <v>91</v>
      </c>
      <c r="C53" s="37" t="s">
        <v>142</v>
      </c>
      <c r="D53" s="37" t="s">
        <v>144</v>
      </c>
      <c r="E53" s="37">
        <v>14</v>
      </c>
      <c r="H53" s="37">
        <v>17964162154</v>
      </c>
      <c r="L53" s="36"/>
      <c r="S53" s="37" t="s">
        <v>143</v>
      </c>
      <c r="T53" s="37">
        <v>0</v>
      </c>
      <c r="U53" s="37">
        <v>5</v>
      </c>
    </row>
    <row r="54" spans="1:21" s="37" customFormat="1" ht="12.75">
      <c r="A54" s="37" t="s">
        <v>6</v>
      </c>
      <c r="B54" s="37" t="s">
        <v>91</v>
      </c>
      <c r="C54" s="37" t="s">
        <v>142</v>
      </c>
      <c r="D54" s="37" t="s">
        <v>141</v>
      </c>
      <c r="E54" s="37">
        <v>15</v>
      </c>
      <c r="H54" s="37">
        <v>18103114041</v>
      </c>
      <c r="L54" s="36"/>
      <c r="S54" s="37" t="s">
        <v>140</v>
      </c>
      <c r="T54" s="37">
        <v>0</v>
      </c>
      <c r="U54" s="37">
        <v>5</v>
      </c>
    </row>
    <row r="55" spans="1:21" s="37" customFormat="1" ht="12.75">
      <c r="A55" s="37" t="s">
        <v>6</v>
      </c>
      <c r="B55" s="37" t="s">
        <v>91</v>
      </c>
      <c r="C55" s="37" t="s">
        <v>135</v>
      </c>
      <c r="D55" s="37" t="s">
        <v>139</v>
      </c>
      <c r="E55" s="37">
        <v>16</v>
      </c>
      <c r="H55" s="37">
        <v>19655986217</v>
      </c>
      <c r="L55" s="36"/>
      <c r="S55" s="37" t="s">
        <v>138</v>
      </c>
      <c r="T55" s="37">
        <v>0</v>
      </c>
      <c r="U55" s="37">
        <v>5</v>
      </c>
    </row>
    <row r="56" spans="1:21" s="37" customFormat="1" ht="12.75">
      <c r="A56" s="37" t="s">
        <v>6</v>
      </c>
      <c r="B56" s="37" t="s">
        <v>91</v>
      </c>
      <c r="C56" s="37" t="s">
        <v>135</v>
      </c>
      <c r="D56" s="37" t="s">
        <v>137</v>
      </c>
      <c r="E56" s="37">
        <v>17</v>
      </c>
      <c r="H56" s="37">
        <v>19165023994</v>
      </c>
      <c r="L56" s="36"/>
      <c r="S56" s="37" t="s">
        <v>136</v>
      </c>
      <c r="T56" s="37">
        <v>0</v>
      </c>
      <c r="U56" s="37">
        <v>5</v>
      </c>
    </row>
    <row r="57" spans="1:21" s="37" customFormat="1" ht="12.75">
      <c r="A57" s="37" t="s">
        <v>6</v>
      </c>
      <c r="B57" s="37" t="s">
        <v>91</v>
      </c>
      <c r="C57" s="37" t="s">
        <v>135</v>
      </c>
      <c r="D57" s="37" t="s">
        <v>134</v>
      </c>
      <c r="E57" s="37">
        <v>18</v>
      </c>
      <c r="H57" s="37">
        <v>19080036067</v>
      </c>
      <c r="L57" s="36"/>
      <c r="S57" s="37" t="s">
        <v>133</v>
      </c>
      <c r="T57" s="37">
        <v>0</v>
      </c>
      <c r="U57" s="37">
        <v>5</v>
      </c>
    </row>
    <row r="58" spans="1:21" s="37" customFormat="1" ht="12.75">
      <c r="A58" s="37" t="s">
        <v>6</v>
      </c>
      <c r="B58" s="37" t="s">
        <v>91</v>
      </c>
      <c r="C58" s="37" t="s">
        <v>126</v>
      </c>
      <c r="D58" s="37" t="s">
        <v>132</v>
      </c>
      <c r="E58" s="37">
        <v>19</v>
      </c>
      <c r="H58" s="37">
        <v>14465726560</v>
      </c>
      <c r="L58" s="36"/>
      <c r="S58" s="37" t="s">
        <v>131</v>
      </c>
      <c r="T58" s="37">
        <v>0</v>
      </c>
      <c r="U58" s="37">
        <v>5</v>
      </c>
    </row>
    <row r="59" spans="1:21" s="37" customFormat="1" ht="12.75">
      <c r="A59" s="37" t="s">
        <v>6</v>
      </c>
      <c r="B59" s="37" t="s">
        <v>91</v>
      </c>
      <c r="C59" s="37" t="s">
        <v>126</v>
      </c>
      <c r="D59" s="37" t="s">
        <v>130</v>
      </c>
      <c r="E59" s="37">
        <v>20</v>
      </c>
      <c r="H59" s="37">
        <v>15013395093</v>
      </c>
      <c r="L59" s="36"/>
      <c r="S59" s="37" t="s">
        <v>129</v>
      </c>
      <c r="T59" s="37">
        <v>0</v>
      </c>
      <c r="U59" s="37">
        <v>5</v>
      </c>
    </row>
    <row r="60" spans="1:21" s="37" customFormat="1" ht="12.75">
      <c r="A60" s="37" t="s">
        <v>6</v>
      </c>
      <c r="B60" s="37" t="s">
        <v>91</v>
      </c>
      <c r="C60" s="37" t="s">
        <v>126</v>
      </c>
      <c r="D60" s="37" t="s">
        <v>128</v>
      </c>
      <c r="E60" s="37">
        <v>21</v>
      </c>
      <c r="H60" s="37">
        <v>13724976930</v>
      </c>
      <c r="L60" s="36"/>
      <c r="S60" s="37" t="s">
        <v>127</v>
      </c>
      <c r="T60" s="37">
        <v>0</v>
      </c>
      <c r="U60" s="37">
        <v>5</v>
      </c>
    </row>
    <row r="61" spans="1:21" s="37" customFormat="1" ht="12.75">
      <c r="A61" s="37" t="s">
        <v>6</v>
      </c>
      <c r="B61" s="37" t="s">
        <v>91</v>
      </c>
      <c r="C61" s="37" t="s">
        <v>126</v>
      </c>
      <c r="D61" s="37" t="s">
        <v>125</v>
      </c>
      <c r="E61" s="37">
        <v>22</v>
      </c>
      <c r="H61" s="37">
        <v>13905193822</v>
      </c>
      <c r="L61" s="36"/>
      <c r="S61" s="37" t="s">
        <v>124</v>
      </c>
      <c r="T61" s="37">
        <v>0</v>
      </c>
      <c r="U61" s="37">
        <v>5</v>
      </c>
    </row>
    <row r="62" spans="1:21" s="37" customFormat="1" ht="12.75">
      <c r="A62" s="37" t="s">
        <v>6</v>
      </c>
      <c r="B62" s="37" t="s">
        <v>91</v>
      </c>
      <c r="C62" s="37" t="s">
        <v>117</v>
      </c>
      <c r="D62" s="37" t="s">
        <v>123</v>
      </c>
      <c r="E62" s="37">
        <v>23</v>
      </c>
      <c r="H62" s="37">
        <v>32870537755</v>
      </c>
      <c r="L62" s="36"/>
      <c r="S62" s="37" t="s">
        <v>122</v>
      </c>
      <c r="T62" s="37">
        <v>0</v>
      </c>
      <c r="U62" s="37">
        <v>5</v>
      </c>
    </row>
    <row r="63" spans="1:21" s="37" customFormat="1" ht="12.75">
      <c r="A63" s="37" t="s">
        <v>6</v>
      </c>
      <c r="B63" s="37" t="s">
        <v>91</v>
      </c>
      <c r="C63" s="37" t="s">
        <v>117</v>
      </c>
      <c r="D63" s="37" t="s">
        <v>121</v>
      </c>
      <c r="E63" s="37">
        <v>24</v>
      </c>
      <c r="H63" s="37">
        <v>32931205198</v>
      </c>
      <c r="L63" s="36"/>
      <c r="S63" s="37" t="s">
        <v>120</v>
      </c>
      <c r="T63" s="37">
        <v>0</v>
      </c>
      <c r="U63" s="37">
        <v>5</v>
      </c>
    </row>
    <row r="64" spans="1:21" s="37" customFormat="1" ht="12.75">
      <c r="A64" s="37" t="s">
        <v>6</v>
      </c>
      <c r="B64" s="37" t="s">
        <v>91</v>
      </c>
      <c r="C64" s="37" t="s">
        <v>117</v>
      </c>
      <c r="D64" s="37" t="s">
        <v>119</v>
      </c>
      <c r="E64" s="37">
        <v>25</v>
      </c>
      <c r="H64" s="37">
        <v>32692044790</v>
      </c>
      <c r="L64" s="36"/>
      <c r="S64" s="37" t="s">
        <v>118</v>
      </c>
      <c r="T64" s="37">
        <v>0</v>
      </c>
      <c r="U64" s="37">
        <v>5</v>
      </c>
    </row>
    <row r="65" spans="1:21" s="37" customFormat="1" ht="12.75">
      <c r="A65" s="37" t="s">
        <v>6</v>
      </c>
      <c r="B65" s="37" t="s">
        <v>91</v>
      </c>
      <c r="C65" s="37" t="s">
        <v>117</v>
      </c>
      <c r="D65" s="37" t="s">
        <v>116</v>
      </c>
      <c r="E65" s="37">
        <v>26</v>
      </c>
      <c r="H65" s="37">
        <v>32697370694</v>
      </c>
      <c r="L65" s="36"/>
      <c r="S65" s="37" t="s">
        <v>115</v>
      </c>
      <c r="T65" s="37">
        <v>0</v>
      </c>
      <c r="U65" s="37">
        <v>5</v>
      </c>
    </row>
    <row r="66" spans="1:21" s="37" customFormat="1" ht="12.75">
      <c r="A66" s="37" t="s">
        <v>6</v>
      </c>
      <c r="B66" s="37" t="s">
        <v>91</v>
      </c>
      <c r="C66" s="37" t="s">
        <v>100</v>
      </c>
      <c r="D66" s="37" t="s">
        <v>114</v>
      </c>
      <c r="E66" s="37">
        <v>27</v>
      </c>
      <c r="H66" s="37">
        <v>25925370740</v>
      </c>
      <c r="L66" s="36"/>
      <c r="S66" s="37" t="s">
        <v>113</v>
      </c>
      <c r="T66" s="37">
        <v>0</v>
      </c>
      <c r="U66" s="37">
        <v>5</v>
      </c>
    </row>
    <row r="67" spans="1:21" s="37" customFormat="1" ht="12.75">
      <c r="A67" s="37" t="s">
        <v>6</v>
      </c>
      <c r="B67" s="37" t="s">
        <v>91</v>
      </c>
      <c r="C67" s="37" t="s">
        <v>100</v>
      </c>
      <c r="D67" s="37" t="s">
        <v>112</v>
      </c>
      <c r="E67" s="37">
        <v>28</v>
      </c>
      <c r="H67" s="37">
        <v>25164181292</v>
      </c>
      <c r="L67" s="36"/>
      <c r="S67" s="37" t="s">
        <v>111</v>
      </c>
      <c r="T67" s="37">
        <v>0</v>
      </c>
      <c r="U67" s="37">
        <v>5</v>
      </c>
    </row>
    <row r="68" spans="1:21" s="37" customFormat="1" ht="12.75">
      <c r="A68" s="37" t="s">
        <v>6</v>
      </c>
      <c r="B68" s="37" t="s">
        <v>91</v>
      </c>
      <c r="C68" s="37" t="s">
        <v>100</v>
      </c>
      <c r="D68" s="37" t="s">
        <v>110</v>
      </c>
      <c r="E68" s="37">
        <v>29</v>
      </c>
      <c r="H68" s="37">
        <v>23213557130</v>
      </c>
      <c r="L68" s="36"/>
      <c r="S68" s="37" t="s">
        <v>109</v>
      </c>
      <c r="T68" s="37">
        <v>0</v>
      </c>
      <c r="U68" s="37">
        <v>5</v>
      </c>
    </row>
    <row r="69" spans="1:21" s="37" customFormat="1" ht="12.75">
      <c r="A69" s="37" t="s">
        <v>6</v>
      </c>
      <c r="B69" s="37" t="s">
        <v>91</v>
      </c>
      <c r="C69" s="37" t="s">
        <v>100</v>
      </c>
      <c r="D69" s="37" t="s">
        <v>108</v>
      </c>
      <c r="E69" s="37">
        <v>30</v>
      </c>
      <c r="H69" s="37">
        <v>23248704777</v>
      </c>
      <c r="L69" s="36"/>
      <c r="S69" s="37" t="s">
        <v>107</v>
      </c>
      <c r="T69" s="37">
        <v>0</v>
      </c>
      <c r="U69" s="37">
        <v>5</v>
      </c>
    </row>
    <row r="70" spans="1:21" s="37" customFormat="1" ht="12.75">
      <c r="A70" s="37" t="s">
        <v>6</v>
      </c>
      <c r="B70" s="37" t="s">
        <v>91</v>
      </c>
      <c r="C70" s="37" t="s">
        <v>100</v>
      </c>
      <c r="D70" s="37" t="s">
        <v>106</v>
      </c>
      <c r="E70" s="37">
        <v>31</v>
      </c>
      <c r="H70" s="37">
        <v>22215726920</v>
      </c>
      <c r="L70" s="36"/>
      <c r="S70" s="37" t="s">
        <v>105</v>
      </c>
      <c r="T70" s="37">
        <v>0</v>
      </c>
      <c r="U70" s="37">
        <v>5</v>
      </c>
    </row>
    <row r="71" spans="1:21" s="37" customFormat="1" ht="12.75">
      <c r="A71" s="37" t="s">
        <v>6</v>
      </c>
      <c r="B71" s="37" t="s">
        <v>91</v>
      </c>
      <c r="C71" s="37" t="s">
        <v>100</v>
      </c>
      <c r="D71" s="37" t="s">
        <v>104</v>
      </c>
      <c r="E71" s="37">
        <v>32</v>
      </c>
      <c r="H71" s="37">
        <v>21825900369</v>
      </c>
      <c r="L71" s="36"/>
      <c r="S71" s="37" t="s">
        <v>103</v>
      </c>
      <c r="T71" s="37">
        <v>0</v>
      </c>
      <c r="U71" s="37">
        <v>5</v>
      </c>
    </row>
    <row r="72" spans="1:21" s="37" customFormat="1" ht="12.75">
      <c r="A72" s="37" t="s">
        <v>6</v>
      </c>
      <c r="B72" s="37" t="s">
        <v>91</v>
      </c>
      <c r="C72" s="37" t="s">
        <v>100</v>
      </c>
      <c r="D72" s="37" t="s">
        <v>102</v>
      </c>
      <c r="E72" s="37">
        <v>33</v>
      </c>
      <c r="H72" s="37">
        <v>21812204295</v>
      </c>
      <c r="L72" s="36"/>
      <c r="S72" s="37" t="s">
        <v>101</v>
      </c>
      <c r="T72" s="37">
        <v>0</v>
      </c>
      <c r="U72" s="37">
        <v>5</v>
      </c>
    </row>
    <row r="73" spans="1:21" s="37" customFormat="1" ht="12.75">
      <c r="A73" s="37" t="s">
        <v>6</v>
      </c>
      <c r="B73" s="37" t="s">
        <v>91</v>
      </c>
      <c r="C73" s="37" t="s">
        <v>100</v>
      </c>
      <c r="D73" s="37" t="s">
        <v>99</v>
      </c>
      <c r="E73" s="37">
        <v>34</v>
      </c>
      <c r="H73" s="37">
        <v>21491957601</v>
      </c>
      <c r="L73" s="36"/>
      <c r="S73" s="37" t="s">
        <v>98</v>
      </c>
      <c r="T73" s="37">
        <v>0</v>
      </c>
      <c r="U73" s="37">
        <v>5</v>
      </c>
    </row>
    <row r="74" spans="1:21" s="37" customFormat="1" ht="12.75">
      <c r="A74" s="37" t="s">
        <v>6</v>
      </c>
      <c r="B74" s="37" t="s">
        <v>91</v>
      </c>
      <c r="C74" s="37" t="s">
        <v>90</v>
      </c>
      <c r="D74" s="37" t="s">
        <v>97</v>
      </c>
      <c r="E74" s="37">
        <v>35</v>
      </c>
      <c r="H74" s="37">
        <v>14388519916</v>
      </c>
      <c r="L74" s="36"/>
      <c r="S74" s="37" t="s">
        <v>96</v>
      </c>
      <c r="T74" s="37">
        <v>0</v>
      </c>
      <c r="U74" s="37">
        <v>5</v>
      </c>
    </row>
    <row r="75" spans="1:21" s="37" customFormat="1" ht="12.75">
      <c r="A75" s="37" t="s">
        <v>6</v>
      </c>
      <c r="B75" s="37" t="s">
        <v>91</v>
      </c>
      <c r="C75" s="37" t="s">
        <v>90</v>
      </c>
      <c r="D75" s="37" t="s">
        <v>95</v>
      </c>
      <c r="E75" s="37">
        <v>36</v>
      </c>
      <c r="H75" s="37">
        <v>14658120518</v>
      </c>
      <c r="L75" s="36"/>
      <c r="S75" s="37" t="s">
        <v>94</v>
      </c>
      <c r="T75" s="37">
        <v>0</v>
      </c>
      <c r="U75" s="37">
        <v>5</v>
      </c>
    </row>
    <row r="76" spans="1:21" s="37" customFormat="1" ht="12.75">
      <c r="A76" s="37" t="s">
        <v>6</v>
      </c>
      <c r="B76" s="37" t="s">
        <v>91</v>
      </c>
      <c r="C76" s="37" t="s">
        <v>90</v>
      </c>
      <c r="D76" s="37" t="s">
        <v>93</v>
      </c>
      <c r="E76" s="37">
        <v>37</v>
      </c>
      <c r="H76" s="37">
        <v>14306501986</v>
      </c>
      <c r="L76" s="36"/>
      <c r="S76" s="37" t="s">
        <v>92</v>
      </c>
      <c r="T76" s="37">
        <v>0</v>
      </c>
      <c r="U76" s="37">
        <v>5</v>
      </c>
    </row>
    <row r="77" spans="1:21" s="37" customFormat="1" ht="12.75">
      <c r="A77" s="37" t="s">
        <v>6</v>
      </c>
      <c r="B77" s="37" t="s">
        <v>91</v>
      </c>
      <c r="C77" s="37" t="s">
        <v>90</v>
      </c>
      <c r="D77" s="37" t="s">
        <v>89</v>
      </c>
      <c r="E77" s="37">
        <v>38</v>
      </c>
      <c r="H77" s="37">
        <v>13869373399</v>
      </c>
      <c r="L77" s="36"/>
      <c r="S77" s="37" t="s">
        <v>88</v>
      </c>
      <c r="T77" s="37">
        <v>0</v>
      </c>
      <c r="U77" s="37">
        <v>5</v>
      </c>
    </row>
  </sheetData>
  <pageMargins left="1" right="1" top="1.295275590551181" bottom="1.295275590551181" header="1" footer="1"/>
  <pageSetup fitToWidth="0" fitToHeight="0" orientation="portrait" cellComments="asDisplayed" useFirstPageNumber="1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Memory Results</vt:lpstr>
      <vt:lpstr>DiskSpace Results</vt:lpstr>
      <vt:lpstr>Time Techniques</vt:lpstr>
      <vt:lpstr>result_traceElement</vt:lpstr>
      <vt:lpstr>memoryOverhead</vt:lpstr>
      <vt:lpstr>performance overhead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araminit</dc:creator>
  <cp:lastModifiedBy>hojaji</cp:lastModifiedBy>
  <cp:revision>8</cp:revision>
  <cp:lastPrinted>2019-05-10T09:42:47Z</cp:lastPrinted>
  <dcterms:created xsi:type="dcterms:W3CDTF">2017-12-08T15:58:37Z</dcterms:created>
  <dcterms:modified xsi:type="dcterms:W3CDTF">2019-05-14T09:37:31Z</dcterms:modified>
</cp:coreProperties>
</file>