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uepress\help-master3\zh\latest\api\excel\"/>
    </mc:Choice>
  </mc:AlternateContent>
  <xr:revisionPtr revIDLastSave="0" documentId="13_ncr:1_{F4339FA8-C63D-4B39-B93D-3BCC172C329C}" xr6:coauthVersionLast="36" xr6:coauthVersionMax="47" xr10:uidLastSave="{00000000-0000-0000-0000-000000000000}"/>
  <bookViews>
    <workbookView xWindow="-120" yWindow="-120" windowWidth="29040" windowHeight="15840" tabRatio="749" xr2:uid="{00000000-000D-0000-FFFF-FFFF00000000}"/>
  </bookViews>
  <sheets>
    <sheet name="Note" sheetId="5" r:id="rId1"/>
    <sheet name="Bond Calculator" sheetId="1" r:id="rId2"/>
    <sheet name="Interest Rate Swap Calculator" sheetId="4" r:id="rId3"/>
  </sheets>
  <externalReferences>
    <externalReference r:id="rId4"/>
    <externalReference r:id="rId5"/>
    <externalReference r:id="rId6"/>
  </externalReferences>
  <definedNames>
    <definedName name="Bday">[1]设置!$C$28</definedName>
    <definedName name="CNYCalendar">[1]设置!$C$3</definedName>
    <definedName name="CNYCurveBID">[1]设置!$C$11</definedName>
    <definedName name="CNYCurveMID">[1]设置!$C$12</definedName>
    <definedName name="DayCounter">[2]Enum!$B$3:$B$16</definedName>
    <definedName name="GenericVolStripping.InterpolationVariable">[2]Enum!$M$33:$M$40</definedName>
    <definedName name="GenericVolStripping.PaymentType">[2]Enum!$M$46:$M$47</definedName>
    <definedName name="GenericVolStripping.StrippingMethod">[2]Enum!$M$58:$M$59</definedName>
    <definedName name="InterpolationMethod">[2]Enum!$B$53:$B$62</definedName>
    <definedName name="IROptionQuotation">[2]Enum!$M$50:$M$55</definedName>
    <definedName name="USDCalendar">[1]设置!$C$4</definedName>
    <definedName name="USDCNYCalendar">[1]设置!$C$5</definedName>
    <definedName name="USDCNYMktVolSurfaceMID">[1]设置!$C$18</definedName>
    <definedName name="USDCNYSpotAsk">[1]设置!$C$24</definedName>
    <definedName name="USDCNYSpotBid">[1]设置!$C$22</definedName>
    <definedName name="USDCNYSpotCPR">[1]设置!$C$25</definedName>
    <definedName name="USDCNYValueDay">[1]设置!$C$29</definedName>
    <definedName name="USDCurveMID">[1]设置!$C$9</definedName>
    <definedName name="USDMktVolSurfaceMID">[1]设置!$C$18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4" i="5" l="1"/>
  <c r="B5" i="1"/>
  <c r="B9" i="1"/>
  <c r="B8" i="1"/>
  <c r="C7" i="4"/>
  <c r="E3" i="1" a="1"/>
  <c r="C6" i="4"/>
  <c r="B17" i="1"/>
  <c r="B14" i="1"/>
  <c r="B21" i="1"/>
  <c r="B4" i="1"/>
  <c r="B10" i="1"/>
  <c r="B11" i="1"/>
  <c r="B13" i="1"/>
  <c r="B12" i="1"/>
  <c r="E3" i="1" l="1"/>
  <c r="F4" i="1"/>
  <c r="E5" i="1"/>
  <c r="F5" i="1"/>
  <c r="E6" i="1"/>
  <c r="F6" i="1"/>
  <c r="E7" i="1"/>
  <c r="F7" i="1"/>
  <c r="E8" i="1"/>
  <c r="F8" i="1"/>
  <c r="E9" i="1"/>
  <c r="F3" i="1"/>
  <c r="E4" i="1"/>
  <c r="F9" i="1"/>
  <c r="H66" i="4"/>
  <c r="B4" i="4" l="1"/>
  <c r="B7" i="4"/>
  <c r="C19" i="4"/>
  <c r="C18" i="4"/>
  <c r="C17" i="4"/>
  <c r="C16" i="4"/>
  <c r="C15" i="4"/>
  <c r="C14" i="4"/>
  <c r="C13" i="4"/>
  <c r="C12" i="4"/>
  <c r="C11" i="4"/>
  <c r="B76" i="4" a="1"/>
  <c r="B30" i="4"/>
  <c r="B29" i="4"/>
  <c r="B28" i="4"/>
  <c r="B27" i="4"/>
  <c r="B26" i="4"/>
  <c r="B25" i="4"/>
  <c r="B24" i="4"/>
  <c r="B23" i="4"/>
  <c r="B22" i="4"/>
  <c r="B19" i="4"/>
  <c r="B18" i="4"/>
  <c r="B17" i="4"/>
  <c r="B16" i="4"/>
  <c r="B15" i="4"/>
  <c r="B14" i="4"/>
  <c r="B13" i="4"/>
  <c r="B12" i="4"/>
  <c r="B11" i="4"/>
  <c r="A44" i="4" a="1"/>
  <c r="A101" i="4" a="1"/>
  <c r="E3" i="4" a="1"/>
  <c r="E8" i="4" l="1"/>
  <c r="E24" i="4"/>
  <c r="F10" i="4"/>
  <c r="E28" i="4"/>
  <c r="E34" i="4"/>
  <c r="F30" i="4"/>
  <c r="E29" i="4"/>
  <c r="E15" i="4"/>
  <c r="E23" i="4"/>
  <c r="F5" i="4"/>
  <c r="E10" i="4"/>
  <c r="E22" i="4"/>
  <c r="F23" i="4"/>
  <c r="E16" i="4"/>
  <c r="E4" i="4"/>
  <c r="F20" i="4"/>
  <c r="F6" i="4"/>
  <c r="F14" i="4"/>
  <c r="E11" i="4"/>
  <c r="F26" i="4"/>
  <c r="F34" i="4"/>
  <c r="F21" i="4"/>
  <c r="E17" i="4"/>
  <c r="E5" i="4"/>
  <c r="E12" i="4"/>
  <c r="F7" i="4"/>
  <c r="E25" i="4"/>
  <c r="E32" i="4"/>
  <c r="F27" i="4"/>
  <c r="F15" i="4"/>
  <c r="F12" i="4"/>
  <c r="E18" i="4"/>
  <c r="E6" i="4"/>
  <c r="F22" i="4"/>
  <c r="F8" i="4"/>
  <c r="E26" i="4"/>
  <c r="F32" i="4"/>
  <c r="F28" i="4"/>
  <c r="F16" i="4"/>
  <c r="F3" i="4"/>
  <c r="E19" i="4"/>
  <c r="E7" i="4"/>
  <c r="F13" i="4"/>
  <c r="F9" i="4"/>
  <c r="E27" i="4"/>
  <c r="F33" i="4"/>
  <c r="F29" i="4"/>
  <c r="F17" i="4"/>
  <c r="E14" i="4"/>
  <c r="E20" i="4"/>
  <c r="F18" i="4"/>
  <c r="F4" i="4"/>
  <c r="E21" i="4"/>
  <c r="E3" i="4"/>
  <c r="E9" i="4"/>
  <c r="F24" i="4"/>
  <c r="E31" i="4"/>
  <c r="E13" i="4"/>
  <c r="F11" i="4"/>
  <c r="F19" i="4"/>
  <c r="F31" i="4"/>
  <c r="E33" i="4"/>
  <c r="F25" i="4"/>
  <c r="E30" i="4"/>
  <c r="H101" i="4"/>
  <c r="D101" i="4"/>
  <c r="L104" i="4"/>
  <c r="M102" i="4"/>
  <c r="C101" i="4"/>
  <c r="E103" i="4"/>
  <c r="F101" i="4"/>
  <c r="B101" i="4"/>
  <c r="K101" i="4"/>
  <c r="F104" i="4"/>
  <c r="B104" i="4"/>
  <c r="F103" i="4"/>
  <c r="A101" i="4"/>
  <c r="I101" i="4"/>
  <c r="C102" i="4"/>
  <c r="J102" i="4"/>
  <c r="A102" i="4"/>
  <c r="I102" i="4"/>
  <c r="M101" i="4"/>
  <c r="B102" i="4"/>
  <c r="G103" i="4"/>
  <c r="L103" i="4"/>
  <c r="A103" i="4"/>
  <c r="G101" i="4"/>
  <c r="M104" i="4"/>
  <c r="K104" i="4"/>
  <c r="E101" i="4"/>
  <c r="M103" i="4"/>
  <c r="D103" i="4"/>
  <c r="K102" i="4"/>
  <c r="K103" i="4"/>
  <c r="J101" i="4"/>
  <c r="D104" i="4"/>
  <c r="I103" i="4"/>
  <c r="J104" i="4"/>
  <c r="C104" i="4"/>
  <c r="C103" i="4"/>
  <c r="E102" i="4"/>
  <c r="G102" i="4"/>
  <c r="F102" i="4"/>
  <c r="D102" i="4"/>
  <c r="H102" i="4"/>
  <c r="L101" i="4"/>
  <c r="A104" i="4"/>
  <c r="H104" i="4"/>
  <c r="J103" i="4"/>
  <c r="H103" i="4"/>
  <c r="I104" i="4"/>
  <c r="B103" i="4"/>
  <c r="G104" i="4"/>
  <c r="L102" i="4"/>
  <c r="E104" i="4"/>
  <c r="C44" i="4"/>
  <c r="O44" i="4"/>
  <c r="M44" i="4"/>
  <c r="H45" i="4"/>
  <c r="N47" i="4"/>
  <c r="F47" i="4"/>
  <c r="P45" i="4"/>
  <c r="J46" i="4"/>
  <c r="A46" i="4"/>
  <c r="C47" i="4"/>
  <c r="F45" i="4"/>
  <c r="D47" i="4"/>
  <c r="K44" i="4"/>
  <c r="A44" i="4"/>
  <c r="J45" i="4"/>
  <c r="N46" i="4"/>
  <c r="I45" i="4"/>
  <c r="D44" i="4"/>
  <c r="C45" i="4"/>
  <c r="O46" i="4"/>
  <c r="J47" i="4"/>
  <c r="M46" i="4"/>
  <c r="F46" i="4"/>
  <c r="E46" i="4"/>
  <c r="B47" i="4"/>
  <c r="D46" i="4"/>
  <c r="O47" i="4"/>
  <c r="G47" i="4"/>
  <c r="B44" i="4"/>
  <c r="L44" i="4"/>
  <c r="N45" i="4"/>
  <c r="M47" i="4"/>
  <c r="O45" i="4"/>
  <c r="I44" i="4"/>
  <c r="I46" i="4"/>
  <c r="J44" i="4"/>
  <c r="L45" i="4"/>
  <c r="E45" i="4"/>
  <c r="M45" i="4"/>
  <c r="K45" i="4"/>
  <c r="H44" i="4"/>
  <c r="H46" i="4"/>
  <c r="L46" i="4"/>
  <c r="K47" i="4"/>
  <c r="N44" i="4"/>
  <c r="G46" i="4"/>
  <c r="A47" i="4"/>
  <c r="L47" i="4"/>
  <c r="D45" i="4"/>
  <c r="B45" i="4"/>
  <c r="E44" i="4"/>
  <c r="I47" i="4"/>
  <c r="A45" i="4"/>
  <c r="P46" i="4"/>
  <c r="H47" i="4"/>
  <c r="K46" i="4"/>
  <c r="P44" i="4"/>
  <c r="B46" i="4"/>
  <c r="G44" i="4"/>
  <c r="G45" i="4"/>
  <c r="C46" i="4"/>
  <c r="E47" i="4"/>
  <c r="F44" i="4"/>
  <c r="P47" i="4"/>
  <c r="R78" i="4"/>
  <c r="J77" i="4"/>
  <c r="F76" i="4"/>
  <c r="Q78" i="4"/>
  <c r="H76" i="4"/>
  <c r="K79" i="4"/>
  <c r="Q79" i="4"/>
  <c r="M79" i="4"/>
  <c r="I78" i="4"/>
  <c r="O78" i="4"/>
  <c r="K78" i="4"/>
  <c r="G77" i="4"/>
  <c r="M78" i="4"/>
  <c r="E77" i="4"/>
  <c r="N78" i="4"/>
  <c r="E78" i="4"/>
  <c r="L77" i="4"/>
  <c r="C78" i="4"/>
  <c r="F78" i="4"/>
  <c r="B78" i="4"/>
  <c r="G79" i="4"/>
  <c r="R76" i="4"/>
  <c r="C76" i="4"/>
  <c r="S77" i="4"/>
  <c r="S76" i="4"/>
  <c r="O76" i="4"/>
  <c r="F79" i="4"/>
  <c r="P77" i="4"/>
  <c r="S78" i="4"/>
  <c r="S79" i="4"/>
  <c r="M77" i="4"/>
  <c r="I77" i="4"/>
  <c r="E76" i="4"/>
  <c r="R79" i="4"/>
  <c r="K76" i="4"/>
  <c r="G76" i="4"/>
  <c r="H78" i="4"/>
  <c r="P78" i="4"/>
  <c r="P79" i="4"/>
  <c r="J79" i="4"/>
  <c r="D76" i="4"/>
  <c r="N77" i="4"/>
  <c r="J76" i="4"/>
  <c r="F77" i="4"/>
  <c r="I79" i="4"/>
  <c r="L76" i="4"/>
  <c r="B76" i="4"/>
  <c r="I76" i="4"/>
  <c r="H79" i="4"/>
  <c r="G78" i="4"/>
  <c r="C77" i="4"/>
  <c r="O79" i="4"/>
  <c r="E79" i="4"/>
  <c r="K77" i="4"/>
  <c r="Q76" i="4"/>
  <c r="B77" i="4"/>
  <c r="P76" i="4"/>
  <c r="D77" i="4"/>
  <c r="Q77" i="4"/>
  <c r="C79" i="4"/>
  <c r="N76" i="4"/>
  <c r="D78" i="4"/>
  <c r="O77" i="4"/>
  <c r="M76" i="4"/>
  <c r="D79" i="4"/>
  <c r="L79" i="4"/>
  <c r="B79" i="4"/>
  <c r="N79" i="4"/>
  <c r="J78" i="4"/>
  <c r="R77" i="4"/>
  <c r="L78" i="4"/>
  <c r="H77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testuser007</author>
  </authors>
  <commentList>
    <comment ref="E75" authorId="0" shapeId="0" xr:uid="{4F40543C-1BAB-44B5-B009-8F7725075968}">
      <text>
        <r>
          <rPr>
            <b/>
            <sz val="9"/>
            <color indexed="81"/>
            <rFont val="宋体"/>
            <family val="3"/>
            <charset val="134"/>
          </rPr>
          <t>testuser007:
H - 历史定息价格，通过参数指定，本案中在HistFixing表格中
P - 曲线价格，通过参数指定的估值曲线计算</t>
        </r>
      </text>
    </comment>
  </commentList>
</comments>
</file>

<file path=xl/sharedStrings.xml><?xml version="1.0" encoding="utf-8"?>
<sst xmlns="http://schemas.openxmlformats.org/spreadsheetml/2006/main" count="137" uniqueCount="116">
  <si>
    <t>PVBP</t>
    <phoneticPr fontId="3" type="noConversion"/>
  </si>
  <si>
    <t>DiscountFactor</t>
    <phoneticPr fontId="2" type="noConversion"/>
  </si>
  <si>
    <t>FR007-3Y</t>
  </si>
  <si>
    <t>SHIBOR3M_10Y</t>
  </si>
  <si>
    <t>FR007-1M</t>
  </si>
  <si>
    <t>FR007-1Y</t>
  </si>
  <si>
    <t>FR007-2Y</t>
  </si>
  <si>
    <t>FR007-3M</t>
  </si>
  <si>
    <t>FR007-6M</t>
  </si>
  <si>
    <t>FR007-9M</t>
  </si>
  <si>
    <t>FR007-4Y</t>
  </si>
  <si>
    <t>FR007-5Y</t>
  </si>
  <si>
    <t>FR007-7Y</t>
  </si>
  <si>
    <t>FR007-10Y</t>
  </si>
  <si>
    <t>SHIBOR3M_6M</t>
  </si>
  <si>
    <t>SHIBOR3M_9M</t>
  </si>
  <si>
    <t>SHIBOR3M_1Y</t>
  </si>
  <si>
    <t>SHIBOR3M_2Y</t>
  </si>
  <si>
    <t>SHIBOR3M_3Y</t>
  </si>
  <si>
    <t>SHIBOR3M_4Y</t>
  </si>
  <si>
    <t>SHIBOR3M_5Y</t>
  </si>
  <si>
    <t>SHIBOR3M_7Y</t>
  </si>
  <si>
    <t>DV01</t>
    <phoneticPr fontId="3" type="noConversion"/>
  </si>
  <si>
    <t>220205.IB</t>
    <phoneticPr fontId="2" type="noConversion"/>
  </si>
  <si>
    <t>SettlementDate</t>
  </si>
  <si>
    <t>Following</t>
  </si>
  <si>
    <t>ModifiedFollowing</t>
  </si>
  <si>
    <t>Preceding</t>
  </si>
  <si>
    <t>ModifiedPreceding</t>
  </si>
  <si>
    <t>IMM</t>
  </si>
  <si>
    <t>Actual</t>
  </si>
  <si>
    <t>LME</t>
  </si>
  <si>
    <t>PaymentDate</t>
    <phoneticPr fontId="2" type="noConversion"/>
  </si>
  <si>
    <t>AccrStartDate</t>
    <phoneticPr fontId="2" type="noConversion"/>
  </si>
  <si>
    <t>AccrEndDate</t>
    <phoneticPr fontId="2" type="noConversion"/>
  </si>
  <si>
    <t>AccrDay</t>
    <phoneticPr fontId="2" type="noConversion"/>
  </si>
  <si>
    <t>AccrYearFrac</t>
    <phoneticPr fontId="2" type="noConversion"/>
  </si>
  <si>
    <t>AccrRate</t>
    <phoneticPr fontId="2" type="noConversion"/>
  </si>
  <si>
    <t>Payment</t>
    <phoneticPr fontId="2" type="noConversion"/>
  </si>
  <si>
    <t>PV</t>
    <phoneticPr fontId="2" type="noConversion"/>
  </si>
  <si>
    <t>CumPV</t>
    <phoneticPr fontId="2" type="noConversion"/>
  </si>
  <si>
    <t>CF</t>
    <phoneticPr fontId="2" type="noConversion"/>
  </si>
  <si>
    <t>PaymentDateYearFrac</t>
    <phoneticPr fontId="2" type="noConversion"/>
  </si>
  <si>
    <t>AmortAmounts</t>
    <phoneticPr fontId="2" type="noConversion"/>
  </si>
  <si>
    <t>ResidualAmounts</t>
    <phoneticPr fontId="2" type="noConversion"/>
  </si>
  <si>
    <t>Notionals</t>
    <phoneticPr fontId="2" type="noConversion"/>
  </si>
  <si>
    <t>利息支付周期</t>
    <phoneticPr fontId="2" type="noConversion"/>
  </si>
  <si>
    <t>AccrYearFrac</t>
  </si>
  <si>
    <t>2026/8/12</t>
  </si>
  <si>
    <t>PaymentDate</t>
    <phoneticPr fontId="1" type="noConversion"/>
  </si>
  <si>
    <t>AccrStartDate</t>
    <phoneticPr fontId="1" type="noConversion"/>
  </si>
  <si>
    <t>AccrEndDate</t>
    <phoneticPr fontId="1" type="noConversion"/>
  </si>
  <si>
    <t>AccrDay</t>
    <phoneticPr fontId="1" type="noConversion"/>
  </si>
  <si>
    <t>AccrYearFrac</t>
    <phoneticPr fontId="1" type="noConversion"/>
  </si>
  <si>
    <t>AccrRate</t>
    <phoneticPr fontId="1" type="noConversion"/>
  </si>
  <si>
    <t>Payment</t>
    <phoneticPr fontId="1" type="noConversion"/>
  </si>
  <si>
    <t>DiscountFactor</t>
    <phoneticPr fontId="1" type="noConversion"/>
  </si>
  <si>
    <t>PV</t>
    <phoneticPr fontId="1" type="noConversion"/>
  </si>
  <si>
    <t>CumPV</t>
    <phoneticPr fontId="1" type="noConversion"/>
  </si>
  <si>
    <t>CF</t>
    <phoneticPr fontId="1" type="noConversion"/>
  </si>
  <si>
    <t>Par Rate/Yield</t>
  </si>
  <si>
    <t>Server-side Bond Calculator</t>
  </si>
  <si>
    <t>1)Create a bond object</t>
  </si>
  <si>
    <t>Input parameter bond code</t>
  </si>
  <si>
    <t>Build a bond object</t>
  </si>
  <si>
    <t>Yield Rate (Latest, Manually Editable)</t>
  </si>
  <si>
    <t>CleanPrice</t>
  </si>
  <si>
    <t>DirtyPrice</t>
  </si>
  <si>
    <t>Duration</t>
  </si>
  <si>
    <t>MDurationCHN</t>
  </si>
  <si>
    <t>Convexity</t>
  </si>
  <si>
    <t>AccruedInterest</t>
  </si>
  <si>
    <t>DirtyPrice (input)</t>
  </si>
  <si>
    <t>2)Calculate relevant metrics based on bond objects</t>
  </si>
  <si>
    <t>CleanPrice(input)</t>
  </si>
  <si>
    <t>Calculate the yield based on the CleanPrice</t>
  </si>
  <si>
    <t>Calculate the yield based on the DirtyPrice</t>
  </si>
  <si>
    <t>《=Enter bond code</t>
  </si>
  <si>
    <t>Note: Latest transaction price</t>
  </si>
  <si>
    <t>Retrieve basic information from the FixedRateBond object</t>
  </si>
  <si>
    <t>Server-side Interest Rate Swap Calculator"</t>
  </si>
  <si>
    <t>1)Create an interest rate swap object</t>
  </si>
  <si>
    <t xml:space="preserve">Structure </t>
  </si>
  <si>
    <t>coupon</t>
  </si>
  <si>
    <t>margin</t>
  </si>
  <si>
    <t>enddate</t>
  </si>
  <si>
    <t>Construct a VanillaSwap object</t>
  </si>
  <si>
    <t>《==selection structure</t>
  </si>
  <si>
    <t>FloatingLegs</t>
  </si>
  <si>
    <t>FixedLegs</t>
  </si>
  <si>
    <t>NPV</t>
  </si>
  <si>
    <t>MarketValue</t>
  </si>
  <si>
    <t>Premium</t>
  </si>
  <si>
    <t>Accrued</t>
  </si>
  <si>
    <t>MDuration</t>
  </si>
  <si>
    <t>Annuity</t>
  </si>
  <si>
    <t>Swap results</t>
  </si>
  <si>
    <t>Build parameter output</t>
  </si>
  <si>
    <t>QuoteDate</t>
    <phoneticPr fontId="1" type="noConversion"/>
  </si>
  <si>
    <t>QuoteValueDate</t>
    <phoneticPr fontId="1" type="noConversion"/>
  </si>
  <si>
    <t>QuoteRate</t>
    <phoneticPr fontId="1" type="noConversion"/>
  </si>
  <si>
    <t>QuoteType</t>
    <phoneticPr fontId="1" type="noConversion"/>
  </si>
  <si>
    <t>ResetDate</t>
    <phoneticPr fontId="1" type="noConversion"/>
  </si>
  <si>
    <t>PaymentDateYearFrac</t>
    <phoneticPr fontId="1" type="noConversion"/>
  </si>
  <si>
    <t>2)Result Analysis</t>
  </si>
  <si>
    <t>risk analysis</t>
  </si>
  <si>
    <t>Fixed End - Cash Flow</t>
  </si>
  <si>
    <t>Floating Segment Payment Frequency</t>
  </si>
  <si>
    <t>Fixed interest frequency and fixed interest price</t>
  </si>
  <si>
    <t>Note</t>
    <phoneticPr fontId="2" type="noConversion"/>
  </si>
  <si>
    <t xml:space="preserve">For bonds and standard interest rate swaps, you can retrieve the latest prices directly using standard tickers, </t>
    <phoneticPr fontId="2" type="noConversion"/>
  </si>
  <si>
    <t xml:space="preserve">such as 200215.IB or FR007-3M, and immediately construct the corresponding product objects. The basic bond </t>
    <phoneticPr fontId="2" type="noConversion"/>
  </si>
  <si>
    <t>information and certain rules for standard interest rate swaps have already been configured on the server.</t>
  </si>
  <si>
    <t>Specify the server service address.</t>
    <phoneticPr fontId="2" type="noConversion"/>
  </si>
  <si>
    <t>ToDo</t>
    <phoneticPr fontId="2" type="noConversion"/>
  </si>
  <si>
    <t>https://fxo.mathema.com.cn/McpService/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</si>
</sst>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3" formatCode="_ * #,##0.00_ ;_ * \-#,##0.00_ ;_ * &quot;-&quot;??_ ;_ @_ "/>
    <numFmt numFmtId="176" formatCode="0.0000%"/>
    <numFmt numFmtId="177" formatCode="0.0000"/>
    <numFmt numFmtId="178" formatCode="0.000%"/>
    <numFmt numFmtId="179" formatCode="_ * #,##0_ ;_ * \-#,##0_ ;_ * &quot;-&quot;??_ ;_ @_ "/>
    <numFmt numFmtId="180" formatCode="0.000"/>
    <numFmt numFmtId="181" formatCode="0.000_);[Red]\(0.000\)"/>
    <numFmt numFmtId="182" formatCode="0.000000"/>
    <numFmt numFmtId="183" formatCode="[$-F400]h:mm:ss\ AM/PM"/>
    <numFmt numFmtId="184" formatCode="_ * #,##0.0000_ ;_ * \-#,##0.0000_ ;_ * &quot;-&quot;??_ ;_ @_ "/>
    <numFmt numFmtId="185" formatCode="#,##0.000000_ ;\-#,##0.000000\ "/>
  </numFmts>
  <fonts count="13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7" tint="0.79998168889431442"/>
      <name val="等线"/>
      <family val="2"/>
      <charset val="238"/>
      <scheme val="minor"/>
    </font>
    <font>
      <sz val="11"/>
      <color theme="1" tint="0.14999847407452621"/>
      <name val="等线"/>
      <family val="2"/>
      <charset val="238"/>
      <scheme val="minor"/>
    </font>
    <font>
      <sz val="11"/>
      <color theme="1" tint="0.14996795556505021"/>
      <name val="等线"/>
      <family val="3"/>
      <charset val="134"/>
      <scheme val="minor"/>
    </font>
    <font>
      <sz val="18"/>
      <color theme="1"/>
      <name val="等线"/>
      <family val="3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4"/>
      <color theme="1"/>
      <name val="等线"/>
      <family val="2"/>
      <charset val="134"/>
      <scheme val="minor"/>
    </font>
    <font>
      <b/>
      <sz val="9"/>
      <color indexed="81"/>
      <name val="宋体"/>
      <family val="3"/>
      <charset val="134"/>
    </font>
    <font>
      <sz val="12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E466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double">
        <color theme="0" tint="-0.14996795556505021"/>
      </bottom>
      <diagonal/>
    </border>
    <border>
      <left style="thin">
        <color theme="0" tint="-0.499984740745262"/>
      </left>
      <right style="thin">
        <color theme="0" tint="-0.499984740745262"/>
      </right>
      <top style="double">
        <color theme="0" tint="-0.14996795556505021"/>
      </top>
      <bottom style="double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double">
        <color theme="0" tint="-0.14993743705557422"/>
      </top>
      <bottom style="double">
        <color theme="0" tint="-0.1499374370555742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/>
      <right/>
      <top style="double">
        <color theme="0" tint="-0.14996795556505021"/>
      </top>
      <bottom style="double">
        <color indexed="64"/>
      </bottom>
      <diagonal/>
    </border>
  </borders>
  <cellStyleXfs count="6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176" fontId="4" fillId="2" borderId="1" xfId="0" applyNumberFormat="1" applyFont="1" applyFill="1" applyBorder="1">
      <alignment vertical="center"/>
    </xf>
    <xf numFmtId="176" fontId="5" fillId="3" borderId="2" xfId="0" applyNumberFormat="1" applyFont="1" applyFill="1" applyBorder="1">
      <alignment vertical="center"/>
    </xf>
    <xf numFmtId="0" fontId="5" fillId="3" borderId="2" xfId="0" applyFont="1" applyFill="1" applyBorder="1">
      <alignment vertical="center"/>
    </xf>
    <xf numFmtId="43" fontId="0" fillId="0" borderId="0" xfId="1" applyFont="1">
      <alignment vertical="center"/>
    </xf>
    <xf numFmtId="177" fontId="0" fillId="0" borderId="0" xfId="0" applyNumberFormat="1">
      <alignment vertical="center"/>
    </xf>
    <xf numFmtId="0" fontId="0" fillId="4" borderId="0" xfId="0" applyFill="1">
      <alignment vertical="center"/>
    </xf>
    <xf numFmtId="0" fontId="6" fillId="3" borderId="3" xfId="0" applyFont="1" applyFill="1" applyBorder="1">
      <alignment vertical="center"/>
    </xf>
    <xf numFmtId="0" fontId="0" fillId="0" borderId="0" xfId="0" applyAlignment="1">
      <alignment horizontal="right" vertical="center"/>
    </xf>
    <xf numFmtId="43" fontId="0" fillId="4" borderId="0" xfId="1" applyFont="1" applyFill="1">
      <alignment vertical="center"/>
    </xf>
    <xf numFmtId="14" fontId="0" fillId="0" borderId="0" xfId="0" applyNumberFormat="1">
      <alignment vertical="center"/>
    </xf>
    <xf numFmtId="0" fontId="7" fillId="0" borderId="0" xfId="0" applyFont="1">
      <alignment vertical="center"/>
    </xf>
    <xf numFmtId="178" fontId="6" fillId="4" borderId="3" xfId="2" applyNumberFormat="1" applyFont="1" applyFill="1" applyBorder="1" applyAlignment="1">
      <alignment horizontal="right" vertical="center"/>
    </xf>
    <xf numFmtId="0" fontId="6" fillId="3" borderId="4" xfId="0" applyFont="1" applyFill="1" applyBorder="1">
      <alignment vertical="center"/>
    </xf>
    <xf numFmtId="0" fontId="6" fillId="3" borderId="4" xfId="0" applyFont="1" applyFill="1" applyBorder="1" applyAlignment="1">
      <alignment horizontal="right" vertical="center"/>
    </xf>
    <xf numFmtId="0" fontId="0" fillId="5" borderId="0" xfId="0" applyFill="1" applyAlignment="1">
      <alignment vertical="center" wrapText="1"/>
    </xf>
    <xf numFmtId="0" fontId="0" fillId="5" borderId="0" xfId="0" applyFill="1">
      <alignment vertical="center"/>
    </xf>
    <xf numFmtId="43" fontId="6" fillId="4" borderId="3" xfId="1" applyFont="1" applyFill="1" applyBorder="1" applyAlignment="1">
      <alignment horizontal="right" vertical="center"/>
    </xf>
    <xf numFmtId="0" fontId="6" fillId="3" borderId="0" xfId="0" applyFont="1" applyFill="1">
      <alignment vertical="center"/>
    </xf>
    <xf numFmtId="181" fontId="0" fillId="0" borderId="0" xfId="2" applyNumberFormat="1" applyFont="1">
      <alignment vertical="center"/>
    </xf>
    <xf numFmtId="49" fontId="0" fillId="5" borderId="0" xfId="0" applyNumberFormat="1" applyFill="1">
      <alignment vertical="center"/>
    </xf>
    <xf numFmtId="0" fontId="8" fillId="0" borderId="0" xfId="3">
      <alignment vertical="center"/>
    </xf>
    <xf numFmtId="0" fontId="4" fillId="2" borderId="5" xfId="0" applyFont="1" applyFill="1" applyBorder="1">
      <alignment vertical="center"/>
    </xf>
    <xf numFmtId="176" fontId="0" fillId="5" borderId="0" xfId="2" applyNumberFormat="1" applyFont="1" applyFill="1">
      <alignment vertical="center"/>
    </xf>
    <xf numFmtId="182" fontId="6" fillId="4" borderId="3" xfId="0" applyNumberFormat="1" applyFont="1" applyFill="1" applyBorder="1" applyAlignment="1">
      <alignment horizontal="right" vertical="center"/>
    </xf>
    <xf numFmtId="0" fontId="9" fillId="3" borderId="0" xfId="0" applyFont="1" applyFill="1">
      <alignment vertical="center"/>
    </xf>
    <xf numFmtId="0" fontId="9" fillId="0" borderId="0" xfId="0" applyFont="1">
      <alignment vertical="center"/>
    </xf>
    <xf numFmtId="0" fontId="4" fillId="2" borderId="5" xfId="0" applyFont="1" applyFill="1" applyBorder="1" applyAlignment="1">
      <alignment horizontal="right" vertical="center"/>
    </xf>
    <xf numFmtId="183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4" fillId="2" borderId="0" xfId="0" applyFont="1" applyFill="1">
      <alignment vertical="center"/>
    </xf>
    <xf numFmtId="0" fontId="0" fillId="3" borderId="6" xfId="0" applyFill="1" applyBorder="1">
      <alignment vertical="center"/>
    </xf>
    <xf numFmtId="0" fontId="0" fillId="3" borderId="6" xfId="0" applyFill="1" applyBorder="1" applyAlignment="1">
      <alignment horizontal="right" vertical="center"/>
    </xf>
    <xf numFmtId="0" fontId="5" fillId="3" borderId="6" xfId="0" applyFont="1" applyFill="1" applyBorder="1">
      <alignment vertical="center"/>
    </xf>
    <xf numFmtId="179" fontId="0" fillId="0" borderId="0" xfId="1" applyNumberFormat="1" applyFont="1">
      <alignment vertical="center"/>
    </xf>
    <xf numFmtId="176" fontId="0" fillId="0" borderId="0" xfId="2" applyNumberFormat="1" applyFont="1">
      <alignment vertical="center"/>
    </xf>
    <xf numFmtId="182" fontId="0" fillId="0" borderId="0" xfId="1" applyNumberFormat="1" applyFont="1">
      <alignment vertical="center"/>
    </xf>
    <xf numFmtId="182" fontId="0" fillId="0" borderId="0" xfId="0" applyNumberFormat="1">
      <alignment vertical="center"/>
    </xf>
    <xf numFmtId="176" fontId="0" fillId="0" borderId="0" xfId="2" applyNumberFormat="1" applyFont="1" applyAlignment="1">
      <alignment horizontal="right" vertical="center"/>
    </xf>
    <xf numFmtId="0" fontId="0" fillId="0" borderId="0" xfId="1" applyNumberFormat="1" applyFont="1">
      <alignment vertical="center"/>
    </xf>
    <xf numFmtId="180" fontId="0" fillId="0" borderId="0" xfId="0" applyNumberFormat="1">
      <alignment vertical="center"/>
    </xf>
    <xf numFmtId="184" fontId="0" fillId="0" borderId="0" xfId="1" applyNumberFormat="1" applyFont="1">
      <alignment vertical="center"/>
    </xf>
    <xf numFmtId="14" fontId="0" fillId="5" borderId="0" xfId="0" applyNumberFormat="1" applyFill="1" applyAlignment="1">
      <alignment vertical="center" wrapText="1"/>
    </xf>
    <xf numFmtId="185" fontId="6" fillId="4" borderId="3" xfId="1" applyNumberFormat="1" applyFont="1" applyFill="1" applyBorder="1" applyAlignment="1">
      <alignment horizontal="right" vertical="center"/>
    </xf>
    <xf numFmtId="0" fontId="0" fillId="6" borderId="0" xfId="0" applyFill="1">
      <alignment vertical="center"/>
    </xf>
    <xf numFmtId="0" fontId="6" fillId="3" borderId="4" xfId="0" applyFont="1" applyFill="1" applyBorder="1" applyAlignment="1">
      <alignment horizontal="left" vertical="center"/>
    </xf>
    <xf numFmtId="0" fontId="11" fillId="0" borderId="0" xfId="0" applyFont="1">
      <alignment vertical="center"/>
    </xf>
    <xf numFmtId="0" fontId="12" fillId="0" borderId="0" xfId="0" applyFont="1">
      <alignment vertical="center"/>
    </xf>
    <xf numFmtId="176" fontId="0" fillId="0" borderId="0" xfId="0" applyNumberFormat="1">
      <alignment vertical="center"/>
    </xf>
  </cellXfs>
  <cellStyles count="6">
    <cellStyle name="百分比" xfId="2" builtinId="5"/>
    <cellStyle name="常规" xfId="0" builtinId="0"/>
    <cellStyle name="超链接" xfId="3" builtinId="8"/>
    <cellStyle name="千位分隔" xfId="1" builtinId="3"/>
    <cellStyle name="千位分隔 2" xfId="4" xr:uid="{4289E6CE-1F1B-4757-BA73-A262ACA59DDE}"/>
    <cellStyle name="千位分隔 3" xfId="5" xr:uid="{2012081F-3D04-4A2B-9226-4D179AC93307}"/>
  </cellStyles>
  <dxfs count="0"/>
  <tableStyles count="0" defaultTableStyle="TableStyleMedium2" defaultPivotStyle="PivotStyleLight16"/>
  <colors>
    <mruColors>
      <color rgb="FFE2EFDA"/>
      <color rgb="FFD9E1F2"/>
      <color rgb="FF40404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customXml" Target="../customXml/item1.xml"/><Relationship Id="rId5" Type="http://schemas.openxmlformats.org/officeDocument/2006/relationships/externalLink" Target="externalLinks/externalLink2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1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0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'[3]SOFR IRS'!$AD$190:$AD$195</c:f>
              <c:numCache>
                <c:formatCode>General</c:formatCode>
                <c:ptCount val="6"/>
              </c:numCache>
            </c:numRef>
          </c:xVal>
          <c:yVal>
            <c:numRef>
              <c:f>'[3]SOFR IRS'!$AF$190:$AF$195</c:f>
              <c:numCache>
                <c:formatCode>General</c:formatCode>
                <c:ptCount val="6"/>
              </c:numCache>
            </c:numRef>
          </c:yVal>
          <c:smooth val="1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 xmlns:c16="http://schemas.microsoft.com/office/drawing/2014/chart">
                      <c:ext uri="{02D57815-91ED-43cb-92C2-25804820EDAC}">
                        <c15:formulaRef>
                          <c15:sqref>'IRS2'!#REF!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0-30BD-45B9-BFE7-11E3A87015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1015072"/>
        <c:axId val="821010720"/>
      </c:scatterChart>
      <c:valAx>
        <c:axId val="821015072"/>
        <c:scaling>
          <c:orientation val="minMax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21010720"/>
        <c:crosses val="autoZero"/>
        <c:crossBetween val="midCat"/>
      </c:valAx>
      <c:valAx>
        <c:axId val="821010720"/>
        <c:scaling>
          <c:orientation val="minMax"/>
          <c:min val="2.0000000000000004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210150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0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'[3]SOFR CCS'!$AD$76:$AD$127</c:f>
              <c:numCache>
                <c:formatCode>General</c:formatCode>
                <c:ptCount val="52"/>
              </c:numCache>
            </c:numRef>
          </c:xVal>
          <c:yVal>
            <c:numRef>
              <c:f>'[3]SOFR CCS'!$AF$76:$AF$127</c:f>
              <c:numCache>
                <c:formatCode>General</c:formatCode>
                <c:ptCount val="52"/>
              </c:numCache>
            </c:numRef>
          </c:yVal>
          <c:smooth val="1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 xmlns:c16="http://schemas.microsoft.com/office/drawing/2014/chart">
                      <c:ext uri="{02D57815-91ED-43cb-92C2-25804820EDAC}">
                        <c15:formulaRef>
                          <c15:sqref>'IRS2'!#REF!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0-6010-4367-A6BD-FE618F4AB3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1015072"/>
        <c:axId val="821010720"/>
      </c:scatterChart>
      <c:valAx>
        <c:axId val="821015072"/>
        <c:scaling>
          <c:orientation val="minMax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21010720"/>
        <c:crosses val="autoZero"/>
        <c:crossBetween val="midCat"/>
      </c:valAx>
      <c:valAx>
        <c:axId val="821010720"/>
        <c:scaling>
          <c:orientation val="minMax"/>
          <c:min val="2.0000000000000004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210150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32</xdr:col>
      <xdr:colOff>345281</xdr:colOff>
      <xdr:row>74</xdr:row>
      <xdr:rowOff>0</xdr:rowOff>
    </xdr:from>
    <xdr:to>
      <xdr:col>35</xdr:col>
      <xdr:colOff>1200150</xdr:colOff>
      <xdr:row>74</xdr:row>
      <xdr:rowOff>80962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396B7351-4690-47C2-90C9-D36046FBE1F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32</xdr:col>
      <xdr:colOff>345281</xdr:colOff>
      <xdr:row>75</xdr:row>
      <xdr:rowOff>0</xdr:rowOff>
    </xdr:from>
    <xdr:to>
      <xdr:col>35</xdr:col>
      <xdr:colOff>1200150</xdr:colOff>
      <xdr:row>75</xdr:row>
      <xdr:rowOff>80962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6DDE17A6-EC4F-469C-A0EA-93C192CE40F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mcp\python2\excel\mcp_american&amp;asian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&#27665;&#29983;&#20934;&#22791;excel&#27169;&#26495;/mcp_cny2.1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mcp\python2\excel\swap%20te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num"/>
      <sheetName val="Calendar"/>
      <sheetName val="设置"/>
      <sheetName val="FR007Curve"/>
      <sheetName val="SHIBOR3M"/>
      <sheetName val="USDImpliedCurve"/>
      <sheetName val="VolSurface"/>
      <sheetName val="MktVolSurface"/>
      <sheetName val="VanillaOption"/>
      <sheetName val="AsianOption"/>
      <sheetName val="比例远期 (2)"/>
      <sheetName val="比例远期"/>
      <sheetName val="封顶远期"/>
      <sheetName val="保底远期"/>
      <sheetName val="区间远期"/>
      <sheetName val="参与远期"/>
      <sheetName val="海鸥封顶"/>
      <sheetName val="海鸥保底"/>
      <sheetName val="封顶保底"/>
      <sheetName val="宽跨式"/>
      <sheetName val="跨式"/>
      <sheetName val="Forward Extra"/>
      <sheetName val="Kickout Forward"/>
      <sheetName val="Iron"/>
      <sheetName val="双鲨"/>
      <sheetName val="比例远期-批量报价"/>
      <sheetName val="敏感性分析"/>
      <sheetName val="结构化远期（结构定义）"/>
      <sheetName val="快速试算"/>
      <sheetName val="TargetRedemptionForward"/>
    </sheetNames>
    <sheetDataSet>
      <sheetData sheetId="0"/>
      <sheetData sheetId="1"/>
      <sheetData sheetId="2">
        <row r="3">
          <cell r="C3" t="str">
            <v>McpCalendar@30</v>
          </cell>
        </row>
        <row r="4">
          <cell r="C4" t="str">
            <v>McpCalendar@5</v>
          </cell>
        </row>
        <row r="5">
          <cell r="C5" t="str">
            <v>McpCalendar@3</v>
          </cell>
        </row>
        <row r="9">
          <cell r="C9" t="str">
            <v>McpYieldCurve@1</v>
          </cell>
        </row>
        <row r="11">
          <cell r="C11" t="str">
            <v>McpYieldCurve@0</v>
          </cell>
        </row>
        <row r="12">
          <cell r="C12" t="str">
            <v>McpYieldCurve@0</v>
          </cell>
        </row>
        <row r="18">
          <cell r="C18" t="str">
            <v>McpMktVolSurface@2</v>
          </cell>
        </row>
        <row r="22">
          <cell r="C22">
            <v>6.3625000000000007</v>
          </cell>
        </row>
        <row r="24">
          <cell r="C24">
            <v>6.3637000000000006</v>
          </cell>
        </row>
        <row r="25">
          <cell r="C25">
            <v>6.3509000000000002</v>
          </cell>
        </row>
        <row r="28">
          <cell r="C28">
            <v>44987</v>
          </cell>
        </row>
        <row r="29">
          <cell r="C29">
            <v>44991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lendar"/>
      <sheetName val="Enum"/>
      <sheetName val="SHIBOR Curve "/>
      <sheetName val="SHIBOR3M"/>
      <sheetName val="FR007 Curve"/>
      <sheetName val="USDImpliedCurve"/>
      <sheetName val="BootstrappedCurve"/>
      <sheetName val="IRS2"/>
      <sheetName val="CapVol"/>
      <sheetName val="Swaption"/>
    </sheetNames>
    <sheetDataSet>
      <sheetData sheetId="0" refreshError="1"/>
      <sheetData sheetId="1">
        <row r="3">
          <cell r="B3" t="str">
            <v>Act360</v>
          </cell>
        </row>
        <row r="4">
          <cell r="B4" t="str">
            <v>Act365Fixed</v>
          </cell>
        </row>
        <row r="5">
          <cell r="B5" t="str">
            <v>ThirtyE360</v>
          </cell>
        </row>
        <row r="6">
          <cell r="B6" t="str">
            <v>ThirtyE360ISDA</v>
          </cell>
        </row>
        <row r="7">
          <cell r="B7" t="str">
            <v>ThirtyEPlus360</v>
          </cell>
        </row>
        <row r="8">
          <cell r="B8" t="str">
            <v>ThirtyU360</v>
          </cell>
        </row>
        <row r="9">
          <cell r="B9" t="str">
            <v>ActActISDA</v>
          </cell>
        </row>
        <row r="10">
          <cell r="B10" t="str">
            <v>ActActICMA</v>
          </cell>
        </row>
        <row r="11">
          <cell r="B11" t="str">
            <v>Act365L</v>
          </cell>
        </row>
        <row r="12">
          <cell r="B12" t="str">
            <v>ActActAFB</v>
          </cell>
        </row>
        <row r="13">
          <cell r="B13" t="str">
            <v>Act365Leap</v>
          </cell>
        </row>
        <row r="14">
          <cell r="B14" t="str">
            <v>ActActXTR</v>
          </cell>
        </row>
        <row r="15">
          <cell r="B15" t="str">
            <v>ActActICMAComplement</v>
          </cell>
        </row>
        <row r="16">
          <cell r="B16" t="str">
            <v>Act252</v>
          </cell>
        </row>
        <row r="33">
          <cell r="M33" t="str">
            <v>YIELDVOL</v>
          </cell>
        </row>
        <row r="34">
          <cell r="M34" t="str">
            <v>YIELDNORMALISEDVOL</v>
          </cell>
        </row>
        <row r="35">
          <cell r="M35" t="str">
            <v>YIELDPOINTSPERDAY</v>
          </cell>
        </row>
        <row r="36">
          <cell r="M36" t="str">
            <v>YIELDTOTALVARIANCE</v>
          </cell>
        </row>
        <row r="37">
          <cell r="M37" t="str">
            <v>PRICEVOL</v>
          </cell>
        </row>
        <row r="38">
          <cell r="M38" t="str">
            <v>PRICENORMALISEDVOL</v>
          </cell>
        </row>
        <row r="39">
          <cell r="M39" t="str">
            <v>PRICEPOINTSPERDAY</v>
          </cell>
        </row>
        <row r="40">
          <cell r="M40" t="str">
            <v>PRICETOTALVARIANCE</v>
          </cell>
        </row>
        <row r="46">
          <cell r="M46" t="str">
            <v>ARREARS</v>
          </cell>
        </row>
        <row r="47">
          <cell r="M47" t="str">
            <v>DISCOUNT</v>
          </cell>
        </row>
        <row r="50">
          <cell r="M50" t="str">
            <v>PARYIELDVOL</v>
          </cell>
        </row>
        <row r="51">
          <cell r="M51" t="str">
            <v>PREMIUMPER1M</v>
          </cell>
        </row>
        <row r="52">
          <cell r="M52" t="str">
            <v>PREMIUMPER10K</v>
          </cell>
        </row>
        <row r="53">
          <cell r="B53" t="str">
            <v>FLATINTERPOLATION</v>
          </cell>
          <cell r="M53" t="str">
            <v>PERCENTAGEPREMIUM</v>
          </cell>
        </row>
        <row r="54">
          <cell r="B54" t="str">
            <v>CLOSESTINTERPOLATION</v>
          </cell>
          <cell r="M54" t="str">
            <v>YIELDVOLQUOTE</v>
          </cell>
        </row>
        <row r="55">
          <cell r="B55" t="str">
            <v>LINEARINTERPOLATION</v>
          </cell>
          <cell r="M55" t="str">
            <v>PRICEVOLQUOTE</v>
          </cell>
        </row>
        <row r="56">
          <cell r="B56" t="str">
            <v>LINEARXY</v>
          </cell>
        </row>
        <row r="57">
          <cell r="B57" t="str">
            <v>LOGLINEAR</v>
          </cell>
        </row>
        <row r="58">
          <cell r="B58" t="str">
            <v>LAGRANGEPOLYNOMIAL</v>
          </cell>
          <cell r="M58" t="str">
            <v>METHOD1</v>
          </cell>
        </row>
        <row r="59">
          <cell r="B59" t="str">
            <v>CUBICSPLINES</v>
          </cell>
          <cell r="M59" t="str">
            <v>METHOD2</v>
          </cell>
        </row>
        <row r="60">
          <cell r="B60" t="str">
            <v>FORWARDFORWARDQUARTIC</v>
          </cell>
        </row>
        <row r="61">
          <cell r="B61" t="str">
            <v>EXPLICITCLAMPEDCUBICSPLINES</v>
          </cell>
        </row>
        <row r="62">
          <cell r="B62" t="str">
            <v>FORWARDSPLINEMETHOD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num"/>
      <sheetName val="Calendar"/>
      <sheetName val="Conventions"/>
      <sheetName val="SOFA-OIS-1MFUTURES"/>
      <sheetName val="SOFA-OIS-3MFUTURES"/>
      <sheetName val="SOFR-OIS-SWAPS"/>
      <sheetName val="SOFR IRS"/>
      <sheetName val="Sheet1"/>
      <sheetName val="SHIBOR3M (BBG)"/>
      <sheetName val="SHIBOR3M"/>
      <sheetName val="SOFR-OIS-SWAPS (BBG)"/>
      <sheetName val="SOFR CCS"/>
      <sheetName val="SOFRvsTONA"/>
      <sheetName val="FXCurve"/>
      <sheetName val="MarketData-OIS&amp;Futures"/>
      <sheetName val="MarketData-Swaps"/>
      <sheetName val="HistFixing"/>
    </sheetNames>
    <sheetDataSet>
      <sheetData sheetId="0"/>
      <sheetData sheetId="1">
        <row r="1">
          <cell r="K1" t="str">
            <v>McpCalendar@9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>
        <row r="47">
          <cell r="H47" t="str">
            <v>1W</v>
          </cell>
        </row>
      </sheetData>
      <sheetData sheetId="16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fxo.mathema.com.cn/McpService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EE63A-F642-4755-9E00-C9E860074355}">
  <dimension ref="B5:C14"/>
  <sheetViews>
    <sheetView tabSelected="1" workbookViewId="0">
      <selection activeCell="D16" sqref="D16"/>
    </sheetView>
  </sheetViews>
  <sheetFormatPr defaultRowHeight="14.25" x14ac:dyDescent="0.2"/>
  <sheetData>
    <row r="5" spans="2:3" x14ac:dyDescent="0.2">
      <c r="B5" s="47" t="s">
        <v>109</v>
      </c>
      <c r="C5" s="47"/>
    </row>
    <row r="6" spans="2:3" x14ac:dyDescent="0.2">
      <c r="B6" t="s">
        <v>110</v>
      </c>
    </row>
    <row r="7" spans="2:3" x14ac:dyDescent="0.2">
      <c r="B7" t="s">
        <v>111</v>
      </c>
    </row>
    <row r="8" spans="2:3" x14ac:dyDescent="0.2">
      <c r="B8" t="s">
        <v>112</v>
      </c>
    </row>
    <row r="10" spans="2:3" x14ac:dyDescent="0.2">
      <c r="B10" s="47" t="s">
        <v>114</v>
      </c>
      <c r="C10" s="47"/>
    </row>
    <row r="11" spans="2:3" x14ac:dyDescent="0.2">
      <c r="B11" t="s">
        <v>113</v>
      </c>
    </row>
    <row r="13" spans="2:3" x14ac:dyDescent="0.2">
      <c r="B13" s="21" t="s">
        <v>115</v>
      </c>
    </row>
    <row r="14" spans="2:3" ht="15.75" x14ac:dyDescent="0.2">
      <c r="B14" s="46" t="str">
        <f>_xll.SetNode(B13)</f>
        <v>Server node loaded!</v>
      </c>
    </row>
  </sheetData>
  <phoneticPr fontId="2" type="noConversion"/>
  <hyperlinks>
    <hyperlink ref="B13" r:id="rId1" xr:uid="{78DD6802-D32B-4155-849D-108B0EFEBEF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0"/>
  <sheetViews>
    <sheetView workbookViewId="0">
      <selection activeCell="A24" sqref="A24"/>
    </sheetView>
  </sheetViews>
  <sheetFormatPr defaultRowHeight="14.25" x14ac:dyDescent="0.2"/>
  <cols>
    <col min="1" max="1" width="41.5" customWidth="1"/>
    <col min="2" max="2" width="49.375" customWidth="1"/>
    <col min="3" max="3" width="35.375" customWidth="1"/>
    <col min="4" max="4" width="7.875" customWidth="1"/>
    <col min="5" max="5" width="25" customWidth="1"/>
    <col min="6" max="6" width="31.75" customWidth="1"/>
    <col min="7" max="7" width="10.875" bestFit="1" customWidth="1"/>
    <col min="8" max="8" width="14.625" customWidth="1"/>
    <col min="9" max="9" width="14.125" customWidth="1"/>
    <col min="10" max="10" width="18.125" customWidth="1"/>
  </cols>
  <sheetData>
    <row r="1" spans="1:7" ht="23.25" x14ac:dyDescent="0.2">
      <c r="A1" s="11" t="s">
        <v>61</v>
      </c>
      <c r="B1" s="11"/>
      <c r="C1" s="11"/>
      <c r="D1" s="11"/>
      <c r="E1" s="11"/>
      <c r="F1" s="11"/>
      <c r="G1" s="11"/>
    </row>
    <row r="2" spans="1:7" ht="15" thickBot="1" x14ac:dyDescent="0.25">
      <c r="A2" s="1" t="s">
        <v>62</v>
      </c>
      <c r="B2" s="1"/>
      <c r="E2" s="1" t="s">
        <v>79</v>
      </c>
      <c r="F2" s="1"/>
    </row>
    <row r="3" spans="1:7" ht="15.75" thickTop="1" thickBot="1" x14ac:dyDescent="0.25">
      <c r="A3" s="7" t="s">
        <v>63</v>
      </c>
      <c r="B3" s="15" t="s">
        <v>23</v>
      </c>
      <c r="C3" t="s">
        <v>77</v>
      </c>
      <c r="E3" t="str">
        <f t="array" ref="E3:F9">_xll.McpFixedRateBondsData_Svr(B5)</f>
        <v>ValueDate</v>
      </c>
      <c r="F3" s="8" t="str">
        <v>2022/01/17</v>
      </c>
    </row>
    <row r="4" spans="1:7" ht="15.75" thickTop="1" thickBot="1" x14ac:dyDescent="0.25">
      <c r="A4" s="7" t="s">
        <v>24</v>
      </c>
      <c r="B4" s="42">
        <f>_xll.McpToday()</f>
        <v>45914.489907435542</v>
      </c>
      <c r="E4" t="str">
        <v>MaturityDate</v>
      </c>
      <c r="F4" s="8" t="str">
        <v>2032/01/17</v>
      </c>
    </row>
    <row r="5" spans="1:7" ht="15" thickTop="1" x14ac:dyDescent="0.2">
      <c r="A5" t="s">
        <v>64</v>
      </c>
      <c r="B5" s="6" t="str">
        <f>_xll.McpFixedRateBond_Svr(B3,B4)</f>
        <v>McpFixedRateBond@4</v>
      </c>
      <c r="E5" t="str">
        <v>Coupon</v>
      </c>
      <c r="F5" s="8">
        <v>0.03</v>
      </c>
    </row>
    <row r="6" spans="1:7" x14ac:dyDescent="0.2">
      <c r="E6" t="str">
        <v>Frequency</v>
      </c>
      <c r="F6" s="8" t="str">
        <v>Annual</v>
      </c>
    </row>
    <row r="7" spans="1:7" ht="15" thickBot="1" x14ac:dyDescent="0.25">
      <c r="A7" s="1" t="s">
        <v>73</v>
      </c>
      <c r="B7" s="1"/>
      <c r="E7" t="str">
        <v>CouponType</v>
      </c>
      <c r="F7" s="8">
        <v>3</v>
      </c>
    </row>
    <row r="8" spans="1:7" ht="15.75" thickTop="1" thickBot="1" x14ac:dyDescent="0.25">
      <c r="A8" s="14" t="s">
        <v>65</v>
      </c>
      <c r="B8" s="23">
        <f>_xll.McpGet_Svr(B3,"lastest")/100</f>
        <v>1.9125E-2</v>
      </c>
      <c r="C8" t="s">
        <v>78</v>
      </c>
      <c r="E8" t="str">
        <v>IssuePrice</v>
      </c>
      <c r="F8" s="8">
        <v>100</v>
      </c>
    </row>
    <row r="9" spans="1:7" ht="15.75" thickTop="1" thickBot="1" x14ac:dyDescent="0.25">
      <c r="A9" s="7" t="s">
        <v>66</v>
      </c>
      <c r="B9" s="24">
        <f>_xll.FrbCleanPriceFromYieldCHN(B5,B8)</f>
        <v>106.43139078008599</v>
      </c>
      <c r="E9" t="str">
        <v>SettlementDate</v>
      </c>
      <c r="F9" s="8" t="str">
        <v>2025-09-14</v>
      </c>
    </row>
    <row r="10" spans="1:7" ht="15.75" thickTop="1" thickBot="1" x14ac:dyDescent="0.25">
      <c r="A10" s="7" t="s">
        <v>67</v>
      </c>
      <c r="B10" s="24">
        <f>_xll.FrbDirtyPriceFromYieldCHN(B5,B8)</f>
        <v>108.40399351981202</v>
      </c>
    </row>
    <row r="11" spans="1:7" ht="15.75" thickTop="1" thickBot="1" x14ac:dyDescent="0.25">
      <c r="A11" s="7" t="s">
        <v>68</v>
      </c>
      <c r="B11" s="24">
        <f>_xll.FrbDurationCHN(B5,B8)</f>
        <v>5.7827887691679551</v>
      </c>
    </row>
    <row r="12" spans="1:7" ht="15.75" thickTop="1" thickBot="1" x14ac:dyDescent="0.25">
      <c r="A12" s="7" t="s">
        <v>69</v>
      </c>
      <c r="B12" s="24">
        <f>_xll.FrbMDurationCHN(B5,B8)</f>
        <v>5.6742683862803434</v>
      </c>
    </row>
    <row r="13" spans="1:7" ht="15.75" thickTop="1" thickBot="1" x14ac:dyDescent="0.25">
      <c r="A13" s="7" t="s">
        <v>70</v>
      </c>
      <c r="B13" s="24">
        <f>_xll.FrbConvexityCHN(B5,B8)</f>
        <v>39.821118212338185</v>
      </c>
    </row>
    <row r="14" spans="1:7" ht="15" thickTop="1" x14ac:dyDescent="0.2">
      <c r="A14" s="13" t="s">
        <v>71</v>
      </c>
      <c r="B14" s="19">
        <f>_xll.FrbAccruedInterestCHN(B5)</f>
        <v>1.9726027397260273</v>
      </c>
    </row>
    <row r="16" spans="1:7" ht="15" thickBot="1" x14ac:dyDescent="0.25">
      <c r="A16" s="13" t="s">
        <v>72</v>
      </c>
      <c r="B16" s="16">
        <v>101</v>
      </c>
    </row>
    <row r="17" spans="1:2" ht="15.75" thickTop="1" thickBot="1" x14ac:dyDescent="0.25">
      <c r="A17" s="7" t="s">
        <v>76</v>
      </c>
      <c r="B17" s="12">
        <f>_xll.FrbYieldFromDirtyPriceCHN(B5,B16)</f>
        <v>3.1698248817064956E-2</v>
      </c>
    </row>
    <row r="18" spans="1:2" ht="15" thickTop="1" x14ac:dyDescent="0.2"/>
    <row r="20" spans="1:2" ht="15" thickBot="1" x14ac:dyDescent="0.25">
      <c r="A20" s="45" t="s">
        <v>74</v>
      </c>
      <c r="B20" s="16">
        <v>107.5</v>
      </c>
    </row>
    <row r="21" spans="1:2" ht="15.75" thickTop="1" thickBot="1" x14ac:dyDescent="0.25">
      <c r="A21" s="7" t="s">
        <v>75</v>
      </c>
      <c r="B21" s="12">
        <f>_xll.FrbYieldFromCleanPriceCHN(B5,B20)</f>
        <v>1.7398255439024242E-2</v>
      </c>
    </row>
    <row r="22" spans="1:2" ht="15" thickTop="1" x14ac:dyDescent="0.2"/>
    <row r="23" spans="1:2" x14ac:dyDescent="0.2">
      <c r="A23" s="48"/>
    </row>
    <row r="38" spans="2:2" x14ac:dyDescent="0.2">
      <c r="B38" s="29"/>
    </row>
    <row r="50" spans="3:3" x14ac:dyDescent="0.2">
      <c r="C50" s="28"/>
    </row>
  </sheetData>
  <phoneticPr fontId="2" type="noConversion"/>
  <dataValidations disablePrompts="1" count="2">
    <dataValidation allowBlank="1" showErrorMessage="1" promptTitle="输入债券代码" sqref="B3" xr:uid="{00000000-0002-0000-0100-000001000000}"/>
    <dataValidation type="list" allowBlank="1" showInputMessage="1" showErrorMessage="1" sqref="J7" xr:uid="{D62FE456-0CAF-48F0-B534-1D869C2373D1}">
      <formula1>"BULLET,DISC,INTEREST"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K104"/>
  <sheetViews>
    <sheetView zoomScale="73" zoomScaleNormal="73" workbookViewId="0">
      <selection activeCell="D1" sqref="C1:D1"/>
    </sheetView>
  </sheetViews>
  <sheetFormatPr defaultRowHeight="14.25" x14ac:dyDescent="0.2"/>
  <cols>
    <col min="1" max="1" width="20.25" customWidth="1"/>
    <col min="2" max="2" width="46.625" customWidth="1"/>
    <col min="3" max="3" width="27.375" customWidth="1"/>
    <col min="4" max="4" width="15" customWidth="1"/>
    <col min="5" max="5" width="27" customWidth="1"/>
    <col min="6" max="6" width="13.25" customWidth="1"/>
    <col min="7" max="7" width="17.25" customWidth="1"/>
    <col min="8" max="8" width="13" bestFit="1" customWidth="1"/>
    <col min="9" max="9" width="10.125" bestFit="1" customWidth="1"/>
    <col min="10" max="10" width="20.625" customWidth="1"/>
    <col min="11" max="11" width="14.25" customWidth="1"/>
    <col min="12" max="12" width="15.625" bestFit="1" customWidth="1"/>
    <col min="13" max="13" width="9.25" bestFit="1" customWidth="1"/>
    <col min="14" max="14" width="24.125" customWidth="1"/>
    <col min="15" max="15" width="24.375" customWidth="1"/>
    <col min="16" max="16" width="17.75" customWidth="1"/>
    <col min="24" max="24" width="18.625" customWidth="1"/>
    <col min="27" max="27" width="9.875" customWidth="1"/>
    <col min="28" max="28" width="16" customWidth="1"/>
    <col min="31" max="31" width="15.875" customWidth="1"/>
  </cols>
  <sheetData>
    <row r="1" spans="1:29" ht="23.25" x14ac:dyDescent="0.2">
      <c r="A1" s="11" t="s">
        <v>80</v>
      </c>
      <c r="B1" s="11"/>
      <c r="E1" s="11"/>
      <c r="F1" s="11"/>
      <c r="G1" s="11"/>
      <c r="H1" s="11"/>
    </row>
    <row r="2" spans="1:29" ht="18.75" thickBot="1" x14ac:dyDescent="0.25">
      <c r="A2" s="1" t="s">
        <v>81</v>
      </c>
      <c r="B2" s="1"/>
      <c r="C2" s="1"/>
      <c r="E2" s="1" t="s">
        <v>97</v>
      </c>
      <c r="F2" s="1"/>
      <c r="H2" s="25"/>
      <c r="Q2" s="25"/>
      <c r="R2" s="26"/>
      <c r="S2" s="26"/>
      <c r="T2" s="26"/>
      <c r="U2" s="26"/>
      <c r="V2" s="26"/>
      <c r="W2" s="8"/>
      <c r="AC2" t="s">
        <v>4</v>
      </c>
    </row>
    <row r="3" spans="1:29" ht="15" thickTop="1" x14ac:dyDescent="0.2">
      <c r="A3" s="18" t="s">
        <v>82</v>
      </c>
      <c r="B3" s="16" t="s">
        <v>5</v>
      </c>
      <c r="C3" t="s">
        <v>87</v>
      </c>
      <c r="E3" t="str">
        <f t="array" ref="E3:F34">_xll.McpSwapCurvesData_Svr(B7)</f>
        <v>Coupon</v>
      </c>
      <c r="F3" t="str">
        <v>0.015414940639083132</v>
      </c>
      <c r="W3" s="8"/>
      <c r="AC3" t="s">
        <v>8</v>
      </c>
    </row>
    <row r="4" spans="1:29" x14ac:dyDescent="0.2">
      <c r="A4" s="18" t="s">
        <v>83</v>
      </c>
      <c r="B4" s="16">
        <f>C6</f>
        <v>1.5414940639083132E-2</v>
      </c>
      <c r="E4" t="str">
        <v>EndDate</v>
      </c>
      <c r="F4" t="str">
        <v>2026/09/15</v>
      </c>
      <c r="W4" s="8"/>
      <c r="AC4" t="s">
        <v>9</v>
      </c>
    </row>
    <row r="5" spans="1:29" x14ac:dyDescent="0.2">
      <c r="A5" s="18" t="s">
        <v>84</v>
      </c>
      <c r="B5" s="16">
        <v>0</v>
      </c>
      <c r="E5" t="str">
        <v>FixDaysBackward</v>
      </c>
      <c r="F5">
        <v>1</v>
      </c>
      <c r="W5" s="8"/>
      <c r="AC5" t="s">
        <v>5</v>
      </c>
    </row>
    <row r="6" spans="1:29" ht="15" thickBot="1" x14ac:dyDescent="0.25">
      <c r="A6" s="18" t="s">
        <v>85</v>
      </c>
      <c r="B6" s="20" t="s">
        <v>48</v>
      </c>
      <c r="C6" s="44">
        <f>_xll.SwapCalculateSwapRateFromNPV(C7,0)</f>
        <v>1.5414940639083132E-2</v>
      </c>
      <c r="E6" t="str">
        <v>FixInAdvance</v>
      </c>
      <c r="F6" t="b">
        <v>1</v>
      </c>
      <c r="W6" s="8"/>
      <c r="AC6" t="s">
        <v>6</v>
      </c>
    </row>
    <row r="7" spans="1:29" ht="15.75" thickTop="1" thickBot="1" x14ac:dyDescent="0.25">
      <c r="A7" s="7" t="s">
        <v>86</v>
      </c>
      <c r="B7" s="9" t="str">
        <f>_xll.McpVanillaSwap_Svr(B3,,B4)</f>
        <v>McpVanillaSwap@3</v>
      </c>
      <c r="C7" t="str">
        <f>_xll.McpVanillaSwap_Svr(B3)</f>
        <v>McpVanillaSwap@2</v>
      </c>
      <c r="E7" t="str">
        <v>FixedCurve</v>
      </c>
      <c r="F7" t="str">
        <v>CNYFR007RevSwapCurve</v>
      </c>
      <c r="W7" s="8"/>
      <c r="AC7" t="s">
        <v>7</v>
      </c>
    </row>
    <row r="8" spans="1:29" ht="15" thickTop="1" x14ac:dyDescent="0.2">
      <c r="E8" t="str">
        <v>FixedCurveData</v>
      </c>
      <c r="F8" t="str">
        <v>dict@3</v>
      </c>
      <c r="AC8" t="s">
        <v>2</v>
      </c>
    </row>
    <row r="9" spans="1:29" ht="15" thickBot="1" x14ac:dyDescent="0.25">
      <c r="A9" s="1" t="s">
        <v>104</v>
      </c>
      <c r="B9" s="1"/>
      <c r="C9" s="1"/>
      <c r="E9" t="str">
        <v>FixedPayReceive</v>
      </c>
      <c r="F9" t="str">
        <v>Pay</v>
      </c>
      <c r="AC9" t="s">
        <v>10</v>
      </c>
    </row>
    <row r="10" spans="1:29" ht="15.75" thickTop="1" thickBot="1" x14ac:dyDescent="0.25">
      <c r="A10" s="2" t="s">
        <v>105</v>
      </c>
      <c r="B10" s="2" t="s">
        <v>88</v>
      </c>
      <c r="C10" s="2" t="s">
        <v>89</v>
      </c>
      <c r="E10" t="str">
        <v>FixedPaymentDateAdjuster</v>
      </c>
      <c r="F10">
        <v>2</v>
      </c>
      <c r="AC10" t="s">
        <v>11</v>
      </c>
    </row>
    <row r="11" spans="1:29" ht="15.75" thickTop="1" thickBot="1" x14ac:dyDescent="0.25">
      <c r="A11" s="7" t="s">
        <v>90</v>
      </c>
      <c r="B11" s="43">
        <f>_xll.SwapFloatingLegNPV(B7)</f>
        <v>152643.32468351384</v>
      </c>
      <c r="C11" s="43">
        <f>_xll.SwapFixedLegNPV(B7)</f>
        <v>-152643.32468351378</v>
      </c>
      <c r="E11" t="str">
        <v>FixedPaymentDayCounter</v>
      </c>
      <c r="F11">
        <v>1</v>
      </c>
      <c r="AC11" t="s">
        <v>12</v>
      </c>
    </row>
    <row r="12" spans="1:29" ht="15.75" thickTop="1" thickBot="1" x14ac:dyDescent="0.25">
      <c r="A12" s="7" t="s">
        <v>91</v>
      </c>
      <c r="B12" s="17">
        <f>_xll.SwapFloatingLegMarketValue(B7)</f>
        <v>9997837.2851093747</v>
      </c>
      <c r="C12" s="17">
        <f>_xll.SwapFixedLegMarketValue(B7)</f>
        <v>-9997837.2851093747</v>
      </c>
      <c r="E12" t="str">
        <v>FixedPaymentFrequency</v>
      </c>
      <c r="F12">
        <v>4</v>
      </c>
      <c r="AC12" t="s">
        <v>13</v>
      </c>
    </row>
    <row r="13" spans="1:29" ht="15.75" thickTop="1" thickBot="1" x14ac:dyDescent="0.25">
      <c r="A13" s="7" t="s">
        <v>92</v>
      </c>
      <c r="B13" s="17">
        <f>_xll.SwapFloatingLegPremium(B7)</f>
        <v>1.5264332468351385</v>
      </c>
      <c r="C13" s="17">
        <f>_xll.SwapFixedLegPremium(B7)</f>
        <v>-1.5264332468351378</v>
      </c>
      <c r="E13" t="str">
        <v>FixedResetDateAdjuster</v>
      </c>
      <c r="F13">
        <v>5</v>
      </c>
      <c r="AC13" t="s">
        <v>14</v>
      </c>
    </row>
    <row r="14" spans="1:29" ht="15.75" thickTop="1" thickBot="1" x14ac:dyDescent="0.25">
      <c r="A14" s="7" t="s">
        <v>93</v>
      </c>
      <c r="B14" s="12">
        <f>_xll.SwapFloatingLegAccrued(B7)</f>
        <v>0</v>
      </c>
      <c r="C14" s="12">
        <f>_xll.SwapFixedLegAccrued(B7)</f>
        <v>0</v>
      </c>
      <c r="E14" t="str">
        <v>FixedResetDayCounter</v>
      </c>
      <c r="F14">
        <v>1</v>
      </c>
      <c r="AC14" t="s">
        <v>15</v>
      </c>
    </row>
    <row r="15" spans="1:29" ht="15.75" thickTop="1" thickBot="1" x14ac:dyDescent="0.25">
      <c r="A15" s="7" t="s">
        <v>68</v>
      </c>
      <c r="B15" s="17">
        <f>_xll.SwapFloatingLegDuration(B7)</f>
        <v>0.25205479452054791</v>
      </c>
      <c r="C15" s="17">
        <f>_xll.SwapFixedLegDuration(B7)</f>
        <v>-0.99700625399017573</v>
      </c>
      <c r="E15" t="str">
        <v>FixedResetFrequency</v>
      </c>
      <c r="F15">
        <v>4</v>
      </c>
      <c r="AC15" t="s">
        <v>16</v>
      </c>
    </row>
    <row r="16" spans="1:29" ht="15.75" thickTop="1" thickBot="1" x14ac:dyDescent="0.25">
      <c r="A16" s="7" t="s">
        <v>94</v>
      </c>
      <c r="B16" s="17">
        <f>_xll.SwapFloatingLegMDuration(B7)</f>
        <v>0.24822836894827385</v>
      </c>
      <c r="C16" s="17">
        <f>_xll.SwapFixedLegMDuration(B7)</f>
        <v>-0.98187077428925629</v>
      </c>
      <c r="E16" t="str">
        <v>FixingDateAdjuster</v>
      </c>
      <c r="F16">
        <v>5</v>
      </c>
      <c r="AC16" t="s">
        <v>17</v>
      </c>
    </row>
    <row r="17" spans="1:29" ht="15.75" thickTop="1" thickBot="1" x14ac:dyDescent="0.25">
      <c r="A17" s="7" t="s">
        <v>0</v>
      </c>
      <c r="B17" s="17">
        <f>_xll.SwapFloatingLegPV01(B7)</f>
        <v>73045.052286260034</v>
      </c>
      <c r="C17" s="17">
        <f>_xll.SwapFixedLegPVBP(B7)</f>
        <v>-990.24006436014315</v>
      </c>
      <c r="E17" t="str">
        <v>FixingFrequency</v>
      </c>
      <c r="F17">
        <v>4</v>
      </c>
      <c r="AC17" t="s">
        <v>18</v>
      </c>
    </row>
    <row r="18" spans="1:29" ht="15.75" thickTop="1" thickBot="1" x14ac:dyDescent="0.25">
      <c r="A18" s="7" t="s">
        <v>22</v>
      </c>
      <c r="B18" s="17">
        <f>_xll.SwapFloatingLegDV01(B7)</f>
        <v>248.22836894827387</v>
      </c>
      <c r="C18" s="17">
        <f>_xll.SwapFixedLegDV01(B7)</f>
        <v>-981.87077428925636</v>
      </c>
      <c r="E18" t="str">
        <v>FixingIndex</v>
      </c>
      <c r="F18" t="str">
        <v>7D</v>
      </c>
      <c r="AC18" t="s">
        <v>19</v>
      </c>
    </row>
    <row r="19" spans="1:29" ht="15.75" thickTop="1" thickBot="1" x14ac:dyDescent="0.25">
      <c r="A19" s="7" t="s">
        <v>95</v>
      </c>
      <c r="B19" s="17">
        <f>_xll.SwapFloatingLegAnnuity(B7)</f>
        <v>9929690.5561664253</v>
      </c>
      <c r="C19" s="17">
        <f>_xll.SwapFixedLegAnnuity(B7)</f>
        <v>-9929690.5561664253</v>
      </c>
      <c r="E19" t="str">
        <v>FixingRateMethod</v>
      </c>
      <c r="F19">
        <v>1</v>
      </c>
      <c r="AC19" t="s">
        <v>20</v>
      </c>
    </row>
    <row r="20" spans="1:29" ht="15.75" thickTop="1" thickBot="1" x14ac:dyDescent="0.25">
      <c r="B20" s="4"/>
      <c r="E20" t="str">
        <v>FloatCurve</v>
      </c>
      <c r="F20" t="str">
        <v>CNYFR007RevSwapCurve</v>
      </c>
      <c r="AC20" t="s">
        <v>21</v>
      </c>
    </row>
    <row r="21" spans="1:29" ht="15.75" thickTop="1" thickBot="1" x14ac:dyDescent="0.25">
      <c r="A21" s="2" t="s">
        <v>96</v>
      </c>
      <c r="B21" s="2"/>
      <c r="E21" t="str">
        <v>FloatCurveData</v>
      </c>
      <c r="F21" t="str">
        <v>dict@4</v>
      </c>
      <c r="AC21" t="s">
        <v>3</v>
      </c>
    </row>
    <row r="22" spans="1:29" ht="15.75" thickTop="1" thickBot="1" x14ac:dyDescent="0.25">
      <c r="A22" s="7" t="s">
        <v>90</v>
      </c>
      <c r="B22" s="17">
        <f>_xll.SwapNPV(B7)</f>
        <v>5.8207660913467407E-11</v>
      </c>
      <c r="E22" t="str">
        <v>FloatPaymentDateAdjuster</v>
      </c>
      <c r="F22">
        <v>2</v>
      </c>
      <c r="I22" s="8"/>
      <c r="N22" s="8"/>
    </row>
    <row r="23" spans="1:29" ht="15.75" thickTop="1" thickBot="1" x14ac:dyDescent="0.25">
      <c r="A23" s="7" t="s">
        <v>91</v>
      </c>
      <c r="B23" s="17">
        <f>_xll.SwapMarketValue(B7)</f>
        <v>0</v>
      </c>
      <c r="E23" t="str">
        <v>FloatPaymentDayCounter</v>
      </c>
      <c r="F23">
        <v>1</v>
      </c>
      <c r="I23" s="8"/>
      <c r="N23" s="8"/>
    </row>
    <row r="24" spans="1:29" ht="15.75" thickTop="1" thickBot="1" x14ac:dyDescent="0.25">
      <c r="A24" s="7" t="s">
        <v>92</v>
      </c>
      <c r="B24" s="17">
        <f>_xll.SwapPremium(B7)</f>
        <v>6.6613381477509392E-16</v>
      </c>
      <c r="E24" t="str">
        <v>FloatPaymentFrequency</v>
      </c>
      <c r="F24">
        <v>4</v>
      </c>
      <c r="I24" s="8"/>
      <c r="N24" s="8"/>
    </row>
    <row r="25" spans="1:29" ht="15.75" thickTop="1" thickBot="1" x14ac:dyDescent="0.25">
      <c r="A25" s="7" t="s">
        <v>93</v>
      </c>
      <c r="B25" s="12">
        <f>_xll.SwapAccrued(B7)</f>
        <v>0</v>
      </c>
      <c r="E25" t="str">
        <v>FloatResetDateAdjuster</v>
      </c>
      <c r="F25">
        <v>5</v>
      </c>
      <c r="I25" s="8"/>
      <c r="N25" s="8"/>
    </row>
    <row r="26" spans="1:29" ht="15.75" thickTop="1" thickBot="1" x14ac:dyDescent="0.25">
      <c r="A26" s="7" t="s">
        <v>68</v>
      </c>
      <c r="B26" s="17">
        <f>_xll.SwapDuration(B7)</f>
        <v>-0.74495145946962782</v>
      </c>
      <c r="E26" t="str">
        <v>FloatResetDayCounter</v>
      </c>
      <c r="F26">
        <v>1</v>
      </c>
      <c r="I26" s="8"/>
    </row>
    <row r="27" spans="1:29" ht="15.75" thickTop="1" thickBot="1" x14ac:dyDescent="0.25">
      <c r="A27" s="7" t="s">
        <v>94</v>
      </c>
      <c r="B27" s="17">
        <f>_xll.SwapMDuration(B7)</f>
        <v>-1.9818707742892563</v>
      </c>
      <c r="E27" t="str">
        <v>FloatResetFrequency</v>
      </c>
      <c r="F27">
        <v>52</v>
      </c>
    </row>
    <row r="28" spans="1:29" ht="15.75" thickTop="1" thickBot="1" x14ac:dyDescent="0.25">
      <c r="A28" s="7" t="s">
        <v>0</v>
      </c>
      <c r="B28" s="17">
        <f>_xll.SwapPVBP(B7)</f>
        <v>-1.0336867679143324E-2</v>
      </c>
      <c r="E28" t="str">
        <v>FloatingCurve</v>
      </c>
      <c r="F28" t="str">
        <v>CNYFR007RevSwapCurve</v>
      </c>
    </row>
    <row r="29" spans="1:29" ht="15.75" thickTop="1" thickBot="1" x14ac:dyDescent="0.25">
      <c r="A29" s="7" t="s">
        <v>22</v>
      </c>
      <c r="B29" s="17">
        <f>_xll.SwapPV01(B7)</f>
        <v>73991.412021093856</v>
      </c>
      <c r="E29" t="str">
        <v>FloatingCurveData</v>
      </c>
      <c r="F29" t="str">
        <v>dict@5</v>
      </c>
    </row>
    <row r="30" spans="1:29" ht="15.75" thickTop="1" thickBot="1" x14ac:dyDescent="0.25">
      <c r="A30" s="7" t="s">
        <v>60</v>
      </c>
      <c r="B30" s="12">
        <f>_xll.SwapMarketParRate(B7)</f>
        <v>1.5414940639083132E-2</v>
      </c>
      <c r="E30" t="str">
        <v>Margin</v>
      </c>
      <c r="F30" t="str">
        <v>0</v>
      </c>
    </row>
    <row r="31" spans="1:29" ht="15" thickTop="1" x14ac:dyDescent="0.2">
      <c r="E31" t="str">
        <v>Notional</v>
      </c>
      <c r="F31">
        <v>10000000</v>
      </c>
    </row>
    <row r="32" spans="1:29" x14ac:dyDescent="0.2">
      <c r="E32" t="str">
        <v>ReferenceDate</v>
      </c>
      <c r="F32" t="str">
        <v>2025/09/14</v>
      </c>
    </row>
    <row r="33" spans="1:37" x14ac:dyDescent="0.2">
      <c r="E33" t="str">
        <v>RollDate</v>
      </c>
      <c r="F33" t="str">
        <v>2025/09/15</v>
      </c>
    </row>
    <row r="34" spans="1:37" x14ac:dyDescent="0.2">
      <c r="E34" t="str">
        <v>StartDate</v>
      </c>
      <c r="F34" t="str">
        <v>2025/09/15</v>
      </c>
    </row>
    <row r="42" spans="1:37" ht="15" thickBot="1" x14ac:dyDescent="0.25">
      <c r="A42" s="8"/>
      <c r="B42" s="22" t="s">
        <v>106</v>
      </c>
      <c r="C42" s="22"/>
      <c r="D42" s="22"/>
      <c r="E42" s="22"/>
      <c r="F42" s="27"/>
      <c r="G42" s="22"/>
      <c r="H42" s="22"/>
      <c r="I42" s="22"/>
      <c r="J42" s="22"/>
      <c r="K42" s="22"/>
      <c r="L42" s="22"/>
      <c r="M42" s="22"/>
      <c r="N42" s="30"/>
      <c r="O42" s="30"/>
      <c r="P42" s="30"/>
    </row>
    <row r="43" spans="1:37" ht="15.75" thickTop="1" thickBot="1" x14ac:dyDescent="0.25">
      <c r="A43" s="8"/>
      <c r="B43" s="31" t="s">
        <v>32</v>
      </c>
      <c r="C43" s="3" t="s">
        <v>33</v>
      </c>
      <c r="D43" s="31" t="s">
        <v>34</v>
      </c>
      <c r="E43" s="3" t="s">
        <v>35</v>
      </c>
      <c r="F43" s="32" t="s">
        <v>36</v>
      </c>
      <c r="G43" s="3" t="s">
        <v>37</v>
      </c>
      <c r="H43" s="31" t="s">
        <v>38</v>
      </c>
      <c r="I43" s="3" t="s">
        <v>1</v>
      </c>
      <c r="J43" s="31" t="s">
        <v>39</v>
      </c>
      <c r="K43" s="3" t="s">
        <v>40</v>
      </c>
      <c r="L43" s="33" t="s">
        <v>41</v>
      </c>
      <c r="M43" s="31" t="s">
        <v>42</v>
      </c>
      <c r="N43" s="31" t="s">
        <v>43</v>
      </c>
      <c r="O43" s="31" t="s">
        <v>44</v>
      </c>
      <c r="P43" s="31" t="s">
        <v>45</v>
      </c>
      <c r="AK43" s="34"/>
    </row>
    <row r="44" spans="1:37" ht="15" thickTop="1" x14ac:dyDescent="0.2">
      <c r="A44" t="str">
        <f t="array" ref="A44:P47">_xll.SwapFixedLegs(B7,B43:P43)</f>
        <v>Period1</v>
      </c>
      <c r="B44" t="str">
        <v>2025/12/15</v>
      </c>
      <c r="C44" t="str">
        <v>2025/09/15</v>
      </c>
      <c r="D44" t="str">
        <v>2025/12/15</v>
      </c>
      <c r="E44" s="8">
        <v>91</v>
      </c>
      <c r="F44" s="5">
        <v>0.24931500000000001</v>
      </c>
      <c r="G44" s="35">
        <v>1.5415E-2</v>
      </c>
      <c r="H44" s="4">
        <v>-38431.769812999999</v>
      </c>
      <c r="I44" s="36">
        <v>0.99608200000000002</v>
      </c>
      <c r="J44" s="4">
        <v>-38281.186782999997</v>
      </c>
      <c r="K44" s="4">
        <v>-38281.186782999997</v>
      </c>
      <c r="L44" s="37">
        <v>-38431.769812999999</v>
      </c>
      <c r="M44">
        <v>0.25205499999999997</v>
      </c>
      <c r="N44" s="4">
        <v>0</v>
      </c>
      <c r="O44" s="4">
        <v>10000000</v>
      </c>
      <c r="P44" s="4">
        <v>10000000</v>
      </c>
    </row>
    <row r="45" spans="1:37" x14ac:dyDescent="0.2">
      <c r="A45" t="str">
        <v>Period2</v>
      </c>
      <c r="B45" t="str">
        <v>2026/03/16</v>
      </c>
      <c r="C45" t="str">
        <v>2025/12/15</v>
      </c>
      <c r="D45" t="str">
        <v>2026/03/15</v>
      </c>
      <c r="E45">
        <v>90</v>
      </c>
      <c r="F45">
        <v>0.24657499999999999</v>
      </c>
      <c r="G45" s="35">
        <v>1.5415E-2</v>
      </c>
      <c r="H45">
        <v>-38009.442671999997</v>
      </c>
      <c r="I45">
        <v>0.99209700000000001</v>
      </c>
      <c r="J45">
        <v>-37709.070656000004</v>
      </c>
      <c r="K45">
        <v>-75990.257438999994</v>
      </c>
      <c r="L45">
        <v>-38009.442671999997</v>
      </c>
      <c r="M45">
        <v>0.50136999999999998</v>
      </c>
      <c r="N45">
        <v>0</v>
      </c>
      <c r="O45">
        <v>10000000</v>
      </c>
      <c r="P45">
        <v>10000000</v>
      </c>
    </row>
    <row r="46" spans="1:37" x14ac:dyDescent="0.2">
      <c r="A46" t="str">
        <v>Period3</v>
      </c>
      <c r="B46" t="str">
        <v>2026/06/15</v>
      </c>
      <c r="C46" t="str">
        <v>2026/03/15</v>
      </c>
      <c r="D46" t="str">
        <v>2026/06/15</v>
      </c>
      <c r="E46">
        <v>92</v>
      </c>
      <c r="F46">
        <v>0.25205499999999997</v>
      </c>
      <c r="G46" s="35">
        <v>1.5415E-2</v>
      </c>
      <c r="H46">
        <v>-38854.096953</v>
      </c>
      <c r="I46">
        <v>0.98832399999999998</v>
      </c>
      <c r="J46">
        <v>-38400.455177999997</v>
      </c>
      <c r="K46">
        <v>-114390.712617</v>
      </c>
      <c r="L46">
        <v>-38854.096953</v>
      </c>
      <c r="M46">
        <v>0.75068500000000005</v>
      </c>
      <c r="N46">
        <v>0</v>
      </c>
      <c r="O46">
        <v>10000000</v>
      </c>
      <c r="P46">
        <v>10000000</v>
      </c>
    </row>
    <row r="47" spans="1:37" x14ac:dyDescent="0.2">
      <c r="A47" t="str">
        <v>Period4</v>
      </c>
      <c r="B47" t="str">
        <v>2026/09/15</v>
      </c>
      <c r="C47" t="str">
        <v>2026/06/15</v>
      </c>
      <c r="D47" t="str">
        <v>2026/09/15</v>
      </c>
      <c r="E47">
        <v>92</v>
      </c>
      <c r="F47">
        <v>0.25205499999999997</v>
      </c>
      <c r="G47" s="35">
        <v>1.5415E-2</v>
      </c>
      <c r="H47">
        <v>-38854.096953</v>
      </c>
      <c r="I47">
        <v>0.98451900000000003</v>
      </c>
      <c r="J47">
        <v>-38252.612066000002</v>
      </c>
      <c r="K47">
        <v>-152643.32468399999</v>
      </c>
      <c r="L47">
        <v>-38854.096953</v>
      </c>
      <c r="M47">
        <v>1.00274</v>
      </c>
      <c r="N47">
        <v>0</v>
      </c>
      <c r="O47">
        <v>10000000</v>
      </c>
      <c r="P47">
        <v>10000000</v>
      </c>
    </row>
    <row r="48" spans="1:37" x14ac:dyDescent="0.2">
      <c r="G48" s="35"/>
    </row>
    <row r="49" spans="7:7" x14ac:dyDescent="0.2">
      <c r="G49" s="35"/>
    </row>
    <row r="50" spans="7:7" x14ac:dyDescent="0.2">
      <c r="G50" s="35"/>
    </row>
    <row r="51" spans="7:7" x14ac:dyDescent="0.2">
      <c r="G51" s="35"/>
    </row>
    <row r="52" spans="7:7" x14ac:dyDescent="0.2">
      <c r="G52" s="35"/>
    </row>
    <row r="53" spans="7:7" x14ac:dyDescent="0.2">
      <c r="G53" s="35"/>
    </row>
    <row r="54" spans="7:7" x14ac:dyDescent="0.2">
      <c r="G54" s="35"/>
    </row>
    <row r="55" spans="7:7" x14ac:dyDescent="0.2">
      <c r="G55" s="35"/>
    </row>
    <row r="56" spans="7:7" x14ac:dyDescent="0.2">
      <c r="G56" s="35"/>
    </row>
    <row r="57" spans="7:7" x14ac:dyDescent="0.2">
      <c r="G57" s="35"/>
    </row>
    <row r="58" spans="7:7" x14ac:dyDescent="0.2">
      <c r="G58" s="35"/>
    </row>
    <row r="59" spans="7:7" x14ac:dyDescent="0.2">
      <c r="G59" s="35"/>
    </row>
    <row r="60" spans="7:7" x14ac:dyDescent="0.2">
      <c r="G60" s="35"/>
    </row>
    <row r="61" spans="7:7" x14ac:dyDescent="0.2">
      <c r="G61" s="35"/>
    </row>
    <row r="64" spans="7:7" hidden="1" x14ac:dyDescent="0.2">
      <c r="G64" t="s">
        <v>25</v>
      </c>
    </row>
    <row r="65" spans="1:30" hidden="1" x14ac:dyDescent="0.2">
      <c r="G65" t="s">
        <v>27</v>
      </c>
    </row>
    <row r="66" spans="1:30" hidden="1" x14ac:dyDescent="0.2">
      <c r="G66" t="s">
        <v>26</v>
      </c>
      <c r="H66" t="str">
        <f>G66</f>
        <v>ModifiedFollowing</v>
      </c>
    </row>
    <row r="67" spans="1:30" hidden="1" x14ac:dyDescent="0.2">
      <c r="G67" t="s">
        <v>28</v>
      </c>
    </row>
    <row r="68" spans="1:30" hidden="1" x14ac:dyDescent="0.2">
      <c r="G68" t="s">
        <v>29</v>
      </c>
    </row>
    <row r="69" spans="1:30" hidden="1" x14ac:dyDescent="0.2">
      <c r="G69" t="s">
        <v>30</v>
      </c>
    </row>
    <row r="70" spans="1:30" hidden="1" x14ac:dyDescent="0.2">
      <c r="G70" t="s">
        <v>31</v>
      </c>
    </row>
    <row r="71" spans="1:30" hidden="1" x14ac:dyDescent="0.2"/>
    <row r="72" spans="1:30" hidden="1" x14ac:dyDescent="0.2"/>
    <row r="73" spans="1:30" hidden="1" x14ac:dyDescent="0.2"/>
    <row r="74" spans="1:30" ht="15" thickBot="1" x14ac:dyDescent="0.25">
      <c r="A74" s="8"/>
      <c r="B74" s="22" t="s">
        <v>108</v>
      </c>
      <c r="C74" s="22"/>
      <c r="D74" s="22"/>
      <c r="E74" s="22"/>
      <c r="F74" s="27"/>
      <c r="G74" s="22" t="s">
        <v>46</v>
      </c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X74" s="10"/>
      <c r="Y74" s="10"/>
    </row>
    <row r="75" spans="1:30" ht="15.75" thickTop="1" thickBot="1" x14ac:dyDescent="0.25">
      <c r="A75" s="8"/>
      <c r="B75" s="31" t="s">
        <v>98</v>
      </c>
      <c r="C75" s="3" t="s">
        <v>99</v>
      </c>
      <c r="D75" s="31" t="s">
        <v>100</v>
      </c>
      <c r="E75" s="3" t="s">
        <v>101</v>
      </c>
      <c r="F75" s="32"/>
      <c r="G75" s="3" t="s">
        <v>102</v>
      </c>
      <c r="H75" s="31" t="s">
        <v>49</v>
      </c>
      <c r="I75" s="3" t="s">
        <v>50</v>
      </c>
      <c r="J75" s="31" t="s">
        <v>51</v>
      </c>
      <c r="K75" s="3" t="s">
        <v>52</v>
      </c>
      <c r="L75" s="31" t="s">
        <v>53</v>
      </c>
      <c r="M75" s="3" t="s">
        <v>54</v>
      </c>
      <c r="N75" s="31" t="s">
        <v>55</v>
      </c>
      <c r="O75" s="3" t="s">
        <v>56</v>
      </c>
      <c r="P75" s="31" t="s">
        <v>57</v>
      </c>
      <c r="Q75" s="3" t="s">
        <v>58</v>
      </c>
      <c r="R75" s="31" t="s">
        <v>103</v>
      </c>
      <c r="S75" s="3" t="s">
        <v>59</v>
      </c>
    </row>
    <row r="76" spans="1:30" ht="15" thickTop="1" x14ac:dyDescent="0.2">
      <c r="A76" s="38"/>
      <c r="B76" t="str">
        <f t="array" ref="B76:S79">_xll.SwapFloatingQuotes(B7,B75:S75)</f>
        <v>2025/09/12</v>
      </c>
      <c r="C76" t="str">
        <v>2025/09/15</v>
      </c>
      <c r="D76" s="37">
        <v>1.4597000000000001E-2</v>
      </c>
      <c r="E76" t="str">
        <v>H</v>
      </c>
      <c r="F76" s="8" t="str">
        <v/>
      </c>
      <c r="G76" t="str">
        <v>2025/09/15</v>
      </c>
      <c r="H76" s="34" t="str">
        <v>2025/12/15</v>
      </c>
      <c r="I76" t="str">
        <v>2025/09/15</v>
      </c>
      <c r="J76" s="34" t="str">
        <v>2025/12/15</v>
      </c>
      <c r="K76" s="39">
        <v>91</v>
      </c>
      <c r="L76">
        <v>0.24931500000000001</v>
      </c>
      <c r="M76">
        <v>1.4597000000000001E-2</v>
      </c>
      <c r="N76">
        <v>36393.449571999998</v>
      </c>
      <c r="O76">
        <v>0.99608200000000002</v>
      </c>
      <c r="P76">
        <v>36250.853070999998</v>
      </c>
      <c r="Q76">
        <v>36250.853070999998</v>
      </c>
      <c r="R76" s="40">
        <v>0.25205499999999997</v>
      </c>
      <c r="S76">
        <v>36393.449571999998</v>
      </c>
      <c r="T76" s="4"/>
      <c r="U76" s="41"/>
      <c r="V76" s="4"/>
      <c r="W76" s="4"/>
      <c r="X76" s="41"/>
      <c r="Y76" s="4"/>
      <c r="AD76" s="10"/>
    </row>
    <row r="77" spans="1:30" x14ac:dyDescent="0.2">
      <c r="B77" t="str">
        <v>2025/12/12</v>
      </c>
      <c r="C77" t="str">
        <v>2025/12/15</v>
      </c>
      <c r="D77">
        <v>1.6022000000000002E-2</v>
      </c>
      <c r="E77" t="str">
        <v>P</v>
      </c>
      <c r="F77" t="str">
        <v/>
      </c>
      <c r="G77" t="str">
        <v>2025/12/15</v>
      </c>
      <c r="H77" t="str">
        <v>2026/03/16</v>
      </c>
      <c r="I77" t="str">
        <v>2025/12/15</v>
      </c>
      <c r="J77" t="str">
        <v>2026/03/15</v>
      </c>
      <c r="K77">
        <v>90</v>
      </c>
      <c r="L77">
        <v>0.24657499999999999</v>
      </c>
      <c r="M77">
        <v>1.6022000000000002E-2</v>
      </c>
      <c r="N77">
        <v>39505.723407999998</v>
      </c>
      <c r="O77">
        <v>0.99209700000000001</v>
      </c>
      <c r="P77">
        <v>39193.526940000003</v>
      </c>
      <c r="Q77">
        <v>75444.380011999994</v>
      </c>
      <c r="R77">
        <v>0.50136999999999998</v>
      </c>
      <c r="S77">
        <v>39505.723407999998</v>
      </c>
    </row>
    <row r="78" spans="1:30" x14ac:dyDescent="0.2">
      <c r="B78" t="str">
        <v>2026/03/13</v>
      </c>
      <c r="C78" t="str">
        <v>2026/03/15</v>
      </c>
      <c r="D78">
        <v>1.5821000000000002E-2</v>
      </c>
      <c r="E78" t="str">
        <v>P</v>
      </c>
      <c r="F78" t="str">
        <v/>
      </c>
      <c r="G78" t="str">
        <v>2026/03/15</v>
      </c>
      <c r="H78" t="str">
        <v>2026/06/15</v>
      </c>
      <c r="I78" t="str">
        <v>2026/03/15</v>
      </c>
      <c r="J78" t="str">
        <v>2026/06/15</v>
      </c>
      <c r="K78">
        <v>92</v>
      </c>
      <c r="L78">
        <v>0.25205499999999997</v>
      </c>
      <c r="M78">
        <v>1.5821000000000002E-2</v>
      </c>
      <c r="N78">
        <v>39878.145966999997</v>
      </c>
      <c r="O78">
        <v>0.98832399999999998</v>
      </c>
      <c r="P78">
        <v>39412.547887000001</v>
      </c>
      <c r="Q78">
        <v>114856.92789799999</v>
      </c>
      <c r="R78">
        <v>0.75068500000000005</v>
      </c>
      <c r="S78">
        <v>39878.145966999997</v>
      </c>
    </row>
    <row r="79" spans="1:30" x14ac:dyDescent="0.2">
      <c r="B79" t="str">
        <v>2026/06/12</v>
      </c>
      <c r="C79" t="str">
        <v>2026/06/15</v>
      </c>
      <c r="D79">
        <v>1.5226999999999999E-2</v>
      </c>
      <c r="E79" t="str">
        <v>P</v>
      </c>
      <c r="F79" t="str">
        <v/>
      </c>
      <c r="G79" t="str">
        <v>2026/06/15</v>
      </c>
      <c r="H79" t="str">
        <v>2026/09/15</v>
      </c>
      <c r="I79" t="str">
        <v>2026/06/15</v>
      </c>
      <c r="J79" t="str">
        <v>2026/09/15</v>
      </c>
      <c r="K79">
        <v>92</v>
      </c>
      <c r="L79">
        <v>0.25205499999999997</v>
      </c>
      <c r="M79">
        <v>1.5226999999999999E-2</v>
      </c>
      <c r="N79">
        <v>38380.550893</v>
      </c>
      <c r="O79">
        <v>0.98451900000000003</v>
      </c>
      <c r="P79">
        <v>37786.396784999997</v>
      </c>
      <c r="Q79">
        <v>152643.32468399999</v>
      </c>
      <c r="R79">
        <v>1.00274</v>
      </c>
      <c r="S79">
        <v>38380.550893</v>
      </c>
    </row>
    <row r="99" spans="1:19" ht="15" thickBot="1" x14ac:dyDescent="0.25">
      <c r="B99" s="22" t="s">
        <v>107</v>
      </c>
      <c r="C99" s="22"/>
      <c r="D99" s="22"/>
      <c r="E99" s="22"/>
      <c r="F99" s="27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</row>
    <row r="100" spans="1:19" ht="15.75" thickTop="1" thickBot="1" x14ac:dyDescent="0.25">
      <c r="B100" s="31" t="s">
        <v>49</v>
      </c>
      <c r="C100" s="3" t="s">
        <v>50</v>
      </c>
      <c r="D100" s="31" t="s">
        <v>51</v>
      </c>
      <c r="E100" s="3" t="s">
        <v>52</v>
      </c>
      <c r="F100" s="32" t="s">
        <v>47</v>
      </c>
      <c r="G100" s="3" t="s">
        <v>53</v>
      </c>
      <c r="H100" s="31" t="s">
        <v>54</v>
      </c>
      <c r="I100" s="3" t="s">
        <v>55</v>
      </c>
      <c r="J100" s="31" t="s">
        <v>56</v>
      </c>
      <c r="K100" s="3" t="s">
        <v>57</v>
      </c>
      <c r="L100" s="31" t="s">
        <v>58</v>
      </c>
      <c r="M100" s="3" t="s">
        <v>59</v>
      </c>
      <c r="N100" s="31"/>
      <c r="O100" s="3"/>
      <c r="P100" s="31"/>
      <c r="Q100" s="3"/>
      <c r="R100" s="31"/>
      <c r="S100" s="3"/>
    </row>
    <row r="101" spans="1:19" ht="15" thickTop="1" x14ac:dyDescent="0.2">
      <c r="A101" t="str">
        <f t="array" ref="A101:M104">_xll.SwapFloatingLegs(B7,B100:M100)</f>
        <v>Period1</v>
      </c>
      <c r="B101" t="str">
        <v>2025/12/15</v>
      </c>
      <c r="C101" t="str">
        <v>2025/09/15</v>
      </c>
      <c r="D101" t="str">
        <v>2025/12/15</v>
      </c>
      <c r="E101">
        <v>91</v>
      </c>
      <c r="F101">
        <v>0.24931500000000001</v>
      </c>
      <c r="G101">
        <v>0.24931500000000001</v>
      </c>
      <c r="H101">
        <v>1.4597000000000001E-2</v>
      </c>
      <c r="I101">
        <v>36393.449571999998</v>
      </c>
      <c r="J101">
        <v>0.99608200000000002</v>
      </c>
      <c r="K101">
        <v>36250.853070999998</v>
      </c>
      <c r="L101">
        <v>36250.853070999998</v>
      </c>
      <c r="M101">
        <v>36393.449571999998</v>
      </c>
    </row>
    <row r="102" spans="1:19" x14ac:dyDescent="0.2">
      <c r="A102" t="str">
        <v>Period2</v>
      </c>
      <c r="B102" t="str">
        <v>2026/03/16</v>
      </c>
      <c r="C102" t="str">
        <v>2025/12/15</v>
      </c>
      <c r="D102" t="str">
        <v>2026/03/15</v>
      </c>
      <c r="E102">
        <v>90</v>
      </c>
      <c r="F102">
        <v>0.24657499999999999</v>
      </c>
      <c r="G102">
        <v>0.24657499999999999</v>
      </c>
      <c r="H102">
        <v>1.6022000000000002E-2</v>
      </c>
      <c r="I102">
        <v>39505.723407999998</v>
      </c>
      <c r="J102">
        <v>0.99209700000000001</v>
      </c>
      <c r="K102">
        <v>39193.526940000003</v>
      </c>
      <c r="L102">
        <v>75444.380011999994</v>
      </c>
      <c r="M102">
        <v>39505.723407999998</v>
      </c>
    </row>
    <row r="103" spans="1:19" x14ac:dyDescent="0.2">
      <c r="A103" t="str">
        <v>Period3</v>
      </c>
      <c r="B103" t="str">
        <v>2026/06/15</v>
      </c>
      <c r="C103" t="str">
        <v>2026/03/15</v>
      </c>
      <c r="D103" t="str">
        <v>2026/06/15</v>
      </c>
      <c r="E103">
        <v>92</v>
      </c>
      <c r="F103">
        <v>0.25205499999999997</v>
      </c>
      <c r="G103">
        <v>0.25205499999999997</v>
      </c>
      <c r="H103">
        <v>1.5821000000000002E-2</v>
      </c>
      <c r="I103">
        <v>39878.145966999997</v>
      </c>
      <c r="J103">
        <v>0.98832399999999998</v>
      </c>
      <c r="K103">
        <v>39412.547887000001</v>
      </c>
      <c r="L103">
        <v>114856.92789799999</v>
      </c>
      <c r="M103">
        <v>39878.145966999997</v>
      </c>
    </row>
    <row r="104" spans="1:19" x14ac:dyDescent="0.2">
      <c r="A104" t="str">
        <v>Period4</v>
      </c>
      <c r="B104" t="str">
        <v>2026/09/15</v>
      </c>
      <c r="C104" t="str">
        <v>2026/06/15</v>
      </c>
      <c r="D104" t="str">
        <v>2026/09/15</v>
      </c>
      <c r="E104">
        <v>92</v>
      </c>
      <c r="F104">
        <v>0.25205499999999997</v>
      </c>
      <c r="G104">
        <v>0.25205499999999997</v>
      </c>
      <c r="H104">
        <v>1.5226999999999999E-2</v>
      </c>
      <c r="I104">
        <v>38380.550893</v>
      </c>
      <c r="J104">
        <v>0.98451900000000003</v>
      </c>
      <c r="K104">
        <v>37786.396784999997</v>
      </c>
      <c r="L104">
        <v>152643.32468399999</v>
      </c>
      <c r="M104">
        <v>38380.550893</v>
      </c>
    </row>
  </sheetData>
  <phoneticPr fontId="2" type="noConversion"/>
  <dataValidations count="1">
    <dataValidation type="list" allowBlank="1" showInputMessage="1" showErrorMessage="1" sqref="B3" xr:uid="{00000000-0002-0000-0200-000000000000}">
      <formula1>$AC$2:$AC$21</formula1>
    </dataValidation>
  </dataValidations>
  <pageMargins left="0.7" right="0.7" top="0.75" bottom="0.75" header="0.3" footer="0.3"/>
  <pageSetup paperSize="9" orientation="portrait" r:id="rId1"/>
  <drawing r:id="rId2"/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x:metadata xmlns:x="urn:pyxll:metadata">
  <x:addin_version>5.8.0</x:addin_version>
  <x:metadata_version>1</x:metadata_version>
  <x:dirty_cells>
    <x:cell>
      <x:sheet>Bond Calculator</x:sheet>
      <x:address>E3</x:address>
    </x:cell>
    <x:cell>
      <x:sheet>Bond Calculator</x:sheet>
      <x:address>B4</x:address>
    </x:cell>
    <x:cell>
      <x:sheet>Bond Calculator</x:sheet>
      <x:address>B5</x:address>
    </x:cell>
    <x:cell>
      <x:sheet>Bond Calculator</x:sheet>
      <x:address>B9</x:address>
    </x:cell>
    <x:cell>
      <x:sheet>Bond Calculator</x:sheet>
      <x:address>B10</x:address>
    </x:cell>
    <x:cell>
      <x:sheet>Bond Calculator</x:sheet>
      <x:address>B11</x:address>
    </x:cell>
    <x:cell>
      <x:sheet>Bond Calculator</x:sheet>
      <x:address>B12</x:address>
    </x:cell>
    <x:cell>
      <x:sheet>Bond Calculator</x:sheet>
      <x:address>B13</x:address>
    </x:cell>
    <x:cell>
      <x:sheet>Bond Calculator</x:sheet>
      <x:address>B14</x:address>
    </x:cell>
    <x:cell>
      <x:sheet>Bond Calculator</x:sheet>
      <x:address>B17</x:address>
    </x:cell>
    <x:cell>
      <x:sheet>Bond Calculator</x:sheet>
      <x:address>B21</x:address>
    </x:cell>
    <x:cell>
      <x:sheet>Interest Rate Swap Calculator</x:sheet>
      <x:address>E3</x:address>
    </x:cell>
    <x:cell>
      <x:sheet>Interest Rate Swap Calculator</x:sheet>
      <x:address>C6</x:address>
    </x:cell>
    <x:cell>
      <x:sheet>Interest Rate Swap Calculator</x:sheet>
      <x:address>B7</x:address>
    </x:cell>
    <x:cell>
      <x:sheet>Interest Rate Swap Calculator</x:sheet>
      <x:address>C7</x:address>
    </x:cell>
    <x:cell>
      <x:sheet>Interest Rate Swap Calculator</x:sheet>
      <x:address>B11</x:address>
    </x:cell>
    <x:cell>
      <x:sheet>Interest Rate Swap Calculator</x:sheet>
      <x:address>C11</x:address>
    </x:cell>
    <x:cell>
      <x:sheet>Interest Rate Swap Calculator</x:sheet>
      <x:address>B12</x:address>
    </x:cell>
    <x:cell>
      <x:sheet>Interest Rate Swap Calculator</x:sheet>
      <x:address>C12</x:address>
    </x:cell>
    <x:cell>
      <x:sheet>Interest Rate Swap Calculator</x:sheet>
      <x:address>B13</x:address>
    </x:cell>
    <x:cell>
      <x:sheet>Interest Rate Swap Calculator</x:sheet>
      <x:address>C13</x:address>
    </x:cell>
    <x:cell>
      <x:sheet>Interest Rate Swap Calculator</x:sheet>
      <x:address>B14</x:address>
    </x:cell>
    <x:cell>
      <x:sheet>Interest Rate Swap Calculator</x:sheet>
      <x:address>C14</x:address>
    </x:cell>
    <x:cell>
      <x:sheet>Interest Rate Swap Calculator</x:sheet>
      <x:address>B15</x:address>
    </x:cell>
    <x:cell>
      <x:sheet>Interest Rate Swap Calculator</x:sheet>
      <x:address>C15</x:address>
    </x:cell>
    <x:cell>
      <x:sheet>Interest Rate Swap Calculator</x:sheet>
      <x:address>B16</x:address>
    </x:cell>
    <x:cell>
      <x:sheet>Interest Rate Swap Calculator</x:sheet>
      <x:address>C16</x:address>
    </x:cell>
    <x:cell>
      <x:sheet>Interest Rate Swap Calculator</x:sheet>
      <x:address>B17</x:address>
    </x:cell>
    <x:cell>
      <x:sheet>Interest Rate Swap Calculator</x:sheet>
      <x:address>C17</x:address>
    </x:cell>
    <x:cell>
      <x:sheet>Interest Rate Swap Calculator</x:sheet>
      <x:address>B18</x:address>
    </x:cell>
    <x:cell>
      <x:sheet>Interest Rate Swap Calculator</x:sheet>
      <x:address>C18</x:address>
    </x:cell>
    <x:cell>
      <x:sheet>Interest Rate Swap Calculator</x:sheet>
      <x:address>B19</x:address>
    </x:cell>
    <x:cell>
      <x:sheet>Interest Rate Swap Calculator</x:sheet>
      <x:address>C19</x:address>
    </x:cell>
    <x:cell>
      <x:sheet>Interest Rate Swap Calculator</x:sheet>
      <x:address>B22</x:address>
    </x:cell>
    <x:cell>
      <x:sheet>Interest Rate Swap Calculator</x:sheet>
      <x:address>B23</x:address>
    </x:cell>
    <x:cell>
      <x:sheet>Interest Rate Swap Calculator</x:sheet>
      <x:address>B24</x:address>
    </x:cell>
    <x:cell>
      <x:sheet>Interest Rate Swap Calculator</x:sheet>
      <x:address>B25</x:address>
    </x:cell>
    <x:cell>
      <x:sheet>Interest Rate Swap Calculator</x:sheet>
      <x:address>B26</x:address>
    </x:cell>
    <x:cell>
      <x:sheet>Interest Rate Swap Calculator</x:sheet>
      <x:address>B27</x:address>
    </x:cell>
    <x:cell>
      <x:sheet>Interest Rate Swap Calculator</x:sheet>
      <x:address>B28</x:address>
    </x:cell>
    <x:cell>
      <x:sheet>Interest Rate Swap Calculator</x:sheet>
      <x:address>B29</x:address>
    </x:cell>
    <x:cell>
      <x:sheet>Interest Rate Swap Calculator</x:sheet>
      <x:address>B30</x:address>
    </x:cell>
    <x:cell>
      <x:sheet>Interest Rate Swap Calculator</x:sheet>
      <x:address>A44</x:address>
    </x:cell>
    <x:cell>
      <x:sheet>Interest Rate Swap Calculator</x:sheet>
      <x:address>B76</x:address>
    </x:cell>
    <x:cell>
      <x:sheet>Interest Rate Swap Calculator</x:sheet>
      <x:address>A101</x:address>
    </x:cell>
    <x:cell>
      <x:sheet>Note</x:sheet>
      <x:address>B14</x:address>
    </x:cell>
  </x:dirty_cells>
</x:metadata>
</file>

<file path=customXml/itemProps1.xml><?xml version="1.0" encoding="utf-8"?>
<ds:datastoreItem xmlns:ds="http://schemas.openxmlformats.org/officeDocument/2006/customXml" ds:itemID="{99934BC3-EA93-459D-85B6-180E219F654F}">
  <ds:schemaRefs>
    <ds:schemaRef ds:uri="urn:pyxll:metadat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Note</vt:lpstr>
      <vt:lpstr>Bond Calculator</vt:lpstr>
      <vt:lpstr>Interest Rate Swap Calculator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Larry Chen</cp:lastModifiedBy>
  <dcterms:created xsi:type="dcterms:W3CDTF">2025-04-01T02:18:03Z</dcterms:created>
  <dcterms:modified xsi:type="dcterms:W3CDTF">2025-09-14T03:58:51Z</dcterms:modified>
</cp:coreProperties>
</file>