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ehrdad/Desktop/pitchdeck autoni/OneDrive_1_2018-01-23/"/>
    </mc:Choice>
  </mc:AlternateContent>
  <bookViews>
    <workbookView xWindow="0" yWindow="440" windowWidth="28800" windowHeight="15960" tabRatio="484" firstSheet="1" activeTab="1"/>
  </bookViews>
  <sheets>
    <sheet name="User guide" sheetId="13" r:id="rId1"/>
    <sheet name="Input" sheetId="1" r:id="rId2"/>
    <sheet name="Summary output" sheetId="7" r:id="rId3"/>
    <sheet name="DCF output" sheetId="2" r:id="rId4"/>
    <sheet name="Business case output" sheetId="8" r:id="rId5"/>
    <sheet name="Multiples" sheetId="14" r:id="rId6"/>
  </sheets>
  <externalReferences>
    <externalReference r:id="rId7"/>
    <externalReference r:id="rId8"/>
    <externalReference r:id="rId9"/>
    <externalReference r:id="rId10"/>
  </externalReferences>
  <definedNames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Costs_of_personnel">#REF!</definedName>
    <definedName name="currency">'[1]7.Input(historical)'!$J$19</definedName>
    <definedName name="G">'[1]9.Input(Valuation)'!$I$36</definedName>
    <definedName name="Goodwill">'[2]10.Input(Price)'!$K$69</definedName>
    <definedName name="HRKEUR">[3]Macroeconomics!$F$7:$M$7</definedName>
    <definedName name="LastInputyear">'[2]7.Input(historical)'!$J$3</definedName>
    <definedName name="Lastyear">'[1]7.Input(historical)'!$J$14</definedName>
    <definedName name="PresentationNormalA4">#REF!</definedName>
    <definedName name="shareacq">'[2]10.Input(Price)'!$G$8</definedName>
    <definedName name="solver_adj" localSheetId="5" hidden="1">Multiples!$K$59</definedName>
    <definedName name="solver_cvg" localSheetId="5" hidden="1">0.0001</definedName>
    <definedName name="solver_drv" localSheetId="5" hidden="1">1</definedName>
    <definedName name="solver_eng" localSheetId="5" hidden="1">3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Multiples!$K$58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0</definedName>
    <definedName name="solver_ver" localSheetId="5" hidden="1">3</definedName>
    <definedName name="Spread">'[2]9.Input(Valuation)'!$I$39</definedName>
    <definedName name="SurplusValue">'[2]10.Input(Price)'!$K$64</definedName>
    <definedName name="TargetName">'[1]7.Input(historical)'!$J$13</definedName>
    <definedName name="TAX">[3]Macroeconomics!$F$23:$M$23</definedName>
    <definedName name="TestAdd">"Test RefersTo1"</definedName>
    <definedName name="Totalshareacq">'[1]10.Input(Price)'!$G$39</definedName>
    <definedName name="_xlnm.Print_Area" localSheetId="4">'Business case output'!$B$1:$O$33</definedName>
    <definedName name="_xlnm.Print_Area" localSheetId="3">'DCF output'!$B$1:$R$43,'DCF output'!$T$1:$AJ$26</definedName>
    <definedName name="_xlnm.Print_Area" localSheetId="1">Input!$B$1:$Q$166</definedName>
    <definedName name="_xlnm.Print_Area" localSheetId="2">'Summary output'!$B$1:$P$37,'Summary output'!$R$37:$Y$57</definedName>
    <definedName name="_xlnm.Print_Area" localSheetId="0">'User guide'!$B$1:$B$31</definedName>
    <definedName name="_xlnm.Print_Titles" localSheetId="1">Input!$20:$21</definedName>
    <definedName name="_xlnm.Print_Titles" localSheetId="2">'Summary output'!$1:$3</definedName>
    <definedName name="Valuationdate">'[2]7.Input(historical)'!$J$15</definedName>
    <definedName name="Valuationmonth">'[2]5. Cash Flow'!$G$58</definedName>
    <definedName name="wacc">'[1]9.Input(Valuation)'!$I$29</definedName>
    <definedName name="wrn.Standard." localSheetId="0" hidden="1">{"Financials",#N/A,FALSE,"Financials";"AVP",#N/A,FALSE,"AVP";"DCF",#N/A,FALSE,"DCF";"CSC",#N/A,FALSE,"CSC";"Deal_Comp",#N/A,FALSE,"DealComp"}</definedName>
    <definedName name="wrn.Standard." hidden="1">{"Financials",#N/A,FALSE,"Financials";"AVP",#N/A,FALSE,"AVP";"DCF",#N/A,FALSE,"DCF";"CSC",#N/A,FALSE,"CSC";"Deal_Comp",#N/A,FALSE,"DealComp"}</definedName>
    <definedName name="Xrate">'[1]7.Input(historical)'!$J$20</definedName>
    <definedName name="Yearfraction">'[2]5. Cash Flow'!$G$60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8" i="2" l="1"/>
  <c r="Q47" i="2"/>
  <c r="M33" i="1"/>
  <c r="G32" i="1"/>
  <c r="G40" i="1"/>
  <c r="D14" i="8"/>
  <c r="D18" i="8"/>
  <c r="G53" i="1"/>
  <c r="K25" i="8"/>
  <c r="D14" i="14"/>
  <c r="I28" i="14"/>
  <c r="V63" i="1"/>
  <c r="U63" i="1"/>
  <c r="T63" i="1"/>
  <c r="E19" i="14"/>
  <c r="H29" i="14"/>
  <c r="H30" i="14"/>
  <c r="H31" i="14"/>
  <c r="H28" i="14"/>
  <c r="D10" i="14"/>
  <c r="I29" i="14"/>
  <c r="I30" i="14"/>
  <c r="I31" i="14"/>
  <c r="B17" i="14"/>
  <c r="E7" i="14"/>
  <c r="F7" i="14"/>
  <c r="G7" i="14"/>
  <c r="B5" i="14"/>
  <c r="N33" i="1"/>
  <c r="O33" i="1"/>
  <c r="P33" i="1"/>
  <c r="Q33" i="1"/>
  <c r="H30" i="1"/>
  <c r="Q22" i="2"/>
  <c r="I30" i="1"/>
  <c r="J30" i="1"/>
  <c r="L38" i="1"/>
  <c r="M38" i="1"/>
  <c r="H7" i="2"/>
  <c r="I7" i="2"/>
  <c r="L22" i="2"/>
  <c r="M22" i="2"/>
  <c r="N22" i="2"/>
  <c r="O22" i="2"/>
  <c r="P22" i="2"/>
  <c r="D15" i="7"/>
  <c r="T50" i="7"/>
  <c r="G150" i="1"/>
  <c r="G127" i="1"/>
  <c r="D11" i="14"/>
  <c r="K30" i="1"/>
  <c r="E164" i="1"/>
  <c r="E165" i="1"/>
  <c r="E166" i="1"/>
  <c r="F164" i="1"/>
  <c r="F166" i="1"/>
  <c r="F165" i="1"/>
  <c r="F8" i="2"/>
  <c r="F12" i="2"/>
  <c r="F17" i="2"/>
  <c r="F78" i="1"/>
  <c r="F90" i="1"/>
  <c r="F20" i="2"/>
  <c r="F32" i="1"/>
  <c r="F40" i="1"/>
  <c r="F14" i="2"/>
  <c r="G12" i="2"/>
  <c r="G17" i="2"/>
  <c r="G78" i="1"/>
  <c r="G90" i="1"/>
  <c r="G14" i="2"/>
  <c r="G164" i="1"/>
  <c r="G166" i="1"/>
  <c r="K12" i="8"/>
  <c r="G165" i="1"/>
  <c r="H78" i="1"/>
  <c r="H42" i="1"/>
  <c r="I78" i="1"/>
  <c r="I42" i="1"/>
  <c r="I87" i="1"/>
  <c r="J78" i="1"/>
  <c r="J42" i="1"/>
  <c r="K78" i="1"/>
  <c r="K42" i="1"/>
  <c r="L30" i="1"/>
  <c r="M30" i="1"/>
  <c r="V12" i="2"/>
  <c r="V22" i="2"/>
  <c r="G8" i="2"/>
  <c r="G148" i="1"/>
  <c r="G149" i="1"/>
  <c r="D13" i="8"/>
  <c r="D11" i="8"/>
  <c r="D16" i="8"/>
  <c r="D17" i="8"/>
  <c r="D25" i="8"/>
  <c r="D20" i="8"/>
  <c r="D22" i="8"/>
  <c r="D23" i="8"/>
  <c r="H90" i="1"/>
  <c r="L29" i="8"/>
  <c r="J90" i="1"/>
  <c r="N29" i="8"/>
  <c r="T40" i="7"/>
  <c r="J35" i="1"/>
  <c r="K35" i="1"/>
  <c r="L35" i="1"/>
  <c r="M35" i="1"/>
  <c r="N35" i="1"/>
  <c r="O35" i="1"/>
  <c r="P35" i="1"/>
  <c r="Q35" i="1"/>
  <c r="I53" i="1"/>
  <c r="J53" i="1"/>
  <c r="K53" i="1"/>
  <c r="L53" i="1"/>
  <c r="M53" i="1"/>
  <c r="N53" i="1"/>
  <c r="O53" i="1"/>
  <c r="P53" i="1"/>
  <c r="Q53" i="1"/>
  <c r="D16" i="1"/>
  <c r="H25" i="2"/>
  <c r="H38" i="2"/>
  <c r="H109" i="1"/>
  <c r="H131" i="1"/>
  <c r="I131" i="1"/>
  <c r="J131" i="1"/>
  <c r="K131" i="1"/>
  <c r="L131" i="1"/>
  <c r="M131" i="1"/>
  <c r="N131" i="1"/>
  <c r="O131" i="1"/>
  <c r="P131" i="1"/>
  <c r="Q131" i="1"/>
  <c r="H136" i="1"/>
  <c r="I136" i="1"/>
  <c r="J136" i="1"/>
  <c r="K136" i="1"/>
  <c r="L136" i="1"/>
  <c r="M136" i="1"/>
  <c r="N136" i="1"/>
  <c r="O136" i="1"/>
  <c r="P136" i="1"/>
  <c r="Q136" i="1"/>
  <c r="H140" i="1"/>
  <c r="I154" i="1"/>
  <c r="J154" i="1"/>
  <c r="K154" i="1"/>
  <c r="L154" i="1"/>
  <c r="M154" i="1"/>
  <c r="N154" i="1"/>
  <c r="O154" i="1"/>
  <c r="P154" i="1"/>
  <c r="Q154" i="1"/>
  <c r="I155" i="1"/>
  <c r="J155" i="1"/>
  <c r="K155" i="1"/>
  <c r="L155" i="1"/>
  <c r="M155" i="1"/>
  <c r="N155" i="1"/>
  <c r="O155" i="1"/>
  <c r="P155" i="1"/>
  <c r="Q155" i="1"/>
  <c r="I160" i="1"/>
  <c r="J160" i="1"/>
  <c r="K160" i="1"/>
  <c r="I156" i="1"/>
  <c r="J156" i="1"/>
  <c r="K156" i="1"/>
  <c r="L156" i="1"/>
  <c r="M156" i="1"/>
  <c r="N156" i="1"/>
  <c r="O156" i="1"/>
  <c r="P156" i="1"/>
  <c r="Q156" i="1"/>
  <c r="I161" i="1"/>
  <c r="I157" i="1"/>
  <c r="J157" i="1"/>
  <c r="K157" i="1"/>
  <c r="L157" i="1"/>
  <c r="M157" i="1"/>
  <c r="N157" i="1"/>
  <c r="O157" i="1"/>
  <c r="P157" i="1"/>
  <c r="Q157" i="1"/>
  <c r="I159" i="1"/>
  <c r="J159" i="1"/>
  <c r="K159" i="1"/>
  <c r="L159" i="1"/>
  <c r="M159" i="1"/>
  <c r="N159" i="1"/>
  <c r="O159" i="1"/>
  <c r="P159" i="1"/>
  <c r="Q159" i="1"/>
  <c r="I158" i="1"/>
  <c r="I140" i="1"/>
  <c r="J140" i="1"/>
  <c r="J15" i="2"/>
  <c r="J161" i="1"/>
  <c r="K161" i="1"/>
  <c r="L161" i="1"/>
  <c r="M161" i="1"/>
  <c r="N161" i="1"/>
  <c r="O161" i="1"/>
  <c r="P161" i="1"/>
  <c r="Q161" i="1"/>
  <c r="J158" i="1"/>
  <c r="K158" i="1"/>
  <c r="L158" i="1"/>
  <c r="M158" i="1"/>
  <c r="K140" i="1"/>
  <c r="L140" i="1"/>
  <c r="M140" i="1"/>
  <c r="N140" i="1"/>
  <c r="O140" i="1"/>
  <c r="P140" i="1"/>
  <c r="Q140" i="1"/>
  <c r="L160" i="1"/>
  <c r="M160" i="1"/>
  <c r="N160" i="1"/>
  <c r="O160" i="1"/>
  <c r="P160" i="1"/>
  <c r="Q160" i="1"/>
  <c r="N158" i="1"/>
  <c r="O158" i="1"/>
  <c r="P158" i="1"/>
  <c r="Q158" i="1"/>
  <c r="H65" i="1"/>
  <c r="H72" i="1"/>
  <c r="H15" i="2"/>
  <c r="I65" i="1"/>
  <c r="I72" i="1"/>
  <c r="I15" i="2"/>
  <c r="J65" i="1"/>
  <c r="J72" i="1"/>
  <c r="K65" i="1"/>
  <c r="K35" i="2"/>
  <c r="K72" i="1"/>
  <c r="K15" i="2"/>
  <c r="L65" i="1"/>
  <c r="L35" i="2"/>
  <c r="L72" i="1"/>
  <c r="L15" i="2"/>
  <c r="M65" i="1"/>
  <c r="M35" i="2"/>
  <c r="M72" i="1"/>
  <c r="M15" i="2"/>
  <c r="N65" i="1"/>
  <c r="N35" i="2"/>
  <c r="N72" i="1"/>
  <c r="N15" i="2"/>
  <c r="O65" i="1"/>
  <c r="O35" i="2"/>
  <c r="O72" i="1"/>
  <c r="O15" i="2"/>
  <c r="P65" i="1"/>
  <c r="P35" i="2"/>
  <c r="P72" i="1"/>
  <c r="P15" i="2"/>
  <c r="Q65" i="1"/>
  <c r="Q35" i="2"/>
  <c r="Q72" i="1"/>
  <c r="Q15" i="2"/>
  <c r="H21" i="1"/>
  <c r="G93" i="1"/>
  <c r="F93" i="1"/>
  <c r="F92" i="1"/>
  <c r="F53" i="1"/>
  <c r="G87" i="1"/>
  <c r="F87" i="1"/>
  <c r="F36" i="1"/>
  <c r="G36" i="1"/>
  <c r="E36" i="1"/>
  <c r="H130" i="1"/>
  <c r="G160" i="1"/>
  <c r="G159" i="1"/>
  <c r="G158" i="1"/>
  <c r="G157" i="1"/>
  <c r="G154" i="1"/>
  <c r="H128" i="1"/>
  <c r="I128" i="1"/>
  <c r="J128" i="1"/>
  <c r="K128" i="1"/>
  <c r="L128" i="1"/>
  <c r="M128" i="1"/>
  <c r="N128" i="1"/>
  <c r="O128" i="1"/>
  <c r="P128" i="1"/>
  <c r="Q128" i="1"/>
  <c r="B53" i="2"/>
  <c r="G29" i="1"/>
  <c r="D12" i="8"/>
  <c r="F161" i="1"/>
  <c r="G161" i="1"/>
  <c r="E161" i="1"/>
  <c r="F160" i="1"/>
  <c r="E160" i="1"/>
  <c r="C16" i="7"/>
  <c r="F159" i="1"/>
  <c r="F158" i="1"/>
  <c r="F157" i="1"/>
  <c r="F156" i="1"/>
  <c r="F155" i="1"/>
  <c r="F154" i="1"/>
  <c r="E159" i="1"/>
  <c r="E158" i="1"/>
  <c r="E157" i="1"/>
  <c r="E156" i="1"/>
  <c r="E155" i="1"/>
  <c r="E154" i="1"/>
  <c r="G155" i="1"/>
  <c r="I53" i="2"/>
  <c r="G15" i="2"/>
  <c r="F15" i="2"/>
  <c r="E33" i="7"/>
  <c r="E30" i="7"/>
  <c r="H102" i="1"/>
  <c r="I102" i="1"/>
  <c r="K47" i="2"/>
  <c r="K52" i="2"/>
  <c r="S39" i="7"/>
  <c r="H21" i="7"/>
  <c r="X48" i="7"/>
  <c r="H20" i="7"/>
  <c r="X47" i="7"/>
  <c r="D33" i="7"/>
  <c r="D30" i="7"/>
  <c r="C22" i="7"/>
  <c r="F13" i="8"/>
  <c r="E13" i="8"/>
  <c r="F29" i="1"/>
  <c r="G20" i="8"/>
  <c r="F20" i="8"/>
  <c r="E20" i="8"/>
  <c r="E133" i="1"/>
  <c r="C4" i="7"/>
  <c r="G13" i="8"/>
  <c r="E29" i="1"/>
  <c r="AF19" i="2"/>
  <c r="AE19" i="2"/>
  <c r="AH19" i="2"/>
  <c r="AI19" i="2"/>
  <c r="AG9" i="2"/>
  <c r="AF9" i="2"/>
  <c r="AE9" i="2"/>
  <c r="X19" i="2"/>
  <c r="W19" i="2"/>
  <c r="Z19" i="2"/>
  <c r="AA19" i="2"/>
  <c r="C6" i="8"/>
  <c r="C10" i="8"/>
  <c r="C9" i="7"/>
  <c r="J20" i="7"/>
  <c r="C29" i="7"/>
  <c r="E150" i="1"/>
  <c r="E148" i="1"/>
  <c r="F82" i="1"/>
  <c r="H121" i="1"/>
  <c r="I121" i="1"/>
  <c r="J121" i="1"/>
  <c r="K121" i="1"/>
  <c r="L121" i="1"/>
  <c r="M121" i="1"/>
  <c r="N121" i="1"/>
  <c r="O121" i="1"/>
  <c r="P121" i="1"/>
  <c r="Q121" i="1"/>
  <c r="H120" i="1"/>
  <c r="I120" i="1"/>
  <c r="J120" i="1"/>
  <c r="K120" i="1"/>
  <c r="L120" i="1"/>
  <c r="M120" i="1"/>
  <c r="N120" i="1"/>
  <c r="O120" i="1"/>
  <c r="P120" i="1"/>
  <c r="Q120" i="1"/>
  <c r="H105" i="1"/>
  <c r="I105" i="1"/>
  <c r="H103" i="1"/>
  <c r="I103" i="1"/>
  <c r="J103" i="1"/>
  <c r="K103" i="1"/>
  <c r="L103" i="1"/>
  <c r="M103" i="1"/>
  <c r="N103" i="1"/>
  <c r="O103" i="1"/>
  <c r="P103" i="1"/>
  <c r="Q103" i="1"/>
  <c r="H139" i="1"/>
  <c r="I139" i="1"/>
  <c r="J139" i="1"/>
  <c r="K139" i="1"/>
  <c r="L139" i="1"/>
  <c r="M139" i="1"/>
  <c r="N139" i="1"/>
  <c r="O139" i="1"/>
  <c r="P139" i="1"/>
  <c r="Q139" i="1"/>
  <c r="H138" i="1"/>
  <c r="I138" i="1"/>
  <c r="J138" i="1"/>
  <c r="K138" i="1"/>
  <c r="L138" i="1"/>
  <c r="M138" i="1"/>
  <c r="N138" i="1"/>
  <c r="O138" i="1"/>
  <c r="P138" i="1"/>
  <c r="Q138" i="1"/>
  <c r="H135" i="1"/>
  <c r="H134" i="1"/>
  <c r="I134" i="1"/>
  <c r="J134" i="1"/>
  <c r="E129" i="1"/>
  <c r="E45" i="2"/>
  <c r="C7" i="2"/>
  <c r="K16" i="8"/>
  <c r="K17" i="8"/>
  <c r="G23" i="8"/>
  <c r="F23" i="8"/>
  <c r="E23" i="8"/>
  <c r="H23" i="7"/>
  <c r="H22" i="7"/>
  <c r="C36" i="7"/>
  <c r="C35" i="7"/>
  <c r="C34" i="7"/>
  <c r="C32" i="7"/>
  <c r="C31" i="7"/>
  <c r="C30" i="7"/>
  <c r="G92" i="1"/>
  <c r="F9" i="2"/>
  <c r="B21" i="1"/>
  <c r="B81" i="1"/>
  <c r="B83" i="1"/>
  <c r="B82" i="1"/>
  <c r="G43" i="1"/>
  <c r="E78" i="1"/>
  <c r="E43" i="1"/>
  <c r="G101" i="1"/>
  <c r="H111" i="1"/>
  <c r="I111" i="1"/>
  <c r="J111" i="1"/>
  <c r="K111" i="1"/>
  <c r="L111" i="1"/>
  <c r="M111" i="1"/>
  <c r="N111" i="1"/>
  <c r="O111" i="1"/>
  <c r="P111" i="1"/>
  <c r="Q111" i="1"/>
  <c r="H110" i="1"/>
  <c r="I110" i="1"/>
  <c r="J110" i="1"/>
  <c r="K110" i="1"/>
  <c r="L110" i="1"/>
  <c r="M110" i="1"/>
  <c r="N110" i="1"/>
  <c r="O110" i="1"/>
  <c r="P110" i="1"/>
  <c r="Q110" i="1"/>
  <c r="H108" i="1"/>
  <c r="I108" i="1"/>
  <c r="J108" i="1"/>
  <c r="K108" i="1"/>
  <c r="F101" i="1"/>
  <c r="F113" i="1"/>
  <c r="F124" i="1"/>
  <c r="E101" i="1"/>
  <c r="F150" i="1"/>
  <c r="F149" i="1"/>
  <c r="E149" i="1"/>
  <c r="E151" i="1"/>
  <c r="F148" i="1"/>
  <c r="F151" i="1"/>
  <c r="G137" i="1"/>
  <c r="G133" i="1"/>
  <c r="F133" i="1"/>
  <c r="G129" i="1"/>
  <c r="F129" i="1"/>
  <c r="G123" i="1"/>
  <c r="F123" i="1"/>
  <c r="E123" i="1"/>
  <c r="E107" i="1"/>
  <c r="G104" i="1"/>
  <c r="F104" i="1"/>
  <c r="E104" i="1"/>
  <c r="E10" i="8"/>
  <c r="L10" i="8"/>
  <c r="L23" i="8"/>
  <c r="Z9" i="2"/>
  <c r="AA9" i="2"/>
  <c r="X9" i="2"/>
  <c r="W9" i="2"/>
  <c r="F107" i="1"/>
  <c r="E137" i="1"/>
  <c r="H112" i="1"/>
  <c r="I112" i="1"/>
  <c r="J112" i="1"/>
  <c r="K112" i="1"/>
  <c r="L112" i="1"/>
  <c r="M112" i="1"/>
  <c r="N112" i="1"/>
  <c r="O112" i="1"/>
  <c r="P112" i="1"/>
  <c r="Q112" i="1"/>
  <c r="K13" i="8"/>
  <c r="G107" i="1"/>
  <c r="F137" i="1"/>
  <c r="G83" i="1"/>
  <c r="G39" i="1"/>
  <c r="G82" i="1"/>
  <c r="F39" i="1"/>
  <c r="G156" i="1"/>
  <c r="F83" i="1"/>
  <c r="E39" i="1"/>
  <c r="E83" i="1"/>
  <c r="E32" i="1"/>
  <c r="E33" i="1"/>
  <c r="F33" i="1"/>
  <c r="E82" i="1"/>
  <c r="G12" i="8"/>
  <c r="E12" i="8"/>
  <c r="F12" i="8"/>
  <c r="K90" i="1"/>
  <c r="G81" i="1"/>
  <c r="F81" i="1"/>
  <c r="E40" i="1"/>
  <c r="E41" i="1"/>
  <c r="F29" i="7"/>
  <c r="U39" i="7"/>
  <c r="U53" i="7"/>
  <c r="I21" i="1"/>
  <c r="G29" i="7"/>
  <c r="V39" i="7"/>
  <c r="V53" i="7"/>
  <c r="K33" i="7"/>
  <c r="J33" i="7"/>
  <c r="I33" i="7"/>
  <c r="E81" i="1"/>
  <c r="J105" i="1"/>
  <c r="K105" i="1"/>
  <c r="L105" i="1"/>
  <c r="M105" i="1"/>
  <c r="N105" i="1"/>
  <c r="O105" i="1"/>
  <c r="P105" i="1"/>
  <c r="Q105" i="1"/>
  <c r="K11" i="8"/>
  <c r="G7" i="2"/>
  <c r="F7" i="2"/>
  <c r="F10" i="8"/>
  <c r="M10" i="8"/>
  <c r="M23" i="8"/>
  <c r="J21" i="1"/>
  <c r="E53" i="1"/>
  <c r="M8" i="7"/>
  <c r="H28" i="1"/>
  <c r="T64" i="1"/>
  <c r="G9" i="2"/>
  <c r="F44" i="1"/>
  <c r="F45" i="1"/>
  <c r="F41" i="1"/>
  <c r="D32" i="7"/>
  <c r="D34" i="7"/>
  <c r="G33" i="1"/>
  <c r="J102" i="1"/>
  <c r="I101" i="1"/>
  <c r="G10" i="2"/>
  <c r="G11" i="2"/>
  <c r="G17" i="14"/>
  <c r="G41" i="1"/>
  <c r="L13" i="8"/>
  <c r="F10" i="2"/>
  <c r="F11" i="2"/>
  <c r="F17" i="14"/>
  <c r="H101" i="1"/>
  <c r="E144" i="1"/>
  <c r="E113" i="1"/>
  <c r="E124" i="1"/>
  <c r="F144" i="1"/>
  <c r="F145" i="1"/>
  <c r="G144" i="1"/>
  <c r="E16" i="8"/>
  <c r="L42" i="14"/>
  <c r="P42" i="14"/>
  <c r="O42" i="14"/>
  <c r="M42" i="14"/>
  <c r="Q42" i="14"/>
  <c r="N42" i="14"/>
  <c r="K42" i="14"/>
  <c r="D12" i="14"/>
  <c r="P31" i="14"/>
  <c r="Q31" i="14"/>
  <c r="K31" i="14"/>
  <c r="N31" i="14"/>
  <c r="O31" i="14"/>
  <c r="M31" i="14"/>
  <c r="L31" i="14"/>
  <c r="E44" i="1"/>
  <c r="E17" i="14"/>
  <c r="G21" i="1"/>
  <c r="E29" i="7"/>
  <c r="T39" i="7"/>
  <c r="T53" i="7"/>
  <c r="H5" i="14"/>
  <c r="G44" i="1"/>
  <c r="E35" i="7"/>
  <c r="E36" i="7"/>
  <c r="T41" i="7"/>
  <c r="T42" i="7"/>
  <c r="E32" i="7"/>
  <c r="E34" i="7"/>
  <c r="L108" i="1"/>
  <c r="K21" i="1"/>
  <c r="H148" i="1"/>
  <c r="I135" i="1"/>
  <c r="H133" i="1"/>
  <c r="K12" i="2"/>
  <c r="K17" i="2"/>
  <c r="G10" i="8"/>
  <c r="N10" i="8"/>
  <c r="N23" i="8"/>
  <c r="M13" i="8"/>
  <c r="F43" i="1"/>
  <c r="I130" i="1"/>
  <c r="H149" i="1"/>
  <c r="F88" i="1"/>
  <c r="M7" i="7"/>
  <c r="N7" i="7"/>
  <c r="O7" i="7"/>
  <c r="G33" i="7"/>
  <c r="F16" i="8"/>
  <c r="H35" i="2"/>
  <c r="H36" i="2"/>
  <c r="H37" i="2"/>
  <c r="I109" i="1"/>
  <c r="J109" i="1"/>
  <c r="K109" i="1"/>
  <c r="L109" i="1"/>
  <c r="M109" i="1"/>
  <c r="N109" i="1"/>
  <c r="O109" i="1"/>
  <c r="P109" i="1"/>
  <c r="Q109" i="1"/>
  <c r="H107" i="1"/>
  <c r="J12" i="2"/>
  <c r="J17" i="2"/>
  <c r="J87" i="1"/>
  <c r="G20" i="2"/>
  <c r="G21" i="2"/>
  <c r="K29" i="8"/>
  <c r="G89" i="1"/>
  <c r="F89" i="1"/>
  <c r="F18" i="2"/>
  <c r="F19" i="2"/>
  <c r="H29" i="7"/>
  <c r="W39" i="7"/>
  <c r="W53" i="7"/>
  <c r="F33" i="7"/>
  <c r="G16" i="8"/>
  <c r="H33" i="7"/>
  <c r="I35" i="2"/>
  <c r="I36" i="2"/>
  <c r="I37" i="2"/>
  <c r="N13" i="8"/>
  <c r="H87" i="1"/>
  <c r="E17" i="8"/>
  <c r="L30" i="8"/>
  <c r="H106" i="1"/>
  <c r="H12" i="2"/>
  <c r="H17" i="2"/>
  <c r="G113" i="1"/>
  <c r="G124" i="1"/>
  <c r="G145" i="1"/>
  <c r="K87" i="1"/>
  <c r="K102" i="1"/>
  <c r="J101" i="1"/>
  <c r="J35" i="2"/>
  <c r="J36" i="2"/>
  <c r="J37" i="2"/>
  <c r="G17" i="8"/>
  <c r="I12" i="2"/>
  <c r="I17" i="2"/>
  <c r="F17" i="8"/>
  <c r="K134" i="1"/>
  <c r="D35" i="7"/>
  <c r="D36" i="7"/>
  <c r="I90" i="1"/>
  <c r="M29" i="8"/>
  <c r="D15" i="8"/>
  <c r="G151" i="1"/>
  <c r="E62" i="2"/>
  <c r="F62" i="2"/>
  <c r="M9" i="7"/>
  <c r="M36" i="2"/>
  <c r="M37" i="2"/>
  <c r="N36" i="2"/>
  <c r="N37" i="2"/>
  <c r="L36" i="2"/>
  <c r="L37" i="2"/>
  <c r="V11" i="2"/>
  <c r="V10" i="2"/>
  <c r="AD12" i="2"/>
  <c r="AD11" i="2"/>
  <c r="AD10" i="2"/>
  <c r="K30" i="8"/>
  <c r="I25" i="2"/>
  <c r="I38" i="2"/>
  <c r="J7" i="2"/>
  <c r="K7" i="2"/>
  <c r="L7" i="2"/>
  <c r="L47" i="2"/>
  <c r="L52" i="2"/>
  <c r="Q36" i="2"/>
  <c r="Q37" i="2"/>
  <c r="P36" i="2"/>
  <c r="P37" i="2"/>
  <c r="E31" i="7"/>
  <c r="F22" i="2"/>
  <c r="V21" i="2"/>
  <c r="V20" i="2"/>
  <c r="V23" i="2"/>
  <c r="V24" i="2"/>
  <c r="AD22" i="2"/>
  <c r="AD21" i="2"/>
  <c r="AD20" i="2"/>
  <c r="O36" i="2"/>
  <c r="O37" i="2"/>
  <c r="F21" i="2"/>
  <c r="G13" i="2"/>
  <c r="J47" i="2"/>
  <c r="J52" i="2"/>
  <c r="J53" i="2"/>
  <c r="K53" i="2"/>
  <c r="L53" i="2"/>
  <c r="M53" i="2"/>
  <c r="N53" i="2"/>
  <c r="O53" i="2"/>
  <c r="P53" i="2"/>
  <c r="Q53" i="2"/>
  <c r="R53" i="2"/>
  <c r="V13" i="2"/>
  <c r="V14" i="2"/>
  <c r="K36" i="2"/>
  <c r="K37" i="2"/>
  <c r="I10" i="8"/>
  <c r="I23" i="8"/>
  <c r="K14" i="8"/>
  <c r="N30" i="8"/>
  <c r="T54" i="7"/>
  <c r="T55" i="7"/>
  <c r="AH9" i="2"/>
  <c r="AI9" i="2"/>
  <c r="O30" i="1"/>
  <c r="P29" i="1"/>
  <c r="N38" i="1"/>
  <c r="O38" i="1"/>
  <c r="N30" i="1"/>
  <c r="H39" i="1"/>
  <c r="H37" i="1"/>
  <c r="H81" i="1"/>
  <c r="H22" i="2"/>
  <c r="H8" i="2"/>
  <c r="H20" i="2"/>
  <c r="H21" i="2"/>
  <c r="H141" i="1"/>
  <c r="E11" i="8"/>
  <c r="H118" i="1"/>
  <c r="H36" i="1"/>
  <c r="H34" i="1"/>
  <c r="U40" i="7"/>
  <c r="U54" i="7"/>
  <c r="H117" i="1"/>
  <c r="H142" i="1"/>
  <c r="H143" i="1"/>
  <c r="N21" i="7"/>
  <c r="F30" i="7"/>
  <c r="F31" i="7"/>
  <c r="H7" i="14"/>
  <c r="H116" i="1"/>
  <c r="H32" i="1"/>
  <c r="H31" i="1"/>
  <c r="N8" i="7"/>
  <c r="H132" i="1"/>
  <c r="H129" i="1"/>
  <c r="H82" i="1"/>
  <c r="I28" i="1"/>
  <c r="F13" i="2"/>
  <c r="F16" i="2"/>
  <c r="F23" i="2"/>
  <c r="F24" i="2"/>
  <c r="F47" i="1"/>
  <c r="F48" i="1"/>
  <c r="M30" i="8"/>
  <c r="D10" i="8"/>
  <c r="K10" i="8"/>
  <c r="K23" i="8"/>
  <c r="I107" i="1"/>
  <c r="E47" i="1"/>
  <c r="E45" i="1"/>
  <c r="E145" i="1"/>
  <c r="G22" i="2"/>
  <c r="J107" i="1"/>
  <c r="F21" i="1"/>
  <c r="G5" i="14"/>
  <c r="F5" i="14"/>
  <c r="E5" i="14"/>
  <c r="I5" i="14"/>
  <c r="J5" i="14"/>
  <c r="K5" i="14"/>
  <c r="D21" i="8"/>
  <c r="D24" i="8"/>
  <c r="K24" i="8"/>
  <c r="G88" i="1"/>
  <c r="T43" i="7"/>
  <c r="G45" i="1"/>
  <c r="G47" i="1"/>
  <c r="D29" i="7"/>
  <c r="E21" i="1"/>
  <c r="I149" i="1"/>
  <c r="J130" i="1"/>
  <c r="I148" i="1"/>
  <c r="J135" i="1"/>
  <c r="I133" i="1"/>
  <c r="K15" i="8"/>
  <c r="K18" i="8"/>
  <c r="K101" i="1"/>
  <c r="L102" i="1"/>
  <c r="K107" i="1"/>
  <c r="D16" i="7"/>
  <c r="D17" i="7"/>
  <c r="D18" i="7"/>
  <c r="L134" i="1"/>
  <c r="I106" i="1"/>
  <c r="H104" i="1"/>
  <c r="G18" i="2"/>
  <c r="G19" i="2"/>
  <c r="K27" i="8"/>
  <c r="F51" i="1"/>
  <c r="F55" i="1"/>
  <c r="F57" i="1"/>
  <c r="F86" i="1"/>
  <c r="F91" i="1"/>
  <c r="F94" i="1"/>
  <c r="D37" i="7"/>
  <c r="I29" i="7"/>
  <c r="X39" i="7"/>
  <c r="X53" i="7"/>
  <c r="L21" i="1"/>
  <c r="M108" i="1"/>
  <c r="L107" i="1"/>
  <c r="AD13" i="2"/>
  <c r="AD14" i="2"/>
  <c r="AD23" i="2"/>
  <c r="AD24" i="2"/>
  <c r="J25" i="2"/>
  <c r="J38" i="2"/>
  <c r="K25" i="2"/>
  <c r="K38" i="2"/>
  <c r="G16" i="2"/>
  <c r="K26" i="8"/>
  <c r="L25" i="2"/>
  <c r="L38" i="2"/>
  <c r="M7" i="2"/>
  <c r="P38" i="1"/>
  <c r="Q38" i="1"/>
  <c r="P30" i="1"/>
  <c r="Q29" i="1"/>
  <c r="Q30" i="1"/>
  <c r="H137" i="1"/>
  <c r="H9" i="2"/>
  <c r="I142" i="1"/>
  <c r="I116" i="1"/>
  <c r="I141" i="1"/>
  <c r="I119" i="1"/>
  <c r="I32" i="1"/>
  <c r="I82" i="1"/>
  <c r="I118" i="1"/>
  <c r="D19" i="8"/>
  <c r="K41" i="14"/>
  <c r="K36" i="14"/>
  <c r="K9" i="14"/>
  <c r="K27" i="14"/>
  <c r="L5" i="14"/>
  <c r="K19" i="14"/>
  <c r="G23" i="2"/>
  <c r="G24" i="2"/>
  <c r="E48" i="1"/>
  <c r="E51" i="1"/>
  <c r="E55" i="1"/>
  <c r="G86" i="1"/>
  <c r="G91" i="1"/>
  <c r="G94" i="1"/>
  <c r="E37" i="7"/>
  <c r="G48" i="1"/>
  <c r="G51" i="1"/>
  <c r="G55" i="1"/>
  <c r="G57" i="1"/>
  <c r="T44" i="7"/>
  <c r="T56" i="7"/>
  <c r="M134" i="1"/>
  <c r="K130" i="1"/>
  <c r="J149" i="1"/>
  <c r="M10" i="7"/>
  <c r="N108" i="1"/>
  <c r="M107" i="1"/>
  <c r="K135" i="1"/>
  <c r="J148" i="1"/>
  <c r="J133" i="1"/>
  <c r="J29" i="7"/>
  <c r="M21" i="1"/>
  <c r="L11" i="8"/>
  <c r="H113" i="1"/>
  <c r="M102" i="1"/>
  <c r="L101" i="1"/>
  <c r="J106" i="1"/>
  <c r="I104" i="1"/>
  <c r="D27" i="8"/>
  <c r="D26" i="8"/>
  <c r="K31" i="8"/>
  <c r="K32" i="8"/>
  <c r="N7" i="2"/>
  <c r="M25" i="2"/>
  <c r="M38" i="2"/>
  <c r="L41" i="14"/>
  <c r="M5" i="14"/>
  <c r="L36" i="14"/>
  <c r="L9" i="14"/>
  <c r="L27" i="14"/>
  <c r="L19" i="14"/>
  <c r="K106" i="1"/>
  <c r="K104" i="1"/>
  <c r="K113" i="1"/>
  <c r="J104" i="1"/>
  <c r="O108" i="1"/>
  <c r="N107" i="1"/>
  <c r="N21" i="1"/>
  <c r="K149" i="1"/>
  <c r="L130" i="1"/>
  <c r="N102" i="1"/>
  <c r="M101" i="1"/>
  <c r="L29" i="7"/>
  <c r="L135" i="1"/>
  <c r="K133" i="1"/>
  <c r="K148" i="1"/>
  <c r="M11" i="8"/>
  <c r="I113" i="1"/>
  <c r="N134" i="1"/>
  <c r="O7" i="2"/>
  <c r="N25" i="2"/>
  <c r="N38" i="2"/>
  <c r="M41" i="14"/>
  <c r="M36" i="14"/>
  <c r="M27" i="14"/>
  <c r="M9" i="14"/>
  <c r="M19" i="14"/>
  <c r="N5" i="14"/>
  <c r="O134" i="1"/>
  <c r="O21" i="1"/>
  <c r="O107" i="1"/>
  <c r="P108" i="1"/>
  <c r="M135" i="1"/>
  <c r="L133" i="1"/>
  <c r="L148" i="1"/>
  <c r="N101" i="1"/>
  <c r="O102" i="1"/>
  <c r="J113" i="1"/>
  <c r="N11" i="8"/>
  <c r="M130" i="1"/>
  <c r="L149" i="1"/>
  <c r="P7" i="2"/>
  <c r="O25" i="2"/>
  <c r="O38" i="2"/>
  <c r="N41" i="14"/>
  <c r="N27" i="14"/>
  <c r="N36" i="14"/>
  <c r="N19" i="14"/>
  <c r="O5" i="14"/>
  <c r="N9" i="14"/>
  <c r="P21" i="1"/>
  <c r="Q21" i="1"/>
  <c r="K29" i="7"/>
  <c r="N29" i="7"/>
  <c r="P102" i="1"/>
  <c r="O101" i="1"/>
  <c r="N135" i="1"/>
  <c r="M133" i="1"/>
  <c r="M148" i="1"/>
  <c r="N130" i="1"/>
  <c r="M149" i="1"/>
  <c r="P107" i="1"/>
  <c r="Q108" i="1"/>
  <c r="Q107" i="1"/>
  <c r="P134" i="1"/>
  <c r="P25" i="2"/>
  <c r="P38" i="2"/>
  <c r="Q7" i="2"/>
  <c r="O41" i="14"/>
  <c r="O36" i="14"/>
  <c r="O27" i="14"/>
  <c r="P5" i="14"/>
  <c r="O19" i="14"/>
  <c r="O9" i="14"/>
  <c r="Q134" i="1"/>
  <c r="P101" i="1"/>
  <c r="Q102" i="1"/>
  <c r="Q101" i="1"/>
  <c r="O135" i="1"/>
  <c r="N133" i="1"/>
  <c r="N148" i="1"/>
  <c r="N149" i="1"/>
  <c r="O130" i="1"/>
  <c r="L57" i="2"/>
  <c r="Q25" i="2"/>
  <c r="Q38" i="2"/>
  <c r="P41" i="14"/>
  <c r="P27" i="14"/>
  <c r="Q5" i="14"/>
  <c r="P19" i="14"/>
  <c r="P9" i="14"/>
  <c r="P36" i="14"/>
  <c r="O149" i="1"/>
  <c r="P130" i="1"/>
  <c r="P135" i="1"/>
  <c r="O133" i="1"/>
  <c r="O148" i="1"/>
  <c r="Q41" i="14"/>
  <c r="Q19" i="14"/>
  <c r="Q27" i="14"/>
  <c r="Q9" i="14"/>
  <c r="Q36" i="14"/>
  <c r="Q135" i="1"/>
  <c r="P148" i="1"/>
  <c r="P133" i="1"/>
  <c r="P149" i="1"/>
  <c r="Q130" i="1"/>
  <c r="Q149" i="1"/>
  <c r="Q148" i="1"/>
  <c r="Q133" i="1"/>
  <c r="O13" i="7"/>
  <c r="X50" i="7"/>
  <c r="L16" i="8"/>
  <c r="H119" i="1"/>
  <c r="H40" i="1"/>
  <c r="E14" i="8"/>
  <c r="H164" i="1"/>
  <c r="H83" i="1"/>
  <c r="H17" i="14"/>
  <c r="N22" i="7"/>
  <c r="T66" i="1"/>
  <c r="T65" i="1"/>
  <c r="I31" i="1"/>
  <c r="I8" i="2"/>
  <c r="I83" i="1"/>
  <c r="I81" i="1"/>
  <c r="I22" i="2"/>
  <c r="I20" i="2"/>
  <c r="I21" i="2"/>
  <c r="I117" i="1"/>
  <c r="I164" i="1"/>
  <c r="I36" i="1"/>
  <c r="I34" i="1"/>
  <c r="V40" i="7"/>
  <c r="V54" i="7"/>
  <c r="G30" i="7"/>
  <c r="G31" i="7"/>
  <c r="I143" i="1"/>
  <c r="I137" i="1"/>
  <c r="J28" i="1"/>
  <c r="I7" i="14"/>
  <c r="I9" i="2"/>
  <c r="U64" i="1"/>
  <c r="F11" i="8"/>
  <c r="I39" i="1"/>
  <c r="I37" i="1"/>
  <c r="I132" i="1"/>
  <c r="H165" i="1"/>
  <c r="H166" i="1"/>
  <c r="Q41" i="2"/>
  <c r="E54" i="2"/>
  <c r="F54" i="2"/>
  <c r="Q40" i="2"/>
  <c r="E53" i="2"/>
  <c r="I40" i="1"/>
  <c r="V41" i="7"/>
  <c r="H41" i="1"/>
  <c r="H11" i="2"/>
  <c r="H10" i="2"/>
  <c r="N9" i="7"/>
  <c r="U41" i="7"/>
  <c r="F32" i="7"/>
  <c r="F34" i="7"/>
  <c r="Q42" i="2"/>
  <c r="I17" i="14"/>
  <c r="U66" i="1"/>
  <c r="U65" i="1"/>
  <c r="I41" i="1"/>
  <c r="I11" i="2"/>
  <c r="I10" i="2"/>
  <c r="F14" i="8"/>
  <c r="L12" i="8"/>
  <c r="L14" i="8"/>
  <c r="H89" i="1"/>
  <c r="F35" i="7"/>
  <c r="F36" i="7"/>
  <c r="U43" i="7"/>
  <c r="H45" i="1"/>
  <c r="H47" i="1"/>
  <c r="H13" i="2"/>
  <c r="I165" i="1"/>
  <c r="I166" i="1"/>
  <c r="I129" i="1"/>
  <c r="M16" i="8"/>
  <c r="U42" i="7"/>
  <c r="U55" i="7"/>
  <c r="J7" i="14"/>
  <c r="J32" i="1"/>
  <c r="J118" i="1"/>
  <c r="W40" i="7"/>
  <c r="W54" i="7"/>
  <c r="V64" i="1"/>
  <c r="J116" i="1"/>
  <c r="J82" i="1"/>
  <c r="J132" i="1"/>
  <c r="H30" i="7"/>
  <c r="H31" i="7"/>
  <c r="J119" i="1"/>
  <c r="J83" i="1"/>
  <c r="K28" i="1"/>
  <c r="J117" i="1"/>
  <c r="J142" i="1"/>
  <c r="J141" i="1"/>
  <c r="J39" i="1"/>
  <c r="J37" i="1"/>
  <c r="J143" i="1"/>
  <c r="G11" i="8"/>
  <c r="J8" i="2"/>
  <c r="J36" i="1"/>
  <c r="J34" i="1"/>
  <c r="J81" i="1"/>
  <c r="J22" i="2"/>
  <c r="J20" i="2"/>
  <c r="J21" i="2"/>
  <c r="J9" i="2"/>
  <c r="O8" i="7"/>
  <c r="L24" i="8"/>
  <c r="E18" i="8"/>
  <c r="E15" i="8"/>
  <c r="E55" i="2"/>
  <c r="D11" i="7"/>
  <c r="F53" i="2"/>
  <c r="I44" i="1"/>
  <c r="I45" i="1"/>
  <c r="G32" i="7"/>
  <c r="G34" i="7"/>
  <c r="M12" i="8"/>
  <c r="M14" i="8"/>
  <c r="I89" i="1"/>
  <c r="L25" i="8"/>
  <c r="L26" i="8"/>
  <c r="E19" i="8"/>
  <c r="E21" i="8"/>
  <c r="N23" i="7"/>
  <c r="H48" i="1"/>
  <c r="H86" i="1"/>
  <c r="V55" i="7"/>
  <c r="V42" i="7"/>
  <c r="K7" i="14"/>
  <c r="K116" i="1"/>
  <c r="K32" i="1"/>
  <c r="L28" i="1"/>
  <c r="K36" i="1"/>
  <c r="K34" i="1"/>
  <c r="K117" i="1"/>
  <c r="K142" i="1"/>
  <c r="K81" i="1"/>
  <c r="K22" i="2"/>
  <c r="K39" i="1"/>
  <c r="K37" i="1"/>
  <c r="K141" i="1"/>
  <c r="K118" i="1"/>
  <c r="K82" i="1"/>
  <c r="K132" i="1"/>
  <c r="X40" i="7"/>
  <c r="X54" i="7"/>
  <c r="K83" i="1"/>
  <c r="I30" i="7"/>
  <c r="I31" i="7"/>
  <c r="K119" i="1"/>
  <c r="K8" i="2"/>
  <c r="K143" i="1"/>
  <c r="N16" i="8"/>
  <c r="J129" i="1"/>
  <c r="J165" i="1"/>
  <c r="E25" i="8"/>
  <c r="H88" i="1"/>
  <c r="H54" i="1"/>
  <c r="H14" i="2"/>
  <c r="H93" i="1"/>
  <c r="L27" i="8"/>
  <c r="L28" i="8"/>
  <c r="H18" i="2"/>
  <c r="H19" i="2"/>
  <c r="F18" i="8"/>
  <c r="M24" i="8"/>
  <c r="F15" i="8"/>
  <c r="L31" i="8"/>
  <c r="L32" i="8"/>
  <c r="K9" i="2"/>
  <c r="J137" i="1"/>
  <c r="I52" i="1"/>
  <c r="G35" i="7"/>
  <c r="G36" i="7"/>
  <c r="I47" i="1"/>
  <c r="V43" i="7"/>
  <c r="J164" i="1"/>
  <c r="J166" i="1"/>
  <c r="J40" i="1"/>
  <c r="J31" i="1"/>
  <c r="H16" i="2"/>
  <c r="N10" i="7"/>
  <c r="U56" i="7"/>
  <c r="U44" i="7"/>
  <c r="I13" i="2"/>
  <c r="O9" i="7"/>
  <c r="E11" i="7"/>
  <c r="F55" i="2"/>
  <c r="D54" i="2"/>
  <c r="H23" i="2"/>
  <c r="H24" i="2"/>
  <c r="K20" i="2"/>
  <c r="K21" i="2"/>
  <c r="N12" i="8"/>
  <c r="N14" i="8"/>
  <c r="K129" i="1"/>
  <c r="K165" i="1"/>
  <c r="K13" i="14"/>
  <c r="K30" i="14"/>
  <c r="K11" i="14"/>
  <c r="K29" i="14"/>
  <c r="K12" i="14"/>
  <c r="K10" i="14"/>
  <c r="K28" i="14"/>
  <c r="V56" i="7"/>
  <c r="V44" i="7"/>
  <c r="I88" i="1"/>
  <c r="I54" i="1"/>
  <c r="F25" i="8"/>
  <c r="I14" i="2"/>
  <c r="I93" i="1"/>
  <c r="L78" i="1"/>
  <c r="L39" i="1"/>
  <c r="L37" i="1"/>
  <c r="L32" i="1"/>
  <c r="L8" i="2"/>
  <c r="L132" i="1"/>
  <c r="L117" i="1"/>
  <c r="L143" i="1"/>
  <c r="M28" i="1"/>
  <c r="L142" i="1"/>
  <c r="J30" i="7"/>
  <c r="L141" i="1"/>
  <c r="L118" i="1"/>
  <c r="O21" i="7"/>
  <c r="L7" i="14"/>
  <c r="L119" i="1"/>
  <c r="L36" i="1"/>
  <c r="L34" i="1"/>
  <c r="L116" i="1"/>
  <c r="M27" i="8"/>
  <c r="M28" i="8"/>
  <c r="I18" i="2"/>
  <c r="I19" i="2"/>
  <c r="O10" i="7"/>
  <c r="I16" i="2"/>
  <c r="I23" i="2"/>
  <c r="I48" i="1"/>
  <c r="I86" i="1"/>
  <c r="I91" i="1"/>
  <c r="K31" i="1"/>
  <c r="K40" i="1"/>
  <c r="J89" i="1"/>
  <c r="H32" i="7"/>
  <c r="H34" i="7"/>
  <c r="J17" i="14"/>
  <c r="G14" i="8"/>
  <c r="J44" i="1"/>
  <c r="W41" i="7"/>
  <c r="J41" i="1"/>
  <c r="J11" i="2"/>
  <c r="J10" i="2"/>
  <c r="J13" i="2"/>
  <c r="V66" i="1"/>
  <c r="V65" i="1"/>
  <c r="M25" i="8"/>
  <c r="M26" i="8"/>
  <c r="F21" i="8"/>
  <c r="F19" i="8"/>
  <c r="L9" i="2"/>
  <c r="K137" i="1"/>
  <c r="K164" i="1"/>
  <c r="K166" i="1"/>
  <c r="H91" i="1"/>
  <c r="T47" i="7"/>
  <c r="D53" i="2"/>
  <c r="D55" i="2"/>
  <c r="L164" i="1"/>
  <c r="H26" i="2"/>
  <c r="W43" i="7"/>
  <c r="J52" i="1"/>
  <c r="J47" i="1"/>
  <c r="J45" i="1"/>
  <c r="H35" i="7"/>
  <c r="H36" i="7"/>
  <c r="J18" i="2"/>
  <c r="J19" i="2"/>
  <c r="N27" i="8"/>
  <c r="N28" i="8"/>
  <c r="L137" i="1"/>
  <c r="L40" i="1"/>
  <c r="L31" i="1"/>
  <c r="K33" i="14"/>
  <c r="K32" i="14"/>
  <c r="K37" i="14"/>
  <c r="N24" i="8"/>
  <c r="G18" i="8"/>
  <c r="G15" i="8"/>
  <c r="X41" i="7"/>
  <c r="I32" i="7"/>
  <c r="I34" i="7"/>
  <c r="K44" i="1"/>
  <c r="K41" i="1"/>
  <c r="K11" i="2"/>
  <c r="K10" i="2"/>
  <c r="K13" i="2"/>
  <c r="K17" i="14"/>
  <c r="L10" i="14"/>
  <c r="L28" i="14"/>
  <c r="L12" i="14"/>
  <c r="L13" i="14"/>
  <c r="L30" i="14"/>
  <c r="L11" i="14"/>
  <c r="L29" i="14"/>
  <c r="J31" i="7"/>
  <c r="L30" i="7"/>
  <c r="I24" i="2"/>
  <c r="I26" i="2"/>
  <c r="L129" i="1"/>
  <c r="L165" i="1"/>
  <c r="L42" i="1"/>
  <c r="L90" i="1"/>
  <c r="W55" i="7"/>
  <c r="W42" i="7"/>
  <c r="M31" i="8"/>
  <c r="M32" i="8"/>
  <c r="M36" i="1"/>
  <c r="M34" i="1"/>
  <c r="M117" i="1"/>
  <c r="M118" i="1"/>
  <c r="M8" i="2"/>
  <c r="M9" i="2"/>
  <c r="M78" i="1"/>
  <c r="M119" i="1"/>
  <c r="M143" i="1"/>
  <c r="M142" i="1"/>
  <c r="M132" i="1"/>
  <c r="M141" i="1"/>
  <c r="M39" i="1"/>
  <c r="M37" i="1"/>
  <c r="M32" i="1"/>
  <c r="N28" i="1"/>
  <c r="M116" i="1"/>
  <c r="M164" i="1"/>
  <c r="M7" i="14"/>
  <c r="L20" i="2"/>
  <c r="K89" i="1"/>
  <c r="K18" i="2"/>
  <c r="K19" i="2"/>
  <c r="L166" i="1"/>
  <c r="L89" i="1"/>
  <c r="L18" i="2"/>
  <c r="L19" i="2"/>
  <c r="N7" i="14"/>
  <c r="O28" i="1"/>
  <c r="N116" i="1"/>
  <c r="N8" i="2"/>
  <c r="N36" i="1"/>
  <c r="N34" i="1"/>
  <c r="N118" i="1"/>
  <c r="N117" i="1"/>
  <c r="N78" i="1"/>
  <c r="N142" i="1"/>
  <c r="N132" i="1"/>
  <c r="N39" i="1"/>
  <c r="N37" i="1"/>
  <c r="N141" i="1"/>
  <c r="N119" i="1"/>
  <c r="N32" i="1"/>
  <c r="N143" i="1"/>
  <c r="M129" i="1"/>
  <c r="M165" i="1"/>
  <c r="M166" i="1"/>
  <c r="M90" i="1"/>
  <c r="M42" i="1"/>
  <c r="K23" i="14"/>
  <c r="K20" i="14"/>
  <c r="K22" i="14"/>
  <c r="K21" i="14"/>
  <c r="X55" i="7"/>
  <c r="X42" i="7"/>
  <c r="K38" i="14"/>
  <c r="K45" i="14"/>
  <c r="K52" i="14"/>
  <c r="M40" i="1"/>
  <c r="M31" i="1"/>
  <c r="M20" i="2"/>
  <c r="N9" i="2"/>
  <c r="J48" i="1"/>
  <c r="J86" i="1"/>
  <c r="M13" i="14"/>
  <c r="M30" i="14"/>
  <c r="M11" i="14"/>
  <c r="M29" i="14"/>
  <c r="M10" i="14"/>
  <c r="M28" i="14"/>
  <c r="M12" i="14"/>
  <c r="K47" i="1"/>
  <c r="I35" i="7"/>
  <c r="I36" i="7"/>
  <c r="X43" i="7"/>
  <c r="K45" i="1"/>
  <c r="N25" i="8"/>
  <c r="N26" i="8"/>
  <c r="G21" i="8"/>
  <c r="G19" i="8"/>
  <c r="G25" i="8"/>
  <c r="J88" i="1"/>
  <c r="J93" i="1"/>
  <c r="J54" i="1"/>
  <c r="K52" i="1"/>
  <c r="J14" i="2"/>
  <c r="J16" i="2"/>
  <c r="J23" i="2"/>
  <c r="M137" i="1"/>
  <c r="L12" i="2"/>
  <c r="L17" i="2"/>
  <c r="L21" i="2"/>
  <c r="L106" i="1"/>
  <c r="L87" i="1"/>
  <c r="L32" i="14"/>
  <c r="L37" i="14"/>
  <c r="L33" i="14"/>
  <c r="N31" i="8"/>
  <c r="N32" i="8"/>
  <c r="L17" i="14"/>
  <c r="O22" i="7"/>
  <c r="L41" i="1"/>
  <c r="L11" i="2"/>
  <c r="L10" i="2"/>
  <c r="L13" i="2"/>
  <c r="L44" i="1"/>
  <c r="J32" i="7"/>
  <c r="W56" i="7"/>
  <c r="W44" i="7"/>
  <c r="N137" i="1"/>
  <c r="K93" i="1"/>
  <c r="K14" i="2"/>
  <c r="K16" i="2"/>
  <c r="K23" i="2"/>
  <c r="K88" i="1"/>
  <c r="K54" i="1"/>
  <c r="J91" i="1"/>
  <c r="N31" i="1"/>
  <c r="N40" i="1"/>
  <c r="N129" i="1"/>
  <c r="N165" i="1"/>
  <c r="O141" i="1"/>
  <c r="O36" i="1"/>
  <c r="O34" i="1"/>
  <c r="O143" i="1"/>
  <c r="O116" i="1"/>
  <c r="O39" i="1"/>
  <c r="O37" i="1"/>
  <c r="O142" i="1"/>
  <c r="O119" i="1"/>
  <c r="O118" i="1"/>
  <c r="O78" i="1"/>
  <c r="O8" i="2"/>
  <c r="O117" i="1"/>
  <c r="O32" i="1"/>
  <c r="O132" i="1"/>
  <c r="O7" i="14"/>
  <c r="P28" i="1"/>
  <c r="L46" i="14"/>
  <c r="L52" i="14"/>
  <c r="L38" i="14"/>
  <c r="X56" i="7"/>
  <c r="X44" i="7"/>
  <c r="M32" i="14"/>
  <c r="M37" i="14"/>
  <c r="M33" i="14"/>
  <c r="N13" i="14"/>
  <c r="N30" i="14"/>
  <c r="N10" i="14"/>
  <c r="N28" i="14"/>
  <c r="N12" i="14"/>
  <c r="N11" i="14"/>
  <c r="N29" i="14"/>
  <c r="J34" i="7"/>
  <c r="L32" i="7"/>
  <c r="L20" i="14"/>
  <c r="L23" i="14"/>
  <c r="L22" i="14"/>
  <c r="L21" i="14"/>
  <c r="M41" i="1"/>
  <c r="M11" i="2"/>
  <c r="M10" i="2"/>
  <c r="M44" i="1"/>
  <c r="M17" i="14"/>
  <c r="N90" i="1"/>
  <c r="N42" i="1"/>
  <c r="N20" i="2"/>
  <c r="J35" i="7"/>
  <c r="L47" i="1"/>
  <c r="L52" i="1"/>
  <c r="L45" i="1"/>
  <c r="M106" i="1"/>
  <c r="L104" i="1"/>
  <c r="L113" i="1"/>
  <c r="J24" i="2"/>
  <c r="J26" i="2"/>
  <c r="K48" i="1"/>
  <c r="K86" i="1"/>
  <c r="K91" i="1"/>
  <c r="M87" i="1"/>
  <c r="M12" i="2"/>
  <c r="M17" i="2"/>
  <c r="M21" i="2"/>
  <c r="N164" i="1"/>
  <c r="N166" i="1"/>
  <c r="M89" i="1"/>
  <c r="M18" i="2"/>
  <c r="M19" i="2"/>
  <c r="M13" i="2"/>
  <c r="L54" i="1"/>
  <c r="L14" i="2"/>
  <c r="L16" i="2"/>
  <c r="L23" i="2"/>
  <c r="L88" i="1"/>
  <c r="L93" i="1"/>
  <c r="M45" i="1"/>
  <c r="M47" i="1"/>
  <c r="K35" i="7"/>
  <c r="N35" i="7"/>
  <c r="M52" i="1"/>
  <c r="O12" i="14"/>
  <c r="O11" i="14"/>
  <c r="O29" i="14"/>
  <c r="O10" i="14"/>
  <c r="O28" i="14"/>
  <c r="O13" i="14"/>
  <c r="O30" i="14"/>
  <c r="O20" i="2"/>
  <c r="N17" i="14"/>
  <c r="N41" i="1"/>
  <c r="N11" i="2"/>
  <c r="N10" i="2"/>
  <c r="N44" i="1"/>
  <c r="L86" i="1"/>
  <c r="L91" i="1"/>
  <c r="L48" i="1"/>
  <c r="O23" i="7"/>
  <c r="N12" i="2"/>
  <c r="N17" i="2"/>
  <c r="N21" i="2"/>
  <c r="N87" i="1"/>
  <c r="O129" i="1"/>
  <c r="O165" i="1"/>
  <c r="O42" i="1"/>
  <c r="O90" i="1"/>
  <c r="O137" i="1"/>
  <c r="N106" i="1"/>
  <c r="M104" i="1"/>
  <c r="M113" i="1"/>
  <c r="O40" i="1"/>
  <c r="O31" i="1"/>
  <c r="O164" i="1"/>
  <c r="O166" i="1"/>
  <c r="K26" i="2"/>
  <c r="K24" i="2"/>
  <c r="J36" i="7"/>
  <c r="L35" i="7"/>
  <c r="N89" i="1"/>
  <c r="N18" i="2"/>
  <c r="N19" i="2"/>
  <c r="M47" i="14"/>
  <c r="M52" i="14"/>
  <c r="M38" i="14"/>
  <c r="O9" i="2"/>
  <c r="M23" i="14"/>
  <c r="M20" i="14"/>
  <c r="M22" i="14"/>
  <c r="M21" i="14"/>
  <c r="N32" i="14"/>
  <c r="N37" i="14"/>
  <c r="N33" i="14"/>
  <c r="P7" i="14"/>
  <c r="P132" i="1"/>
  <c r="P78" i="1"/>
  <c r="P143" i="1"/>
  <c r="Q28" i="1"/>
  <c r="P142" i="1"/>
  <c r="P119" i="1"/>
  <c r="P118" i="1"/>
  <c r="P141" i="1"/>
  <c r="P137" i="1"/>
  <c r="P32" i="1"/>
  <c r="P36" i="1"/>
  <c r="P34" i="1"/>
  <c r="P116" i="1"/>
  <c r="P39" i="1"/>
  <c r="P37" i="1"/>
  <c r="P8" i="2"/>
  <c r="P9" i="2"/>
  <c r="P117" i="1"/>
  <c r="N13" i="2"/>
  <c r="Q117" i="1"/>
  <c r="Q78" i="1"/>
  <c r="Q36" i="1"/>
  <c r="Q34" i="1"/>
  <c r="Q32" i="1"/>
  <c r="Q141" i="1"/>
  <c r="Q116" i="1"/>
  <c r="Q7" i="14"/>
  <c r="Q119" i="1"/>
  <c r="Q8" i="2"/>
  <c r="Q20" i="2"/>
  <c r="Q39" i="1"/>
  <c r="Q37" i="1"/>
  <c r="Q132" i="1"/>
  <c r="K30" i="7"/>
  <c r="N30" i="7"/>
  <c r="Q118" i="1"/>
  <c r="Q143" i="1"/>
  <c r="Q142" i="1"/>
  <c r="P10" i="14"/>
  <c r="P28" i="14"/>
  <c r="P12" i="14"/>
  <c r="P11" i="14"/>
  <c r="P29" i="14"/>
  <c r="P13" i="14"/>
  <c r="P30" i="14"/>
  <c r="M86" i="1"/>
  <c r="M48" i="1"/>
  <c r="P90" i="1"/>
  <c r="P42" i="1"/>
  <c r="P164" i="1"/>
  <c r="O44" i="1"/>
  <c r="O17" i="14"/>
  <c r="O41" i="1"/>
  <c r="O11" i="2"/>
  <c r="O10" i="2"/>
  <c r="N47" i="1"/>
  <c r="N45" i="1"/>
  <c r="L26" i="2"/>
  <c r="L24" i="2"/>
  <c r="O87" i="1"/>
  <c r="O12" i="2"/>
  <c r="O17" i="2"/>
  <c r="O21" i="2"/>
  <c r="M93" i="1"/>
  <c r="M14" i="2"/>
  <c r="M16" i="2"/>
  <c r="M23" i="2"/>
  <c r="M54" i="1"/>
  <c r="N52" i="1"/>
  <c r="M88" i="1"/>
  <c r="N48" i="14"/>
  <c r="N52" i="14"/>
  <c r="N38" i="14"/>
  <c r="Q9" i="2"/>
  <c r="P20" i="2"/>
  <c r="P40" i="1"/>
  <c r="P31" i="1"/>
  <c r="P165" i="1"/>
  <c r="P129" i="1"/>
  <c r="N104" i="1"/>
  <c r="N113" i="1"/>
  <c r="O106" i="1"/>
  <c r="N20" i="14"/>
  <c r="N21" i="14"/>
  <c r="N23" i="14"/>
  <c r="N22" i="14"/>
  <c r="O32" i="14"/>
  <c r="O37" i="14"/>
  <c r="O33" i="14"/>
  <c r="O89" i="1"/>
  <c r="O18" i="2"/>
  <c r="O19" i="2"/>
  <c r="N14" i="2"/>
  <c r="N16" i="2"/>
  <c r="N23" i="2"/>
  <c r="N93" i="1"/>
  <c r="N88" i="1"/>
  <c r="N54" i="1"/>
  <c r="M26" i="2"/>
  <c r="M24" i="2"/>
  <c r="O20" i="14"/>
  <c r="O22" i="14"/>
  <c r="O21" i="14"/>
  <c r="O23" i="14"/>
  <c r="P12" i="2"/>
  <c r="P17" i="2"/>
  <c r="P21" i="2"/>
  <c r="P87" i="1"/>
  <c r="M91" i="1"/>
  <c r="P32" i="14"/>
  <c r="P37" i="14"/>
  <c r="P33" i="14"/>
  <c r="Q40" i="1"/>
  <c r="Q31" i="1"/>
  <c r="O47" i="1"/>
  <c r="O45" i="1"/>
  <c r="O52" i="1"/>
  <c r="Q165" i="1"/>
  <c r="Q129" i="1"/>
  <c r="Q11" i="14"/>
  <c r="Q29" i="14"/>
  <c r="Q12" i="14"/>
  <c r="Q10" i="14"/>
  <c r="Q28" i="14"/>
  <c r="Q13" i="14"/>
  <c r="Q30" i="14"/>
  <c r="O49" i="14"/>
  <c r="O52" i="14"/>
  <c r="O38" i="14"/>
  <c r="P17" i="14"/>
  <c r="P41" i="1"/>
  <c r="P11" i="2"/>
  <c r="P10" i="2"/>
  <c r="P44" i="1"/>
  <c r="N48" i="1"/>
  <c r="N86" i="1"/>
  <c r="N91" i="1"/>
  <c r="Q164" i="1"/>
  <c r="Q90" i="1"/>
  <c r="Q42" i="1"/>
  <c r="O104" i="1"/>
  <c r="O113" i="1"/>
  <c r="P106" i="1"/>
  <c r="O13" i="2"/>
  <c r="P166" i="1"/>
  <c r="Q137" i="1"/>
  <c r="Q166" i="1"/>
  <c r="Q89" i="1"/>
  <c r="Q18" i="2"/>
  <c r="Q19" i="2"/>
  <c r="P13" i="2"/>
  <c r="P89" i="1"/>
  <c r="P18" i="2"/>
  <c r="P19" i="2"/>
  <c r="Q12" i="2"/>
  <c r="Q17" i="2"/>
  <c r="Q21" i="2"/>
  <c r="Q87" i="1"/>
  <c r="O86" i="1"/>
  <c r="O48" i="1"/>
  <c r="P50" i="14"/>
  <c r="P52" i="14"/>
  <c r="P38" i="14"/>
  <c r="P21" i="14"/>
  <c r="P20" i="14"/>
  <c r="P22" i="14"/>
  <c r="P23" i="14"/>
  <c r="Q33" i="14"/>
  <c r="Q32" i="14"/>
  <c r="Q37" i="14"/>
  <c r="P45" i="1"/>
  <c r="P47" i="1"/>
  <c r="Q106" i="1"/>
  <c r="Q104" i="1"/>
  <c r="Q113" i="1"/>
  <c r="P104" i="1"/>
  <c r="P113" i="1"/>
  <c r="O93" i="1"/>
  <c r="O88" i="1"/>
  <c r="O54" i="1"/>
  <c r="P52" i="1"/>
  <c r="O14" i="2"/>
  <c r="O16" i="2"/>
  <c r="O23" i="2"/>
  <c r="Q17" i="14"/>
  <c r="Q44" i="1"/>
  <c r="Q41" i="1"/>
  <c r="Q11" i="2"/>
  <c r="Q10" i="2"/>
  <c r="K32" i="7"/>
  <c r="N32" i="7"/>
  <c r="N24" i="2"/>
  <c r="N26" i="2"/>
  <c r="Q13" i="2"/>
  <c r="O24" i="2"/>
  <c r="O26" i="2"/>
  <c r="Q22" i="14"/>
  <c r="Q21" i="14"/>
  <c r="Q23" i="14"/>
  <c r="Q20" i="14"/>
  <c r="Q51" i="14"/>
  <c r="Q52" i="14"/>
  <c r="Q38" i="14"/>
  <c r="P93" i="1"/>
  <c r="P14" i="2"/>
  <c r="P16" i="2"/>
  <c r="P23" i="2"/>
  <c r="P54" i="1"/>
  <c r="Q52" i="1"/>
  <c r="P88" i="1"/>
  <c r="Q47" i="1"/>
  <c r="Q45" i="1"/>
  <c r="P48" i="1"/>
  <c r="P86" i="1"/>
  <c r="P91" i="1"/>
  <c r="O91" i="1"/>
  <c r="Q88" i="1"/>
  <c r="Q54" i="1"/>
  <c r="Q93" i="1"/>
  <c r="Q14" i="2"/>
  <c r="Q16" i="2"/>
  <c r="Q23" i="2"/>
  <c r="P26" i="2"/>
  <c r="P24" i="2"/>
  <c r="Q48" i="1"/>
  <c r="Q86" i="1"/>
  <c r="Q91" i="1"/>
  <c r="Q26" i="2"/>
  <c r="E48" i="2"/>
  <c r="Q27" i="2"/>
  <c r="Q24" i="2"/>
  <c r="L60" i="2"/>
  <c r="L59" i="2"/>
  <c r="E49" i="2"/>
  <c r="E50" i="2"/>
  <c r="L58" i="2"/>
  <c r="Q29" i="2"/>
  <c r="D10" i="7"/>
  <c r="E58" i="2"/>
  <c r="F48" i="2"/>
  <c r="J48" i="2"/>
  <c r="J49" i="2"/>
  <c r="F50" i="2"/>
  <c r="D48" i="2"/>
  <c r="J50" i="2"/>
  <c r="E10" i="7"/>
  <c r="L49" i="2"/>
  <c r="K49" i="2"/>
  <c r="K50" i="2"/>
  <c r="L50" i="2"/>
  <c r="L48" i="2"/>
  <c r="K48" i="2"/>
  <c r="F49" i="2"/>
  <c r="Q30" i="2"/>
  <c r="Q31" i="2"/>
  <c r="E59" i="2"/>
  <c r="D12" i="7"/>
  <c r="E28" i="14"/>
  <c r="F58" i="2"/>
  <c r="E60" i="2"/>
  <c r="V24" i="1"/>
  <c r="D49" i="2"/>
  <c r="D50" i="2"/>
  <c r="F59" i="2"/>
  <c r="V25" i="1"/>
  <c r="V26" i="1"/>
  <c r="E29" i="14"/>
  <c r="AD9" i="2"/>
  <c r="E63" i="2"/>
  <c r="F60" i="2"/>
  <c r="F63" i="2"/>
  <c r="K54" i="2"/>
  <c r="L54" i="2"/>
  <c r="J55" i="2"/>
  <c r="AD19" i="2"/>
  <c r="V9" i="2"/>
  <c r="V19" i="2"/>
  <c r="K55" i="2"/>
  <c r="J54" i="2"/>
  <c r="L55" i="2"/>
  <c r="E30" i="14"/>
  <c r="T46" i="7"/>
  <c r="E12" i="7"/>
  <c r="D59" i="2"/>
  <c r="D58" i="2"/>
  <c r="G11" i="7"/>
  <c r="T48" i="7"/>
  <c r="T51" i="7"/>
  <c r="F11" i="7"/>
  <c r="F10" i="7"/>
  <c r="G10" i="7"/>
  <c r="G12" i="7"/>
  <c r="H10" i="7"/>
  <c r="F12" i="7"/>
  <c r="D60" i="2"/>
  <c r="U24" i="1"/>
  <c r="D28" i="14"/>
  <c r="H11" i="7"/>
  <c r="U25" i="1"/>
  <c r="D29" i="14"/>
  <c r="U26" i="1"/>
  <c r="D30" i="14"/>
  <c r="H12" i="7"/>
  <c r="H92" i="1"/>
  <c r="H94" i="1"/>
  <c r="H122" i="1"/>
  <c r="F37" i="7"/>
  <c r="N25" i="7"/>
  <c r="H51" i="1"/>
  <c r="H55" i="1"/>
  <c r="H57" i="1"/>
  <c r="N24" i="7"/>
  <c r="H127" i="1"/>
  <c r="H144" i="1"/>
  <c r="H123" i="1"/>
  <c r="H124" i="1"/>
  <c r="H145" i="1"/>
  <c r="E22" i="8"/>
  <c r="E24" i="8"/>
  <c r="E27" i="8"/>
  <c r="E26" i="8"/>
  <c r="H150" i="1"/>
  <c r="H151" i="1"/>
  <c r="L15" i="8"/>
  <c r="L17" i="8"/>
  <c r="L18" i="8"/>
  <c r="J37" i="7"/>
  <c r="I37" i="7"/>
  <c r="K94" i="1"/>
  <c r="K92" i="1"/>
  <c r="H37" i="7"/>
  <c r="J94" i="1"/>
  <c r="J92" i="1"/>
  <c r="G37" i="7"/>
  <c r="L92" i="1"/>
  <c r="L94" i="1"/>
  <c r="O25" i="7"/>
  <c r="O24" i="7"/>
  <c r="L57" i="1"/>
  <c r="L55" i="1"/>
  <c r="L150" i="1"/>
  <c r="L151" i="1"/>
  <c r="L49" i="1"/>
  <c r="L51" i="1"/>
  <c r="Q145" i="1"/>
  <c r="Q144" i="1"/>
  <c r="Q127" i="1"/>
  <c r="P145" i="1"/>
  <c r="P127" i="1"/>
  <c r="P144" i="1"/>
  <c r="O145" i="1"/>
  <c r="O127" i="1"/>
  <c r="O144" i="1"/>
  <c r="N145" i="1"/>
  <c r="N127" i="1"/>
  <c r="N144" i="1"/>
  <c r="M145" i="1"/>
  <c r="M127" i="1"/>
  <c r="M144" i="1"/>
  <c r="L145" i="1"/>
  <c r="L127" i="1"/>
  <c r="L144" i="1"/>
  <c r="K145" i="1"/>
  <c r="K127" i="1"/>
  <c r="K144" i="1"/>
  <c r="J145" i="1"/>
  <c r="J144" i="1"/>
  <c r="I145" i="1"/>
  <c r="I144" i="1"/>
  <c r="Q124" i="1"/>
  <c r="Q123" i="1"/>
  <c r="P124" i="1"/>
  <c r="P123" i="1"/>
  <c r="O124" i="1"/>
  <c r="O123" i="1"/>
  <c r="N124" i="1"/>
  <c r="N123" i="1"/>
  <c r="M124" i="1"/>
  <c r="M123" i="1"/>
  <c r="L124" i="1"/>
  <c r="L123" i="1"/>
  <c r="K124" i="1"/>
  <c r="K123" i="1"/>
  <c r="J124" i="1"/>
  <c r="J123" i="1"/>
  <c r="I124" i="1"/>
  <c r="I123" i="1"/>
  <c r="Q94" i="1"/>
  <c r="Q92" i="1"/>
  <c r="P94" i="1"/>
  <c r="P92" i="1"/>
  <c r="O94" i="1"/>
  <c r="O92" i="1"/>
  <c r="N94" i="1"/>
  <c r="N92" i="1"/>
  <c r="M94" i="1"/>
  <c r="M92" i="1"/>
  <c r="Q57" i="1"/>
  <c r="Q55" i="1"/>
  <c r="Q122" i="1"/>
  <c r="Q150" i="1"/>
  <c r="Q151" i="1"/>
  <c r="Q49" i="1"/>
  <c r="Q51" i="1"/>
  <c r="P57" i="1"/>
  <c r="P55" i="1"/>
  <c r="P122" i="1"/>
  <c r="P150" i="1"/>
  <c r="P151" i="1"/>
  <c r="P49" i="1"/>
  <c r="P51" i="1"/>
  <c r="O57" i="1"/>
  <c r="O55" i="1"/>
  <c r="O122" i="1"/>
  <c r="O150" i="1"/>
  <c r="O151" i="1"/>
  <c r="O49" i="1"/>
  <c r="O51" i="1"/>
  <c r="N57" i="1"/>
  <c r="N55" i="1"/>
  <c r="N122" i="1"/>
  <c r="N150" i="1"/>
  <c r="N151" i="1"/>
  <c r="N49" i="1"/>
  <c r="N51" i="1"/>
  <c r="M57" i="1"/>
  <c r="M55" i="1"/>
  <c r="L122" i="1"/>
  <c r="M122" i="1"/>
  <c r="M150" i="1"/>
  <c r="M151" i="1"/>
  <c r="M49" i="1"/>
  <c r="M51" i="1"/>
  <c r="K57" i="1"/>
  <c r="K55" i="1"/>
  <c r="K122" i="1"/>
  <c r="K150" i="1"/>
  <c r="K151" i="1"/>
  <c r="K49" i="1"/>
  <c r="K51" i="1"/>
  <c r="J57" i="1"/>
  <c r="J55" i="1"/>
  <c r="J51" i="1"/>
  <c r="G27" i="8"/>
  <c r="F27" i="8"/>
  <c r="J49" i="1"/>
  <c r="G22" i="8"/>
  <c r="G24" i="8"/>
  <c r="G26" i="8"/>
  <c r="F22" i="8"/>
  <c r="F24" i="8"/>
  <c r="F26" i="8"/>
  <c r="N18" i="8"/>
  <c r="J122" i="1"/>
  <c r="J150" i="1"/>
  <c r="J151" i="1"/>
  <c r="N15" i="8"/>
  <c r="M18" i="8"/>
  <c r="M15" i="8"/>
  <c r="J127" i="1"/>
  <c r="N17" i="8"/>
  <c r="I92" i="1"/>
  <c r="I94" i="1"/>
  <c r="I122" i="1"/>
  <c r="I150" i="1"/>
  <c r="I151" i="1"/>
  <c r="I49" i="1"/>
  <c r="I51" i="1"/>
  <c r="I55" i="1"/>
  <c r="I57" i="1"/>
  <c r="I127" i="1"/>
  <c r="M17" i="8"/>
</calcChain>
</file>

<file path=xl/sharedStrings.xml><?xml version="1.0" encoding="utf-8"?>
<sst xmlns="http://schemas.openxmlformats.org/spreadsheetml/2006/main" count="440" uniqueCount="316">
  <si>
    <t>Discounted Cash Flow Valuation Model</t>
  </si>
  <si>
    <t>User Guide -  Valuation Model</t>
  </si>
  <si>
    <t/>
  </si>
  <si>
    <t>ENABLE ITERATIVE CALCULATION (UNDER "EXCEL OPTIONS") BEFORE YOU START FILLING IN NUMBERS.</t>
  </si>
  <si>
    <t>Colour Coding and Protection</t>
  </si>
  <si>
    <t>Black = Formulas</t>
  </si>
  <si>
    <t>Blue = Input figures</t>
  </si>
  <si>
    <t>Yellow = Input cells</t>
  </si>
  <si>
    <t>Structure of the Model:</t>
  </si>
  <si>
    <t>Input</t>
  </si>
  <si>
    <t>All assumptions and historical and future financials are inserted in the "Input" sheet.</t>
  </si>
  <si>
    <t>Please note that this is the only sheet where numbers should be inserted, unless you want to change the assumptions under Multiples.</t>
  </si>
  <si>
    <t>The financials currently in the sheet are "dummy numbers" and should be replaced by actual figures.</t>
  </si>
  <si>
    <t>Summary output</t>
  </si>
  <si>
    <t>Key transaction information in summary format. To be copied into decision materials.</t>
  </si>
  <si>
    <t>DCF</t>
  </si>
  <si>
    <t>Full description of discounted cash flow valuation including sensitivity tables. Placed in decision materials appendix.</t>
  </si>
  <si>
    <t>A sensitivity analysis of key assumptions' impact on the value is also found in this sheet. Copy into decision materials.</t>
  </si>
  <si>
    <t>Business case</t>
  </si>
  <si>
    <t>Summary of business case drivers and financial statements. To be copied into decision materials.</t>
  </si>
  <si>
    <t>Multiples</t>
  </si>
  <si>
    <t>Description of probable returns on the investment including multiples and IRR.</t>
  </si>
  <si>
    <t>Follow-up</t>
  </si>
  <si>
    <t>Please note that the model always values 100% of a company.</t>
  </si>
  <si>
    <t>ONLY INPUT DATA IN THESE YELLOW CELLS</t>
  </si>
  <si>
    <t>!!!!!!</t>
  </si>
  <si>
    <t>General Assumptions</t>
  </si>
  <si>
    <t>Name of Target</t>
  </si>
  <si>
    <t>Financial Assumptions</t>
  </si>
  <si>
    <t>Notes</t>
  </si>
  <si>
    <t>Acquisition Price (debt free), paid today</t>
  </si>
  <si>
    <t>Tax Rate</t>
  </si>
  <si>
    <t>Please note amount if the company has any</t>
  </si>
  <si>
    <t>Share of company</t>
  </si>
  <si>
    <t>Target Interest Rate on Debt</t>
  </si>
  <si>
    <t>tax losses and in which jurisdiction</t>
  </si>
  <si>
    <t>Currency</t>
  </si>
  <si>
    <t>Target Interest Rate on Cash</t>
  </si>
  <si>
    <t>FX Rate (SEK)</t>
  </si>
  <si>
    <t>Bonnier Interest Rate on Debt</t>
  </si>
  <si>
    <t>Valuation Date</t>
  </si>
  <si>
    <t>Closing Month</t>
  </si>
  <si>
    <t>DCF Assumptions</t>
  </si>
  <si>
    <t>Year</t>
  </si>
  <si>
    <t>WACC</t>
  </si>
  <si>
    <t>Year Fraction</t>
  </si>
  <si>
    <t>Terminal Growth Rate</t>
  </si>
  <si>
    <t>Transaction costs</t>
  </si>
  <si>
    <t>Actual Financials</t>
  </si>
  <si>
    <t>Forecasted Financials</t>
  </si>
  <si>
    <t>Projected Financials</t>
  </si>
  <si>
    <t>INCOME STATEMENT</t>
  </si>
  <si>
    <t>Total Enterprise Value</t>
  </si>
  <si>
    <t>PROFIT &amp; LOSS STATEMENT</t>
  </si>
  <si>
    <t>NPV of Year 1-10</t>
  </si>
  <si>
    <t>growth rate adjustment</t>
  </si>
  <si>
    <t>NPV of Terminal Value</t>
  </si>
  <si>
    <t>cost base adjustment</t>
  </si>
  <si>
    <t>Enterprise Value</t>
  </si>
  <si>
    <t>Net Sales</t>
  </si>
  <si>
    <t>% Growth (base)</t>
  </si>
  <si>
    <t>% Adjusted Growth</t>
  </si>
  <si>
    <t>COGS</t>
  </si>
  <si>
    <t>Gross Profit</t>
  </si>
  <si>
    <t>Margin</t>
  </si>
  <si>
    <t>Personnel Cost (adjusted)</t>
  </si>
  <si>
    <t>Expected personnel cost (base)</t>
  </si>
  <si>
    <t>% of Net Sales</t>
  </si>
  <si>
    <t>Other Operating Cost (adjusted)</t>
  </si>
  <si>
    <t>Expected other operating cost (base)</t>
  </si>
  <si>
    <t>EBITDA</t>
  </si>
  <si>
    <t>Depreciation</t>
  </si>
  <si>
    <t>Depreciation as % of Capex</t>
  </si>
  <si>
    <t>EBITA</t>
  </si>
  <si>
    <t>Amortization of Acquisition Related Costs</t>
  </si>
  <si>
    <t>EBIT</t>
  </si>
  <si>
    <t>Net Interest</t>
  </si>
  <si>
    <t>Other Net Financials</t>
  </si>
  <si>
    <t>EBT</t>
  </si>
  <si>
    <t>Tax</t>
  </si>
  <si>
    <t>Tax Rate (excl. Acquisition Related Costs)</t>
  </si>
  <si>
    <t>Tax loss carry forward</t>
  </si>
  <si>
    <t>Net Profit</t>
  </si>
  <si>
    <t>Attributable to:</t>
  </si>
  <si>
    <t>Equity holders of the company</t>
  </si>
  <si>
    <t xml:space="preserve">Noncontroling interest </t>
  </si>
  <si>
    <t>SYNERGIES</t>
  </si>
  <si>
    <t>2017E</t>
  </si>
  <si>
    <t>2018E</t>
  </si>
  <si>
    <t>2019E</t>
  </si>
  <si>
    <t>Revenue Synergies</t>
  </si>
  <si>
    <t xml:space="preserve">Management net sales </t>
  </si>
  <si>
    <t xml:space="preserve">Adjusted net sales </t>
  </si>
  <si>
    <t>Revenue Synergies (EBITDA Impact)</t>
  </si>
  <si>
    <t>Management EBITDA</t>
  </si>
  <si>
    <t>Cost Synergies (EBITDA Impact)</t>
  </si>
  <si>
    <t>Adjusted EBITDA</t>
  </si>
  <si>
    <t>Capital Expenditure Synergies</t>
  </si>
  <si>
    <t>BONNIER SYNERGIES</t>
  </si>
  <si>
    <t>CAPEX ASSUMPTIONS AND CASH FLOW STATEMENT</t>
  </si>
  <si>
    <t>CASH FLOW ASSUMPTIONS</t>
  </si>
  <si>
    <t>Total Capex</t>
  </si>
  <si>
    <t>Maintenance Capex</t>
  </si>
  <si>
    <t>Expansion Capex</t>
  </si>
  <si>
    <t>CASH FLOW STATEMENT</t>
  </si>
  <si>
    <t>D&amp;A</t>
  </si>
  <si>
    <t>Taxes paid</t>
  </si>
  <si>
    <t>Change in WC</t>
  </si>
  <si>
    <t>Capex</t>
  </si>
  <si>
    <t>CF from operations and post investing activities</t>
  </si>
  <si>
    <t>Net interest</t>
  </si>
  <si>
    <t>Actual tax paid</t>
  </si>
  <si>
    <t>CF post financing activities</t>
  </si>
  <si>
    <t>BALANCE SHEET</t>
  </si>
  <si>
    <t>FULL BALANCE SHEET</t>
  </si>
  <si>
    <t>ASSETS</t>
  </si>
  <si>
    <t>Fixed Assets</t>
  </si>
  <si>
    <t>Intangible Assets</t>
  </si>
  <si>
    <t xml:space="preserve"> - Acquisition Related Costs</t>
  </si>
  <si>
    <t xml:space="preserve"> - Other Intangibles</t>
  </si>
  <si>
    <t>Tangible Assets</t>
  </si>
  <si>
    <t xml:space="preserve"> - Buildings and Land</t>
  </si>
  <si>
    <t xml:space="preserve"> - Property, Plant &amp; Equipment</t>
  </si>
  <si>
    <t>Financial Assets</t>
  </si>
  <si>
    <t xml:space="preserve"> - Equity in Joint Ventures and Associated Companies</t>
  </si>
  <si>
    <t xml:space="preserve"> - Deferred Tax Assets</t>
  </si>
  <si>
    <t>Working capital</t>
  </si>
  <si>
    <t xml:space="preserve"> - Long-term Investments in Securities</t>
  </si>
  <si>
    <t xml:space="preserve"> - Interest-bearing Receivables or Assets</t>
  </si>
  <si>
    <t>Cash / Net Debt</t>
  </si>
  <si>
    <t xml:space="preserve"> - Non Interest-bearing Receivables or Assets</t>
  </si>
  <si>
    <t>Total Fixed Assets</t>
  </si>
  <si>
    <t>Current Assets</t>
  </si>
  <si>
    <t>Inventories</t>
  </si>
  <si>
    <t>Working Capital</t>
  </si>
  <si>
    <t>Accounts Receivables</t>
  </si>
  <si>
    <t>Pre-paid Expenses and Acrrued Revenues</t>
  </si>
  <si>
    <t>Other Current Assets (Non Interest-bearing)</t>
  </si>
  <si>
    <t>Other Current Assets (Interest-bearing)</t>
  </si>
  <si>
    <t>Short-term Investments</t>
  </si>
  <si>
    <t>Cash and Cash Equivalents</t>
  </si>
  <si>
    <t>Total Current Assets</t>
  </si>
  <si>
    <t>TOTAL ASSETS</t>
  </si>
  <si>
    <t>SHAREHOLDERS' EQUITY AND LIABILITIES</t>
  </si>
  <si>
    <t>Shareholders'  Equity</t>
  </si>
  <si>
    <t>Minority Interests</t>
  </si>
  <si>
    <t>Provisions</t>
  </si>
  <si>
    <t xml:space="preserve"> - Provision for Pensions (Interest-bearing)</t>
  </si>
  <si>
    <t xml:space="preserve"> - Provisions for Deferred Taxes (In Swedish "latent skatteskuld")</t>
  </si>
  <si>
    <t xml:space="preserve"> - Other Provisions (Non Interest-bearing and General)</t>
  </si>
  <si>
    <t>Long-term Liabilities</t>
  </si>
  <si>
    <t xml:space="preserve"> - Liabilities to Financial Institutions</t>
  </si>
  <si>
    <t xml:space="preserve"> - Other Long-term Interest-bearing Liabilities</t>
  </si>
  <si>
    <t xml:space="preserve"> - Other Long-term Liabilities</t>
  </si>
  <si>
    <t>Current Liabilities</t>
  </si>
  <si>
    <t xml:space="preserve"> - Current Maturities of Long-term Debt</t>
  </si>
  <si>
    <t xml:space="preserve"> - Other Short-term Interest-bearing Liabilities</t>
  </si>
  <si>
    <t xml:space="preserve"> - Advances from Customers</t>
  </si>
  <si>
    <t xml:space="preserve"> - Accounts Payables</t>
  </si>
  <si>
    <t xml:space="preserve"> - Income Tax Liabilities</t>
  </si>
  <si>
    <t xml:space="preserve"> - Other Non Interest-bearing Current Liabilities</t>
  </si>
  <si>
    <t>TOTAL SHAREHOLDERS' EQUITY AND LIABILITIES</t>
  </si>
  <si>
    <t>CHECK</t>
  </si>
  <si>
    <t>NET DEBT</t>
  </si>
  <si>
    <t>Interest-bearing Liabilities</t>
  </si>
  <si>
    <t>Interest-bearing Provisions</t>
  </si>
  <si>
    <t>Cash and Short-term Investments</t>
  </si>
  <si>
    <t>Net Debt</t>
  </si>
  <si>
    <t>WORKING CAPITAL ASSUMPTIONS</t>
  </si>
  <si>
    <t>Inventories as a % of Net sales</t>
  </si>
  <si>
    <t>If you do not have the full Balance sheet or WC, fill in this row only.</t>
  </si>
  <si>
    <t>Accounts Receivables as a % of Net Sales</t>
  </si>
  <si>
    <t>Other Current Assets (Non Interest-bearing) as a % of Net Sales</t>
  </si>
  <si>
    <t>Accounts Payables as a % of Net Sales</t>
  </si>
  <si>
    <t>Other Non Interest-bearing Current Liabilities as a % of Net Sales</t>
  </si>
  <si>
    <t>Income Tax Liabilities as a % of Net Sales</t>
  </si>
  <si>
    <t>Pre-paid Expenses and Acrrued Revenues as a % of Net Sales</t>
  </si>
  <si>
    <t>Other Provisions (Non Interest-bearing and General) as a % of Net Sales</t>
  </si>
  <si>
    <t>WORKING CAPITAL CALCULATION</t>
  </si>
  <si>
    <t>Non Interest-bearing Current Assets</t>
  </si>
  <si>
    <t>Non Interest-bearing Current Liabilities</t>
  </si>
  <si>
    <t>DCF Valuation and Price</t>
  </si>
  <si>
    <t>DCF Valuation</t>
  </si>
  <si>
    <t>Synergies</t>
  </si>
  <si>
    <t>% of Value</t>
  </si>
  <si>
    <t>Enterprise Value / Net Sales</t>
  </si>
  <si>
    <t>No TV</t>
  </si>
  <si>
    <t>Incl. TV</t>
  </si>
  <si>
    <t>1-10</t>
  </si>
  <si>
    <t xml:space="preserve">&gt;10 </t>
  </si>
  <si>
    <t>Total</t>
  </si>
  <si>
    <t>Enterprise Value / EBITDA</t>
  </si>
  <si>
    <t>Standalone Value</t>
  </si>
  <si>
    <t>Enterprise Value / EBITA</t>
  </si>
  <si>
    <t>= Total DCF value (debt free)</t>
  </si>
  <si>
    <t>Pay-back Time excl. Interest (Years)</t>
  </si>
  <si>
    <t>Price</t>
  </si>
  <si>
    <t>Total Enterprise value</t>
  </si>
  <si>
    <t xml:space="preserve">Equity Value </t>
  </si>
  <si>
    <t>Acquisition Related Costs</t>
  </si>
  <si>
    <t>Key Assumptions</t>
  </si>
  <si>
    <t>Impact on Acquirer Excl. Synergies</t>
  </si>
  <si>
    <t>Year 1</t>
  </si>
  <si>
    <t>Year 5</t>
  </si>
  <si>
    <t>Net Sales Impact</t>
  </si>
  <si>
    <t>EBITDA Impact</t>
  </si>
  <si>
    <t>EBIT Impact</t>
  </si>
  <si>
    <t>Net Profit Impact</t>
  </si>
  <si>
    <t>Cash Flow Impact</t>
  </si>
  <si>
    <t>Key Financials Incl. Synergies</t>
  </si>
  <si>
    <t>CAGR</t>
  </si>
  <si>
    <t>-Of which synergies</t>
  </si>
  <si>
    <t>Free Cash Flow</t>
  </si>
  <si>
    <t>Executive Summary</t>
  </si>
  <si>
    <t>Margin, %</t>
  </si>
  <si>
    <t>Standalone DCF Value (incl. TV)</t>
  </si>
  <si>
    <t>Total DCF Value</t>
  </si>
  <si>
    <t>Terminal Growth</t>
  </si>
  <si>
    <t>Price Paid (debt free)</t>
  </si>
  <si>
    <t>Pay-back Time (Years)</t>
  </si>
  <si>
    <t xml:space="preserve">% of Total DCF Value </t>
  </si>
  <si>
    <t>Total Price / Net Sales</t>
  </si>
  <si>
    <t>Total Price / EBITDA</t>
  </si>
  <si>
    <t>Total Price / EBITA</t>
  </si>
  <si>
    <t>DISCOUNTED CASH FLOW VALUATION</t>
  </si>
  <si>
    <t>Sensitivity Analysis of Enterprise value</t>
  </si>
  <si>
    <t>Sales Growth</t>
  </si>
  <si>
    <t>Perpetuity Growth Rate</t>
  </si>
  <si>
    <t>Change in Sales Growth</t>
  </si>
  <si>
    <t>Growth Rate</t>
  </si>
  <si>
    <t xml:space="preserve">Growth </t>
  </si>
  <si>
    <t>Tax rate</t>
  </si>
  <si>
    <t>After Tax EBITA</t>
  </si>
  <si>
    <t>EBITDA Margin</t>
  </si>
  <si>
    <t>Capital Expenditures</t>
  </si>
  <si>
    <t>Change in EBITDA Margin 2022E</t>
  </si>
  <si>
    <t>Change of Capex as % of Sales</t>
  </si>
  <si>
    <t>% of Change in Revenues</t>
  </si>
  <si>
    <t>Capex as % of Sales</t>
  </si>
  <si>
    <t>FCF</t>
  </si>
  <si>
    <t>Conversion (FCF/EBITDA)</t>
  </si>
  <si>
    <t>NPV of FCF</t>
  </si>
  <si>
    <t>Terminal value</t>
  </si>
  <si>
    <t>EBITDA Impact Post Tax</t>
  </si>
  <si>
    <t>Cash Flow Impact (EBITDA + Capex Impact)</t>
  </si>
  <si>
    <t>NPV of Synergies</t>
  </si>
  <si>
    <t>NPV of Synergies Year 1-10</t>
  </si>
  <si>
    <t>NPV of Synergies Terminal Value</t>
  </si>
  <si>
    <t>Total Synergies Value</t>
  </si>
  <si>
    <t>Value Composition</t>
  </si>
  <si>
    <t>% of EV</t>
  </si>
  <si>
    <t>SEK</t>
  </si>
  <si>
    <t>Implied Valuation Multiples</t>
  </si>
  <si>
    <t>Stand Alone</t>
  </si>
  <si>
    <t>Standalone</t>
  </si>
  <si>
    <t>EV/Sales</t>
  </si>
  <si>
    <t>EV/EBITDA</t>
  </si>
  <si>
    <t>EV/EBITA</t>
  </si>
  <si>
    <r>
      <t xml:space="preserve">Total </t>
    </r>
    <r>
      <rPr>
        <sz val="7"/>
        <color theme="1"/>
        <rFont val="Georgia"/>
        <family val="1"/>
      </rPr>
      <t>(incl. Synergies)</t>
    </r>
  </si>
  <si>
    <t>Multiples on terminal value</t>
  </si>
  <si>
    <t>Equity Value</t>
  </si>
  <si>
    <t>Profit and Loss Statement</t>
  </si>
  <si>
    <t>Balance Sheet</t>
  </si>
  <si>
    <t xml:space="preserve"> </t>
  </si>
  <si>
    <t>Intangibles &amp; Tangibles</t>
  </si>
  <si>
    <t xml:space="preserve">Growth % </t>
  </si>
  <si>
    <t>Revenue synergies</t>
  </si>
  <si>
    <t>Non-IB Fixed Assets</t>
  </si>
  <si>
    <t xml:space="preserve">EBITDA </t>
  </si>
  <si>
    <t>Sum OC</t>
  </si>
  <si>
    <t>Margin %</t>
  </si>
  <si>
    <t>Net Debt in Target</t>
  </si>
  <si>
    <t>Taxes etc.</t>
  </si>
  <si>
    <t>Shareholders' Equity</t>
  </si>
  <si>
    <t>Sum Financing of OC</t>
  </si>
  <si>
    <t>Amortization of ARC</t>
  </si>
  <si>
    <t>Cash Flow Statement</t>
  </si>
  <si>
    <t>Tax on EBITA</t>
  </si>
  <si>
    <t>Tax Rate %</t>
  </si>
  <si>
    <t>Operating Free Cash Flow</t>
  </si>
  <si>
    <t>Conversion (OP FCF/EBITDA)</t>
  </si>
  <si>
    <t>Transaction Details</t>
  </si>
  <si>
    <t>Net Sales Multiples</t>
  </si>
  <si>
    <t>Acquisition Price</t>
  </si>
  <si>
    <t>75th Percentile</t>
  </si>
  <si>
    <t>Amount Invested</t>
  </si>
  <si>
    <t>Mean</t>
  </si>
  <si>
    <t>NFT Share</t>
  </si>
  <si>
    <t>Median</t>
  </si>
  <si>
    <t>Expected Dilution</t>
  </si>
  <si>
    <t>25th Percentile</t>
  </si>
  <si>
    <t>Expected Performance</t>
  </si>
  <si>
    <t>Probability</t>
  </si>
  <si>
    <t>EBITDA Multiples</t>
  </si>
  <si>
    <t>Superstar</t>
  </si>
  <si>
    <t>Success</t>
  </si>
  <si>
    <t>Slow Growth</t>
  </si>
  <si>
    <t>Failure</t>
  </si>
  <si>
    <t>Net Sales Multiple Value</t>
  </si>
  <si>
    <t>Future Value</t>
  </si>
  <si>
    <t>Present Value</t>
  </si>
  <si>
    <t>NFT Returns</t>
  </si>
  <si>
    <t>Attributable to NFT, Net Sales Method</t>
  </si>
  <si>
    <t>Multiple of Investment</t>
  </si>
  <si>
    <t>IRR</t>
  </si>
  <si>
    <t>Year 0</t>
  </si>
  <si>
    <t>Year 2</t>
  </si>
  <si>
    <t>Year 3</t>
  </si>
  <si>
    <t>Year 4</t>
  </si>
  <si>
    <t>Year 6</t>
  </si>
  <si>
    <t>Year 7</t>
  </si>
  <si>
    <t>Year 8</t>
  </si>
  <si>
    <t>Year 9</t>
  </si>
  <si>
    <t>Expected IRR</t>
  </si>
  <si>
    <t>tEUR</t>
  </si>
  <si>
    <t>Autoni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</si>
</sst>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0">
    <numFmt numFmtId="164" formatCode="_(* #,##0.00_);_(* \(#,##0.00\);_(* &quot;-&quot;??_);_(@_)"/>
    <numFmt numFmtId="165" formatCode="0.0"/>
    <numFmt numFmtId="166" formatCode="0.0%"/>
    <numFmt numFmtId="167" formatCode="0&quot;A&quot;"/>
    <numFmt numFmtId="168" formatCode="0&quot;E&quot;"/>
    <numFmt numFmtId="169" formatCode="#,##0.0"/>
    <numFmt numFmtId="170" formatCode="0.0_)\%;\(0.0\)\%;0.0_)\%;@_)_%"/>
    <numFmt numFmtId="171" formatCode="#,##0.0_)_%;\(#,##0.0\)_%;0.0_)_%;@_)_%"/>
    <numFmt numFmtId="172" formatCode="#,##0.0_);\(#,##0.0\)"/>
    <numFmt numFmtId="173" formatCode="&quot;$&quot;_(#,##0.00_);&quot;$&quot;\(#,##0.00\)"/>
    <numFmt numFmtId="174" formatCode="&quot;£&quot;_(#,##0.00_);&quot;£&quot;\(#,##0.00\)"/>
    <numFmt numFmtId="175" formatCode="\€_(#,##0.00_);\€\(#,##0.00\);\€_(0.00_);@_)"/>
    <numFmt numFmtId="176" formatCode="#,##0.0_)\x;\(#,##0.0\)\x"/>
    <numFmt numFmtId="177" formatCode="#,##0.0_)_x;\(#,##0.0\)_x"/>
    <numFmt numFmtId="178" formatCode="0.0_)\%;\(0.0\)\%"/>
    <numFmt numFmtId="179" formatCode="#,##0.0_)_%;\(#,##0.0\)_%"/>
    <numFmt numFmtId="180" formatCode="###0.0_(;\(###0.0\)"/>
    <numFmt numFmtId="181" formatCode="#,##0.0000;\(#,##0.0000\)"/>
    <numFmt numFmtId="182" formatCode="[Black]#,##0%"/>
    <numFmt numFmtId="183" formatCode="[Black]#,##0.0%"/>
    <numFmt numFmtId="184" formatCode="[Black]#,##0"/>
    <numFmt numFmtId="185" formatCode="[Black]#,##0.00"/>
    <numFmt numFmtId="186" formatCode="#,##0,,_);\(#,##0,,\)"/>
    <numFmt numFmtId="187" formatCode="#,##0.0,,_);\(#,##0.0,,\)"/>
    <numFmt numFmtId="188" formatCode="0.0\x"/>
    <numFmt numFmtId="189" formatCode="0.0_x"/>
    <numFmt numFmtId="190" formatCode="#,##0,_);\(#,##0,\)"/>
    <numFmt numFmtId="191" formatCode="#,##0.0,_);\(#,##0.0,\)"/>
    <numFmt numFmtId="192" formatCode="0.0000000000"/>
    <numFmt numFmtId="193" formatCode="#,##0.0_-;\(#,##0.0\)_-;_-* &quot;-&quot;??_-;_-@_-"/>
    <numFmt numFmtId="194" formatCode="#,##0.0\x"/>
    <numFmt numFmtId="195" formatCode="000\ 00"/>
    <numFmt numFmtId="196" formatCode="0.0000"/>
    <numFmt numFmtId="197" formatCode="0.0\X"/>
    <numFmt numFmtId="198" formatCode="#,##0.000"/>
    <numFmt numFmtId="199" formatCode="[$-409]mmm/yy;@"/>
    <numFmt numFmtId="200" formatCode="0.00\x"/>
    <numFmt numFmtId="201" formatCode="_-* #,##0.00_-;\-* #,##0.00_-;_-* &quot;-&quot;??_-;_-@_-"/>
    <numFmt numFmtId="202" formatCode="_(* #,##0_);_(* \(#,##0\);_(* &quot;-&quot;??_);_(@_)"/>
    <numFmt numFmtId="203" formatCode="_(* #,##0.0_);_(* \(#,##0.0\);_(* &quot;-&quot;??_);_(@_)"/>
  </numFmts>
  <fonts count="9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2060"/>
      <name val="Georgia"/>
      <family val="1"/>
    </font>
    <font>
      <b/>
      <sz val="9"/>
      <name val="Georgia"/>
      <family val="1"/>
    </font>
    <font>
      <sz val="9"/>
      <name val="Georgia"/>
      <family val="1"/>
    </font>
    <font>
      <sz val="10"/>
      <name val="Arial"/>
      <family val="2"/>
    </font>
    <font>
      <b/>
      <sz val="9"/>
      <color rgb="FF1217DE"/>
      <name val="Georgia"/>
      <family val="1"/>
    </font>
    <font>
      <sz val="10"/>
      <name val="Georgia"/>
      <family val="1"/>
    </font>
    <font>
      <i/>
      <sz val="8"/>
      <name val="Georgia"/>
      <family val="1"/>
    </font>
    <font>
      <sz val="8"/>
      <name val="Georgia"/>
      <family val="1"/>
    </font>
    <font>
      <b/>
      <sz val="10"/>
      <name val="Georgia"/>
      <family val="1"/>
    </font>
    <font>
      <i/>
      <sz val="9"/>
      <name val="Georgia"/>
      <family val="1"/>
    </font>
    <font>
      <b/>
      <i/>
      <sz val="8"/>
      <color rgb="FF1217DE"/>
      <name val="Georgia"/>
      <family val="1"/>
    </font>
    <font>
      <b/>
      <i/>
      <sz val="9"/>
      <color rgb="FFFF0000"/>
      <name val="Georgia"/>
      <family val="1"/>
    </font>
    <font>
      <sz val="12"/>
      <name val="Tms Rmn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etica"/>
      <family val="2"/>
    </font>
    <font>
      <b/>
      <sz val="10"/>
      <color indexed="9"/>
      <name val="Arial"/>
      <family val="2"/>
    </font>
    <font>
      <sz val="9"/>
      <name val="Arial"/>
      <family val="2"/>
    </font>
    <font>
      <sz val="14"/>
      <name val="Tms Rmn"/>
    </font>
    <font>
      <b/>
      <u/>
      <sz val="16"/>
      <name val="Helv"/>
    </font>
    <font>
      <sz val="10"/>
      <name val="Helv"/>
    </font>
    <font>
      <b/>
      <sz val="16"/>
      <color indexed="9"/>
      <name val="Times New Roman"/>
      <family val="1"/>
    </font>
    <font>
      <b/>
      <sz val="14"/>
      <name val="Times New Roman"/>
      <family val="1"/>
    </font>
    <font>
      <sz val="10"/>
      <name val="Verdana"/>
      <family val="2"/>
    </font>
    <font>
      <sz val="10"/>
      <name val="Arial Narrow"/>
      <family val="2"/>
    </font>
    <font>
      <sz val="8"/>
      <color indexed="8"/>
      <name val="Helvetica"/>
      <family val="2"/>
    </font>
    <font>
      <i/>
      <sz val="12"/>
      <color indexed="10"/>
      <name val="Times New Roman"/>
      <family val="1"/>
    </font>
    <font>
      <b/>
      <sz val="10"/>
      <name val="Helv"/>
    </font>
    <font>
      <b/>
      <sz val="9"/>
      <name val="Helv"/>
    </font>
    <font>
      <sz val="10"/>
      <name val="Palatino"/>
      <family val="1"/>
    </font>
    <font>
      <sz val="8"/>
      <name val="Arial"/>
      <family val="2"/>
    </font>
    <font>
      <b/>
      <sz val="12"/>
      <name val="Palatino"/>
      <family val="1"/>
    </font>
    <font>
      <b/>
      <sz val="14"/>
      <name val="Helv"/>
    </font>
    <font>
      <sz val="10"/>
      <name val="Arial"/>
      <family val="2"/>
    </font>
    <font>
      <b/>
      <sz val="12"/>
      <name val="Georgia"/>
      <family val="1"/>
    </font>
    <font>
      <b/>
      <sz val="10"/>
      <color theme="0"/>
      <name val="Georgia"/>
      <family val="1"/>
    </font>
    <font>
      <sz val="10"/>
      <color theme="0"/>
      <name val="Georgia"/>
      <family val="1"/>
    </font>
    <font>
      <b/>
      <sz val="10"/>
      <color rgb="FF002060"/>
      <name val="Georgia"/>
      <family val="1"/>
    </font>
    <font>
      <sz val="12"/>
      <name val="Georgia"/>
      <family val="1"/>
    </font>
    <font>
      <b/>
      <i/>
      <sz val="9"/>
      <name val="Georgia"/>
      <family val="1"/>
    </font>
    <font>
      <b/>
      <sz val="9"/>
      <color theme="0"/>
      <name val="Georgia"/>
      <family val="1"/>
    </font>
    <font>
      <sz val="9"/>
      <color theme="0"/>
      <name val="Georgia"/>
      <family val="1"/>
    </font>
    <font>
      <b/>
      <sz val="10"/>
      <color theme="1"/>
      <name val="Georgia"/>
      <family val="1"/>
    </font>
    <font>
      <sz val="10"/>
      <color theme="1"/>
      <name val="Georgia"/>
      <family val="1"/>
    </font>
    <font>
      <b/>
      <sz val="9"/>
      <color theme="1"/>
      <name val="Georgia"/>
      <family val="1"/>
    </font>
    <font>
      <sz val="9"/>
      <color theme="1"/>
      <name val="Georgia"/>
      <family val="1"/>
    </font>
    <font>
      <sz val="7"/>
      <color theme="1"/>
      <name val="Georgia"/>
      <family val="1"/>
    </font>
    <font>
      <i/>
      <sz val="8"/>
      <color theme="1"/>
      <name val="Georgia"/>
      <family val="1"/>
    </font>
    <font>
      <sz val="10"/>
      <name val="Arial"/>
      <family val="2"/>
    </font>
    <font>
      <b/>
      <sz val="11"/>
      <name val="Georgia"/>
      <family val="1"/>
    </font>
    <font>
      <b/>
      <sz val="18"/>
      <color theme="1"/>
      <name val="Georgia"/>
      <family val="1"/>
    </font>
    <font>
      <sz val="10"/>
      <name val="Times New Roman"/>
      <family val="1"/>
    </font>
    <font>
      <b/>
      <sz val="10"/>
      <name val="Arial"/>
      <family val="2"/>
    </font>
    <font>
      <b/>
      <i/>
      <u/>
      <sz val="9"/>
      <name val="Georgia"/>
      <family val="1"/>
    </font>
    <font>
      <i/>
      <sz val="9"/>
      <color theme="1"/>
      <name val="Georgia"/>
      <family val="1"/>
    </font>
    <font>
      <i/>
      <sz val="10"/>
      <name val="Georgia"/>
      <family val="1"/>
    </font>
    <font>
      <b/>
      <i/>
      <sz val="10"/>
      <name val="Georgia"/>
      <family val="1"/>
    </font>
    <font>
      <b/>
      <u/>
      <sz val="9"/>
      <name val="Georgia"/>
      <family val="1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sz val="11"/>
      <color theme="0"/>
      <name val="Georgia"/>
      <family val="1"/>
    </font>
    <font>
      <b/>
      <sz val="10"/>
      <color rgb="FFFFFF00"/>
      <name val="Georgia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FF0000"/>
      <name val="Georgia"/>
      <family val="1"/>
    </font>
    <font>
      <sz val="11"/>
      <color theme="1"/>
      <name val="Georgia"/>
      <family val="1"/>
    </font>
    <font>
      <b/>
      <sz val="9"/>
      <color rgb="FF1217DE"/>
      <name val="Georgia"/>
      <family val="1"/>
    </font>
    <font>
      <b/>
      <sz val="11"/>
      <color rgb="FFFF0000"/>
      <name val="Georgia"/>
      <family val="1"/>
    </font>
    <font>
      <b/>
      <sz val="9"/>
      <name val="Georgia"/>
      <family val="1"/>
    </font>
    <font>
      <sz val="9"/>
      <name val="Georgia"/>
      <family val="1"/>
    </font>
    <font>
      <b/>
      <sz val="11"/>
      <color theme="1"/>
      <name val="Georgia"/>
      <family val="1"/>
    </font>
    <font>
      <i/>
      <sz val="9"/>
      <name val="Georgia"/>
      <family val="1"/>
    </font>
    <font>
      <sz val="11"/>
      <color theme="0"/>
      <name val="Georgia"/>
      <family val="1"/>
    </font>
    <font>
      <b/>
      <sz val="9"/>
      <color theme="0"/>
      <name val="Georgia"/>
      <family val="1"/>
    </font>
    <font>
      <b/>
      <sz val="9"/>
      <color theme="1"/>
      <name val="Georgia"/>
      <family val="1"/>
    </font>
    <font>
      <sz val="9"/>
      <color theme="1"/>
      <name val="Georgia"/>
      <family val="1"/>
    </font>
    <font>
      <b/>
      <sz val="9"/>
      <color rgb="FF002060"/>
      <name val="Georgia"/>
      <family val="1"/>
    </font>
    <font>
      <i/>
      <sz val="8"/>
      <name val="Georgia"/>
      <family val="1"/>
    </font>
    <font>
      <b/>
      <i/>
      <sz val="8"/>
      <color rgb="FF0000FF"/>
      <name val="Georgia"/>
      <family val="1"/>
    </font>
    <font>
      <b/>
      <i/>
      <sz val="8"/>
      <color rgb="FF1217DE"/>
      <name val="Georgia"/>
      <family val="1"/>
    </font>
    <font>
      <i/>
      <sz val="8"/>
      <color rgb="FFFF0000"/>
      <name val="Georgia"/>
      <family val="1"/>
    </font>
    <font>
      <b/>
      <i/>
      <sz val="11"/>
      <color rgb="FFFF0000"/>
      <name val="Georgia"/>
      <family val="1"/>
    </font>
    <font>
      <b/>
      <sz val="9"/>
      <color rgb="FF1E40D2"/>
      <name val="Georgia"/>
      <family val="1"/>
    </font>
    <font>
      <b/>
      <sz val="9"/>
      <color rgb="FF2706EA"/>
      <name val="Georgia"/>
      <family val="1"/>
    </font>
    <font>
      <i/>
      <sz val="11"/>
      <color theme="1"/>
      <name val="Georgia"/>
      <family val="1"/>
    </font>
    <font>
      <i/>
      <sz val="10"/>
      <color rgb="FFFF0000"/>
      <name val="Georgia"/>
      <family val="1"/>
    </font>
    <font>
      <b/>
      <i/>
      <sz val="11"/>
      <color theme="1"/>
      <name val="Georgia"/>
      <family val="1"/>
    </font>
    <font>
      <b/>
      <i/>
      <sz val="8"/>
      <name val="Georgia"/>
      <family val="1"/>
    </font>
    <font>
      <sz val="10"/>
      <name val="Georgia"/>
      <family val="1"/>
    </font>
    <font>
      <b/>
      <sz val="10"/>
      <name val="Georgia"/>
      <family val="1"/>
    </font>
    <font>
      <b/>
      <i/>
      <sz val="9"/>
      <color rgb="FFFF0000"/>
      <name val="Georgia"/>
      <family val="1"/>
    </font>
    <font>
      <sz val="8"/>
      <name val="Georgia"/>
      <family val="1"/>
    </font>
    <font>
      <sz val="8"/>
      <color theme="1"/>
      <name val="Georgia"/>
      <family val="1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/>
        <bgColor indexed="64"/>
      </patternFill>
    </fill>
  </fills>
  <borders count="7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ash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002060"/>
      </bottom>
      <diagonal/>
    </border>
    <border>
      <left/>
      <right style="dotted">
        <color rgb="FF002060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hair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/>
      <right/>
      <top/>
      <bottom style="thin">
        <color rgb="FF0020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medium">
        <color auto="1"/>
      </top>
      <bottom/>
      <diagonal/>
    </border>
    <border>
      <left/>
      <right style="dashed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ashed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theme="0"/>
      </bottom>
      <diagonal/>
    </border>
    <border>
      <left style="dashed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theme="0"/>
      </top>
      <bottom style="medium">
        <color auto="1"/>
      </bottom>
      <diagonal/>
    </border>
    <border>
      <left style="dotted">
        <color auto="1"/>
      </left>
      <right/>
      <top style="medium">
        <color theme="0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theme="0"/>
      </top>
      <bottom style="medium">
        <color rgb="FF002060"/>
      </bottom>
      <diagonal/>
    </border>
    <border>
      <left/>
      <right/>
      <top style="thin">
        <color theme="0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/>
      <right/>
      <top style="thin">
        <color auto="1"/>
      </top>
      <bottom style="medium">
        <color rgb="FF002060"/>
      </bottom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/>
      <right/>
      <top/>
      <bottom style="mediumDashed">
        <color theme="0" tint="-0.24994659260841701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dashed">
        <color rgb="FFFF0000"/>
      </left>
      <right/>
      <top style="dashed">
        <color rgb="FFFF0000"/>
      </top>
      <bottom style="dashed">
        <color rgb="FFFF0000"/>
      </bottom>
      <diagonal/>
    </border>
    <border>
      <left/>
      <right/>
      <top style="dashed">
        <color rgb="FFFF0000"/>
      </top>
      <bottom style="dashed">
        <color rgb="FFFF0000"/>
      </bottom>
      <diagonal/>
    </border>
    <border>
      <left/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 style="dashed">
        <color rgb="FFFF0000"/>
      </left>
      <right/>
      <top/>
      <bottom/>
      <diagonal/>
    </border>
    <border>
      <left style="dashed">
        <color rgb="FFFF0000"/>
      </left>
      <right/>
      <top style="dashed">
        <color rgb="FFFF0000"/>
      </top>
      <bottom/>
      <diagonal/>
    </border>
    <border>
      <left/>
      <right/>
      <top style="dashed">
        <color rgb="FFFF0000"/>
      </top>
      <bottom/>
      <diagonal/>
    </border>
    <border>
      <left/>
      <right style="dashed">
        <color rgb="FFFF0000"/>
      </right>
      <top style="dashed">
        <color rgb="FFFF0000"/>
      </top>
      <bottom/>
      <diagonal/>
    </border>
    <border>
      <left/>
      <right style="dashed">
        <color rgb="FFFF0000"/>
      </right>
      <top/>
      <bottom/>
      <diagonal/>
    </border>
    <border>
      <left style="dashed">
        <color rgb="FFFF0000"/>
      </left>
      <right/>
      <top style="medium">
        <color auto="1"/>
      </top>
      <bottom style="medium">
        <color auto="1"/>
      </bottom>
      <diagonal/>
    </border>
    <border>
      <left/>
      <right style="dashed">
        <color rgb="FFFF0000"/>
      </right>
      <top style="medium">
        <color auto="1"/>
      </top>
      <bottom style="medium">
        <color auto="1"/>
      </bottom>
      <diagonal/>
    </border>
    <border>
      <left style="dashed">
        <color rgb="FFFF0000"/>
      </left>
      <right/>
      <top style="medium">
        <color auto="1"/>
      </top>
      <bottom style="dashed">
        <color rgb="FFFF0000"/>
      </bottom>
      <diagonal/>
    </border>
    <border>
      <left/>
      <right/>
      <top style="medium">
        <color auto="1"/>
      </top>
      <bottom style="dashed">
        <color rgb="FFFF0000"/>
      </bottom>
      <diagonal/>
    </border>
    <border>
      <left/>
      <right style="dashed">
        <color rgb="FFFF0000"/>
      </right>
      <top style="medium">
        <color auto="1"/>
      </top>
      <bottom style="dashed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dashed">
        <color auto="1"/>
      </left>
      <right/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ashed">
        <color auto="1"/>
      </right>
      <top style="dotted">
        <color auto="1"/>
      </top>
      <bottom style="dotted">
        <color auto="1"/>
      </bottom>
      <diagonal/>
    </border>
  </borders>
  <cellStyleXfs count="209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3" fontId="14" fillId="0" borderId="0" applyFont="0" applyFill="0" applyBorder="0" applyAlignment="0" applyProtection="0"/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5" fillId="6" borderId="0" applyNumberFormat="0" applyFont="0" applyAlignment="0" applyProtection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16" fillId="0" borderId="0" applyNumberFormat="0" applyFill="0" applyBorder="0" applyProtection="0">
      <alignment vertical="top"/>
    </xf>
    <xf numFmtId="0" fontId="17" fillId="0" borderId="12" applyNumberFormat="0" applyFill="0" applyAlignment="0" applyProtection="0"/>
    <xf numFmtId="0" fontId="18" fillId="0" borderId="13" applyNumberFormat="0" applyFill="0" applyProtection="0">
      <alignment horizontal="center"/>
    </xf>
    <xf numFmtId="0" fontId="18" fillId="0" borderId="0" applyNumberFormat="0" applyFill="0" applyBorder="0" applyProtection="0">
      <alignment horizontal="left"/>
    </xf>
    <xf numFmtId="0" fontId="19" fillId="0" borderId="0" applyNumberFormat="0" applyFill="0" applyBorder="0" applyProtection="0">
      <alignment horizontal="centerContinuous"/>
    </xf>
    <xf numFmtId="9" fontId="14" fillId="0" borderId="0" applyFont="0" applyFill="0" applyBorder="0" applyAlignment="0" applyProtection="0"/>
    <xf numFmtId="180" fontId="20" fillId="0" borderId="0"/>
    <xf numFmtId="0" fontId="21" fillId="7" borderId="14">
      <alignment horizontal="center" vertical="center"/>
    </xf>
    <xf numFmtId="181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72" fontId="5" fillId="0" borderId="0"/>
    <xf numFmtId="0" fontId="5" fillId="0" borderId="0" applyFont="0" applyFill="0" applyBorder="0" applyAlignment="0" applyProtection="0"/>
    <xf numFmtId="17" fontId="23" fillId="0" borderId="0" applyFont="0" applyFill="0" applyBorder="0" applyAlignment="0" applyProtection="0"/>
    <xf numFmtId="22" fontId="24" fillId="0" borderId="0" applyFont="0" applyFill="0" applyBorder="0" applyAlignment="0" applyProtection="0"/>
    <xf numFmtId="14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20" fontId="23" fillId="0" borderId="0" applyFont="0" applyFill="0" applyBorder="0" applyAlignment="0" applyProtection="0"/>
    <xf numFmtId="0" fontId="26" fillId="8" borderId="0"/>
    <xf numFmtId="0" fontId="27" fillId="0" borderId="0"/>
    <xf numFmtId="4" fontId="28" fillId="9" borderId="0">
      <alignment horizontal="right"/>
      <protection locked="0"/>
    </xf>
    <xf numFmtId="186" fontId="29" fillId="0" borderId="0" applyFont="0" applyFill="0" applyBorder="0" applyAlignment="0" applyProtection="0"/>
    <xf numFmtId="187" fontId="29" fillId="0" borderId="0" applyFont="0" applyFill="0" applyBorder="0" applyAlignment="0" applyProtection="0"/>
    <xf numFmtId="188" fontId="20" fillId="0" borderId="0"/>
    <xf numFmtId="189" fontId="20" fillId="0" borderId="0"/>
    <xf numFmtId="0" fontId="21" fillId="7" borderId="14">
      <alignment horizontal="center" wrapText="1"/>
    </xf>
    <xf numFmtId="0" fontId="22" fillId="0" borderId="0"/>
    <xf numFmtId="0" fontId="30" fillId="0" borderId="0"/>
    <xf numFmtId="0" fontId="31" fillId="0" borderId="1"/>
    <xf numFmtId="0" fontId="32" fillId="0" borderId="1" applyNumberFormat="0" applyFill="0" applyBorder="0" applyAlignment="0" applyProtection="0"/>
    <xf numFmtId="0" fontId="33" fillId="0" borderId="1" applyNumberFormat="0" applyFill="0" applyBorder="0" applyAlignment="0" applyProtection="0"/>
    <xf numFmtId="3" fontId="34" fillId="0" borderId="0" applyFont="0" applyFill="0" applyBorder="0" applyAlignment="0" applyProtection="0">
      <alignment horizontal="left"/>
    </xf>
    <xf numFmtId="190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22" fillId="0" borderId="0" applyFont="0" applyFill="0" applyBorder="0" applyAlignment="0" applyProtection="0"/>
    <xf numFmtId="192" fontId="22" fillId="0" borderId="0"/>
    <xf numFmtId="193" fontId="35" fillId="5" borderId="15" applyNumberFormat="0" applyFont="0" applyFill="0" applyAlignment="0" applyProtection="0">
      <alignment horizontal="left"/>
    </xf>
    <xf numFmtId="1" fontId="36" fillId="0" borderId="1" applyBorder="0">
      <alignment horizontal="right"/>
    </xf>
    <xf numFmtId="0" fontId="37" fillId="0" borderId="0" applyNumberFormat="0" applyFill="0" applyBorder="0" applyAlignment="0" applyProtection="0"/>
    <xf numFmtId="0" fontId="38" fillId="0" borderId="0"/>
    <xf numFmtId="0" fontId="53" fillId="0" borderId="0"/>
    <xf numFmtId="0" fontId="56" fillId="16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201" fontId="69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03">
    <xf numFmtId="0" fontId="0" fillId="0" borderId="0" xfId="0"/>
    <xf numFmtId="0" fontId="4" fillId="0" borderId="0" xfId="0" applyFont="1" applyBorder="1"/>
    <xf numFmtId="0" fontId="3" fillId="0" borderId="2" xfId="0" applyFont="1" applyFill="1" applyBorder="1"/>
    <xf numFmtId="0" fontId="4" fillId="0" borderId="0" xfId="0" applyFont="1"/>
    <xf numFmtId="169" fontId="6" fillId="3" borderId="0" xfId="2" applyNumberFormat="1" applyFont="1" applyFill="1" applyBorder="1" applyProtection="1">
      <protection locked="0"/>
    </xf>
    <xf numFmtId="169" fontId="3" fillId="0" borderId="0" xfId="2" applyNumberFormat="1" applyFont="1" applyBorder="1"/>
    <xf numFmtId="0" fontId="2" fillId="0" borderId="10" xfId="0" applyFont="1" applyBorder="1"/>
    <xf numFmtId="0" fontId="7" fillId="0" borderId="0" xfId="0" applyFont="1"/>
    <xf numFmtId="0" fontId="9" fillId="0" borderId="0" xfId="0" applyFont="1"/>
    <xf numFmtId="0" fontId="4" fillId="0" borderId="0" xfId="0" applyFont="1" applyFill="1"/>
    <xf numFmtId="0" fontId="4" fillId="0" borderId="1" xfId="0" applyFont="1" applyFill="1" applyBorder="1"/>
    <xf numFmtId="0" fontId="4" fillId="0" borderId="0" xfId="0" applyFont="1" applyFill="1" applyBorder="1"/>
    <xf numFmtId="0" fontId="39" fillId="10" borderId="0" xfId="0" applyFont="1" applyFill="1" applyBorder="1" applyAlignment="1">
      <alignment horizontal="centerContinuous"/>
    </xf>
    <xf numFmtId="0" fontId="7" fillId="10" borderId="0" xfId="0" applyFont="1" applyFill="1" applyBorder="1" applyAlignment="1">
      <alignment horizontal="centerContinuous"/>
    </xf>
    <xf numFmtId="0" fontId="7" fillId="0" borderId="0" xfId="0" applyFont="1" applyBorder="1"/>
    <xf numFmtId="0" fontId="10" fillId="0" borderId="0" xfId="0" applyFont="1" applyFill="1" applyBorder="1"/>
    <xf numFmtId="0" fontId="7" fillId="0" borderId="0" xfId="0" applyFont="1" applyFill="1" applyBorder="1"/>
    <xf numFmtId="0" fontId="4" fillId="11" borderId="0" xfId="0" applyFont="1" applyFill="1"/>
    <xf numFmtId="0" fontId="4" fillId="11" borderId="0" xfId="0" applyFont="1" applyFill="1" applyAlignment="1">
      <alignment horizontal="center"/>
    </xf>
    <xf numFmtId="0" fontId="7" fillId="0" borderId="0" xfId="0" applyFont="1" applyFill="1"/>
    <xf numFmtId="168" fontId="42" fillId="11" borderId="0" xfId="0" applyNumberFormat="1" applyFont="1" applyFill="1" applyBorder="1"/>
    <xf numFmtId="0" fontId="4" fillId="11" borderId="0" xfId="0" applyFont="1" applyFill="1" applyAlignment="1">
      <alignment vertical="center"/>
    </xf>
    <xf numFmtId="1" fontId="4" fillId="11" borderId="0" xfId="0" applyNumberFormat="1" applyFont="1" applyFill="1" applyAlignment="1">
      <alignment vertical="center"/>
    </xf>
    <xf numFmtId="9" fontId="4" fillId="11" borderId="0" xfId="0" applyNumberFormat="1" applyFont="1" applyFill="1" applyAlignment="1">
      <alignment horizontal="center" vertical="center"/>
    </xf>
    <xf numFmtId="9" fontId="3" fillId="11" borderId="0" xfId="0" applyNumberFormat="1" applyFont="1" applyFill="1" applyAlignment="1">
      <alignment horizontal="center" vertical="center"/>
    </xf>
    <xf numFmtId="0" fontId="4" fillId="11" borderId="0" xfId="0" applyFont="1" applyFill="1" applyBorder="1" applyAlignment="1">
      <alignment vertical="center"/>
    </xf>
    <xf numFmtId="0" fontId="43" fillId="0" borderId="0" xfId="0" applyFont="1" applyFill="1"/>
    <xf numFmtId="0" fontId="43" fillId="0" borderId="0" xfId="0" applyFont="1"/>
    <xf numFmtId="0" fontId="3" fillId="11" borderId="0" xfId="0" applyFont="1" applyFill="1" applyBorder="1"/>
    <xf numFmtId="0" fontId="4" fillId="11" borderId="0" xfId="0" applyFont="1" applyFill="1" applyBorder="1"/>
    <xf numFmtId="166" fontId="8" fillId="11" borderId="0" xfId="0" applyNumberFormat="1" applyFont="1" applyFill="1" applyBorder="1" applyAlignment="1">
      <alignment vertical="center"/>
    </xf>
    <xf numFmtId="3" fontId="4" fillId="11" borderId="0" xfId="0" applyNumberFormat="1" applyFont="1" applyFill="1" applyBorder="1" applyAlignment="1">
      <alignment vertical="center"/>
    </xf>
    <xf numFmtId="166" fontId="4" fillId="11" borderId="0" xfId="4" applyNumberFormat="1" applyFont="1" applyFill="1" applyAlignment="1">
      <alignment vertical="center"/>
    </xf>
    <xf numFmtId="165" fontId="4" fillId="11" borderId="0" xfId="0" applyNumberFormat="1" applyFont="1" applyFill="1" applyAlignment="1">
      <alignment vertical="center"/>
    </xf>
    <xf numFmtId="0" fontId="40" fillId="12" borderId="0" xfId="0" applyFont="1" applyFill="1" applyBorder="1" applyAlignment="1">
      <alignment horizontal="centerContinuous" vertical="center"/>
    </xf>
    <xf numFmtId="0" fontId="41" fillId="12" borderId="0" xfId="0" applyFont="1" applyFill="1" applyAlignment="1">
      <alignment horizontal="centerContinuous" vertical="center"/>
    </xf>
    <xf numFmtId="195" fontId="7" fillId="0" borderId="0" xfId="0" applyNumberFormat="1" applyFont="1" applyAlignment="1">
      <alignment horizontal="right"/>
    </xf>
    <xf numFmtId="0" fontId="3" fillId="11" borderId="0" xfId="0" applyFont="1" applyFill="1" applyBorder="1" applyAlignment="1">
      <alignment vertical="center"/>
    </xf>
    <xf numFmtId="1" fontId="3" fillId="11" borderId="0" xfId="0" applyNumberFormat="1" applyFont="1" applyFill="1" applyBorder="1" applyAlignment="1">
      <alignment vertical="center"/>
    </xf>
    <xf numFmtId="0" fontId="11" fillId="11" borderId="0" xfId="0" applyFont="1" applyFill="1" applyBorder="1" applyAlignment="1">
      <alignment vertical="center"/>
    </xf>
    <xf numFmtId="0" fontId="3" fillId="11" borderId="9" xfId="0" applyFont="1" applyFill="1" applyBorder="1" applyAlignment="1">
      <alignment vertical="center"/>
    </xf>
    <xf numFmtId="1" fontId="3" fillId="11" borderId="9" xfId="0" applyNumberFormat="1" applyFont="1" applyFill="1" applyBorder="1" applyAlignment="1">
      <alignment vertical="center"/>
    </xf>
    <xf numFmtId="9" fontId="11" fillId="11" borderId="0" xfId="0" applyNumberFormat="1" applyFont="1" applyFill="1" applyBorder="1" applyAlignment="1">
      <alignment vertical="center"/>
    </xf>
    <xf numFmtId="0" fontId="11" fillId="11" borderId="0" xfId="0" quotePrefix="1" applyFont="1" applyFill="1" applyBorder="1" applyAlignment="1">
      <alignment vertical="center"/>
    </xf>
    <xf numFmtId="3" fontId="3" fillId="11" borderId="0" xfId="0" applyNumberFormat="1" applyFont="1" applyFill="1" applyBorder="1" applyAlignment="1">
      <alignment vertical="center"/>
    </xf>
    <xf numFmtId="3" fontId="11" fillId="11" borderId="0" xfId="0" applyNumberFormat="1" applyFont="1" applyFill="1" applyBorder="1" applyAlignment="1">
      <alignment horizontal="right" vertical="center"/>
    </xf>
    <xf numFmtId="0" fontId="3" fillId="11" borderId="0" xfId="0" applyFont="1" applyFill="1"/>
    <xf numFmtId="169" fontId="4" fillId="11" borderId="0" xfId="0" applyNumberFormat="1" applyFont="1" applyFill="1" applyBorder="1" applyAlignment="1">
      <alignment vertical="center"/>
    </xf>
    <xf numFmtId="0" fontId="45" fillId="14" borderId="0" xfId="0" applyFont="1" applyFill="1" applyBorder="1" applyAlignment="1"/>
    <xf numFmtId="9" fontId="11" fillId="11" borderId="0" xfId="0" applyNumberFormat="1" applyFont="1" applyFill="1" applyBorder="1" applyAlignment="1">
      <alignment horizontal="right" vertical="center"/>
    </xf>
    <xf numFmtId="169" fontId="3" fillId="11" borderId="0" xfId="0" applyNumberFormat="1" applyFont="1" applyFill="1" applyBorder="1" applyAlignment="1">
      <alignment vertical="center"/>
    </xf>
    <xf numFmtId="9" fontId="11" fillId="11" borderId="0" xfId="1" applyFont="1" applyFill="1" applyBorder="1" applyAlignment="1">
      <alignment horizontal="right" vertical="center"/>
    </xf>
    <xf numFmtId="165" fontId="4" fillId="11" borderId="0" xfId="0" applyNumberFormat="1" applyFont="1" applyFill="1" applyBorder="1"/>
    <xf numFmtId="0" fontId="50" fillId="0" borderId="0" xfId="0" applyFont="1"/>
    <xf numFmtId="0" fontId="3" fillId="11" borderId="10" xfId="0" applyFont="1" applyFill="1" applyBorder="1"/>
    <xf numFmtId="168" fontId="49" fillId="0" borderId="2" xfId="0" applyNumberFormat="1" applyFont="1" applyBorder="1"/>
    <xf numFmtId="168" fontId="49" fillId="0" borderId="8" xfId="0" applyNumberFormat="1" applyFont="1" applyBorder="1"/>
    <xf numFmtId="0" fontId="50" fillId="0" borderId="2" xfId="0" applyFont="1" applyBorder="1"/>
    <xf numFmtId="169" fontId="50" fillId="0" borderId="0" xfId="0" applyNumberFormat="1" applyFont="1"/>
    <xf numFmtId="0" fontId="49" fillId="0" borderId="0" xfId="0" applyFont="1"/>
    <xf numFmtId="169" fontId="49" fillId="0" borderId="0" xfId="0" applyNumberFormat="1" applyFont="1"/>
    <xf numFmtId="0" fontId="3" fillId="0" borderId="0" xfId="0" applyFont="1" applyFill="1" applyBorder="1"/>
    <xf numFmtId="0" fontId="50" fillId="0" borderId="0" xfId="0" applyFont="1" applyFill="1"/>
    <xf numFmtId="169" fontId="50" fillId="0" borderId="0" xfId="0" applyNumberFormat="1" applyFont="1" applyFill="1"/>
    <xf numFmtId="169" fontId="50" fillId="0" borderId="2" xfId="0" applyNumberFormat="1" applyFont="1" applyBorder="1"/>
    <xf numFmtId="0" fontId="50" fillId="0" borderId="0" xfId="0" applyFont="1" applyFill="1" applyBorder="1"/>
    <xf numFmtId="0" fontId="49" fillId="0" borderId="1" xfId="0" applyFont="1" applyFill="1" applyBorder="1"/>
    <xf numFmtId="0" fontId="3" fillId="0" borderId="19" xfId="0" applyFont="1" applyFill="1" applyBorder="1"/>
    <xf numFmtId="0" fontId="50" fillId="0" borderId="28" xfId="0" applyFont="1" applyFill="1" applyBorder="1"/>
    <xf numFmtId="0" fontId="50" fillId="0" borderId="0" xfId="0" applyFont="1" applyAlignment="1">
      <alignment horizontal="center"/>
    </xf>
    <xf numFmtId="0" fontId="50" fillId="0" borderId="1" xfId="0" applyFont="1" applyBorder="1" applyAlignment="1">
      <alignment horizontal="center"/>
    </xf>
    <xf numFmtId="9" fontId="50" fillId="0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9" fontId="50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9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50" fillId="0" borderId="0" xfId="0" applyFont="1" applyFill="1" applyBorder="1" applyAlignment="1">
      <alignment horizontal="center"/>
    </xf>
    <xf numFmtId="0" fontId="50" fillId="0" borderId="1" xfId="0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3" fillId="0" borderId="20" xfId="0" applyNumberFormat="1" applyFont="1" applyFill="1" applyBorder="1" applyAlignment="1">
      <alignment horizontal="center"/>
    </xf>
    <xf numFmtId="167" fontId="49" fillId="0" borderId="1" xfId="0" applyNumberFormat="1" applyFont="1" applyBorder="1" applyAlignment="1">
      <alignment horizontal="center"/>
    </xf>
    <xf numFmtId="197" fontId="50" fillId="0" borderId="0" xfId="0" applyNumberFormat="1" applyFont="1" applyAlignment="1">
      <alignment horizontal="center"/>
    </xf>
    <xf numFmtId="0" fontId="49" fillId="15" borderId="1" xfId="0" applyFont="1" applyFill="1" applyBorder="1"/>
    <xf numFmtId="0" fontId="50" fillId="15" borderId="1" xfId="0" applyFont="1" applyFill="1" applyBorder="1" applyAlignment="1">
      <alignment horizontal="center"/>
    </xf>
    <xf numFmtId="0" fontId="4" fillId="15" borderId="0" xfId="0" applyFont="1" applyFill="1" applyBorder="1"/>
    <xf numFmtId="9" fontId="50" fillId="15" borderId="0" xfId="0" applyNumberFormat="1" applyFont="1" applyFill="1" applyBorder="1" applyAlignment="1">
      <alignment horizontal="center"/>
    </xf>
    <xf numFmtId="3" fontId="50" fillId="15" borderId="0" xfId="0" applyNumberFormat="1" applyFont="1" applyFill="1" applyBorder="1" applyAlignment="1">
      <alignment horizontal="center"/>
    </xf>
    <xf numFmtId="3" fontId="4" fillId="15" borderId="0" xfId="0" applyNumberFormat="1" applyFont="1" applyFill="1" applyBorder="1" applyAlignment="1">
      <alignment horizontal="center"/>
    </xf>
    <xf numFmtId="0" fontId="4" fillId="15" borderId="1" xfId="0" applyFont="1" applyFill="1" applyBorder="1"/>
    <xf numFmtId="9" fontId="50" fillId="15" borderId="1" xfId="0" applyNumberFormat="1" applyFont="1" applyFill="1" applyBorder="1" applyAlignment="1">
      <alignment horizontal="center"/>
    </xf>
    <xf numFmtId="3" fontId="50" fillId="15" borderId="1" xfId="0" applyNumberFormat="1" applyFont="1" applyFill="1" applyBorder="1" applyAlignment="1">
      <alignment horizontal="center"/>
    </xf>
    <xf numFmtId="3" fontId="4" fillId="15" borderId="1" xfId="0" applyNumberFormat="1" applyFont="1" applyFill="1" applyBorder="1" applyAlignment="1">
      <alignment horizontal="center"/>
    </xf>
    <xf numFmtId="0" fontId="3" fillId="15" borderId="0" xfId="0" applyFont="1" applyFill="1" applyBorder="1"/>
    <xf numFmtId="9" fontId="3" fillId="15" borderId="0" xfId="0" applyNumberFormat="1" applyFont="1" applyFill="1" applyBorder="1" applyAlignment="1">
      <alignment horizontal="center"/>
    </xf>
    <xf numFmtId="3" fontId="3" fillId="15" borderId="0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0" fillId="0" borderId="25" xfId="0" applyFont="1" applyBorder="1" applyAlignment="1">
      <alignment horizontal="center"/>
    </xf>
    <xf numFmtId="166" fontId="3" fillId="0" borderId="0" xfId="1" applyNumberFormat="1" applyFont="1" applyFill="1" applyBorder="1" applyProtection="1">
      <protection locked="0"/>
    </xf>
    <xf numFmtId="0" fontId="50" fillId="0" borderId="1" xfId="0" applyFont="1" applyBorder="1"/>
    <xf numFmtId="9" fontId="50" fillId="0" borderId="0" xfId="0" applyNumberFormat="1" applyFont="1"/>
    <xf numFmtId="0" fontId="7" fillId="0" borderId="0" xfId="3" applyFont="1"/>
    <xf numFmtId="0" fontId="4" fillId="0" borderId="0" xfId="3" applyFont="1"/>
    <xf numFmtId="0" fontId="4" fillId="0" borderId="0" xfId="3" quotePrefix="1" applyFont="1"/>
    <xf numFmtId="0" fontId="43" fillId="0" borderId="0" xfId="3" applyFont="1"/>
    <xf numFmtId="3" fontId="4" fillId="0" borderId="0" xfId="0" applyNumberFormat="1" applyFont="1"/>
    <xf numFmtId="167" fontId="2" fillId="11" borderId="26" xfId="0" applyNumberFormat="1" applyFont="1" applyFill="1" applyBorder="1" applyAlignment="1">
      <alignment horizontal="center"/>
    </xf>
    <xf numFmtId="166" fontId="2" fillId="11" borderId="26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vertical="center"/>
    </xf>
    <xf numFmtId="3" fontId="4" fillId="11" borderId="1" xfId="0" applyNumberFormat="1" applyFont="1" applyFill="1" applyBorder="1" applyAlignment="1">
      <alignment vertical="center"/>
    </xf>
    <xf numFmtId="0" fontId="11" fillId="11" borderId="1" xfId="0" applyFont="1" applyFill="1" applyBorder="1" applyAlignment="1">
      <alignment vertical="center"/>
    </xf>
    <xf numFmtId="9" fontId="11" fillId="11" borderId="1" xfId="0" applyNumberFormat="1" applyFont="1" applyFill="1" applyBorder="1" applyAlignment="1">
      <alignment horizontal="right" vertical="center"/>
    </xf>
    <xf numFmtId="168" fontId="49" fillId="0" borderId="1" xfId="0" applyNumberFormat="1" applyFont="1" applyBorder="1" applyAlignment="1">
      <alignment horizontal="center"/>
    </xf>
    <xf numFmtId="9" fontId="50" fillId="0" borderId="18" xfId="0" applyNumberFormat="1" applyFont="1" applyBorder="1"/>
    <xf numFmtId="0" fontId="48" fillId="0" borderId="0" xfId="61" applyFont="1" applyFill="1" applyBorder="1"/>
    <xf numFmtId="166" fontId="47" fillId="0" borderId="0" xfId="61" applyNumberFormat="1" applyFont="1" applyFill="1" applyBorder="1" applyAlignment="1">
      <alignment horizontal="center"/>
    </xf>
    <xf numFmtId="188" fontId="48" fillId="0" borderId="0" xfId="61" applyNumberFormat="1" applyFont="1" applyFill="1" applyBorder="1" applyAlignment="1">
      <alignment horizontal="center"/>
    </xf>
    <xf numFmtId="188" fontId="47" fillId="0" borderId="0" xfId="61" applyNumberFormat="1" applyFont="1" applyFill="1" applyBorder="1" applyAlignment="1">
      <alignment horizontal="center"/>
    </xf>
    <xf numFmtId="0" fontId="54" fillId="10" borderId="0" xfId="3" applyFont="1" applyFill="1" applyAlignment="1">
      <alignment horizontal="centerContinuous"/>
    </xf>
    <xf numFmtId="0" fontId="50" fillId="0" borderId="0" xfId="0" applyFont="1" applyAlignment="1">
      <alignment vertical="center"/>
    </xf>
    <xf numFmtId="0" fontId="48" fillId="11" borderId="0" xfId="61" applyFont="1" applyFill="1" applyAlignment="1">
      <alignment vertical="center"/>
    </xf>
    <xf numFmtId="3" fontId="41" fillId="11" borderId="0" xfId="61" applyNumberFormat="1" applyFont="1" applyFill="1" applyAlignment="1">
      <alignment vertical="center"/>
    </xf>
    <xf numFmtId="9" fontId="47" fillId="11" borderId="0" xfId="61" applyNumberFormat="1" applyFont="1" applyFill="1" applyAlignment="1">
      <alignment horizontal="center" vertical="center"/>
    </xf>
    <xf numFmtId="166" fontId="47" fillId="11" borderId="0" xfId="61" applyNumberFormat="1" applyFont="1" applyFill="1" applyAlignment="1">
      <alignment horizontal="center" vertical="center"/>
    </xf>
    <xf numFmtId="3" fontId="48" fillId="11" borderId="28" xfId="61" applyNumberFormat="1" applyFont="1" applyFill="1" applyBorder="1" applyAlignment="1">
      <alignment horizontal="center" vertical="center"/>
    </xf>
    <xf numFmtId="3" fontId="48" fillId="11" borderId="25" xfId="61" applyNumberFormat="1" applyFont="1" applyFill="1" applyBorder="1" applyAlignment="1">
      <alignment horizontal="center" vertical="center"/>
    </xf>
    <xf numFmtId="3" fontId="48" fillId="2" borderId="25" xfId="61" applyNumberFormat="1" applyFont="1" applyFill="1" applyBorder="1" applyAlignment="1">
      <alignment horizontal="center" vertical="center"/>
    </xf>
    <xf numFmtId="3" fontId="48" fillId="11" borderId="31" xfId="61" applyNumberFormat="1" applyFont="1" applyFill="1" applyBorder="1" applyAlignment="1">
      <alignment horizontal="center" vertical="center"/>
    </xf>
    <xf numFmtId="3" fontId="48" fillId="11" borderId="0" xfId="61" applyNumberFormat="1" applyFont="1" applyFill="1" applyBorder="1" applyAlignment="1">
      <alignment horizontal="center" vertical="center"/>
    </xf>
    <xf numFmtId="3" fontId="48" fillId="2" borderId="0" xfId="61" applyNumberFormat="1" applyFont="1" applyFill="1" applyBorder="1" applyAlignment="1">
      <alignment horizontal="center" vertical="center"/>
    </xf>
    <xf numFmtId="3" fontId="48" fillId="2" borderId="31" xfId="61" applyNumberFormat="1" applyFont="1" applyFill="1" applyBorder="1" applyAlignment="1">
      <alignment horizontal="center" vertical="center"/>
    </xf>
    <xf numFmtId="0" fontId="47" fillId="0" borderId="0" xfId="61" applyFont="1" applyFill="1" applyBorder="1" applyAlignment="1">
      <alignment horizontal="center" vertical="center"/>
    </xf>
    <xf numFmtId="0" fontId="48" fillId="0" borderId="0" xfId="61" applyFont="1" applyFill="1" applyBorder="1" applyAlignment="1">
      <alignment vertical="center"/>
    </xf>
    <xf numFmtId="166" fontId="47" fillId="0" borderId="0" xfId="61" applyNumberFormat="1" applyFont="1" applyFill="1" applyBorder="1" applyAlignment="1">
      <alignment horizontal="center" vertical="center"/>
    </xf>
    <xf numFmtId="188" fontId="48" fillId="0" borderId="0" xfId="61" applyNumberFormat="1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vertical="center"/>
    </xf>
    <xf numFmtId="3" fontId="48" fillId="11" borderId="29" xfId="61" applyNumberFormat="1" applyFont="1" applyFill="1" applyBorder="1" applyAlignment="1">
      <alignment horizontal="center" vertical="center"/>
    </xf>
    <xf numFmtId="3" fontId="48" fillId="11" borderId="32" xfId="61" applyNumberFormat="1" applyFont="1" applyFill="1" applyBorder="1" applyAlignment="1">
      <alignment horizontal="center" vertical="center"/>
    </xf>
    <xf numFmtId="3" fontId="48" fillId="2" borderId="32" xfId="61" applyNumberFormat="1" applyFont="1" applyFill="1" applyBorder="1" applyAlignment="1">
      <alignment horizontal="center" vertical="center"/>
    </xf>
    <xf numFmtId="3" fontId="48" fillId="11" borderId="19" xfId="61" applyNumberFormat="1" applyFont="1" applyFill="1" applyBorder="1" applyAlignment="1">
      <alignment horizontal="center" vertical="center"/>
    </xf>
    <xf numFmtId="3" fontId="48" fillId="11" borderId="1" xfId="61" applyNumberFormat="1" applyFont="1" applyFill="1" applyBorder="1" applyAlignment="1">
      <alignment horizontal="center" vertical="center"/>
    </xf>
    <xf numFmtId="3" fontId="48" fillId="2" borderId="1" xfId="61" applyNumberFormat="1" applyFont="1" applyFill="1" applyBorder="1" applyAlignment="1">
      <alignment horizontal="center" vertical="center"/>
    </xf>
    <xf numFmtId="3" fontId="48" fillId="11" borderId="20" xfId="61" applyNumberFormat="1" applyFont="1" applyFill="1" applyBorder="1" applyAlignment="1">
      <alignment horizontal="center" vertical="center"/>
    </xf>
    <xf numFmtId="0" fontId="2" fillId="0" borderId="0" xfId="0" applyFont="1" applyBorder="1"/>
    <xf numFmtId="166" fontId="11" fillId="11" borderId="1" xfId="0" applyNumberFormat="1" applyFont="1" applyFill="1" applyBorder="1" applyAlignment="1">
      <alignment horizontal="right" vertical="center"/>
    </xf>
    <xf numFmtId="0" fontId="5" fillId="0" borderId="0" xfId="63" applyFont="1" applyFill="1"/>
    <xf numFmtId="0" fontId="5" fillId="0" borderId="0" xfId="3" applyFont="1" applyFill="1" applyBorder="1"/>
    <xf numFmtId="0" fontId="57" fillId="0" borderId="0" xfId="3" applyFont="1" applyFill="1" applyBorder="1"/>
    <xf numFmtId="0" fontId="5" fillId="5" borderId="0" xfId="63" applyFont="1" applyFill="1" applyBorder="1"/>
    <xf numFmtId="0" fontId="58" fillId="0" borderId="0" xfId="3" applyFont="1"/>
    <xf numFmtId="0" fontId="50" fillId="11" borderId="0" xfId="0" applyFont="1" applyFill="1"/>
    <xf numFmtId="166" fontId="44" fillId="11" borderId="27" xfId="4" applyNumberFormat="1" applyFont="1" applyFill="1" applyBorder="1" applyAlignment="1">
      <alignment horizontal="center"/>
    </xf>
    <xf numFmtId="166" fontId="44" fillId="11" borderId="33" xfId="4" applyNumberFormat="1" applyFont="1" applyFill="1" applyBorder="1" applyAlignment="1">
      <alignment horizontal="center"/>
    </xf>
    <xf numFmtId="4" fontId="2" fillId="11" borderId="36" xfId="0" applyNumberFormat="1" applyFont="1" applyFill="1" applyBorder="1" applyAlignment="1">
      <alignment horizontal="center"/>
    </xf>
    <xf numFmtId="3" fontId="4" fillId="11" borderId="0" xfId="0" applyNumberFormat="1" applyFont="1" applyFill="1" applyAlignment="1">
      <alignment vertical="center"/>
    </xf>
    <xf numFmtId="1" fontId="4" fillId="11" borderId="0" xfId="0" applyNumberFormat="1" applyFont="1" applyFill="1" applyBorder="1" applyAlignment="1">
      <alignment vertical="center"/>
    </xf>
    <xf numFmtId="0" fontId="7" fillId="11" borderId="0" xfId="0" applyFont="1" applyFill="1"/>
    <xf numFmtId="0" fontId="9" fillId="11" borderId="0" xfId="0" applyFont="1" applyFill="1"/>
    <xf numFmtId="194" fontId="4" fillId="11" borderId="0" xfId="2" applyNumberFormat="1" applyFont="1" applyFill="1" applyAlignment="1">
      <alignment horizontal="right" vertical="center"/>
    </xf>
    <xf numFmtId="165" fontId="3" fillId="11" borderId="0" xfId="0" applyNumberFormat="1" applyFont="1" applyFill="1"/>
    <xf numFmtId="165" fontId="3" fillId="11" borderId="4" xfId="0" applyNumberFormat="1" applyFont="1" applyFill="1" applyBorder="1" applyAlignment="1">
      <alignment horizontal="center"/>
    </xf>
    <xf numFmtId="0" fontId="11" fillId="11" borderId="1" xfId="0" applyFont="1" applyFill="1" applyBorder="1"/>
    <xf numFmtId="166" fontId="11" fillId="11" borderId="1" xfId="0" applyNumberFormat="1" applyFont="1" applyFill="1" applyBorder="1" applyAlignment="1">
      <alignment horizontal="right"/>
    </xf>
    <xf numFmtId="166" fontId="11" fillId="11" borderId="1" xfId="1" applyNumberFormat="1" applyFont="1" applyFill="1" applyBorder="1" applyAlignment="1">
      <alignment horizontal="right"/>
    </xf>
    <xf numFmtId="166" fontId="11" fillId="11" borderId="7" xfId="1" applyNumberFormat="1" applyFont="1" applyFill="1" applyBorder="1" applyAlignment="1">
      <alignment horizontal="right"/>
    </xf>
    <xf numFmtId="166" fontId="11" fillId="11" borderId="0" xfId="1" applyNumberFormat="1" applyFont="1" applyFill="1" applyAlignment="1">
      <alignment horizontal="center"/>
    </xf>
    <xf numFmtId="166" fontId="43" fillId="11" borderId="26" xfId="0" applyNumberFormat="1" applyFont="1" applyFill="1" applyBorder="1" applyAlignment="1">
      <alignment horizontal="center"/>
    </xf>
    <xf numFmtId="0" fontId="11" fillId="11" borderId="0" xfId="0" quotePrefix="1" applyFont="1" applyFill="1"/>
    <xf numFmtId="165" fontId="4" fillId="11" borderId="0" xfId="0" applyNumberFormat="1" applyFont="1" applyFill="1"/>
    <xf numFmtId="165" fontId="4" fillId="11" borderId="4" xfId="0" applyNumberFormat="1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1" borderId="4" xfId="0" applyFont="1" applyFill="1" applyBorder="1"/>
    <xf numFmtId="0" fontId="43" fillId="12" borderId="0" xfId="0" applyFont="1" applyFill="1" applyAlignment="1">
      <alignment horizontal="center"/>
    </xf>
    <xf numFmtId="4" fontId="2" fillId="11" borderId="26" xfId="0" applyNumberFormat="1" applyFont="1" applyFill="1" applyBorder="1" applyAlignment="1">
      <alignment horizontal="center"/>
    </xf>
    <xf numFmtId="4" fontId="43" fillId="11" borderId="26" xfId="0" applyNumberFormat="1" applyFont="1" applyFill="1" applyBorder="1" applyAlignment="1">
      <alignment horizontal="center"/>
    </xf>
    <xf numFmtId="0" fontId="40" fillId="12" borderId="0" xfId="0" quotePrefix="1" applyFont="1" applyFill="1" applyBorder="1" applyAlignment="1">
      <alignment horizontal="centerContinuous" vertical="center"/>
    </xf>
    <xf numFmtId="0" fontId="7" fillId="12" borderId="0" xfId="0" applyFont="1" applyFill="1" applyAlignment="1">
      <alignment horizontal="centerContinuous" vertical="center"/>
    </xf>
    <xf numFmtId="15" fontId="4" fillId="11" borderId="0" xfId="0" applyNumberFormat="1" applyFont="1" applyFill="1" applyBorder="1" applyAlignment="1">
      <alignment horizontal="right" vertical="center"/>
    </xf>
    <xf numFmtId="199" fontId="4" fillId="11" borderId="0" xfId="0" applyNumberFormat="1" applyFont="1" applyFill="1" applyBorder="1" applyAlignment="1">
      <alignment vertical="center"/>
    </xf>
    <xf numFmtId="0" fontId="7" fillId="11" borderId="1" xfId="0" applyFont="1" applyFill="1" applyBorder="1"/>
    <xf numFmtId="0" fontId="47" fillId="0" borderId="0" xfId="61" applyFont="1" applyFill="1" applyBorder="1" applyAlignment="1">
      <alignment vertical="distributed" textRotation="90"/>
    </xf>
    <xf numFmtId="3" fontId="4" fillId="11" borderId="0" xfId="0" applyNumberFormat="1" applyFont="1" applyFill="1" applyAlignment="1">
      <alignment horizontal="center"/>
    </xf>
    <xf numFmtId="9" fontId="11" fillId="11" borderId="0" xfId="1" applyNumberFormat="1" applyFont="1" applyFill="1" applyBorder="1" applyAlignment="1">
      <alignment horizontal="right" vertical="center"/>
    </xf>
    <xf numFmtId="0" fontId="50" fillId="11" borderId="0" xfId="0" applyFont="1" applyFill="1" applyBorder="1"/>
    <xf numFmtId="0" fontId="50" fillId="11" borderId="2" xfId="0" applyFont="1" applyFill="1" applyBorder="1"/>
    <xf numFmtId="0" fontId="41" fillId="14" borderId="0" xfId="0" applyFont="1" applyFill="1"/>
    <xf numFmtId="167" fontId="47" fillId="11" borderId="8" xfId="0" applyNumberFormat="1" applyFont="1" applyFill="1" applyBorder="1" applyAlignment="1">
      <alignment vertical="center"/>
    </xf>
    <xf numFmtId="168" fontId="47" fillId="11" borderId="34" xfId="0" applyNumberFormat="1" applyFont="1" applyFill="1" applyBorder="1" applyAlignment="1">
      <alignment vertical="center"/>
    </xf>
    <xf numFmtId="168" fontId="47" fillId="11" borderId="35" xfId="0" applyNumberFormat="1" applyFont="1" applyFill="1" applyBorder="1" applyAlignment="1">
      <alignment vertical="center"/>
    </xf>
    <xf numFmtId="168" fontId="47" fillId="11" borderId="8" xfId="0" applyNumberFormat="1" applyFont="1" applyFill="1" applyBorder="1" applyAlignment="1">
      <alignment vertical="center"/>
    </xf>
    <xf numFmtId="0" fontId="47" fillId="11" borderId="0" xfId="0" applyFont="1" applyFill="1" applyAlignment="1">
      <alignment vertical="center"/>
    </xf>
    <xf numFmtId="169" fontId="47" fillId="11" borderId="0" xfId="0" applyNumberFormat="1" applyFont="1" applyFill="1" applyAlignment="1">
      <alignment vertical="center"/>
    </xf>
    <xf numFmtId="9" fontId="60" fillId="11" borderId="0" xfId="1" applyNumberFormat="1" applyFont="1" applyFill="1" applyBorder="1" applyAlignment="1">
      <alignment horizontal="right" vertical="center"/>
    </xf>
    <xf numFmtId="0" fontId="48" fillId="11" borderId="0" xfId="0" applyFont="1" applyFill="1" applyAlignment="1">
      <alignment vertical="center"/>
    </xf>
    <xf numFmtId="169" fontId="48" fillId="11" borderId="0" xfId="0" applyNumberFormat="1" applyFont="1" applyFill="1" applyAlignment="1">
      <alignment vertical="center"/>
    </xf>
    <xf numFmtId="169" fontId="61" fillId="11" borderId="0" xfId="1" applyNumberFormat="1" applyFont="1" applyFill="1" applyBorder="1" applyAlignment="1">
      <alignment horizontal="right" vertical="center"/>
    </xf>
    <xf numFmtId="169" fontId="61" fillId="11" borderId="3" xfId="1" applyNumberFormat="1" applyFont="1" applyFill="1" applyBorder="1" applyAlignment="1">
      <alignment horizontal="right" vertical="center"/>
    </xf>
    <xf numFmtId="169" fontId="60" fillId="11" borderId="0" xfId="1" applyNumberFormat="1" applyFont="1" applyFill="1" applyBorder="1" applyAlignment="1">
      <alignment horizontal="right" vertical="center"/>
    </xf>
    <xf numFmtId="0" fontId="48" fillId="11" borderId="2" xfId="0" applyFont="1" applyFill="1" applyBorder="1" applyAlignment="1">
      <alignment vertical="center"/>
    </xf>
    <xf numFmtId="0" fontId="7" fillId="11" borderId="0" xfId="0" applyFont="1" applyFill="1" applyAlignment="1">
      <alignment vertical="center"/>
    </xf>
    <xf numFmtId="0" fontId="10" fillId="11" borderId="0" xfId="0" applyFont="1" applyFill="1" applyAlignment="1">
      <alignment vertical="center"/>
    </xf>
    <xf numFmtId="0" fontId="10" fillId="11" borderId="0" xfId="0" applyFont="1" applyFill="1" applyBorder="1" applyAlignment="1">
      <alignment vertical="center"/>
    </xf>
    <xf numFmtId="0" fontId="48" fillId="11" borderId="0" xfId="0" applyFont="1" applyFill="1" applyBorder="1" applyAlignment="1">
      <alignment vertical="center"/>
    </xf>
    <xf numFmtId="0" fontId="47" fillId="11" borderId="41" xfId="0" applyFont="1" applyFill="1" applyBorder="1" applyAlignment="1">
      <alignment vertical="center"/>
    </xf>
    <xf numFmtId="169" fontId="47" fillId="11" borderId="41" xfId="0" applyNumberFormat="1" applyFont="1" applyFill="1" applyBorder="1" applyAlignment="1">
      <alignment vertical="center"/>
    </xf>
    <xf numFmtId="0" fontId="10" fillId="11" borderId="43" xfId="0" applyFont="1" applyFill="1" applyBorder="1" applyAlignment="1">
      <alignment vertical="center"/>
    </xf>
    <xf numFmtId="167" fontId="47" fillId="11" borderId="35" xfId="0" applyNumberFormat="1" applyFont="1" applyFill="1" applyBorder="1" applyAlignment="1">
      <alignment vertical="center"/>
    </xf>
    <xf numFmtId="0" fontId="59" fillId="11" borderId="0" xfId="0" applyFont="1" applyFill="1" applyAlignment="1">
      <alignment vertical="center"/>
    </xf>
    <xf numFmtId="166" fontId="11" fillId="11" borderId="3" xfId="4" applyNumberFormat="1" applyFont="1" applyFill="1" applyBorder="1" applyAlignment="1">
      <alignment horizontal="right" vertical="center"/>
    </xf>
    <xf numFmtId="9" fontId="11" fillId="11" borderId="3" xfId="1" applyNumberFormat="1" applyFont="1" applyFill="1" applyBorder="1" applyAlignment="1">
      <alignment horizontal="right" vertical="center"/>
    </xf>
    <xf numFmtId="166" fontId="11" fillId="11" borderId="0" xfId="1" applyNumberFormat="1" applyFont="1" applyFill="1" applyBorder="1" applyAlignment="1">
      <alignment horizontal="right" vertical="center"/>
    </xf>
    <xf numFmtId="166" fontId="11" fillId="11" borderId="3" xfId="1" applyNumberFormat="1" applyFont="1" applyFill="1" applyBorder="1" applyAlignment="1">
      <alignment horizontal="right" vertical="center"/>
    </xf>
    <xf numFmtId="0" fontId="40" fillId="14" borderId="1" xfId="0" applyFont="1" applyFill="1" applyBorder="1" applyAlignment="1">
      <alignment horizontal="center"/>
    </xf>
    <xf numFmtId="0" fontId="40" fillId="14" borderId="21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Continuous"/>
    </xf>
    <xf numFmtId="165" fontId="50" fillId="11" borderId="0" xfId="0" applyNumberFormat="1" applyFont="1" applyFill="1"/>
    <xf numFmtId="165" fontId="50" fillId="11" borderId="0" xfId="0" applyNumberFormat="1" applyFont="1" applyFill="1" applyAlignment="1">
      <alignment horizontal="right"/>
    </xf>
    <xf numFmtId="0" fontId="50" fillId="11" borderId="0" xfId="0" applyFont="1" applyFill="1" applyBorder="1" applyAlignment="1">
      <alignment horizontal="right"/>
    </xf>
    <xf numFmtId="188" fontId="50" fillId="11" borderId="0" xfId="0" applyNumberFormat="1" applyFont="1" applyFill="1"/>
    <xf numFmtId="168" fontId="49" fillId="0" borderId="35" xfId="0" applyNumberFormat="1" applyFont="1" applyBorder="1"/>
    <xf numFmtId="1" fontId="50" fillId="0" borderId="25" xfId="0" applyNumberFormat="1" applyFont="1" applyFill="1" applyBorder="1" applyAlignment="1">
      <alignment horizontal="center"/>
    </xf>
    <xf numFmtId="1" fontId="4" fillId="0" borderId="29" xfId="0" applyNumberFormat="1" applyFont="1" applyFill="1" applyBorder="1" applyAlignment="1">
      <alignment horizontal="center"/>
    </xf>
    <xf numFmtId="0" fontId="40" fillId="12" borderId="0" xfId="0" applyFont="1" applyFill="1" applyBorder="1" applyAlignment="1">
      <alignment horizontal="left" vertical="center"/>
    </xf>
    <xf numFmtId="0" fontId="4" fillId="11" borderId="17" xfId="0" applyFont="1" applyFill="1" applyBorder="1" applyAlignment="1">
      <alignment horizontal="center"/>
    </xf>
    <xf numFmtId="0" fontId="40" fillId="17" borderId="0" xfId="61" applyFont="1" applyFill="1" applyAlignment="1">
      <alignment horizontal="centerContinuous" vertical="center"/>
    </xf>
    <xf numFmtId="3" fontId="47" fillId="2" borderId="44" xfId="61" applyNumberFormat="1" applyFont="1" applyFill="1" applyBorder="1" applyAlignment="1">
      <alignment horizontal="center" vertical="center"/>
    </xf>
    <xf numFmtId="0" fontId="7" fillId="11" borderId="9" xfId="0" applyFont="1" applyFill="1" applyBorder="1"/>
    <xf numFmtId="0" fontId="3" fillId="11" borderId="2" xfId="0" applyFont="1" applyFill="1" applyBorder="1"/>
    <xf numFmtId="167" fontId="3" fillId="11" borderId="2" xfId="0" applyNumberFormat="1" applyFont="1" applyFill="1" applyBorder="1"/>
    <xf numFmtId="168" fontId="3" fillId="11" borderId="2" xfId="0" applyNumberFormat="1" applyFont="1" applyFill="1" applyBorder="1"/>
    <xf numFmtId="0" fontId="62" fillId="0" borderId="0" xfId="3" applyFont="1"/>
    <xf numFmtId="0" fontId="63" fillId="0" borderId="0" xfId="0" applyFont="1"/>
    <xf numFmtId="0" fontId="63" fillId="0" borderId="0" xfId="0" applyFont="1" applyBorder="1"/>
    <xf numFmtId="0" fontId="63" fillId="0" borderId="2" xfId="0" applyFont="1" applyBorder="1"/>
    <xf numFmtId="0" fontId="65" fillId="14" borderId="0" xfId="0" applyFont="1" applyFill="1"/>
    <xf numFmtId="167" fontId="64" fillId="0" borderId="8" xfId="0" applyNumberFormat="1" applyFont="1" applyBorder="1"/>
    <xf numFmtId="0" fontId="63" fillId="0" borderId="0" xfId="0" applyFont="1" applyFill="1" applyBorder="1"/>
    <xf numFmtId="167" fontId="49" fillId="0" borderId="2" xfId="0" applyNumberFormat="1" applyFont="1" applyBorder="1"/>
    <xf numFmtId="167" fontId="49" fillId="0" borderId="8" xfId="0" applyNumberFormat="1" applyFont="1" applyBorder="1"/>
    <xf numFmtId="200" fontId="50" fillId="11" borderId="0" xfId="0" applyNumberFormat="1" applyFont="1" applyFill="1"/>
    <xf numFmtId="0" fontId="3" fillId="11" borderId="36" xfId="0" applyFont="1" applyFill="1" applyBorder="1"/>
    <xf numFmtId="167" fontId="3" fillId="11" borderId="36" xfId="0" applyNumberFormat="1" applyFont="1" applyFill="1" applyBorder="1"/>
    <xf numFmtId="168" fontId="3" fillId="11" borderId="36" xfId="0" applyNumberFormat="1" applyFont="1" applyFill="1" applyBorder="1"/>
    <xf numFmtId="0" fontId="40" fillId="0" borderId="25" xfId="0" applyFont="1" applyFill="1" applyBorder="1" applyAlignment="1">
      <alignment horizontal="left" vertical="center"/>
    </xf>
    <xf numFmtId="0" fontId="41" fillId="0" borderId="25" xfId="0" applyFont="1" applyFill="1" applyBorder="1" applyAlignment="1">
      <alignment horizontal="center" vertical="center"/>
    </xf>
    <xf numFmtId="0" fontId="43" fillId="0" borderId="25" xfId="0" applyFont="1" applyFill="1" applyBorder="1" applyAlignment="1">
      <alignment horizontal="center"/>
    </xf>
    <xf numFmtId="167" fontId="3" fillId="11" borderId="0" xfId="0" applyNumberFormat="1" applyFont="1" applyFill="1" applyBorder="1"/>
    <xf numFmtId="168" fontId="3" fillId="11" borderId="0" xfId="0" applyNumberFormat="1" applyFont="1" applyFill="1" applyBorder="1"/>
    <xf numFmtId="0" fontId="52" fillId="11" borderId="0" xfId="0" applyFont="1" applyFill="1"/>
    <xf numFmtId="166" fontId="52" fillId="11" borderId="0" xfId="0" applyNumberFormat="1" applyFont="1" applyFill="1" applyAlignment="1">
      <alignment horizontal="right"/>
    </xf>
    <xf numFmtId="166" fontId="59" fillId="11" borderId="0" xfId="0" applyNumberFormat="1" applyFont="1" applyFill="1" applyBorder="1" applyAlignment="1">
      <alignment horizontal="right"/>
    </xf>
    <xf numFmtId="166" fontId="59" fillId="11" borderId="0" xfId="1" applyNumberFormat="1" applyFont="1" applyFill="1" applyBorder="1" applyAlignment="1">
      <alignment horizontal="right"/>
    </xf>
    <xf numFmtId="0" fontId="50" fillId="11" borderId="45" xfId="0" applyFont="1" applyFill="1" applyBorder="1"/>
    <xf numFmtId="0" fontId="50" fillId="11" borderId="45" xfId="0" applyFont="1" applyFill="1" applyBorder="1" applyAlignment="1">
      <alignment horizontal="right"/>
    </xf>
    <xf numFmtId="0" fontId="43" fillId="0" borderId="45" xfId="0" applyFont="1" applyBorder="1"/>
    <xf numFmtId="0" fontId="52" fillId="11" borderId="0" xfId="0" applyFont="1" applyFill="1" applyBorder="1"/>
    <xf numFmtId="166" fontId="52" fillId="11" borderId="0" xfId="0" applyNumberFormat="1" applyFont="1" applyFill="1" applyBorder="1" applyAlignment="1">
      <alignment horizontal="right"/>
    </xf>
    <xf numFmtId="0" fontId="49" fillId="11" borderId="46" xfId="0" applyFont="1" applyFill="1" applyBorder="1"/>
    <xf numFmtId="169" fontId="49" fillId="11" borderId="46" xfId="0" applyNumberFormat="1" applyFont="1" applyFill="1" applyBorder="1" applyAlignment="1">
      <alignment horizontal="right"/>
    </xf>
    <xf numFmtId="169" fontId="50" fillId="11" borderId="0" xfId="0" applyNumberFormat="1" applyFont="1" applyFill="1" applyBorder="1" applyAlignment="1">
      <alignment horizontal="right"/>
    </xf>
    <xf numFmtId="0" fontId="46" fillId="11" borderId="0" xfId="0" applyFont="1" applyFill="1"/>
    <xf numFmtId="3" fontId="46" fillId="11" borderId="0" xfId="0" applyNumberFormat="1" applyFont="1" applyFill="1"/>
    <xf numFmtId="0" fontId="3" fillId="11" borderId="10" xfId="0" applyFont="1" applyFill="1" applyBorder="1" applyAlignment="1">
      <alignment horizontal="left"/>
    </xf>
    <xf numFmtId="0" fontId="3" fillId="11" borderId="39" xfId="0" applyFont="1" applyFill="1" applyBorder="1" applyAlignment="1">
      <alignment horizontal="right"/>
    </xf>
    <xf numFmtId="167" fontId="3" fillId="11" borderId="40" xfId="0" applyNumberFormat="1" applyFont="1" applyFill="1" applyBorder="1"/>
    <xf numFmtId="168" fontId="3" fillId="11" borderId="40" xfId="0" applyNumberFormat="1" applyFont="1" applyFill="1" applyBorder="1"/>
    <xf numFmtId="0" fontId="3" fillId="11" borderId="17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16" fontId="3" fillId="11" borderId="10" xfId="0" quotePrefix="1" applyNumberFormat="1" applyFont="1" applyFill="1" applyBorder="1" applyAlignment="1">
      <alignment horizontal="center"/>
    </xf>
    <xf numFmtId="168" fontId="3" fillId="11" borderId="37" xfId="0" applyNumberFormat="1" applyFont="1" applyFill="1" applyBorder="1" applyAlignment="1">
      <alignment horizontal="center"/>
    </xf>
    <xf numFmtId="167" fontId="3" fillId="11" borderId="2" xfId="0" applyNumberFormat="1" applyFont="1" applyFill="1" applyBorder="1" applyAlignment="1">
      <alignment horizontal="center"/>
    </xf>
    <xf numFmtId="167" fontId="3" fillId="11" borderId="36" xfId="0" applyNumberFormat="1" applyFont="1" applyFill="1" applyBorder="1" applyAlignment="1">
      <alignment horizontal="center"/>
    </xf>
    <xf numFmtId="0" fontId="3" fillId="11" borderId="25" xfId="0" applyFont="1" applyFill="1" applyBorder="1" applyAlignment="1">
      <alignment horizontal="center"/>
    </xf>
    <xf numFmtId="0" fontId="3" fillId="11" borderId="25" xfId="0" applyFont="1" applyFill="1" applyBorder="1" applyAlignment="1">
      <alignment horizontal="left"/>
    </xf>
    <xf numFmtId="0" fontId="3" fillId="11" borderId="10" xfId="0" applyFont="1" applyFill="1" applyBorder="1" applyAlignment="1">
      <alignment horizontal="right"/>
    </xf>
    <xf numFmtId="0" fontId="10" fillId="10" borderId="0" xfId="0" applyFont="1" applyFill="1" applyBorder="1" applyAlignment="1">
      <alignment horizontal="centerContinuous" vertical="center"/>
    </xf>
    <xf numFmtId="0" fontId="39" fillId="2" borderId="0" xfId="0" applyFont="1" applyFill="1" applyBorder="1" applyAlignment="1">
      <alignment horizontal="centerContinuous" vertical="center"/>
    </xf>
    <xf numFmtId="0" fontId="7" fillId="2" borderId="0" xfId="0" applyFont="1" applyFill="1" applyBorder="1" applyAlignment="1">
      <alignment horizontal="centerContinuous" vertical="center"/>
    </xf>
    <xf numFmtId="0" fontId="41" fillId="14" borderId="0" xfId="0" applyFont="1" applyFill="1" applyAlignment="1">
      <alignment horizontal="centerContinuous"/>
    </xf>
    <xf numFmtId="0" fontId="3" fillId="0" borderId="47" xfId="0" quotePrefix="1" applyFont="1" applyFill="1" applyBorder="1" applyAlignment="1">
      <alignment vertical="center"/>
    </xf>
    <xf numFmtId="3" fontId="3" fillId="0" borderId="48" xfId="0" applyNumberFormat="1" applyFont="1" applyFill="1" applyBorder="1" applyAlignment="1">
      <alignment vertical="center"/>
    </xf>
    <xf numFmtId="0" fontId="3" fillId="0" borderId="47" xfId="0" applyFont="1" applyFill="1" applyBorder="1"/>
    <xf numFmtId="9" fontId="3" fillId="0" borderId="50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Border="1" applyAlignment="1">
      <alignment horizontal="center" vertical="center"/>
    </xf>
    <xf numFmtId="0" fontId="48" fillId="11" borderId="51" xfId="0" applyFont="1" applyFill="1" applyBorder="1" applyAlignment="1">
      <alignment vertical="center"/>
    </xf>
    <xf numFmtId="0" fontId="48" fillId="11" borderId="52" xfId="0" applyFont="1" applyFill="1" applyBorder="1" applyAlignment="1">
      <alignment vertical="center"/>
    </xf>
    <xf numFmtId="169" fontId="48" fillId="11" borderId="53" xfId="0" applyNumberFormat="1" applyFont="1" applyFill="1" applyBorder="1" applyAlignment="1">
      <alignment vertical="center"/>
    </xf>
    <xf numFmtId="0" fontId="7" fillId="11" borderId="50" xfId="0" applyFont="1" applyFill="1" applyBorder="1" applyAlignment="1">
      <alignment vertical="center"/>
    </xf>
    <xf numFmtId="169" fontId="48" fillId="11" borderId="54" xfId="0" applyNumberFormat="1" applyFont="1" applyFill="1" applyBorder="1" applyAlignment="1">
      <alignment vertical="center"/>
    </xf>
    <xf numFmtId="0" fontId="47" fillId="11" borderId="55" xfId="0" applyFont="1" applyFill="1" applyBorder="1" applyAlignment="1">
      <alignment vertical="center"/>
    </xf>
    <xf numFmtId="169" fontId="47" fillId="11" borderId="56" xfId="0" applyNumberFormat="1" applyFont="1" applyFill="1" applyBorder="1" applyAlignment="1">
      <alignment vertical="center"/>
    </xf>
    <xf numFmtId="0" fontId="47" fillId="11" borderId="57" xfId="0" applyFont="1" applyFill="1" applyBorder="1" applyAlignment="1">
      <alignment vertical="center"/>
    </xf>
    <xf numFmtId="0" fontId="47" fillId="11" borderId="58" xfId="0" applyFont="1" applyFill="1" applyBorder="1" applyAlignment="1">
      <alignment vertical="center"/>
    </xf>
    <xf numFmtId="0" fontId="66" fillId="13" borderId="0" xfId="3" applyFont="1" applyFill="1" applyAlignment="1">
      <alignment horizontal="center" vertical="center"/>
    </xf>
    <xf numFmtId="0" fontId="13" fillId="0" borderId="0" xfId="3" applyFont="1"/>
    <xf numFmtId="0" fontId="7" fillId="0" borderId="0" xfId="3" quotePrefix="1" applyFont="1"/>
    <xf numFmtId="0" fontId="40" fillId="14" borderId="0" xfId="0" applyFont="1" applyFill="1" applyAlignment="1">
      <alignment horizontal="centerContinuous"/>
    </xf>
    <xf numFmtId="0" fontId="45" fillId="14" borderId="0" xfId="0" applyFont="1" applyFill="1" applyAlignment="1">
      <alignment horizontal="centerContinuous"/>
    </xf>
    <xf numFmtId="168" fontId="49" fillId="0" borderId="16" xfId="0" applyNumberFormat="1" applyFont="1" applyBorder="1"/>
    <xf numFmtId="169" fontId="46" fillId="11" borderId="0" xfId="2" applyNumberFormat="1" applyFont="1" applyFill="1" applyAlignment="1">
      <alignment horizontal="right"/>
    </xf>
    <xf numFmtId="0" fontId="40" fillId="14" borderId="0" xfId="0" applyFont="1" applyFill="1" applyBorder="1" applyAlignment="1">
      <alignment horizontal="center"/>
    </xf>
    <xf numFmtId="0" fontId="40" fillId="14" borderId="5" xfId="0" applyFont="1" applyFill="1" applyBorder="1" applyAlignment="1">
      <alignment horizontal="center"/>
    </xf>
    <xf numFmtId="169" fontId="46" fillId="11" borderId="0" xfId="0" applyNumberFormat="1" applyFont="1" applyFill="1" applyBorder="1" applyAlignment="1">
      <alignment horizontal="right"/>
    </xf>
    <xf numFmtId="169" fontId="47" fillId="11" borderId="0" xfId="0" applyNumberFormat="1" applyFont="1" applyFill="1" applyAlignment="1">
      <alignment horizontal="right" vertical="center"/>
    </xf>
    <xf numFmtId="169" fontId="47" fillId="11" borderId="23" xfId="0" applyNumberFormat="1" applyFont="1" applyFill="1" applyBorder="1" applyAlignment="1">
      <alignment horizontal="right" vertical="center"/>
    </xf>
    <xf numFmtId="169" fontId="47" fillId="11" borderId="0" xfId="0" applyNumberFormat="1" applyFont="1" applyFill="1" applyBorder="1" applyAlignment="1">
      <alignment horizontal="right" vertical="center"/>
    </xf>
    <xf numFmtId="169" fontId="47" fillId="11" borderId="38" xfId="0" applyNumberFormat="1" applyFont="1" applyFill="1" applyBorder="1" applyAlignment="1">
      <alignment horizontal="right" vertical="center"/>
    </xf>
    <xf numFmtId="169" fontId="47" fillId="11" borderId="3" xfId="0" applyNumberFormat="1" applyFont="1" applyFill="1" applyBorder="1" applyAlignment="1">
      <alignment horizontal="right" vertical="center"/>
    </xf>
    <xf numFmtId="169" fontId="48" fillId="11" borderId="0" xfId="0" applyNumberFormat="1" applyFont="1" applyFill="1" applyAlignment="1">
      <alignment horizontal="right" vertical="center"/>
    </xf>
    <xf numFmtId="169" fontId="48" fillId="11" borderId="3" xfId="0" applyNumberFormat="1" applyFont="1" applyFill="1" applyBorder="1" applyAlignment="1">
      <alignment horizontal="right" vertical="center"/>
    </xf>
    <xf numFmtId="169" fontId="48" fillId="11" borderId="0" xfId="0" applyNumberFormat="1" applyFont="1" applyFill="1" applyBorder="1" applyAlignment="1">
      <alignment horizontal="right" vertical="center"/>
    </xf>
    <xf numFmtId="169" fontId="7" fillId="11" borderId="0" xfId="0" applyNumberFormat="1" applyFont="1" applyFill="1" applyBorder="1" applyAlignment="1">
      <alignment horizontal="right" vertical="center"/>
    </xf>
    <xf numFmtId="169" fontId="7" fillId="11" borderId="3" xfId="0" applyNumberFormat="1" applyFont="1" applyFill="1" applyBorder="1" applyAlignment="1">
      <alignment horizontal="right" vertical="center"/>
    </xf>
    <xf numFmtId="169" fontId="7" fillId="11" borderId="0" xfId="0" applyNumberFormat="1" applyFont="1" applyFill="1" applyAlignment="1">
      <alignment horizontal="right" vertical="center"/>
    </xf>
    <xf numFmtId="166" fontId="11" fillId="11" borderId="0" xfId="4" applyNumberFormat="1" applyFont="1" applyFill="1" applyBorder="1" applyAlignment="1">
      <alignment horizontal="right" vertical="center"/>
    </xf>
    <xf numFmtId="0" fontId="48" fillId="11" borderId="2" xfId="0" applyFont="1" applyFill="1" applyBorder="1" applyAlignment="1">
      <alignment horizontal="right" vertical="center"/>
    </xf>
    <xf numFmtId="196" fontId="7" fillId="11" borderId="2" xfId="0" applyNumberFormat="1" applyFont="1" applyFill="1" applyBorder="1" applyAlignment="1">
      <alignment horizontal="right" vertical="center"/>
    </xf>
    <xf numFmtId="196" fontId="41" fillId="11" borderId="2" xfId="0" applyNumberFormat="1" applyFont="1" applyFill="1" applyBorder="1" applyAlignment="1">
      <alignment horizontal="right" vertical="center"/>
    </xf>
    <xf numFmtId="0" fontId="47" fillId="11" borderId="0" xfId="0" applyFont="1" applyFill="1" applyAlignment="1">
      <alignment horizontal="right" vertical="center"/>
    </xf>
    <xf numFmtId="0" fontId="48" fillId="11" borderId="0" xfId="0" applyFont="1" applyFill="1" applyAlignment="1">
      <alignment horizontal="right" vertical="center"/>
    </xf>
    <xf numFmtId="169" fontId="48" fillId="11" borderId="18" xfId="0" applyNumberFormat="1" applyFont="1" applyFill="1" applyBorder="1" applyAlignment="1">
      <alignment horizontal="right" vertical="center"/>
    </xf>
    <xf numFmtId="0" fontId="48" fillId="11" borderId="52" xfId="0" applyFont="1" applyFill="1" applyBorder="1" applyAlignment="1">
      <alignment horizontal="right" vertical="center"/>
    </xf>
    <xf numFmtId="169" fontId="48" fillId="11" borderId="53" xfId="0" applyNumberFormat="1" applyFont="1" applyFill="1" applyBorder="1" applyAlignment="1">
      <alignment horizontal="right" vertical="center"/>
    </xf>
    <xf numFmtId="0" fontId="48" fillId="11" borderId="0" xfId="0" applyFont="1" applyFill="1" applyBorder="1" applyAlignment="1">
      <alignment horizontal="right" vertical="center"/>
    </xf>
    <xf numFmtId="169" fontId="48" fillId="11" borderId="54" xfId="0" applyNumberFormat="1" applyFont="1" applyFill="1" applyBorder="1" applyAlignment="1">
      <alignment horizontal="right" vertical="center"/>
    </xf>
    <xf numFmtId="0" fontId="47" fillId="11" borderId="58" xfId="0" applyFont="1" applyFill="1" applyBorder="1" applyAlignment="1">
      <alignment horizontal="right" vertical="center"/>
    </xf>
    <xf numFmtId="169" fontId="47" fillId="11" borderId="58" xfId="0" applyNumberFormat="1" applyFont="1" applyFill="1" applyBorder="1" applyAlignment="1">
      <alignment horizontal="right" vertical="center"/>
    </xf>
    <xf numFmtId="169" fontId="47" fillId="11" borderId="59" xfId="0" applyNumberFormat="1" applyFont="1" applyFill="1" applyBorder="1" applyAlignment="1">
      <alignment horizontal="right" vertical="center"/>
    </xf>
    <xf numFmtId="0" fontId="40" fillId="14" borderId="0" xfId="0" applyFont="1" applyFill="1" applyBorder="1" applyAlignment="1">
      <alignment horizontal="left"/>
    </xf>
    <xf numFmtId="0" fontId="40" fillId="14" borderId="4" xfId="0" applyFont="1" applyFill="1" applyBorder="1" applyAlignment="1">
      <alignment horizontal="left"/>
    </xf>
    <xf numFmtId="0" fontId="55" fillId="0" borderId="0" xfId="0" applyFont="1" applyFill="1"/>
    <xf numFmtId="0" fontId="63" fillId="0" borderId="64" xfId="0" applyFont="1" applyFill="1" applyBorder="1"/>
    <xf numFmtId="0" fontId="63" fillId="0" borderId="9" xfId="0" applyFont="1" applyFill="1" applyBorder="1"/>
    <xf numFmtId="0" fontId="63" fillId="0" borderId="65" xfId="0" applyFont="1" applyFill="1" applyBorder="1"/>
    <xf numFmtId="0" fontId="63" fillId="0" borderId="31" xfId="0" applyFont="1" applyFill="1" applyBorder="1"/>
    <xf numFmtId="0" fontId="0" fillId="0" borderId="0" xfId="0" applyBorder="1"/>
    <xf numFmtId="3" fontId="3" fillId="11" borderId="49" xfId="0" applyNumberFormat="1" applyFont="1" applyFill="1" applyBorder="1"/>
    <xf numFmtId="3" fontId="3" fillId="0" borderId="49" xfId="0" applyNumberFormat="1" applyFont="1" applyFill="1" applyBorder="1" applyAlignment="1">
      <alignment vertical="center"/>
    </xf>
    <xf numFmtId="202" fontId="50" fillId="0" borderId="0" xfId="208" applyNumberFormat="1" applyFont="1"/>
    <xf numFmtId="168" fontId="50" fillId="0" borderId="1" xfId="0" applyNumberFormat="1" applyFont="1" applyBorder="1"/>
    <xf numFmtId="168" fontId="50" fillId="15" borderId="1" xfId="0" applyNumberFormat="1" applyFont="1" applyFill="1" applyBorder="1" applyAlignment="1">
      <alignment horizontal="center"/>
    </xf>
    <xf numFmtId="169" fontId="3" fillId="0" borderId="66" xfId="2" applyNumberFormat="1" applyFont="1" applyFill="1" applyBorder="1" applyProtection="1">
      <protection locked="0"/>
    </xf>
    <xf numFmtId="169" fontId="3" fillId="0" borderId="67" xfId="2" applyNumberFormat="1" applyFont="1" applyFill="1" applyBorder="1" applyProtection="1">
      <protection locked="0"/>
    </xf>
    <xf numFmtId="169" fontId="3" fillId="0" borderId="68" xfId="2" applyNumberFormat="1" applyFont="1" applyFill="1" applyBorder="1" applyProtection="1">
      <protection locked="0"/>
    </xf>
    <xf numFmtId="169" fontId="3" fillId="0" borderId="67" xfId="2" applyNumberFormat="1" applyFont="1" applyBorder="1"/>
    <xf numFmtId="169" fontId="3" fillId="0" borderId="69" xfId="2" applyNumberFormat="1" applyFont="1" applyBorder="1"/>
    <xf numFmtId="169" fontId="3" fillId="0" borderId="68" xfId="2" applyNumberFormat="1" applyFont="1" applyBorder="1"/>
    <xf numFmtId="169" fontId="3" fillId="0" borderId="66" xfId="2" applyNumberFormat="1" applyFont="1" applyBorder="1"/>
    <xf numFmtId="0" fontId="50" fillId="15" borderId="0" xfId="0" applyFont="1" applyFill="1"/>
    <xf numFmtId="9" fontId="12" fillId="3" borderId="0" xfId="4" applyNumberFormat="1" applyFont="1" applyFill="1" applyBorder="1" applyProtection="1">
      <protection locked="0"/>
    </xf>
    <xf numFmtId="0" fontId="3" fillId="15" borderId="25" xfId="0" applyFont="1" applyFill="1" applyBorder="1" applyAlignment="1"/>
    <xf numFmtId="0" fontId="3" fillId="15" borderId="0" xfId="0" applyFont="1" applyFill="1" applyBorder="1" applyAlignment="1"/>
    <xf numFmtId="0" fontId="49" fillId="15" borderId="1" xfId="0" applyFont="1" applyFill="1" applyBorder="1" applyAlignment="1"/>
    <xf numFmtId="9" fontId="4" fillId="15" borderId="0" xfId="1" applyFont="1" applyFill="1" applyBorder="1"/>
    <xf numFmtId="9" fontId="50" fillId="0" borderId="0" xfId="1" applyFont="1"/>
    <xf numFmtId="202" fontId="50" fillId="15" borderId="0" xfId="208" applyNumberFormat="1" applyFont="1" applyFill="1"/>
    <xf numFmtId="0" fontId="50" fillId="15" borderId="25" xfId="0" applyFont="1" applyFill="1" applyBorder="1"/>
    <xf numFmtId="0" fontId="3" fillId="0" borderId="0" xfId="0" applyFont="1" applyFill="1" applyBorder="1" applyAlignment="1"/>
    <xf numFmtId="166" fontId="49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/>
    <xf numFmtId="202" fontId="49" fillId="15" borderId="25" xfId="0" applyNumberFormat="1" applyFont="1" applyFill="1" applyBorder="1"/>
    <xf numFmtId="202" fontId="49" fillId="15" borderId="0" xfId="0" applyNumberFormat="1" applyFont="1" applyFill="1" applyBorder="1"/>
    <xf numFmtId="203" fontId="49" fillId="15" borderId="0" xfId="0" applyNumberFormat="1" applyFont="1" applyFill="1"/>
    <xf numFmtId="0" fontId="50" fillId="15" borderId="1" xfId="0" applyFont="1" applyFill="1" applyBorder="1"/>
    <xf numFmtId="0" fontId="50" fillId="15" borderId="0" xfId="0" applyFont="1" applyFill="1" applyAlignment="1">
      <alignment vertical="center"/>
    </xf>
    <xf numFmtId="0" fontId="49" fillId="15" borderId="25" xfId="0" applyFont="1" applyFill="1" applyBorder="1"/>
    <xf numFmtId="9" fontId="49" fillId="15" borderId="25" xfId="0" applyNumberFormat="1" applyFont="1" applyFill="1" applyBorder="1"/>
    <xf numFmtId="168" fontId="50" fillId="15" borderId="1" xfId="0" applyNumberFormat="1" applyFont="1" applyFill="1" applyBorder="1" applyAlignment="1">
      <alignment horizontal="right"/>
    </xf>
    <xf numFmtId="0" fontId="70" fillId="0" borderId="0" xfId="0" applyFont="1"/>
    <xf numFmtId="0" fontId="41" fillId="12" borderId="0" xfId="0" applyFont="1" applyFill="1" applyAlignment="1">
      <alignment horizontal="center" vertical="center"/>
    </xf>
    <xf numFmtId="0" fontId="50" fillId="0" borderId="0" xfId="0" applyFont="1" applyBorder="1"/>
    <xf numFmtId="0" fontId="50" fillId="0" borderId="0" xfId="0" applyFont="1"/>
    <xf numFmtId="0" fontId="49" fillId="0" borderId="1" xfId="0" applyFont="1" applyBorder="1"/>
    <xf numFmtId="0" fontId="71" fillId="0" borderId="0" xfId="0" applyFont="1"/>
    <xf numFmtId="0" fontId="71" fillId="0" borderId="0" xfId="0" applyFont="1" applyBorder="1"/>
    <xf numFmtId="0" fontId="71" fillId="0" borderId="64" xfId="0" applyFont="1" applyFill="1" applyBorder="1"/>
    <xf numFmtId="0" fontId="71" fillId="0" borderId="9" xfId="0" applyFont="1" applyFill="1" applyBorder="1"/>
    <xf numFmtId="0" fontId="71" fillId="0" borderId="65" xfId="0" applyFont="1" applyFill="1" applyBorder="1"/>
    <xf numFmtId="3" fontId="72" fillId="4" borderId="60" xfId="2" applyNumberFormat="1" applyFont="1" applyFill="1" applyBorder="1" applyProtection="1">
      <protection locked="0"/>
    </xf>
    <xf numFmtId="0" fontId="71" fillId="3" borderId="61" xfId="0" applyFont="1" applyFill="1" applyBorder="1"/>
    <xf numFmtId="0" fontId="73" fillId="0" borderId="0" xfId="0" applyFont="1"/>
    <xf numFmtId="3" fontId="72" fillId="0" borderId="0" xfId="2" applyNumberFormat="1" applyFont="1" applyFill="1" applyBorder="1" applyProtection="1">
      <protection locked="0"/>
    </xf>
    <xf numFmtId="0" fontId="74" fillId="0" borderId="2" xfId="0" applyFont="1" applyFill="1" applyBorder="1"/>
    <xf numFmtId="0" fontId="71" fillId="0" borderId="2" xfId="0" applyFont="1" applyBorder="1"/>
    <xf numFmtId="0" fontId="75" fillId="0" borderId="0" xfId="0" applyFont="1" applyBorder="1"/>
    <xf numFmtId="3" fontId="72" fillId="4" borderId="0" xfId="2" applyNumberFormat="1" applyFont="1" applyFill="1" applyBorder="1" applyAlignment="1" applyProtection="1">
      <alignment horizontal="right"/>
      <protection locked="0"/>
    </xf>
    <xf numFmtId="0" fontId="74" fillId="0" borderId="1" xfId="0" applyFont="1" applyFill="1" applyBorder="1"/>
    <xf numFmtId="0" fontId="71" fillId="0" borderId="1" xfId="0" applyFont="1" applyBorder="1"/>
    <xf numFmtId="0" fontId="76" fillId="0" borderId="0" xfId="0" applyFont="1" applyBorder="1"/>
    <xf numFmtId="166" fontId="72" fillId="3" borderId="0" xfId="1" applyNumberFormat="1" applyFont="1" applyFill="1" applyBorder="1" applyProtection="1">
      <protection locked="0"/>
    </xf>
    <xf numFmtId="3" fontId="72" fillId="4" borderId="0" xfId="2" applyNumberFormat="1" applyFont="1" applyFill="1" applyBorder="1" applyProtection="1">
      <protection locked="0"/>
    </xf>
    <xf numFmtId="9" fontId="75" fillId="0" borderId="0" xfId="1" applyFont="1" applyFill="1" applyBorder="1" applyProtection="1">
      <protection locked="0"/>
    </xf>
    <xf numFmtId="166" fontId="75" fillId="0" borderId="0" xfId="1" applyNumberFormat="1" applyFont="1" applyBorder="1"/>
    <xf numFmtId="2" fontId="72" fillId="4" borderId="0" xfId="0" applyNumberFormat="1" applyFont="1" applyFill="1" applyBorder="1" applyAlignment="1" applyProtection="1">
      <alignment horizontal="right"/>
      <protection locked="0"/>
    </xf>
    <xf numFmtId="165" fontId="75" fillId="0" borderId="0" xfId="0" applyNumberFormat="1" applyFont="1" applyBorder="1"/>
    <xf numFmtId="15" fontId="72" fillId="3" borderId="0" xfId="0" applyNumberFormat="1" applyFont="1" applyFill="1" applyAlignment="1">
      <alignment vertical="center"/>
    </xf>
    <xf numFmtId="165" fontId="72" fillId="4" borderId="0" xfId="0" applyNumberFormat="1" applyFont="1" applyFill="1" applyBorder="1" applyProtection="1">
      <protection locked="0"/>
    </xf>
    <xf numFmtId="15" fontId="75" fillId="11" borderId="0" xfId="0" applyNumberFormat="1" applyFont="1" applyFill="1" applyAlignment="1">
      <alignment vertical="center"/>
    </xf>
    <xf numFmtId="0" fontId="72" fillId="4" borderId="0" xfId="0" applyFont="1" applyFill="1" applyBorder="1" applyProtection="1">
      <protection locked="0"/>
    </xf>
    <xf numFmtId="0" fontId="77" fillId="0" borderId="0" xfId="0" applyFont="1" applyBorder="1" applyAlignment="1">
      <alignment horizontal="left" indent="1"/>
    </xf>
    <xf numFmtId="0" fontId="77" fillId="0" borderId="0" xfId="0" applyFont="1" applyBorder="1"/>
    <xf numFmtId="9" fontId="75" fillId="0" borderId="0" xfId="1" applyNumberFormat="1" applyFont="1" applyFill="1" applyBorder="1"/>
    <xf numFmtId="166" fontId="72" fillId="0" borderId="0" xfId="1" applyNumberFormat="1" applyFont="1" applyFill="1" applyBorder="1" applyProtection="1">
      <protection locked="0"/>
    </xf>
    <xf numFmtId="0" fontId="78" fillId="14" borderId="0" xfId="0" applyFont="1" applyFill="1"/>
    <xf numFmtId="0" fontId="79" fillId="14" borderId="0" xfId="0" applyFont="1" applyFill="1" applyBorder="1" applyAlignment="1"/>
    <xf numFmtId="167" fontId="76" fillId="0" borderId="8" xfId="0" applyNumberFormat="1" applyFont="1" applyBorder="1"/>
    <xf numFmtId="167" fontId="80" fillId="0" borderId="2" xfId="0" applyNumberFormat="1" applyFont="1" applyBorder="1"/>
    <xf numFmtId="167" fontId="80" fillId="0" borderId="8" xfId="0" applyNumberFormat="1" applyFont="1" applyBorder="1"/>
    <xf numFmtId="168" fontId="80" fillId="0" borderId="2" xfId="0" applyNumberFormat="1" applyFont="1" applyBorder="1"/>
    <xf numFmtId="168" fontId="80" fillId="0" borderId="16" xfId="0" applyNumberFormat="1" applyFont="1" applyBorder="1"/>
    <xf numFmtId="168" fontId="80" fillId="0" borderId="35" xfId="0" applyNumberFormat="1" applyFont="1" applyBorder="1"/>
    <xf numFmtId="168" fontId="80" fillId="0" borderId="8" xfId="0" applyNumberFormat="1" applyFont="1" applyBorder="1"/>
    <xf numFmtId="0" fontId="76" fillId="2" borderId="0" xfId="0" applyFont="1" applyFill="1"/>
    <xf numFmtId="0" fontId="76" fillId="2" borderId="0" xfId="0" applyFont="1" applyFill="1" applyBorder="1"/>
    <xf numFmtId="0" fontId="80" fillId="15" borderId="1" xfId="0" applyFont="1" applyFill="1" applyBorder="1"/>
    <xf numFmtId="0" fontId="81" fillId="15" borderId="1" xfId="0" applyFont="1" applyFill="1" applyBorder="1" applyAlignment="1">
      <alignment horizontal="center"/>
    </xf>
    <xf numFmtId="0" fontId="82" fillId="0" borderId="2" xfId="0" applyFont="1" applyBorder="1"/>
    <xf numFmtId="0" fontId="71" fillId="0" borderId="62" xfId="0" applyFont="1" applyBorder="1"/>
    <xf numFmtId="0" fontId="71" fillId="0" borderId="16" xfId="0" applyFont="1" applyBorder="1"/>
    <xf numFmtId="0" fontId="75" fillId="15" borderId="0" xfId="0" applyFont="1" applyFill="1" applyBorder="1"/>
    <xf numFmtId="9" fontId="81" fillId="15" borderId="0" xfId="0" applyNumberFormat="1" applyFont="1" applyFill="1" applyBorder="1" applyAlignment="1">
      <alignment horizontal="center"/>
    </xf>
    <xf numFmtId="3" fontId="81" fillId="15" borderId="0" xfId="0" applyNumberFormat="1" applyFont="1" applyFill="1" applyBorder="1" applyAlignment="1">
      <alignment horizontal="center"/>
    </xf>
    <xf numFmtId="0" fontId="83" fillId="0" borderId="0" xfId="0" applyFont="1" applyBorder="1"/>
    <xf numFmtId="166" fontId="84" fillId="3" borderId="63" xfId="1" applyNumberFormat="1" applyFont="1" applyFill="1" applyBorder="1" applyAlignment="1">
      <alignment horizontal="right"/>
    </xf>
    <xf numFmtId="166" fontId="84" fillId="3" borderId="0" xfId="1" applyNumberFormat="1" applyFont="1" applyFill="1" applyBorder="1" applyAlignment="1">
      <alignment horizontal="right"/>
    </xf>
    <xf numFmtId="166" fontId="84" fillId="3" borderId="3" xfId="1" applyNumberFormat="1" applyFont="1" applyFill="1" applyBorder="1" applyAlignment="1">
      <alignment horizontal="right"/>
    </xf>
    <xf numFmtId="166" fontId="84" fillId="0" borderId="0" xfId="1" applyNumberFormat="1" applyFont="1" applyFill="1" applyBorder="1" applyAlignment="1">
      <alignment horizontal="right"/>
    </xf>
    <xf numFmtId="166" fontId="84" fillId="0" borderId="38" xfId="1" applyNumberFormat="1" applyFont="1" applyFill="1" applyBorder="1" applyAlignment="1">
      <alignment horizontal="right"/>
    </xf>
    <xf numFmtId="0" fontId="75" fillId="15" borderId="1" xfId="0" applyFont="1" applyFill="1" applyBorder="1"/>
    <xf numFmtId="9" fontId="81" fillId="15" borderId="1" xfId="0" applyNumberFormat="1" applyFont="1" applyFill="1" applyBorder="1" applyAlignment="1">
      <alignment horizontal="center"/>
    </xf>
    <xf numFmtId="3" fontId="81" fillId="15" borderId="1" xfId="0" applyNumberFormat="1" applyFont="1" applyFill="1" applyBorder="1" applyAlignment="1">
      <alignment horizontal="center"/>
    </xf>
    <xf numFmtId="166" fontId="84" fillId="3" borderId="42" xfId="1" applyNumberFormat="1" applyFont="1" applyFill="1" applyBorder="1" applyAlignment="1">
      <alignment horizontal="right"/>
    </xf>
    <xf numFmtId="0" fontId="74" fillId="15" borderId="0" xfId="0" applyFont="1" applyFill="1" applyBorder="1"/>
    <xf numFmtId="9" fontId="74" fillId="15" borderId="0" xfId="0" applyNumberFormat="1" applyFont="1" applyFill="1" applyBorder="1" applyAlignment="1">
      <alignment horizontal="center"/>
    </xf>
    <xf numFmtId="3" fontId="74" fillId="15" borderId="0" xfId="0" applyNumberFormat="1" applyFont="1" applyFill="1" applyBorder="1" applyAlignment="1">
      <alignment horizontal="center"/>
    </xf>
    <xf numFmtId="0" fontId="82" fillId="0" borderId="0" xfId="0" applyFont="1" applyBorder="1"/>
    <xf numFmtId="0" fontId="71" fillId="0" borderId="42" xfId="0" applyFont="1" applyBorder="1"/>
    <xf numFmtId="0" fontId="71" fillId="0" borderId="3" xfId="0" applyFont="1" applyBorder="1"/>
    <xf numFmtId="0" fontId="74" fillId="0" borderId="0" xfId="0" applyFont="1"/>
    <xf numFmtId="169" fontId="72" fillId="3" borderId="0" xfId="2" applyNumberFormat="1" applyFont="1" applyFill="1" applyBorder="1" applyProtection="1">
      <protection locked="0"/>
    </xf>
    <xf numFmtId="169" fontId="72" fillId="3" borderId="5" xfId="2" applyNumberFormat="1" applyFont="1" applyFill="1" applyBorder="1" applyProtection="1">
      <protection locked="0"/>
    </xf>
    <xf numFmtId="169" fontId="74" fillId="0" borderId="0" xfId="2" applyNumberFormat="1" applyFont="1" applyBorder="1"/>
    <xf numFmtId="169" fontId="74" fillId="0" borderId="3" xfId="2" applyNumberFormat="1" applyFont="1" applyBorder="1"/>
    <xf numFmtId="166" fontId="83" fillId="0" borderId="0" xfId="1" applyNumberFormat="1" applyFont="1" applyFill="1" applyBorder="1" applyAlignment="1">
      <alignment horizontal="right"/>
    </xf>
    <xf numFmtId="166" fontId="83" fillId="0" borderId="3" xfId="1" applyNumberFormat="1" applyFont="1" applyFill="1" applyBorder="1" applyAlignment="1">
      <alignment horizontal="right"/>
    </xf>
    <xf numFmtId="166" fontId="85" fillId="3" borderId="0" xfId="4" applyNumberFormat="1" applyFont="1" applyFill="1" applyBorder="1" applyProtection="1">
      <protection locked="0"/>
    </xf>
    <xf numFmtId="166" fontId="85" fillId="3" borderId="3" xfId="4" applyNumberFormat="1" applyFont="1" applyFill="1" applyBorder="1" applyProtection="1">
      <protection locked="0"/>
    </xf>
    <xf numFmtId="0" fontId="86" fillId="0" borderId="0" xfId="0" applyFont="1"/>
    <xf numFmtId="166" fontId="85" fillId="0" borderId="0" xfId="4" applyNumberFormat="1" applyFont="1" applyFill="1" applyBorder="1" applyProtection="1">
      <protection locked="0"/>
    </xf>
    <xf numFmtId="166" fontId="85" fillId="0" borderId="3" xfId="4" applyNumberFormat="1" applyFont="1" applyFill="1" applyBorder="1" applyProtection="1">
      <protection locked="0"/>
    </xf>
    <xf numFmtId="0" fontId="75" fillId="0" borderId="1" xfId="0" applyFont="1" applyBorder="1"/>
    <xf numFmtId="169" fontId="72" fillId="3" borderId="1" xfId="2" applyNumberFormat="1" applyFont="1" applyFill="1" applyBorder="1" applyProtection="1">
      <protection locked="0"/>
    </xf>
    <xf numFmtId="169" fontId="72" fillId="3" borderId="21" xfId="2" applyNumberFormat="1" applyFont="1" applyFill="1" applyBorder="1" applyProtection="1">
      <protection locked="0"/>
    </xf>
    <xf numFmtId="169" fontId="75" fillId="0" borderId="1" xfId="2" applyNumberFormat="1" applyFont="1" applyBorder="1"/>
    <xf numFmtId="169" fontId="75" fillId="0" borderId="21" xfId="2" applyNumberFormat="1" applyFont="1" applyBorder="1"/>
    <xf numFmtId="169" fontId="75" fillId="0" borderId="1" xfId="0" applyNumberFormat="1" applyFont="1" applyFill="1" applyBorder="1"/>
    <xf numFmtId="169" fontId="74" fillId="0" borderId="0" xfId="0" applyNumberFormat="1" applyFont="1" applyBorder="1"/>
    <xf numFmtId="169" fontId="74" fillId="0" borderId="3" xfId="0" applyNumberFormat="1" applyFont="1" applyBorder="1"/>
    <xf numFmtId="0" fontId="83" fillId="0" borderId="0" xfId="0" applyFont="1"/>
    <xf numFmtId="0" fontId="75" fillId="0" borderId="0" xfId="0" applyFont="1"/>
    <xf numFmtId="169" fontId="75" fillId="0" borderId="0" xfId="2" applyNumberFormat="1" applyFont="1" applyBorder="1"/>
    <xf numFmtId="169" fontId="75" fillId="0" borderId="3" xfId="2" applyNumberFormat="1" applyFont="1" applyBorder="1"/>
    <xf numFmtId="169" fontId="75" fillId="0" borderId="0" xfId="0" applyNumberFormat="1" applyFont="1" applyFill="1" applyBorder="1"/>
    <xf numFmtId="169" fontId="72" fillId="0" borderId="0" xfId="2" applyNumberFormat="1" applyFont="1" applyFill="1" applyBorder="1" applyProtection="1">
      <protection locked="0"/>
    </xf>
    <xf numFmtId="169" fontId="72" fillId="0" borderId="3" xfId="2" applyNumberFormat="1" applyFont="1" applyFill="1" applyBorder="1" applyProtection="1">
      <protection locked="0"/>
    </xf>
    <xf numFmtId="169" fontId="75" fillId="3" borderId="0" xfId="2" applyNumberFormat="1" applyFont="1" applyFill="1" applyBorder="1"/>
    <xf numFmtId="169" fontId="75" fillId="3" borderId="3" xfId="2" applyNumberFormat="1" applyFont="1" applyFill="1" applyBorder="1"/>
    <xf numFmtId="9" fontId="83" fillId="0" borderId="0" xfId="1" applyNumberFormat="1" applyFont="1" applyFill="1" applyBorder="1" applyAlignment="1">
      <alignment horizontal="right"/>
    </xf>
    <xf numFmtId="0" fontId="83" fillId="0" borderId="1" xfId="0" applyFont="1" applyBorder="1"/>
    <xf numFmtId="10" fontId="83" fillId="0" borderId="1" xfId="1" applyNumberFormat="1" applyFont="1" applyFill="1" applyBorder="1" applyAlignment="1">
      <alignment horizontal="right"/>
    </xf>
    <xf numFmtId="10" fontId="83" fillId="0" borderId="21" xfId="1" applyNumberFormat="1" applyFont="1" applyFill="1" applyBorder="1" applyAlignment="1">
      <alignment horizontal="right"/>
    </xf>
    <xf numFmtId="166" fontId="85" fillId="0" borderId="1" xfId="4" applyNumberFormat="1" applyFont="1" applyFill="1" applyBorder="1" applyProtection="1">
      <protection locked="0"/>
    </xf>
    <xf numFmtId="166" fontId="85" fillId="0" borderId="21" xfId="4" applyNumberFormat="1" applyFont="1" applyFill="1" applyBorder="1" applyProtection="1">
      <protection locked="0"/>
    </xf>
    <xf numFmtId="169" fontId="74" fillId="0" borderId="25" xfId="2" applyNumberFormat="1" applyFont="1" applyBorder="1"/>
    <xf numFmtId="0" fontId="87" fillId="0" borderId="0" xfId="0" applyFont="1"/>
    <xf numFmtId="9" fontId="83" fillId="0" borderId="1" xfId="1" applyNumberFormat="1" applyFont="1" applyFill="1" applyBorder="1" applyAlignment="1">
      <alignment horizontal="right"/>
    </xf>
    <xf numFmtId="9" fontId="83" fillId="0" borderId="21" xfId="1" applyNumberFormat="1" applyFont="1" applyFill="1" applyBorder="1" applyAlignment="1">
      <alignment horizontal="right"/>
    </xf>
    <xf numFmtId="166" fontId="85" fillId="3" borderId="1" xfId="4" applyNumberFormat="1" applyFont="1" applyFill="1" applyBorder="1" applyProtection="1">
      <protection locked="0"/>
    </xf>
    <xf numFmtId="166" fontId="85" fillId="3" borderId="21" xfId="4" applyNumberFormat="1" applyFont="1" applyFill="1" applyBorder="1" applyProtection="1">
      <protection locked="0"/>
    </xf>
    <xf numFmtId="169" fontId="88" fillId="3" borderId="1" xfId="2" applyNumberFormat="1" applyFont="1" applyFill="1" applyBorder="1" applyProtection="1">
      <protection locked="0"/>
    </xf>
    <xf numFmtId="0" fontId="74" fillId="0" borderId="0" xfId="0" applyFont="1" applyBorder="1"/>
    <xf numFmtId="169" fontId="74" fillId="0" borderId="24" xfId="2" applyNumberFormat="1" applyFont="1" applyBorder="1"/>
    <xf numFmtId="169" fontId="75" fillId="0" borderId="3" xfId="0" applyNumberFormat="1" applyFont="1" applyFill="1" applyBorder="1"/>
    <xf numFmtId="165" fontId="74" fillId="0" borderId="0" xfId="0" applyNumberFormat="1" applyFont="1" applyFill="1" applyBorder="1"/>
    <xf numFmtId="165" fontId="74" fillId="0" borderId="3" xfId="0" applyNumberFormat="1" applyFont="1" applyFill="1" applyBorder="1"/>
    <xf numFmtId="0" fontId="71" fillId="0" borderId="21" xfId="0" applyFont="1" applyBorder="1"/>
    <xf numFmtId="169" fontId="75" fillId="0" borderId="30" xfId="0" applyNumberFormat="1" applyFont="1" applyFill="1" applyBorder="1"/>
    <xf numFmtId="169" fontId="75" fillId="0" borderId="9" xfId="0" applyNumberFormat="1" applyFont="1" applyFill="1" applyBorder="1"/>
    <xf numFmtId="169" fontId="75" fillId="0" borderId="21" xfId="0" applyNumberFormat="1" applyFont="1" applyFill="1" applyBorder="1"/>
    <xf numFmtId="0" fontId="74" fillId="0" borderId="1" xfId="0" applyFont="1" applyBorder="1"/>
    <xf numFmtId="169" fontId="74" fillId="0" borderId="1" xfId="2" applyNumberFormat="1" applyFont="1" applyBorder="1"/>
    <xf numFmtId="169" fontId="74" fillId="0" borderId="21" xfId="2" applyNumberFormat="1" applyFont="1" applyBorder="1"/>
    <xf numFmtId="169" fontId="74" fillId="0" borderId="9" xfId="2" applyNumberFormat="1" applyFont="1" applyBorder="1"/>
    <xf numFmtId="169" fontId="74" fillId="0" borderId="0" xfId="2" applyNumberFormat="1" applyFont="1" applyFill="1" applyBorder="1"/>
    <xf numFmtId="169" fontId="80" fillId="0" borderId="0" xfId="2" applyNumberFormat="1" applyFont="1" applyFill="1" applyBorder="1" applyProtection="1">
      <protection locked="0"/>
    </xf>
    <xf numFmtId="169" fontId="71" fillId="0" borderId="0" xfId="0" applyNumberFormat="1" applyFont="1"/>
    <xf numFmtId="0" fontId="82" fillId="0" borderId="10" xfId="0" applyFont="1" applyBorder="1"/>
    <xf numFmtId="0" fontId="71" fillId="15" borderId="1" xfId="0" applyFont="1" applyFill="1" applyBorder="1"/>
    <xf numFmtId="0" fontId="80" fillId="15" borderId="1" xfId="0" applyFont="1" applyFill="1" applyBorder="1" applyAlignment="1">
      <alignment horizontal="center"/>
    </xf>
    <xf numFmtId="169" fontId="72" fillId="3" borderId="4" xfId="2" applyNumberFormat="1" applyFont="1" applyFill="1" applyBorder="1" applyProtection="1">
      <protection locked="0"/>
    </xf>
    <xf numFmtId="169" fontId="72" fillId="3" borderId="11" xfId="2" applyNumberFormat="1" applyFont="1" applyFill="1" applyBorder="1" applyProtection="1">
      <protection locked="0"/>
    </xf>
    <xf numFmtId="0" fontId="81" fillId="15" borderId="0" xfId="0" applyFont="1" applyFill="1"/>
    <xf numFmtId="3" fontId="81" fillId="15" borderId="0" xfId="208" applyNumberFormat="1" applyFont="1" applyFill="1"/>
    <xf numFmtId="166" fontId="85" fillId="3" borderId="4" xfId="4" applyNumberFormat="1" applyFont="1" applyFill="1" applyBorder="1" applyProtection="1">
      <protection locked="0"/>
    </xf>
    <xf numFmtId="166" fontId="85" fillId="3" borderId="5" xfId="4" applyNumberFormat="1" applyFont="1" applyFill="1" applyBorder="1" applyProtection="1">
      <protection locked="0"/>
    </xf>
    <xf numFmtId="169" fontId="75" fillId="0" borderId="4" xfId="2" applyNumberFormat="1" applyFont="1" applyFill="1" applyBorder="1"/>
    <xf numFmtId="169" fontId="75" fillId="0" borderId="0" xfId="2" applyNumberFormat="1" applyFont="1" applyFill="1" applyBorder="1"/>
    <xf numFmtId="169" fontId="75" fillId="0" borderId="5" xfId="2" applyNumberFormat="1" applyFont="1" applyFill="1" applyBorder="1"/>
    <xf numFmtId="169" fontId="75" fillId="0" borderId="38" xfId="2" applyNumberFormat="1" applyFont="1" applyBorder="1"/>
    <xf numFmtId="169" fontId="89" fillId="3" borderId="0" xfId="2" applyNumberFormat="1" applyFont="1" applyFill="1" applyBorder="1" applyProtection="1">
      <protection locked="0"/>
    </xf>
    <xf numFmtId="169" fontId="89" fillId="3" borderId="3" xfId="2" applyNumberFormat="1" applyFont="1" applyFill="1" applyBorder="1" applyProtection="1">
      <protection locked="0"/>
    </xf>
    <xf numFmtId="169" fontId="89" fillId="0" borderId="0" xfId="2" applyNumberFormat="1" applyFont="1" applyFill="1" applyBorder="1" applyProtection="1">
      <protection locked="0"/>
    </xf>
    <xf numFmtId="0" fontId="90" fillId="0" borderId="0" xfId="0" applyFont="1" applyFill="1" applyBorder="1"/>
    <xf numFmtId="198" fontId="71" fillId="0" borderId="2" xfId="0" applyNumberFormat="1" applyFont="1" applyBorder="1"/>
    <xf numFmtId="169" fontId="75" fillId="0" borderId="23" xfId="0" applyNumberFormat="1" applyFont="1" applyFill="1" applyBorder="1"/>
    <xf numFmtId="169" fontId="75" fillId="0" borderId="3" xfId="0" applyNumberFormat="1" applyFont="1" applyFill="1" applyBorder="1" applyAlignment="1">
      <alignment horizontal="right"/>
    </xf>
    <xf numFmtId="0" fontId="91" fillId="0" borderId="0" xfId="0" applyFont="1"/>
    <xf numFmtId="169" fontId="75" fillId="0" borderId="0" xfId="0" applyNumberFormat="1" applyFont="1" applyFill="1" applyBorder="1" applyAlignment="1">
      <alignment horizontal="right"/>
    </xf>
    <xf numFmtId="0" fontId="75" fillId="0" borderId="2" xfId="0" applyFont="1" applyBorder="1"/>
    <xf numFmtId="0" fontId="90" fillId="0" borderId="2" xfId="0" applyFont="1" applyFill="1" applyBorder="1"/>
    <xf numFmtId="166" fontId="83" fillId="0" borderId="2" xfId="1" applyNumberFormat="1" applyFont="1" applyFill="1" applyBorder="1" applyAlignment="1">
      <alignment horizontal="right"/>
    </xf>
    <xf numFmtId="169" fontId="75" fillId="0" borderId="2" xfId="0" applyNumberFormat="1" applyFont="1" applyFill="1" applyBorder="1"/>
    <xf numFmtId="169" fontId="75" fillId="0" borderId="16" xfId="0" applyNumberFormat="1" applyFont="1" applyFill="1" applyBorder="1"/>
    <xf numFmtId="169" fontId="74" fillId="0" borderId="0" xfId="0" applyNumberFormat="1" applyFont="1" applyFill="1" applyBorder="1"/>
    <xf numFmtId="169" fontId="74" fillId="0" borderId="3" xfId="0" applyNumberFormat="1" applyFont="1" applyFill="1" applyBorder="1"/>
    <xf numFmtId="0" fontId="75" fillId="0" borderId="0" xfId="0" applyFont="1" applyFill="1" applyBorder="1"/>
    <xf numFmtId="0" fontId="75" fillId="0" borderId="2" xfId="0" applyFont="1" applyFill="1" applyBorder="1"/>
    <xf numFmtId="0" fontId="92" fillId="0" borderId="0" xfId="0" applyFont="1" applyFill="1" applyBorder="1"/>
    <xf numFmtId="166" fontId="93" fillId="0" borderId="0" xfId="1" applyNumberFormat="1" applyFont="1" applyFill="1" applyBorder="1" applyAlignment="1">
      <alignment horizontal="right"/>
    </xf>
    <xf numFmtId="0" fontId="71" fillId="0" borderId="0" xfId="0" applyFont="1" applyFill="1" applyBorder="1"/>
    <xf numFmtId="0" fontId="94" fillId="0" borderId="0" xfId="0" applyFont="1"/>
    <xf numFmtId="0" fontId="75" fillId="0" borderId="0" xfId="0" applyFont="1" applyFill="1"/>
    <xf numFmtId="0" fontId="75" fillId="0" borderId="3" xfId="0" applyFont="1" applyFill="1" applyBorder="1"/>
    <xf numFmtId="0" fontId="75" fillId="0" borderId="3" xfId="0" applyFont="1" applyBorder="1"/>
    <xf numFmtId="0" fontId="94" fillId="0" borderId="1" xfId="0" applyFont="1" applyBorder="1"/>
    <xf numFmtId="0" fontId="75" fillId="0" borderId="1" xfId="0" applyFont="1" applyFill="1" applyBorder="1"/>
    <xf numFmtId="0" fontId="75" fillId="0" borderId="21" xfId="0" applyFont="1" applyFill="1" applyBorder="1"/>
    <xf numFmtId="0" fontId="75" fillId="0" borderId="21" xfId="0" applyFont="1" applyBorder="1"/>
    <xf numFmtId="165" fontId="75" fillId="0" borderId="0" xfId="0" applyNumberFormat="1" applyFont="1"/>
    <xf numFmtId="165" fontId="75" fillId="0" borderId="3" xfId="0" applyNumberFormat="1" applyFont="1" applyBorder="1"/>
    <xf numFmtId="0" fontId="75" fillId="0" borderId="0" xfId="0" quotePrefix="1" applyFont="1"/>
    <xf numFmtId="169" fontId="72" fillId="3" borderId="3" xfId="2" applyNumberFormat="1" applyFont="1" applyFill="1" applyBorder="1" applyProtection="1">
      <protection locked="0"/>
    </xf>
    <xf numFmtId="169" fontId="75" fillId="0" borderId="0" xfId="0" applyNumberFormat="1" applyFont="1"/>
    <xf numFmtId="169" fontId="75" fillId="0" borderId="3" xfId="0" applyNumberFormat="1" applyFont="1" applyBorder="1"/>
    <xf numFmtId="0" fontId="75" fillId="5" borderId="0" xfId="0" quotePrefix="1" applyFont="1" applyFill="1" applyBorder="1" applyProtection="1"/>
    <xf numFmtId="0" fontId="83" fillId="0" borderId="0" xfId="0" applyFont="1" applyFill="1" applyAlignment="1">
      <alignment horizontal="centerContinuous"/>
    </xf>
    <xf numFmtId="165" fontId="74" fillId="0" borderId="3" xfId="0" applyNumberFormat="1" applyFont="1" applyBorder="1"/>
    <xf numFmtId="165" fontId="74" fillId="0" borderId="0" xfId="0" applyNumberFormat="1" applyFont="1"/>
    <xf numFmtId="0" fontId="75" fillId="0" borderId="3" xfId="0" applyFont="1" applyFill="1" applyBorder="1" applyAlignment="1">
      <alignment horizontal="left"/>
    </xf>
    <xf numFmtId="0" fontId="75" fillId="0" borderId="21" xfId="0" applyFont="1" applyFill="1" applyBorder="1" applyAlignment="1">
      <alignment horizontal="left"/>
    </xf>
    <xf numFmtId="0" fontId="74" fillId="0" borderId="3" xfId="0" applyFont="1" applyBorder="1"/>
    <xf numFmtId="0" fontId="74" fillId="0" borderId="9" xfId="0" applyFont="1" applyBorder="1"/>
    <xf numFmtId="0" fontId="95" fillId="0" borderId="9" xfId="0" applyFont="1" applyBorder="1"/>
    <xf numFmtId="0" fontId="74" fillId="0" borderId="22" xfId="0" applyFont="1" applyBorder="1"/>
    <xf numFmtId="165" fontId="74" fillId="0" borderId="9" xfId="0" applyNumberFormat="1" applyFont="1" applyBorder="1"/>
    <xf numFmtId="165" fontId="74" fillId="0" borderId="22" xfId="0" applyNumberFormat="1" applyFont="1" applyBorder="1"/>
    <xf numFmtId="0" fontId="75" fillId="0" borderId="0" xfId="0" applyFont="1" applyFill="1" applyAlignment="1">
      <alignment horizontal="left"/>
    </xf>
    <xf numFmtId="0" fontId="75" fillId="0" borderId="1" xfId="0" applyFont="1" applyFill="1" applyBorder="1" applyAlignment="1">
      <alignment horizontal="left"/>
    </xf>
    <xf numFmtId="169" fontId="75" fillId="0" borderId="0" xfId="0" applyNumberFormat="1" applyFont="1" applyFill="1"/>
    <xf numFmtId="169" fontId="74" fillId="0" borderId="9" xfId="0" applyNumberFormat="1" applyFont="1" applyBorder="1"/>
    <xf numFmtId="0" fontId="96" fillId="0" borderId="0" xfId="0" applyFont="1"/>
    <xf numFmtId="0" fontId="97" fillId="0" borderId="0" xfId="0" applyFont="1"/>
    <xf numFmtId="2" fontId="96" fillId="0" borderId="0" xfId="0" applyNumberFormat="1" applyFont="1" applyAlignment="1">
      <alignment horizontal="right"/>
    </xf>
    <xf numFmtId="0" fontId="82" fillId="0" borderId="1" xfId="0" applyFont="1" applyBorder="1"/>
    <xf numFmtId="169" fontId="75" fillId="0" borderId="24" xfId="0" applyNumberFormat="1" applyFont="1" applyBorder="1"/>
    <xf numFmtId="0" fontId="94" fillId="0" borderId="9" xfId="0" applyFont="1" applyBorder="1"/>
    <xf numFmtId="169" fontId="74" fillId="0" borderId="22" xfId="0" applyNumberFormat="1" applyFont="1" applyBorder="1"/>
    <xf numFmtId="0" fontId="71" fillId="0" borderId="2" xfId="0" applyFont="1" applyFill="1" applyBorder="1"/>
    <xf numFmtId="166" fontId="83" fillId="0" borderId="2" xfId="4" applyNumberFormat="1" applyFont="1" applyFill="1" applyBorder="1"/>
    <xf numFmtId="166" fontId="85" fillId="0" borderId="2" xfId="4" applyNumberFormat="1" applyFont="1" applyFill="1" applyBorder="1" applyProtection="1">
      <protection locked="0"/>
    </xf>
    <xf numFmtId="0" fontId="90" fillId="0" borderId="0" xfId="0" applyFont="1"/>
    <xf numFmtId="0" fontId="98" fillId="0" borderId="0" xfId="0" applyFont="1"/>
    <xf numFmtId="165" fontId="75" fillId="0" borderId="24" xfId="0" applyNumberFormat="1" applyFont="1" applyBorder="1"/>
    <xf numFmtId="166" fontId="12" fillId="3" borderId="1" xfId="4" applyNumberFormat="1" applyFont="1" applyFill="1" applyBorder="1" applyProtection="1">
      <protection locked="0"/>
    </xf>
    <xf numFmtId="0" fontId="6" fillId="4" borderId="0" xfId="0" applyFont="1" applyFill="1" applyBorder="1" applyAlignment="1" applyProtection="1">
      <alignment horizontal="right"/>
      <protection locked="0"/>
    </xf>
    <xf numFmtId="3" fontId="6" fillId="4" borderId="0" xfId="2" applyNumberFormat="1" applyFont="1" applyFill="1" applyBorder="1" applyAlignment="1" applyProtection="1">
      <alignment horizontal="right"/>
      <protection locked="0"/>
    </xf>
    <xf numFmtId="0" fontId="79" fillId="14" borderId="6" xfId="0" applyFont="1" applyFill="1" applyBorder="1" applyAlignment="1">
      <alignment horizontal="center"/>
    </xf>
    <xf numFmtId="0" fontId="79" fillId="14" borderId="1" xfId="0" applyFont="1" applyFill="1" applyBorder="1" applyAlignment="1">
      <alignment horizontal="center"/>
    </xf>
    <xf numFmtId="0" fontId="79" fillId="14" borderId="21" xfId="0" applyFont="1" applyFill="1" applyBorder="1" applyAlignment="1">
      <alignment horizontal="center"/>
    </xf>
    <xf numFmtId="0" fontId="79" fillId="14" borderId="42" xfId="0" applyFont="1" applyFill="1" applyBorder="1" applyAlignment="1">
      <alignment horizontal="center"/>
    </xf>
    <xf numFmtId="0" fontId="79" fillId="14" borderId="0" xfId="0" applyFont="1" applyFill="1" applyBorder="1" applyAlignment="1">
      <alignment horizontal="center"/>
    </xf>
    <xf numFmtId="0" fontId="79" fillId="14" borderId="3" xfId="0" applyFont="1" applyFill="1" applyBorder="1" applyAlignment="1">
      <alignment horizontal="center"/>
    </xf>
    <xf numFmtId="0" fontId="79" fillId="14" borderId="5" xfId="0" applyFont="1" applyFill="1" applyBorder="1" applyAlignment="1">
      <alignment horizontal="center"/>
    </xf>
    <xf numFmtId="0" fontId="40" fillId="12" borderId="0" xfId="0" applyFont="1" applyFill="1" applyBorder="1" applyAlignment="1">
      <alignment horizontal="center" vertical="center"/>
    </xf>
    <xf numFmtId="0" fontId="41" fillId="12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47" fillId="11" borderId="0" xfId="61" applyFont="1" applyFill="1" applyAlignment="1">
      <alignment horizontal="center" vertical="center"/>
    </xf>
    <xf numFmtId="0" fontId="47" fillId="11" borderId="0" xfId="61" applyFont="1" applyFill="1" applyAlignment="1">
      <alignment horizontal="center" vertical="center" textRotation="90"/>
    </xf>
    <xf numFmtId="0" fontId="40" fillId="17" borderId="0" xfId="0" applyNumberFormat="1" applyFont="1" applyFill="1" applyAlignment="1">
      <alignment horizontal="center" vertical="center"/>
    </xf>
    <xf numFmtId="0" fontId="40" fillId="17" borderId="0" xfId="0" quotePrefix="1" applyNumberFormat="1" applyFont="1" applyFill="1" applyAlignment="1">
      <alignment horizontal="center" vertical="center"/>
    </xf>
    <xf numFmtId="0" fontId="50" fillId="0" borderId="0" xfId="0" applyFont="1" applyBorder="1" applyAlignment="1"/>
    <xf numFmtId="0" fontId="50" fillId="0" borderId="0" xfId="0" applyFont="1" applyAlignment="1"/>
    <xf numFmtId="0" fontId="45" fillId="14" borderId="42" xfId="0" applyFont="1" applyFill="1" applyBorder="1" applyAlignment="1">
      <alignment horizontal="center"/>
    </xf>
    <xf numFmtId="0" fontId="45" fillId="14" borderId="0" xfId="0" applyFont="1" applyFill="1" applyBorder="1" applyAlignment="1">
      <alignment horizontal="center"/>
    </xf>
    <xf numFmtId="0" fontId="45" fillId="14" borderId="5" xfId="0" applyFont="1" applyFill="1" applyBorder="1" applyAlignment="1">
      <alignment horizontal="center"/>
    </xf>
    <xf numFmtId="0" fontId="3" fillId="0" borderId="66" xfId="0" applyFont="1" applyBorder="1" applyAlignment="1"/>
    <xf numFmtId="0" fontId="3" fillId="0" borderId="67" xfId="0" applyFont="1" applyBorder="1" applyAlignment="1"/>
    <xf numFmtId="0" fontId="3" fillId="0" borderId="68" xfId="0" applyFont="1" applyBorder="1" applyAlignment="1"/>
    <xf numFmtId="0" fontId="49" fillId="0" borderId="1" xfId="0" applyFont="1" applyBorder="1" applyAlignment="1"/>
    <xf numFmtId="0" fontId="45" fillId="14" borderId="6" xfId="0" applyFont="1" applyFill="1" applyBorder="1" applyAlignment="1">
      <alignment horizontal="center"/>
    </xf>
    <xf numFmtId="0" fontId="45" fillId="14" borderId="1" xfId="0" applyFont="1" applyFill="1" applyBorder="1" applyAlignment="1">
      <alignment horizontal="center"/>
    </xf>
    <xf numFmtId="0" fontId="45" fillId="14" borderId="21" xfId="0" applyFont="1" applyFill="1" applyBorder="1" applyAlignment="1">
      <alignment horizontal="center"/>
    </xf>
    <xf numFmtId="0" fontId="45" fillId="14" borderId="3" xfId="0" applyFont="1" applyFill="1" applyBorder="1" applyAlignment="1">
      <alignment horizontal="center"/>
    </xf>
  </cellXfs>
  <cellStyles count="209">
    <cellStyle name="_%(SignOnly)" xfId="6"/>
    <cellStyle name="_%(SignSpaceOnly)" xfId="7"/>
    <cellStyle name="_Comma" xfId="8"/>
    <cellStyle name="_Currency" xfId="9"/>
    <cellStyle name="_Currency_SOP and DCF S" xfId="10"/>
    <cellStyle name="_CurrencySpace" xfId="11"/>
    <cellStyle name="_Dollar" xfId="12"/>
    <cellStyle name="_Euro" xfId="13"/>
    <cellStyle name="_Heading" xfId="14"/>
    <cellStyle name="_Highlight" xfId="15"/>
    <cellStyle name="_Multiple" xfId="16"/>
    <cellStyle name="_MultipleSpace" xfId="17"/>
    <cellStyle name="_Percent" xfId="18"/>
    <cellStyle name="_PercentSpace" xfId="19"/>
    <cellStyle name="_SubHeading" xfId="20"/>
    <cellStyle name="_Table" xfId="21"/>
    <cellStyle name="_TableHead" xfId="22"/>
    <cellStyle name="_TableRowHead" xfId="23"/>
    <cellStyle name="_TableSuperHead" xfId="24"/>
    <cellStyle name="# ##0" xfId="5"/>
    <cellStyle name="0%" xfId="25"/>
    <cellStyle name="AJHCustom" xfId="26"/>
    <cellStyle name="blue shading" xfId="27"/>
    <cellStyle name="Comma 2" xfId="207"/>
    <cellStyle name="Currency$" xfId="28"/>
    <cellStyle name="Currencyunder" xfId="29"/>
    <cellStyle name="default" xfId="30"/>
    <cellStyle name="Format 1" xfId="31"/>
    <cellStyle name="Format Datum (MMM-ÅÅ)" xfId="32"/>
    <cellStyle name="Format Datum (ÅÅ-MM-DD t.mm)" xfId="33"/>
    <cellStyle name="Format Datum (ÅÅ-MM-DD)" xfId="34"/>
    <cellStyle name="Format Procent (0,0%)" xfId="36"/>
    <cellStyle name="Format Procent (0%)" xfId="35"/>
    <cellStyle name="Format Tal (# ##0,00)" xfId="38"/>
    <cellStyle name="Format Tal (# ##0)" xfId="37"/>
    <cellStyle name="Format Tid (t.mm)" xfId="39"/>
    <cellStyle name="Följd hyperlänk" xfId="194" builtinId="9" hidden="1"/>
    <cellStyle name="Följd hyperlänk" xfId="198" builtinId="9" hidden="1"/>
    <cellStyle name="Följd hyperlänk" xfId="202" builtinId="9" hidden="1"/>
    <cellStyle name="Följd hyperlänk" xfId="206" builtinId="9" hidden="1"/>
    <cellStyle name="Följd hyperlänk" xfId="204" builtinId="9" hidden="1"/>
    <cellStyle name="Följd hyperlänk" xfId="200" builtinId="9" hidden="1"/>
    <cellStyle name="Följd hyperlänk" xfId="196" builtinId="9" hidden="1"/>
    <cellStyle name="Följd hyperlänk" xfId="192" builtinId="9" hidden="1"/>
    <cellStyle name="Följd hyperlänk" xfId="110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84" builtinId="9" hidden="1"/>
    <cellStyle name="Följd hyperlänk" xfId="176" builtinId="9" hidden="1"/>
    <cellStyle name="Följd hyperlänk" xfId="168" builtinId="9" hidden="1"/>
    <cellStyle name="Följd hyperlänk" xfId="160" builtinId="9" hidden="1"/>
    <cellStyle name="Följd hyperlänk" xfId="152" builtinId="9" hidden="1"/>
    <cellStyle name="Följd hyperlänk" xfId="144" builtinId="9" hidden="1"/>
    <cellStyle name="Följd hyperlänk" xfId="136" builtinId="9" hidden="1"/>
    <cellStyle name="Följd hyperlänk" xfId="128" builtinId="9" hidden="1"/>
    <cellStyle name="Följd hyperlänk" xfId="120" builtinId="9" hidden="1"/>
    <cellStyle name="Följd hyperlänk" xfId="112" builtinId="9" hidden="1"/>
    <cellStyle name="Följd hyperlänk" xfId="86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6" builtinId="9" hidden="1"/>
    <cellStyle name="Följd hyperlänk" xfId="108" builtinId="9" hidden="1"/>
    <cellStyle name="Följd hyperlänk" xfId="104" builtinId="9" hidden="1"/>
    <cellStyle name="Följd hyperlänk" xfId="88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74" builtinId="9" hidden="1"/>
    <cellStyle name="Följd hyperlänk" xfId="76" builtinId="9" hidden="1"/>
    <cellStyle name="Följd hyperlänk" xfId="72" builtinId="9" hidden="1"/>
    <cellStyle name="Följd hyperlänk" xfId="70" builtinId="9" hidden="1"/>
    <cellStyle name="Heading1" xfId="40"/>
    <cellStyle name="Heading2" xfId="41"/>
    <cellStyle name="Hyperlänk" xfId="167" builtinId="8" hidden="1"/>
    <cellStyle name="Hyperlänk" xfId="169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5" builtinId="8" hidden="1"/>
    <cellStyle name="Hyperlänk" xfId="203" builtinId="8" hidden="1"/>
    <cellStyle name="Hyperlänk" xfId="195" builtinId="8" hidden="1"/>
    <cellStyle name="Hyperlänk" xfId="187" builtinId="8" hidden="1"/>
    <cellStyle name="Hyperlänk" xfId="179" builtinId="8" hidden="1"/>
    <cellStyle name="Hyperlänk" xfId="171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55" builtinId="8" hidden="1"/>
    <cellStyle name="Hyperlänk" xfId="139" builtinId="8" hidden="1"/>
    <cellStyle name="Hyperlänk" xfId="123" builtinId="8" hidden="1"/>
    <cellStyle name="Hyperlänk" xfId="87" builtinId="8" hidden="1"/>
    <cellStyle name="Hyperlänk" xfId="89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91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73" builtinId="8" hidden="1"/>
    <cellStyle name="Hyperlänk" xfId="75" builtinId="8" hidden="1"/>
    <cellStyle name="Hyperlänk" xfId="71" builtinId="8" hidden="1"/>
    <cellStyle name="Hyperlänk" xfId="69" builtinId="8" hidden="1"/>
    <cellStyle name="Inmatning" xfId="42"/>
    <cellStyle name="Komma" xfId="208" builtinId="3"/>
    <cellStyle name="Millions [0]" xfId="43"/>
    <cellStyle name="Millions [1]" xfId="44"/>
    <cellStyle name="Multiple" xfId="45"/>
    <cellStyle name="MultipleSpace" xfId="46"/>
    <cellStyle name="new style" xfId="47"/>
    <cellStyle name="nonmultiple" xfId="48"/>
    <cellStyle name="Normal" xfId="0" builtinId="0"/>
    <cellStyle name="Normal 2" xfId="3"/>
    <cellStyle name="Normal 3" xfId="61"/>
    <cellStyle name="Normal 3 2" xfId="64"/>
    <cellStyle name="Normal 3 3" xfId="67"/>
    <cellStyle name="Normal 3 4" xfId="65"/>
    <cellStyle name="Normal 4" xfId="62"/>
    <cellStyle name="Normal 4 2" xfId="68"/>
    <cellStyle name="Normal 4 3" xfId="66"/>
    <cellStyle name="Normal_03 Project Snow Acquisition Price" xfId="2"/>
    <cellStyle name="Normal_09 Project World Acqusition Model" xfId="63"/>
    <cellStyle name="Pence" xfId="49"/>
    <cellStyle name="Percent 2" xfId="4"/>
    <cellStyle name="Procent" xfId="1" builtinId="5"/>
    <cellStyle name="rubrik1" xfId="50"/>
    <cellStyle name="Rubrik2" xfId="51"/>
    <cellStyle name="Rubrik3" xfId="52"/>
    <cellStyle name="Tal" xfId="53"/>
    <cellStyle name="Thousands [0]" xfId="54"/>
    <cellStyle name="Thousands [1]" xfId="55"/>
    <cellStyle name="Times_under" xfId="56"/>
    <cellStyle name="timesales2under" xfId="57"/>
    <cellStyle name="underline" xfId="58"/>
    <cellStyle name="årtal" xfId="59"/>
    <cellStyle name="Ärenderubrik" xfId="60"/>
  </cellStyles>
  <dxfs count="0"/>
  <tableStyles count="0" defaultTableStyle="TableStyleMedium2" defaultPivotStyle="PivotStyleLight16"/>
  <colors>
    <mruColors>
      <color rgb="FF1217DE"/>
      <color rgb="FFFFFFFF"/>
      <color rgb="FFFF6600"/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5" Type="http://schemas.openxmlformats.org/officeDocument/2006/relationships/customXml" Target="../customXml/item1.xml"/><Relationship Id="rId16" Type="http://schemas.openxmlformats.org/officeDocument/2006/relationships/customXml" Target="../customXml/item2.xml"/><Relationship Id="rId1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externalLink" Target="externalLinks/externalLink3.xml"/><Relationship Id="rId10" Type="http://schemas.openxmlformats.org/officeDocument/2006/relationships/externalLink" Target="externalLinks/externalLink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Projected</a:t>
            </a:r>
            <a:r>
              <a:rPr lang="de-DE" sz="1200" baseline="0"/>
              <a:t> Net Sales and EBITDA (tSEK)</a:t>
            </a:r>
            <a:endParaRPr lang="de-DE" sz="12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Net Sales</c:v>
          </c:tx>
          <c:spPr>
            <a:solidFill>
              <a:schemeClr val="tx2"/>
            </a:solidFill>
          </c:spPr>
          <c:invertIfNegative val="0"/>
          <c:cat>
            <c:numRef>
              <c:f>Input!$H$21:$N$21</c:f>
              <c:numCache>
                <c:formatCode>0"E"</c:formatCode>
                <c:ptCount val="7"/>
                <c:pt idx="0">
                  <c:v>2017.0</c:v>
                </c:pt>
                <c:pt idx="1">
                  <c:v>2018.0</c:v>
                </c:pt>
                <c:pt idx="2">
                  <c:v>2019.0</c:v>
                </c:pt>
                <c:pt idx="3">
                  <c:v>2020.0</c:v>
                </c:pt>
                <c:pt idx="4">
                  <c:v>2021.0</c:v>
                </c:pt>
                <c:pt idx="5">
                  <c:v>2022.0</c:v>
                </c:pt>
                <c:pt idx="6">
                  <c:v>2023.0</c:v>
                </c:pt>
              </c:numCache>
            </c:numRef>
          </c:cat>
          <c:val>
            <c:numRef>
              <c:f>Input!$H$28:$N$28</c:f>
              <c:numCache>
                <c:formatCode>#,##0.0</c:formatCode>
                <c:ptCount val="7"/>
                <c:pt idx="0">
                  <c:v>1.0</c:v>
                </c:pt>
                <c:pt idx="1">
                  <c:v>241.9</c:v>
                </c:pt>
                <c:pt idx="2">
                  <c:v>1790.06</c:v>
                </c:pt>
                <c:pt idx="3">
                  <c:v>6175.707000000001</c:v>
                </c:pt>
                <c:pt idx="4">
                  <c:v>18527.121</c:v>
                </c:pt>
                <c:pt idx="5">
                  <c:v>31496.1057</c:v>
                </c:pt>
                <c:pt idx="6">
                  <c:v>37795.32684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144-4DF4-AF04-9A2C7C523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0614848"/>
        <c:axId val="1510616896"/>
      </c:barChart>
      <c:lineChart>
        <c:grouping val="standard"/>
        <c:varyColors val="0"/>
        <c:ser>
          <c:idx val="0"/>
          <c:order val="1"/>
          <c:tx>
            <c:v>EBITDA</c:v>
          </c:tx>
          <c:spPr>
            <a:ln>
              <a:solidFill>
                <a:srgbClr val="008000"/>
              </a:solidFill>
            </a:ln>
          </c:spPr>
          <c:marker>
            <c:spPr>
              <a:solidFill>
                <a:srgbClr val="008000"/>
              </a:solidFill>
              <a:ln>
                <a:solidFill>
                  <a:srgbClr val="008000"/>
                </a:solidFill>
              </a:ln>
            </c:spPr>
          </c:marker>
          <c:cat>
            <c:numRef>
              <c:f>Input!$H$21:$N$21</c:f>
              <c:numCache>
                <c:formatCode>0"E"</c:formatCode>
                <c:ptCount val="7"/>
                <c:pt idx="0">
                  <c:v>2017.0</c:v>
                </c:pt>
                <c:pt idx="1">
                  <c:v>2018.0</c:v>
                </c:pt>
                <c:pt idx="2">
                  <c:v>2019.0</c:v>
                </c:pt>
                <c:pt idx="3">
                  <c:v>2020.0</c:v>
                </c:pt>
                <c:pt idx="4">
                  <c:v>2021.0</c:v>
                </c:pt>
                <c:pt idx="5">
                  <c:v>2022.0</c:v>
                </c:pt>
                <c:pt idx="6">
                  <c:v>2023.0</c:v>
                </c:pt>
              </c:numCache>
            </c:numRef>
          </c:cat>
          <c:val>
            <c:numRef>
              <c:f>Input!$H$40:$N$40</c:f>
              <c:numCache>
                <c:formatCode>#,##0.0</c:formatCode>
                <c:ptCount val="7"/>
                <c:pt idx="0">
                  <c:v>0.0</c:v>
                </c:pt>
                <c:pt idx="1">
                  <c:v>-58.1</c:v>
                </c:pt>
                <c:pt idx="2">
                  <c:v>700.0600000000002</c:v>
                </c:pt>
                <c:pt idx="3">
                  <c:v>3175.707000000001</c:v>
                </c:pt>
                <c:pt idx="4">
                  <c:v>11761.6968</c:v>
                </c:pt>
                <c:pt idx="5">
                  <c:v>16341.468705</c:v>
                </c:pt>
                <c:pt idx="6">
                  <c:v>20022.862446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144-4DF4-AF04-9A2C7C523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0622048"/>
        <c:axId val="1510619728"/>
      </c:lineChart>
      <c:catAx>
        <c:axId val="1510614848"/>
        <c:scaling>
          <c:orientation val="minMax"/>
        </c:scaling>
        <c:delete val="0"/>
        <c:axPos val="b"/>
        <c:numFmt formatCode="0&quot;E&quot;" sourceLinked="1"/>
        <c:majorTickMark val="out"/>
        <c:minorTickMark val="none"/>
        <c:tickLblPos val="nextTo"/>
        <c:crossAx val="1510616896"/>
        <c:crosses val="autoZero"/>
        <c:auto val="1"/>
        <c:lblAlgn val="ctr"/>
        <c:lblOffset val="100"/>
        <c:noMultiLvlLbl val="0"/>
      </c:catAx>
      <c:valAx>
        <c:axId val="1510616896"/>
        <c:scaling>
          <c:orientation val="minMax"/>
        </c:scaling>
        <c:delete val="0"/>
        <c:axPos val="l"/>
        <c:numFmt formatCode="#,##0.0" sourceLinked="1"/>
        <c:majorTickMark val="out"/>
        <c:minorTickMark val="none"/>
        <c:tickLblPos val="nextTo"/>
        <c:crossAx val="1510614848"/>
        <c:crosses val="autoZero"/>
        <c:crossBetween val="between"/>
      </c:valAx>
      <c:valAx>
        <c:axId val="1510619728"/>
        <c:scaling>
          <c:orientation val="minMax"/>
        </c:scaling>
        <c:delete val="0"/>
        <c:axPos val="r"/>
        <c:numFmt formatCode="#,##0.0" sourceLinked="1"/>
        <c:majorTickMark val="out"/>
        <c:minorTickMark val="none"/>
        <c:tickLblPos val="nextTo"/>
        <c:crossAx val="1510622048"/>
        <c:crosses val="max"/>
        <c:crossBetween val="between"/>
      </c:valAx>
      <c:catAx>
        <c:axId val="1510622048"/>
        <c:scaling>
          <c:orientation val="minMax"/>
        </c:scaling>
        <c:delete val="1"/>
        <c:axPos val="b"/>
        <c:numFmt formatCode="0&quot;E&quot;" sourceLinked="1"/>
        <c:majorTickMark val="out"/>
        <c:minorTickMark val="none"/>
        <c:tickLblPos val="nextTo"/>
        <c:crossAx val="1510619728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Management</a:t>
            </a:r>
            <a:r>
              <a:rPr lang="de-DE" sz="1200" baseline="0"/>
              <a:t> </a:t>
            </a:r>
            <a:r>
              <a:rPr lang="en-US" altLang="zh-TW" sz="1200" baseline="0"/>
              <a:t>and Adjusted Forecast </a:t>
            </a:r>
            <a:r>
              <a:rPr lang="de-DE" altLang="zh-TW" sz="1200" baseline="0"/>
              <a:t>(tSEK</a:t>
            </a:r>
            <a:r>
              <a:rPr lang="de-DE" sz="1200" baseline="0"/>
              <a:t>)</a:t>
            </a:r>
            <a:endParaRPr lang="de-DE" sz="12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Input!$S$63</c:f>
              <c:strCache>
                <c:ptCount val="1"/>
                <c:pt idx="0">
                  <c:v>Management net sales 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Input!$T$62:$V$62</c:f>
              <c:strCache>
                <c:ptCount val="3"/>
                <c:pt idx="0">
                  <c:v>2017E</c:v>
                </c:pt>
                <c:pt idx="1">
                  <c:v>2018E</c:v>
                </c:pt>
                <c:pt idx="2">
                  <c:v>2019E</c:v>
                </c:pt>
              </c:strCache>
            </c:strRef>
          </c:cat>
          <c:val>
            <c:numRef>
              <c:f>Input!$T$63:$V$63</c:f>
              <c:numCache>
                <c:formatCode>#,##0</c:formatCode>
                <c:ptCount val="3"/>
                <c:pt idx="0">
                  <c:v>1.0</c:v>
                </c:pt>
                <c:pt idx="1">
                  <c:v>241.9</c:v>
                </c:pt>
                <c:pt idx="2">
                  <c:v>1790.06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753-40A8-9D4A-8947266D8BDE}"/>
            </c:ext>
          </c:extLst>
        </c:ser>
        <c:ser>
          <c:idx val="0"/>
          <c:order val="1"/>
          <c:tx>
            <c:strRef>
              <c:f>Input!$S$64</c:f>
              <c:strCache>
                <c:ptCount val="1"/>
                <c:pt idx="0">
                  <c:v>Adjusted net sales 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Input!$T$62:$V$62</c:f>
              <c:strCache>
                <c:ptCount val="3"/>
                <c:pt idx="0">
                  <c:v>2017E</c:v>
                </c:pt>
                <c:pt idx="1">
                  <c:v>2018E</c:v>
                </c:pt>
                <c:pt idx="2">
                  <c:v>2019E</c:v>
                </c:pt>
              </c:strCache>
            </c:strRef>
          </c:cat>
          <c:val>
            <c:numRef>
              <c:f>Input!$T$64:$V$64</c:f>
              <c:numCache>
                <c:formatCode>#,##0</c:formatCode>
                <c:ptCount val="3"/>
                <c:pt idx="0">
                  <c:v>1.0</c:v>
                </c:pt>
                <c:pt idx="1">
                  <c:v>241.9</c:v>
                </c:pt>
                <c:pt idx="2">
                  <c:v>1790.06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753-40A8-9D4A-8947266D8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0658176"/>
        <c:axId val="1510660224"/>
      </c:barChart>
      <c:lineChart>
        <c:grouping val="standard"/>
        <c:varyColors val="0"/>
        <c:ser>
          <c:idx val="2"/>
          <c:order val="2"/>
          <c:tx>
            <c:strRef>
              <c:f>Input!$S$65</c:f>
              <c:strCache>
                <c:ptCount val="1"/>
                <c:pt idx="0">
                  <c:v>Management EBITDA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strRef>
              <c:f>Input!$T$62:$V$62</c:f>
              <c:strCache>
                <c:ptCount val="3"/>
                <c:pt idx="0">
                  <c:v>2017E</c:v>
                </c:pt>
                <c:pt idx="1">
                  <c:v>2018E</c:v>
                </c:pt>
                <c:pt idx="2">
                  <c:v>2019E</c:v>
                </c:pt>
              </c:strCache>
            </c:strRef>
          </c:cat>
          <c:val>
            <c:numRef>
              <c:f>Input!$T$65:$V$65</c:f>
              <c:numCache>
                <c:formatCode>#,##0</c:formatCode>
                <c:ptCount val="3"/>
                <c:pt idx="0">
                  <c:v>0.0</c:v>
                </c:pt>
                <c:pt idx="1">
                  <c:v>-58.1</c:v>
                </c:pt>
                <c:pt idx="2">
                  <c:v>700.0600000000002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753-40A8-9D4A-8947266D8BDE}"/>
            </c:ext>
          </c:extLst>
        </c:ser>
        <c:ser>
          <c:idx val="3"/>
          <c:order val="3"/>
          <c:tx>
            <c:strRef>
              <c:f>Input!$S$66</c:f>
              <c:strCache>
                <c:ptCount val="1"/>
                <c:pt idx="0">
                  <c:v>Adjusted EBITDA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pPr>
              <a:ln>
                <a:solidFill>
                  <a:srgbClr val="C00000"/>
                </a:solidFill>
              </a:ln>
            </c:spPr>
          </c:marker>
          <c:cat>
            <c:strRef>
              <c:f>Input!$T$62:$V$62</c:f>
              <c:strCache>
                <c:ptCount val="3"/>
                <c:pt idx="0">
                  <c:v>2017E</c:v>
                </c:pt>
                <c:pt idx="1">
                  <c:v>2018E</c:v>
                </c:pt>
                <c:pt idx="2">
                  <c:v>2019E</c:v>
                </c:pt>
              </c:strCache>
            </c:strRef>
          </c:cat>
          <c:val>
            <c:numRef>
              <c:f>Input!$T$66:$V$66</c:f>
              <c:numCache>
                <c:formatCode>#,##0</c:formatCode>
                <c:ptCount val="3"/>
                <c:pt idx="0">
                  <c:v>0.0</c:v>
                </c:pt>
                <c:pt idx="1">
                  <c:v>-58.1</c:v>
                </c:pt>
                <c:pt idx="2">
                  <c:v>700.0600000000002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753-40A8-9D4A-8947266D8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0664864"/>
        <c:axId val="1510662544"/>
      </c:lineChart>
      <c:catAx>
        <c:axId val="151065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0660224"/>
        <c:crosses val="autoZero"/>
        <c:auto val="1"/>
        <c:lblAlgn val="ctr"/>
        <c:lblOffset val="100"/>
        <c:noMultiLvlLbl val="0"/>
      </c:catAx>
      <c:valAx>
        <c:axId val="151066022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1510658176"/>
        <c:crosses val="autoZero"/>
        <c:crossBetween val="between"/>
      </c:valAx>
      <c:valAx>
        <c:axId val="1510662544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crossAx val="1510664864"/>
        <c:crosses val="max"/>
        <c:crossBetween val="between"/>
      </c:valAx>
      <c:catAx>
        <c:axId val="1510664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10662544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emf"/><Relationship Id="rId3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1</xdr:row>
      <xdr:rowOff>0</xdr:rowOff>
    </xdr:from>
    <xdr:to>
      <xdr:col>1</xdr:col>
      <xdr:colOff>4809754</xdr:colOff>
      <xdr:row>1</xdr:row>
      <xdr:rowOff>451105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76200"/>
          <a:ext cx="4764034" cy="4511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12700</xdr:colOff>
      <xdr:row>39</xdr:row>
      <xdr:rowOff>88900</xdr:rowOff>
    </xdr:from>
    <xdr:to>
      <xdr:col>25</xdr:col>
      <xdr:colOff>194733</xdr:colOff>
      <xdr:row>58</xdr:row>
      <xdr:rowOff>131234</xdr:rowOff>
    </xdr:to>
    <xdr:graphicFrame macro="">
      <xdr:nvGraphicFramePr>
        <xdr:cNvPr id="3" name="Diagramm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869461</xdr:colOff>
      <xdr:row>67</xdr:row>
      <xdr:rowOff>9770</xdr:rowOff>
    </xdr:from>
    <xdr:to>
      <xdr:col>25</xdr:col>
      <xdr:colOff>225781</xdr:colOff>
      <xdr:row>92</xdr:row>
      <xdr:rowOff>25005</xdr:rowOff>
    </xdr:to>
    <xdr:graphicFrame macro="">
      <xdr:nvGraphicFramePr>
        <xdr:cNvPr id="4" name="Diagramm 2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15240</xdr:colOff>
      <xdr:row>1</xdr:row>
      <xdr:rowOff>6810</xdr:rowOff>
    </xdr:from>
    <xdr:to>
      <xdr:col>6</xdr:col>
      <xdr:colOff>175260</xdr:colOff>
      <xdr:row>1</xdr:row>
      <xdr:rowOff>501783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" y="83010"/>
          <a:ext cx="5227320" cy="4949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85725</xdr:rowOff>
    </xdr:from>
    <xdr:to>
      <xdr:col>2</xdr:col>
      <xdr:colOff>439806</xdr:colOff>
      <xdr:row>1</xdr:row>
      <xdr:rowOff>86634</xdr:rowOff>
    </xdr:to>
    <xdr:pic>
      <xdr:nvPicPr>
        <xdr:cNvPr id="4" name="Bildobjekt 2" descr="Bonnier_BLACK.tif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2950" y="152400"/>
          <a:ext cx="1656" cy="771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95250</xdr:colOff>
      <xdr:row>1</xdr:row>
      <xdr:rowOff>66675</xdr:rowOff>
    </xdr:from>
    <xdr:to>
      <xdr:col>4</xdr:col>
      <xdr:colOff>816860</xdr:colOff>
      <xdr:row>1</xdr:row>
      <xdr:rowOff>68332</xdr:rowOff>
    </xdr:to>
    <xdr:pic>
      <xdr:nvPicPr>
        <xdr:cNvPr id="5" name="Bildobjekt 2" descr="Bonnier_BLACK.tif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8200" y="133350"/>
          <a:ext cx="2695907" cy="4174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522111</xdr:colOff>
      <xdr:row>39</xdr:row>
      <xdr:rowOff>112888</xdr:rowOff>
    </xdr:from>
    <xdr:to>
      <xdr:col>14</xdr:col>
      <xdr:colOff>128411</xdr:colOff>
      <xdr:row>60</xdr:row>
      <xdr:rowOff>162277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2111" y="6704188"/>
          <a:ext cx="8839200" cy="31964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85725</xdr:rowOff>
    </xdr:from>
    <xdr:to>
      <xdr:col>2</xdr:col>
      <xdr:colOff>439806</xdr:colOff>
      <xdr:row>1</xdr:row>
      <xdr:rowOff>86634</xdr:rowOff>
    </xdr:to>
    <xdr:pic>
      <xdr:nvPicPr>
        <xdr:cNvPr id="7" name="Bildobjekt 2" descr="Bonnier_BLACK.tif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7220" y="161925"/>
          <a:ext cx="439806" cy="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95250</xdr:colOff>
      <xdr:row>1</xdr:row>
      <xdr:rowOff>66675</xdr:rowOff>
    </xdr:from>
    <xdr:to>
      <xdr:col>4</xdr:col>
      <xdr:colOff>816860</xdr:colOff>
      <xdr:row>1</xdr:row>
      <xdr:rowOff>68332</xdr:rowOff>
    </xdr:to>
    <xdr:pic>
      <xdr:nvPicPr>
        <xdr:cNvPr id="8" name="Bildobjekt 2" descr="Bonnier_BLACK.tif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" y="142875"/>
          <a:ext cx="3398770" cy="16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15240</xdr:colOff>
      <xdr:row>1</xdr:row>
      <xdr:rowOff>6810</xdr:rowOff>
    </xdr:from>
    <xdr:to>
      <xdr:col>7</xdr:col>
      <xdr:colOff>556260</xdr:colOff>
      <xdr:row>1</xdr:row>
      <xdr:rowOff>501783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" y="83010"/>
          <a:ext cx="5227320" cy="4949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</xdr:row>
      <xdr:rowOff>6810</xdr:rowOff>
    </xdr:from>
    <xdr:to>
      <xdr:col>8</xdr:col>
      <xdr:colOff>594360</xdr:colOff>
      <xdr:row>1</xdr:row>
      <xdr:rowOff>501783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" y="83010"/>
          <a:ext cx="5227320" cy="494973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</xdr:colOff>
      <xdr:row>1</xdr:row>
      <xdr:rowOff>6810</xdr:rowOff>
    </xdr:from>
    <xdr:to>
      <xdr:col>30</xdr:col>
      <xdr:colOff>0</xdr:colOff>
      <xdr:row>1</xdr:row>
      <xdr:rowOff>501783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4440" y="83010"/>
          <a:ext cx="5227320" cy="4949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85725</xdr:rowOff>
    </xdr:from>
    <xdr:to>
      <xdr:col>2</xdr:col>
      <xdr:colOff>1656</xdr:colOff>
      <xdr:row>1</xdr:row>
      <xdr:rowOff>162834</xdr:rowOff>
    </xdr:to>
    <xdr:pic>
      <xdr:nvPicPr>
        <xdr:cNvPr id="3" name="Bildobjekt 2" descr="Bonnier_BLACK.tif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5325" y="466725"/>
          <a:ext cx="2162175" cy="343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</xdr:row>
      <xdr:rowOff>85725</xdr:rowOff>
    </xdr:from>
    <xdr:to>
      <xdr:col>2</xdr:col>
      <xdr:colOff>1656</xdr:colOff>
      <xdr:row>1</xdr:row>
      <xdr:rowOff>162834</xdr:rowOff>
    </xdr:to>
    <xdr:pic>
      <xdr:nvPicPr>
        <xdr:cNvPr id="5" name="Bildobjekt 2" descr="Bonnier_BLACK.tif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7240" y="161925"/>
          <a:ext cx="1656" cy="771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15240</xdr:colOff>
      <xdr:row>1</xdr:row>
      <xdr:rowOff>6810</xdr:rowOff>
    </xdr:from>
    <xdr:to>
      <xdr:col>9</xdr:col>
      <xdr:colOff>83820</xdr:colOff>
      <xdr:row>1</xdr:row>
      <xdr:rowOff>501783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83010"/>
          <a:ext cx="5227320" cy="4949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</xdr:row>
      <xdr:rowOff>6811</xdr:rowOff>
    </xdr:from>
    <xdr:to>
      <xdr:col>8</xdr:col>
      <xdr:colOff>15240</xdr:colOff>
      <xdr:row>2</xdr:row>
      <xdr:rowOff>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" y="83011"/>
          <a:ext cx="5227320" cy="50373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q_mall5%2012%20marg%20og%20nye%20prod%20(Frida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nni_yyh/Google%20Drive/NFT_global/Evaluation/Pitch%20Decks/SE/Minatja&#776;nster%20/09%20Project%20World%20Acqusition%20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050928%20Magnum%20BP%200.9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nni_yyh/Google%20Drive/NFT_global/Evaluation/Pitch%20Decks/SE/Minatja&#776;nster%20/Output%20pages%20I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s"/>
      <sheetName val="Instructions"/>
      <sheetName val="FirstPage"/>
      <sheetName val="Contents"/>
      <sheetName val="1a. ValuationSummarya"/>
      <sheetName val="1b.ValuationSummary"/>
      <sheetName val="2a. Diagram"/>
      <sheetName val="2b. Diagram"/>
      <sheetName val="3.ForecastIS"/>
      <sheetName val="4.ForecastBR"/>
      <sheetName val="5. Cash Flow"/>
      <sheetName val="6.Groupeffects"/>
      <sheetName val="7.Input(historical)"/>
      <sheetName val="8.Input(future)"/>
      <sheetName val="9.Input(Valuation)"/>
      <sheetName val="10.Input(Price)"/>
      <sheetName val="10.Sensitivity"/>
      <sheetName val="11.ToPowerPoint"/>
      <sheetName val="11.Base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3">
          <cell r="J13" t="str">
            <v>World Publications</v>
          </cell>
        </row>
        <row r="14">
          <cell r="J14">
            <v>2005</v>
          </cell>
        </row>
        <row r="19">
          <cell r="J19" t="str">
            <v>TUSD</v>
          </cell>
        </row>
        <row r="20">
          <cell r="J20">
            <v>7.89</v>
          </cell>
        </row>
      </sheetData>
      <sheetData sheetId="13" refreshError="1"/>
      <sheetData sheetId="14" refreshError="1">
        <row r="29">
          <cell r="I29">
            <v>0.1</v>
          </cell>
        </row>
        <row r="36">
          <cell r="I36">
            <v>0.03</v>
          </cell>
        </row>
      </sheetData>
      <sheetData sheetId="15" refreshError="1">
        <row r="39">
          <cell r="G39">
            <v>1</v>
          </cell>
        </row>
      </sheetData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.Input(Price)"/>
      <sheetName val="7.Input(historical)"/>
      <sheetName val="9.Input(Valuation)"/>
      <sheetName val="5. Cash Flow"/>
      <sheetName val="ToDos"/>
      <sheetName val="Instructions"/>
      <sheetName val="FirstPage"/>
      <sheetName val="Contents"/>
      <sheetName val="1a. ValuationSummary"/>
      <sheetName val="1b.ValuationSummary"/>
      <sheetName val="1b.ValuationSummary (Steps)"/>
      <sheetName val="Key Financials"/>
      <sheetName val="Acquisition Price"/>
      <sheetName val="Charts"/>
      <sheetName val="By Title"/>
      <sheetName val="New Input"/>
      <sheetName val="2a. Diagram"/>
      <sheetName val="2b. Diagram"/>
      <sheetName val="3.ForecastIS"/>
      <sheetName val="4.ForecastBR"/>
      <sheetName val="6.Groupeffects"/>
      <sheetName val="8.Input(future)"/>
      <sheetName val="10.Sensitivity"/>
      <sheetName val="11.ToPowerPoint"/>
      <sheetName val="11.BaseData"/>
    </sheetNames>
    <sheetDataSet>
      <sheetData sheetId="0" refreshError="1">
        <row r="8">
          <cell r="G8">
            <v>1</v>
          </cell>
        </row>
        <row r="64">
          <cell r="K64">
            <v>0</v>
          </cell>
        </row>
        <row r="69">
          <cell r="K69">
            <v>141509</v>
          </cell>
        </row>
      </sheetData>
      <sheetData sheetId="1" refreshError="1">
        <row r="3">
          <cell r="J3">
            <v>2005</v>
          </cell>
        </row>
        <row r="15">
          <cell r="J15">
            <v>38718</v>
          </cell>
        </row>
      </sheetData>
      <sheetData sheetId="2" refreshError="1">
        <row r="39">
          <cell r="I39">
            <v>0</v>
          </cell>
        </row>
      </sheetData>
      <sheetData sheetId="3" refreshError="1">
        <row r="58">
          <cell r="G58">
            <v>1</v>
          </cell>
        </row>
        <row r="60">
          <cell r="G60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Valuation"/>
      <sheetName val="Profit &amp; Loss (EUR)"/>
      <sheetName val="Balance Sheet (EUR)"/>
      <sheetName val="Cash Flow (EUR)"/>
      <sheetName val="Profit &amp; Loss (HRK)"/>
      <sheetName val="Balance Sheet (HRK)"/>
      <sheetName val="Cash Flow (HRK)"/>
      <sheetName val="Workings"/>
      <sheetName val="Financing"/>
      <sheetName val="Macroeconomics"/>
      <sheetName val="Comparables"/>
      <sheetName val="Template"/>
      <sheetName val="LT Loans"/>
      <sheetName val="Subsidiaries"/>
      <sheetName val="Sheet2"/>
      <sheetName val="Profit &amp; Loss Audi &amp; Citroen"/>
      <sheetName val="Balance Sheet Audi &amp; Citroen"/>
      <sheetName val="Cash Flow Audi &amp; Citroen"/>
      <sheetName val="Profit &amp; Loss Consolidated"/>
      <sheetName val="Balance Sheet consolidated"/>
      <sheetName val="Workings Audi &amp; Citroen"/>
    </sheetNames>
    <sheetDataSet>
      <sheetData sheetId="0">
        <row r="7">
          <cell r="F7">
            <v>7.407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>
        <row r="7">
          <cell r="F7">
            <v>7.407</v>
          </cell>
          <cell r="G7">
            <v>7.5629999999999997</v>
          </cell>
          <cell r="H7">
            <v>7.4950000000000001</v>
          </cell>
          <cell r="I7">
            <v>7.4</v>
          </cell>
          <cell r="J7">
            <v>7.5</v>
          </cell>
          <cell r="K7">
            <v>7.5</v>
          </cell>
          <cell r="L7">
            <v>7.5</v>
          </cell>
          <cell r="M7">
            <v>7.5</v>
          </cell>
        </row>
        <row r="23">
          <cell r="F23">
            <v>0.2</v>
          </cell>
          <cell r="G23">
            <v>0.2</v>
          </cell>
          <cell r="H23">
            <v>0.2</v>
          </cell>
          <cell r="I23">
            <v>0.2</v>
          </cell>
          <cell r="J23">
            <v>0.2</v>
          </cell>
          <cell r="K23">
            <v>0.2</v>
          </cell>
          <cell r="L23">
            <v>0.2</v>
          </cell>
          <cell r="M23">
            <v>0.2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Summary output"/>
      <sheetName val="Business Case output"/>
      <sheetName val="User Guide"/>
      <sheetName val="Cover Page"/>
      <sheetName val="Earn-out"/>
      <sheetName val="LBO"/>
      <sheetName val="Sensitivity Analysis"/>
      <sheetName val="Key Financials - Appendix"/>
      <sheetName val="DCF - Appendix"/>
      <sheetName val="Charts"/>
      <sheetName val="Follow up --&gt;"/>
      <sheetName val="Follow up input"/>
      <sheetName val="Follow up output"/>
      <sheetName val="Bonnier Impact"/>
      <sheetName val="Key decision parameters"/>
    </sheetNames>
    <sheetDataSet>
      <sheetData sheetId="0" refreshError="1">
        <row r="11">
          <cell r="F11" t="str">
            <v>XYZ</v>
          </cell>
        </row>
        <row r="24">
          <cell r="C24" t="str">
            <v>Net Sales</v>
          </cell>
        </row>
        <row r="25">
          <cell r="C25" t="str">
            <v>Growth</v>
          </cell>
        </row>
        <row r="35">
          <cell r="C35" t="str">
            <v>EBITDA</v>
          </cell>
        </row>
        <row r="36">
          <cell r="C36" t="str">
            <v>Margin</v>
          </cell>
        </row>
        <row r="39">
          <cell r="C39" t="str">
            <v>EBITA</v>
          </cell>
        </row>
        <row r="40">
          <cell r="C40" t="str">
            <v>Margin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onnier Color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CE400"/>
      </a:accent1>
      <a:accent2>
        <a:srgbClr val="BED200"/>
      </a:accent2>
      <a:accent3>
        <a:srgbClr val="DA39AF"/>
      </a:accent3>
      <a:accent4>
        <a:srgbClr val="00B1E6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showGridLines="0" zoomScaleSheetLayoutView="100" workbookViewId="0"/>
  </sheetViews>
  <sheetFormatPr baseColWidth="10" defaultColWidth="0" defaultRowHeight="13" zeroHeight="1" x14ac:dyDescent="0.15"/>
  <cols>
    <col min="1" max="1" width="7.6640625" style="101" customWidth="1"/>
    <col min="2" max="2" width="114.6640625" style="101" customWidth="1"/>
    <col min="3" max="3" width="8.83203125" style="101" customWidth="1"/>
    <col min="4" max="16384" width="8.83203125" style="101" hidden="1"/>
  </cols>
  <sheetData>
    <row r="1" spans="1:2" ht="6" customHeight="1" x14ac:dyDescent="0.15"/>
    <row r="2" spans="1:2" ht="63" customHeight="1" x14ac:dyDescent="0.25">
      <c r="B2" s="330" t="s">
        <v>0</v>
      </c>
    </row>
    <row r="3" spans="1:2" ht="6" customHeight="1" x14ac:dyDescent="0.15"/>
    <row r="4" spans="1:2" ht="14" x14ac:dyDescent="0.15">
      <c r="B4" s="118" t="s">
        <v>1</v>
      </c>
    </row>
    <row r="5" spans="1:2" ht="3" customHeight="1" x14ac:dyDescent="0.15">
      <c r="B5" s="295" t="s">
        <v>2</v>
      </c>
    </row>
    <row r="6" spans="1:2" ht="3" customHeight="1" x14ac:dyDescent="0.15"/>
    <row r="7" spans="1:2" ht="22.5" customHeight="1" x14ac:dyDescent="0.15">
      <c r="B7" s="293" t="s">
        <v>3</v>
      </c>
    </row>
    <row r="8" spans="1:2" ht="3" customHeight="1" x14ac:dyDescent="0.15"/>
    <row r="9" spans="1:2" x14ac:dyDescent="0.15">
      <c r="B9" s="230" t="s">
        <v>4</v>
      </c>
    </row>
    <row r="10" spans="1:2" x14ac:dyDescent="0.15">
      <c r="B10" s="103" t="s">
        <v>5</v>
      </c>
    </row>
    <row r="11" spans="1:2" x14ac:dyDescent="0.15">
      <c r="B11" s="103" t="s">
        <v>6</v>
      </c>
    </row>
    <row r="12" spans="1:2" x14ac:dyDescent="0.15">
      <c r="B12" s="103" t="s">
        <v>7</v>
      </c>
    </row>
    <row r="13" spans="1:2" ht="3" customHeight="1" x14ac:dyDescent="0.15">
      <c r="B13" s="102"/>
    </row>
    <row r="14" spans="1:2" x14ac:dyDescent="0.15">
      <c r="B14" s="230" t="s">
        <v>8</v>
      </c>
    </row>
    <row r="15" spans="1:2" s="102" customFormat="1" x14ac:dyDescent="0.15">
      <c r="A15" s="101"/>
      <c r="B15" s="149" t="s">
        <v>9</v>
      </c>
    </row>
    <row r="16" spans="1:2" s="102" customFormat="1" x14ac:dyDescent="0.15">
      <c r="A16" s="101"/>
      <c r="B16" s="102" t="s">
        <v>10</v>
      </c>
    </row>
    <row r="17" spans="1:2" s="102" customFormat="1" x14ac:dyDescent="0.15">
      <c r="A17" s="101"/>
      <c r="B17" s="102" t="s">
        <v>11</v>
      </c>
    </row>
    <row r="18" spans="1:2" s="102" customFormat="1" x14ac:dyDescent="0.15">
      <c r="A18" s="101"/>
      <c r="B18" s="102" t="s">
        <v>12</v>
      </c>
    </row>
    <row r="19" spans="1:2" s="102" customFormat="1" x14ac:dyDescent="0.15">
      <c r="A19" s="101"/>
      <c r="B19" s="149" t="s">
        <v>13</v>
      </c>
    </row>
    <row r="20" spans="1:2" s="102" customFormat="1" x14ac:dyDescent="0.15">
      <c r="A20" s="101"/>
      <c r="B20" s="102" t="s">
        <v>14</v>
      </c>
    </row>
    <row r="21" spans="1:2" s="102" customFormat="1" x14ac:dyDescent="0.15">
      <c r="A21" s="101"/>
      <c r="B21" s="149" t="s">
        <v>15</v>
      </c>
    </row>
    <row r="22" spans="1:2" s="102" customFormat="1" x14ac:dyDescent="0.15">
      <c r="A22" s="101"/>
      <c r="B22" s="102" t="s">
        <v>16</v>
      </c>
    </row>
    <row r="23" spans="1:2" s="102" customFormat="1" x14ac:dyDescent="0.15">
      <c r="A23" s="101"/>
      <c r="B23" s="102" t="s">
        <v>17</v>
      </c>
    </row>
    <row r="24" spans="1:2" s="102" customFormat="1" x14ac:dyDescent="0.15">
      <c r="A24" s="101"/>
      <c r="B24" s="149" t="s">
        <v>18</v>
      </c>
    </row>
    <row r="25" spans="1:2" s="102" customFormat="1" x14ac:dyDescent="0.15">
      <c r="A25" s="101"/>
      <c r="B25" s="102" t="s">
        <v>19</v>
      </c>
    </row>
    <row r="26" spans="1:2" x14ac:dyDescent="0.15">
      <c r="B26" s="149" t="s">
        <v>20</v>
      </c>
    </row>
    <row r="27" spans="1:2" x14ac:dyDescent="0.15">
      <c r="B27" s="102" t="s">
        <v>21</v>
      </c>
    </row>
    <row r="28" spans="1:2" x14ac:dyDescent="0.15">
      <c r="B28" s="149" t="s">
        <v>22</v>
      </c>
    </row>
    <row r="29" spans="1:2" ht="3" customHeight="1" x14ac:dyDescent="0.15">
      <c r="B29" s="102"/>
    </row>
    <row r="30" spans="1:2" x14ac:dyDescent="0.15">
      <c r="B30" s="294" t="s">
        <v>23</v>
      </c>
    </row>
    <row r="31" spans="1:2" ht="3" customHeight="1" x14ac:dyDescent="0.15">
      <c r="B31" s="102"/>
    </row>
    <row r="32" spans="1:2" s="104" customFormat="1" ht="11.25" customHeight="1" x14ac:dyDescent="0.2"/>
    <row r="33" s="104" customFormat="1" ht="16" hidden="1" x14ac:dyDescent="0.2"/>
    <row r="34" s="104" customFormat="1" ht="16" hidden="1" x14ac:dyDescent="0.2"/>
    <row r="35" s="104" customFormat="1" ht="16" hidden="1" x14ac:dyDescent="0.2"/>
    <row r="36" s="104" customFormat="1" ht="16" hidden="1" x14ac:dyDescent="0.2"/>
    <row r="37" s="104" customFormat="1" ht="16" hidden="1" x14ac:dyDescent="0.2"/>
    <row r="38" s="104" customFormat="1" ht="16" hidden="1" x14ac:dyDescent="0.2"/>
    <row r="39" s="104" customFormat="1" ht="16" hidden="1" x14ac:dyDescent="0.2"/>
    <row r="40" s="104" customFormat="1" ht="16" hidden="1" x14ac:dyDescent="0.2"/>
    <row r="41" s="104" customFormat="1" ht="16" hidden="1" x14ac:dyDescent="0.2"/>
    <row r="42" s="104" customFormat="1" ht="16" hidden="1" x14ac:dyDescent="0.2"/>
    <row r="43" s="104" customFormat="1" ht="16" hidden="1" x14ac:dyDescent="0.2"/>
    <row r="44" s="104" customFormat="1" ht="16" hidden="1" x14ac:dyDescent="0.2"/>
    <row r="45" s="104" customFormat="1" ht="16" hidden="1" x14ac:dyDescent="0.2"/>
    <row r="46" s="104" customFormat="1" ht="16" hidden="1" x14ac:dyDescent="0.2"/>
    <row r="47" s="104" customFormat="1" ht="16" hidden="1" x14ac:dyDescent="0.2"/>
    <row r="48" s="104" customFormat="1" ht="16" hidden="1" x14ac:dyDescent="0.2"/>
    <row r="49" s="104" customFormat="1" ht="16" hidden="1" x14ac:dyDescent="0.2"/>
    <row r="50" s="104" customFormat="1" ht="16" hidden="1" x14ac:dyDescent="0.2"/>
    <row r="51" s="104" customFormat="1" ht="16" hidden="1" x14ac:dyDescent="0.2"/>
    <row r="52" s="104" customFormat="1" ht="16" hidden="1" x14ac:dyDescent="0.2"/>
    <row r="53" s="104" customFormat="1" ht="16" hidden="1" x14ac:dyDescent="0.2"/>
    <row r="54" s="104" customFormat="1" ht="16" hidden="1" x14ac:dyDescent="0.2"/>
    <row r="55" s="104" customFormat="1" ht="16" hidden="1" x14ac:dyDescent="0.2"/>
    <row r="56" s="104" customFormat="1" ht="16" hidden="1" x14ac:dyDescent="0.2"/>
    <row r="57" s="104" customFormat="1" ht="16" hidden="1" x14ac:dyDescent="0.2"/>
    <row r="58" s="104" customFormat="1" ht="16" hidden="1" x14ac:dyDescent="0.2"/>
    <row r="59" s="104" customFormat="1" ht="16" hidden="1" x14ac:dyDescent="0.2"/>
    <row r="60" s="104" customFormat="1" ht="16" hidden="1" x14ac:dyDescent="0.2"/>
    <row r="61" s="104" customFormat="1" ht="16" hidden="1" x14ac:dyDescent="0.2"/>
    <row r="62" s="104" customFormat="1" ht="16" hidden="1" x14ac:dyDescent="0.2"/>
    <row r="63" s="104" customFormat="1" ht="16" hidden="1" x14ac:dyDescent="0.2"/>
    <row r="64" s="104" customFormat="1" ht="16" hidden="1" x14ac:dyDescent="0.2"/>
    <row r="65" s="104" customFormat="1" ht="16" hidden="1" x14ac:dyDescent="0.2"/>
    <row r="66" s="104" customFormat="1" ht="16" hidden="1" x14ac:dyDescent="0.2"/>
    <row r="67" s="104" customFormat="1" ht="16" hidden="1" x14ac:dyDescent="0.2"/>
    <row r="68" s="104" customFormat="1" ht="16" hidden="1" x14ac:dyDescent="0.2"/>
    <row r="69" s="104" customFormat="1" ht="16" hidden="1" x14ac:dyDescent="0.2"/>
    <row r="70" s="104" customFormat="1" ht="16" hidden="1" x14ac:dyDescent="0.2"/>
    <row r="71" s="104" customFormat="1" ht="16" hidden="1" x14ac:dyDescent="0.2"/>
    <row r="72" s="104" customFormat="1" ht="16" hidden="1" x14ac:dyDescent="0.2"/>
    <row r="73" s="104" customFormat="1" ht="16" hidden="1" x14ac:dyDescent="0.2"/>
    <row r="74" s="104" customFormat="1" ht="16" hidden="1" x14ac:dyDescent="0.2"/>
    <row r="75" s="104" customFormat="1" ht="16" hidden="1" x14ac:dyDescent="0.2"/>
    <row r="76" s="104" customFormat="1" ht="16" hidden="1" x14ac:dyDescent="0.2"/>
    <row r="77" s="104" customFormat="1" ht="16" hidden="1" x14ac:dyDescent="0.2"/>
    <row r="78" s="104" customFormat="1" ht="16" hidden="1" x14ac:dyDescent="0.2"/>
    <row r="79" s="104" customFormat="1" ht="16" hidden="1" x14ac:dyDescent="0.2"/>
    <row r="80" s="104" customFormat="1" ht="16" hidden="1" x14ac:dyDescent="0.2"/>
    <row r="81" spans="2:2" s="104" customFormat="1" ht="16" hidden="1" x14ac:dyDescent="0.2"/>
    <row r="82" spans="2:2" s="104" customFormat="1" ht="16" hidden="1" x14ac:dyDescent="0.2"/>
    <row r="83" spans="2:2" s="104" customFormat="1" ht="16" hidden="1" x14ac:dyDescent="0.2"/>
    <row r="84" spans="2:2" s="104" customFormat="1" ht="16" hidden="1" x14ac:dyDescent="0.2">
      <c r="B84" s="101"/>
    </row>
    <row r="85" spans="2:2" hidden="1" x14ac:dyDescent="0.15"/>
  </sheetData>
  <printOptions horizontalCentered="1" verticalCentered="1"/>
  <pageMargins left="0.78740157480314965" right="0.78740157480314965" top="0.39370078740157483" bottom="0.39370078740157483" header="0.11811023622047245" footer="0.11811023622047245"/>
  <pageSetup paperSize="9" scale="90" orientation="portrait" r:id="rId1"/>
  <headerFooter alignWithMargins="0">
    <oddFooter>&amp;R&amp;D   &amp;T   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V167"/>
  <sheetViews>
    <sheetView showGridLines="0" tabSelected="1" topLeftCell="A13" zoomScaleSheetLayoutView="130" zoomScalePageLayoutView="130" workbookViewId="0">
      <selection activeCell="H150" sqref="H150"/>
    </sheetView>
  </sheetViews>
  <sheetFormatPr baseColWidth="10" defaultColWidth="8.83203125" defaultRowHeight="14" outlineLevelRow="1" x14ac:dyDescent="0.15"/>
  <cols>
    <col min="1" max="1" width="7.6640625" style="373" customWidth="1"/>
    <col min="2" max="2" width="37.6640625" style="373" customWidth="1"/>
    <col min="3" max="3" width="8.83203125" style="373"/>
    <col min="4" max="4" width="11.6640625" style="373" customWidth="1"/>
    <col min="5" max="5" width="7.83203125" style="373" customWidth="1"/>
    <col min="6" max="6" width="7.6640625" style="373" customWidth="1"/>
    <col min="7" max="7" width="9.83203125" style="373" customWidth="1"/>
    <col min="8" max="8" width="10" style="373" customWidth="1"/>
    <col min="9" max="9" width="10.33203125" style="373" bestFit="1" customWidth="1"/>
    <col min="10" max="10" width="11.33203125" style="373" bestFit="1" customWidth="1"/>
    <col min="11" max="11" width="11.83203125" style="373" bestFit="1" customWidth="1"/>
    <col min="12" max="12" width="10.83203125" style="373" bestFit="1" customWidth="1"/>
    <col min="13" max="13" width="11.1640625" style="373" customWidth="1"/>
    <col min="14" max="14" width="10.83203125" style="373" customWidth="1"/>
    <col min="15" max="15" width="10.83203125" style="373" bestFit="1" customWidth="1"/>
    <col min="16" max="16" width="10.5" style="373" customWidth="1"/>
    <col min="17" max="17" width="12.33203125" style="373" bestFit="1" customWidth="1"/>
    <col min="18" max="18" width="11.83203125" style="373" customWidth="1"/>
    <col min="19" max="19" width="17.83203125" style="373" customWidth="1"/>
    <col min="20" max="22" width="8.33203125" style="373" customWidth="1"/>
    <col min="23" max="23" width="10.5" style="373" bestFit="1" customWidth="1"/>
    <col min="24" max="24" width="12.83203125" style="373" customWidth="1"/>
    <col min="25" max="25" width="11.33203125" style="373" bestFit="1" customWidth="1"/>
    <col min="26" max="27" width="10.6640625" style="373" bestFit="1" customWidth="1"/>
    <col min="28" max="30" width="8.83203125" style="373"/>
    <col min="31" max="31" width="9.33203125" style="373" bestFit="1" customWidth="1"/>
    <col min="32" max="32" width="9.6640625" style="373" customWidth="1"/>
    <col min="33" max="33" width="10.1640625" style="373" customWidth="1"/>
    <col min="34" max="16384" width="8.83203125" style="373"/>
  </cols>
  <sheetData>
    <row r="1" spans="2:22" ht="6" customHeight="1" x14ac:dyDescent="0.15">
      <c r="R1" s="374"/>
      <c r="S1" s="374"/>
      <c r="T1" s="374"/>
      <c r="U1" s="374"/>
      <c r="V1" s="374"/>
    </row>
    <row r="2" spans="2:22" ht="40.5" customHeight="1" x14ac:dyDescent="0.15">
      <c r="B2" s="375"/>
      <c r="C2" s="376"/>
      <c r="D2" s="376"/>
      <c r="E2" s="376"/>
      <c r="F2" s="376"/>
      <c r="G2" s="376"/>
      <c r="H2" s="376"/>
      <c r="I2" s="376"/>
      <c r="J2" s="376"/>
      <c r="K2" s="376"/>
      <c r="L2" s="376"/>
      <c r="M2" s="376"/>
      <c r="N2" s="376"/>
      <c r="O2" s="376"/>
      <c r="P2" s="376"/>
      <c r="Q2" s="377"/>
    </row>
    <row r="3" spans="2:22" ht="6" customHeight="1" thickBot="1" x14ac:dyDescent="0.2"/>
    <row r="4" spans="2:22" ht="16" thickTop="1" thickBot="1" x14ac:dyDescent="0.2">
      <c r="B4" s="378" t="s">
        <v>24</v>
      </c>
      <c r="C4" s="379"/>
      <c r="D4" s="380" t="s">
        <v>25</v>
      </c>
      <c r="R4" s="374"/>
      <c r="S4" s="374"/>
      <c r="T4" s="374"/>
      <c r="U4" s="374"/>
      <c r="V4" s="374"/>
    </row>
    <row r="5" spans="2:22" ht="5.25" customHeight="1" thickTop="1" x14ac:dyDescent="0.15">
      <c r="B5" s="381"/>
      <c r="R5" s="374"/>
      <c r="S5" s="374"/>
      <c r="T5" s="374"/>
      <c r="U5" s="374"/>
      <c r="V5" s="374"/>
    </row>
    <row r="6" spans="2:22" ht="15" thickBot="1" x14ac:dyDescent="0.2">
      <c r="B6" s="382" t="s">
        <v>26</v>
      </c>
      <c r="C6" s="383"/>
      <c r="D6" s="383"/>
      <c r="E6" s="383"/>
      <c r="F6" s="383"/>
      <c r="G6" s="383"/>
      <c r="H6" s="383"/>
      <c r="I6" s="383"/>
      <c r="J6" s="383"/>
      <c r="K6" s="383"/>
      <c r="L6" s="383"/>
      <c r="M6" s="383"/>
      <c r="N6" s="383"/>
      <c r="O6" s="383"/>
      <c r="P6" s="383"/>
      <c r="Q6" s="383"/>
      <c r="R6" s="374"/>
      <c r="S6" s="374"/>
      <c r="T6" s="374"/>
      <c r="U6" s="374"/>
      <c r="V6" s="374"/>
    </row>
    <row r="7" spans="2:22" ht="6" customHeight="1" x14ac:dyDescent="0.15">
      <c r="R7" s="374"/>
      <c r="S7" s="374"/>
      <c r="T7" s="374"/>
      <c r="U7" s="374"/>
      <c r="V7" s="374"/>
    </row>
    <row r="8" spans="2:22" ht="13.5" customHeight="1" x14ac:dyDescent="0.15">
      <c r="B8" s="384" t="s">
        <v>27</v>
      </c>
      <c r="D8" s="575" t="s">
        <v>315</v>
      </c>
      <c r="G8" s="386" t="s">
        <v>28</v>
      </c>
      <c r="H8" s="387"/>
      <c r="I8" s="387"/>
      <c r="J8" s="387"/>
      <c r="K8" s="387"/>
      <c r="L8" s="388"/>
      <c r="M8" s="386" t="s">
        <v>29</v>
      </c>
      <c r="N8" s="387"/>
      <c r="O8" s="387"/>
      <c r="P8" s="387"/>
      <c r="Q8" s="387"/>
      <c r="R8" s="388"/>
      <c r="S8" s="374"/>
      <c r="T8" s="374"/>
      <c r="U8" s="374"/>
      <c r="V8" s="374"/>
    </row>
    <row r="9" spans="2:22" ht="13.5" customHeight="1" x14ac:dyDescent="0.15">
      <c r="B9" s="384" t="s">
        <v>30</v>
      </c>
      <c r="D9" s="385">
        <v>150000</v>
      </c>
      <c r="G9" s="384" t="s">
        <v>31</v>
      </c>
      <c r="H9" s="384"/>
      <c r="I9" s="384"/>
      <c r="J9" s="384"/>
      <c r="K9" s="389">
        <v>0.22</v>
      </c>
      <c r="L9" s="388"/>
      <c r="M9" s="390">
        <v>0</v>
      </c>
      <c r="N9" s="384" t="s">
        <v>32</v>
      </c>
      <c r="P9" s="388"/>
      <c r="Q9" s="388"/>
      <c r="R9" s="388"/>
      <c r="S9" s="374"/>
      <c r="T9" s="374"/>
      <c r="U9" s="374"/>
      <c r="V9" s="374"/>
    </row>
    <row r="10" spans="2:22" ht="13.5" customHeight="1" x14ac:dyDescent="0.15">
      <c r="B10" s="384" t="s">
        <v>33</v>
      </c>
      <c r="D10" s="391">
        <v>1</v>
      </c>
      <c r="G10" s="384" t="s">
        <v>34</v>
      </c>
      <c r="H10" s="392"/>
      <c r="I10" s="384"/>
      <c r="J10" s="384"/>
      <c r="K10" s="389">
        <v>0.04</v>
      </c>
      <c r="L10" s="388"/>
      <c r="M10" s="388"/>
      <c r="N10" s="384" t="s">
        <v>35</v>
      </c>
      <c r="O10" s="388"/>
      <c r="P10" s="388"/>
      <c r="Q10" s="388"/>
      <c r="R10" s="388"/>
    </row>
    <row r="11" spans="2:22" ht="13.5" customHeight="1" x14ac:dyDescent="0.15">
      <c r="B11" s="384" t="s">
        <v>36</v>
      </c>
      <c r="D11" s="574" t="s">
        <v>314</v>
      </c>
      <c r="G11" s="384" t="s">
        <v>37</v>
      </c>
      <c r="H11" s="392"/>
      <c r="I11" s="384"/>
      <c r="J11" s="384"/>
      <c r="K11" s="389">
        <v>0.01</v>
      </c>
      <c r="L11" s="388"/>
      <c r="M11" s="388"/>
      <c r="N11" s="388"/>
      <c r="O11" s="388"/>
      <c r="P11" s="388"/>
      <c r="Q11" s="388"/>
      <c r="R11" s="388"/>
    </row>
    <row r="12" spans="2:22" ht="13.5" customHeight="1" x14ac:dyDescent="0.15">
      <c r="B12" s="384" t="s">
        <v>38</v>
      </c>
      <c r="D12" s="393">
        <v>1</v>
      </c>
      <c r="G12" s="384" t="s">
        <v>39</v>
      </c>
      <c r="H12" s="392"/>
      <c r="I12" s="384"/>
      <c r="J12" s="384"/>
      <c r="K12" s="389">
        <v>0.04</v>
      </c>
      <c r="L12" s="388"/>
      <c r="M12" s="388"/>
      <c r="N12" s="388"/>
      <c r="O12" s="388"/>
      <c r="P12" s="388"/>
      <c r="Q12" s="388"/>
      <c r="R12" s="388"/>
    </row>
    <row r="13" spans="2:22" ht="13.5" customHeight="1" x14ac:dyDescent="0.15">
      <c r="B13" s="394" t="s">
        <v>40</v>
      </c>
      <c r="D13" s="395">
        <v>43125</v>
      </c>
      <c r="L13" s="388"/>
      <c r="M13" s="388"/>
      <c r="N13" s="388"/>
      <c r="O13" s="388"/>
      <c r="P13" s="388"/>
      <c r="Q13" s="388"/>
      <c r="R13" s="388"/>
    </row>
    <row r="14" spans="2:22" ht="13.5" customHeight="1" x14ac:dyDescent="0.15">
      <c r="B14" s="384" t="s">
        <v>41</v>
      </c>
      <c r="D14" s="396">
        <v>5</v>
      </c>
      <c r="E14" s="397"/>
      <c r="G14" s="386" t="s">
        <v>42</v>
      </c>
      <c r="H14" s="387"/>
      <c r="I14" s="387"/>
      <c r="J14" s="387"/>
      <c r="K14" s="387"/>
      <c r="L14" s="388"/>
      <c r="M14" s="388"/>
      <c r="N14" s="388"/>
      <c r="O14" s="388"/>
      <c r="P14" s="388"/>
      <c r="Q14" s="388"/>
      <c r="R14" s="388"/>
    </row>
    <row r="15" spans="2:22" ht="13.5" customHeight="1" x14ac:dyDescent="0.15">
      <c r="B15" s="384" t="s">
        <v>43</v>
      </c>
      <c r="D15" s="398">
        <v>2017</v>
      </c>
      <c r="G15" s="384" t="s">
        <v>44</v>
      </c>
      <c r="H15" s="384"/>
      <c r="I15" s="384"/>
      <c r="J15" s="392"/>
      <c r="K15" s="389">
        <v>0.25</v>
      </c>
      <c r="L15" s="399"/>
      <c r="M15" s="400"/>
      <c r="N15" s="400"/>
      <c r="O15" s="400"/>
    </row>
    <row r="16" spans="2:22" ht="13.5" customHeight="1" x14ac:dyDescent="0.15">
      <c r="B16" s="384" t="s">
        <v>45</v>
      </c>
      <c r="D16" s="401">
        <f>(12-D14)/12</f>
        <v>0.58333333333333337</v>
      </c>
      <c r="G16" s="384" t="s">
        <v>46</v>
      </c>
      <c r="H16" s="384"/>
      <c r="I16" s="384"/>
      <c r="J16" s="392"/>
      <c r="K16" s="389">
        <v>0.02</v>
      </c>
    </row>
    <row r="17" spans="1:22" ht="13.5" customHeight="1" x14ac:dyDescent="0.15">
      <c r="B17" s="384" t="s">
        <v>47</v>
      </c>
      <c r="D17" s="396">
        <v>1</v>
      </c>
      <c r="G17" s="384"/>
      <c r="K17" s="402"/>
    </row>
    <row r="18" spans="1:22" ht="13.5" customHeight="1" x14ac:dyDescent="0.15"/>
    <row r="20" spans="1:22" x14ac:dyDescent="0.15">
      <c r="B20" s="403"/>
      <c r="C20" s="403"/>
      <c r="D20" s="404"/>
      <c r="E20" s="576" t="s">
        <v>48</v>
      </c>
      <c r="F20" s="577"/>
      <c r="G20" s="578"/>
      <c r="H20" s="579" t="s">
        <v>49</v>
      </c>
      <c r="I20" s="580"/>
      <c r="J20" s="581"/>
      <c r="K20" s="579" t="s">
        <v>50</v>
      </c>
      <c r="L20" s="580"/>
      <c r="M20" s="580"/>
      <c r="N20" s="580"/>
      <c r="O20" s="580"/>
      <c r="P20" s="580"/>
      <c r="Q20" s="582"/>
    </row>
    <row r="21" spans="1:22" ht="15" thickBot="1" x14ac:dyDescent="0.2">
      <c r="A21" s="374"/>
      <c r="B21" s="382" t="str">
        <f>+D11</f>
        <v>tEUR</v>
      </c>
      <c r="C21" s="383"/>
      <c r="D21" s="405"/>
      <c r="E21" s="406">
        <f>+F21-1</f>
        <v>2014</v>
      </c>
      <c r="F21" s="406">
        <f>+G21-1</f>
        <v>2015</v>
      </c>
      <c r="G21" s="407">
        <f>+H21-1</f>
        <v>2016</v>
      </c>
      <c r="H21" s="408">
        <f>+D15</f>
        <v>2017</v>
      </c>
      <c r="I21" s="408">
        <f>+H21+1</f>
        <v>2018</v>
      </c>
      <c r="J21" s="409">
        <f t="shared" ref="J21:Q21" si="0">+I21+1</f>
        <v>2019</v>
      </c>
      <c r="K21" s="410">
        <f t="shared" si="0"/>
        <v>2020</v>
      </c>
      <c r="L21" s="408">
        <f t="shared" si="0"/>
        <v>2021</v>
      </c>
      <c r="M21" s="408">
        <f t="shared" si="0"/>
        <v>2022</v>
      </c>
      <c r="N21" s="410">
        <f t="shared" si="0"/>
        <v>2023</v>
      </c>
      <c r="O21" s="408">
        <f t="shared" si="0"/>
        <v>2024</v>
      </c>
      <c r="P21" s="408">
        <f t="shared" si="0"/>
        <v>2025</v>
      </c>
      <c r="Q21" s="411">
        <f t="shared" si="0"/>
        <v>2026</v>
      </c>
    </row>
    <row r="22" spans="1:22" ht="6" customHeight="1" x14ac:dyDescent="0.15">
      <c r="A22" s="374"/>
      <c r="E22" s="374"/>
      <c r="F22" s="374"/>
      <c r="H22" s="374"/>
      <c r="I22" s="374"/>
      <c r="K22" s="374"/>
      <c r="N22" s="374"/>
    </row>
    <row r="23" spans="1:22" ht="15.75" customHeight="1" x14ac:dyDescent="0.15">
      <c r="A23" s="374"/>
      <c r="B23" s="412" t="s">
        <v>51</v>
      </c>
      <c r="C23" s="412"/>
      <c r="D23" s="412"/>
      <c r="E23" s="412"/>
      <c r="F23" s="412"/>
      <c r="G23" s="413"/>
      <c r="H23" s="413"/>
      <c r="I23" s="413"/>
      <c r="J23" s="412"/>
      <c r="K23" s="413"/>
      <c r="L23" s="412"/>
      <c r="M23" s="412"/>
      <c r="N23" s="413"/>
      <c r="O23" s="412"/>
      <c r="P23" s="412"/>
      <c r="Q23" s="412"/>
      <c r="S23" s="414" t="s">
        <v>52</v>
      </c>
      <c r="T23" s="415"/>
      <c r="U23" s="415"/>
      <c r="V23" s="415"/>
    </row>
    <row r="24" spans="1:22" ht="15" customHeight="1" thickBot="1" x14ac:dyDescent="0.2">
      <c r="A24" s="374"/>
      <c r="B24" s="416" t="s">
        <v>53</v>
      </c>
      <c r="C24" s="383"/>
      <c r="D24" s="383"/>
      <c r="E24" s="383"/>
      <c r="F24" s="383"/>
      <c r="G24" s="383"/>
      <c r="H24" s="417"/>
      <c r="I24" s="383"/>
      <c r="J24" s="418"/>
      <c r="K24" s="383"/>
      <c r="L24" s="383"/>
      <c r="M24" s="383"/>
      <c r="N24" s="383"/>
      <c r="O24" s="383"/>
      <c r="P24" s="383"/>
      <c r="Q24" s="383"/>
      <c r="S24" s="419" t="s">
        <v>54</v>
      </c>
      <c r="T24" s="419"/>
      <c r="U24" s="420" t="e">
        <f>'DCF output'!D58</f>
        <v>#VALUE!</v>
      </c>
      <c r="V24" s="421" t="e">
        <f>'DCF output'!E58</f>
        <v>#VALUE!</v>
      </c>
    </row>
    <row r="25" spans="1:22" ht="15" customHeight="1" x14ac:dyDescent="0.15">
      <c r="A25" s="374"/>
      <c r="B25" s="422" t="s">
        <v>55</v>
      </c>
      <c r="C25" s="374"/>
      <c r="D25" s="374"/>
      <c r="E25" s="374"/>
      <c r="F25" s="374"/>
      <c r="G25" s="374"/>
      <c r="H25" s="423">
        <v>0</v>
      </c>
      <c r="I25" s="424">
        <v>0</v>
      </c>
      <c r="J25" s="425">
        <v>0</v>
      </c>
      <c r="K25" s="426"/>
      <c r="L25" s="426"/>
      <c r="M25" s="426"/>
      <c r="N25" s="427"/>
      <c r="O25" s="374"/>
      <c r="P25" s="374"/>
      <c r="Q25" s="374"/>
      <c r="S25" s="428" t="s">
        <v>56</v>
      </c>
      <c r="T25" s="428"/>
      <c r="U25" s="429" t="e">
        <f>'DCF output'!D59</f>
        <v>#VALUE!</v>
      </c>
      <c r="V25" s="430" t="e">
        <f>'DCF output'!E59</f>
        <v>#VALUE!</v>
      </c>
    </row>
    <row r="26" spans="1:22" ht="15" customHeight="1" x14ac:dyDescent="0.15">
      <c r="A26" s="374"/>
      <c r="B26" s="422" t="s">
        <v>57</v>
      </c>
      <c r="C26" s="374"/>
      <c r="D26" s="374"/>
      <c r="E26" s="374"/>
      <c r="F26" s="374"/>
      <c r="G26" s="374"/>
      <c r="H26" s="431"/>
      <c r="I26" s="424"/>
      <c r="J26" s="425"/>
      <c r="K26" s="426"/>
      <c r="L26" s="426"/>
      <c r="M26" s="426"/>
      <c r="N26" s="426"/>
      <c r="O26" s="374"/>
      <c r="P26" s="374"/>
      <c r="Q26" s="374"/>
      <c r="S26" s="432" t="s">
        <v>58</v>
      </c>
      <c r="T26" s="432"/>
      <c r="U26" s="433" t="e">
        <f>+U24+U25</f>
        <v>#VALUE!</v>
      </c>
      <c r="V26" s="434" t="e">
        <f>V24+V25</f>
        <v>#VALUE!</v>
      </c>
    </row>
    <row r="27" spans="1:22" ht="15" customHeight="1" x14ac:dyDescent="0.15">
      <c r="A27" s="374"/>
      <c r="B27" s="435"/>
      <c r="C27" s="374"/>
      <c r="D27" s="374"/>
      <c r="E27" s="374"/>
      <c r="F27" s="374"/>
      <c r="G27" s="374"/>
      <c r="H27" s="436"/>
      <c r="I27" s="374"/>
      <c r="J27" s="437"/>
      <c r="K27" s="374"/>
      <c r="L27" s="374"/>
      <c r="M27" s="374"/>
      <c r="N27" s="374"/>
      <c r="O27" s="374"/>
      <c r="P27" s="374"/>
      <c r="Q27" s="374"/>
    </row>
    <row r="28" spans="1:22" x14ac:dyDescent="0.15">
      <c r="B28" s="438" t="s">
        <v>59</v>
      </c>
      <c r="E28" s="439">
        <v>0</v>
      </c>
      <c r="F28" s="439">
        <v>0</v>
      </c>
      <c r="G28" s="440">
        <v>1</v>
      </c>
      <c r="H28" s="441">
        <f>G28*(1+H30+'DCF output'!$W$30)</f>
        <v>1</v>
      </c>
      <c r="I28" s="441">
        <f>H28*(1+I30+'DCF output'!$W$30)</f>
        <v>241.9</v>
      </c>
      <c r="J28" s="442">
        <f>I28*(1+J30+'DCF output'!$W$30)</f>
        <v>1790.0600000000002</v>
      </c>
      <c r="K28" s="441">
        <f>J28*(1+K30+'DCF output'!$W$30)</f>
        <v>6175.7070000000012</v>
      </c>
      <c r="L28" s="441">
        <f>K28*(1+L30+'DCF output'!$W$30)</f>
        <v>18527.121000000003</v>
      </c>
      <c r="M28" s="441">
        <f>L28*(1+M30+'DCF output'!$W$30)</f>
        <v>31496.105700000004</v>
      </c>
      <c r="N28" s="441">
        <f>M28*(1+N30+'DCF output'!$W$30)</f>
        <v>37795.326840000002</v>
      </c>
      <c r="O28" s="441">
        <f>N28*(1+O30+'DCF output'!$W$30)</f>
        <v>38551.233376800003</v>
      </c>
      <c r="P28" s="441">
        <f>O28*(1+P30+'DCF output'!$W$30)</f>
        <v>39322.258044336006</v>
      </c>
      <c r="Q28" s="441">
        <f>P28*(1+Q30+'DCF output'!$W$30)</f>
        <v>40108.70320522273</v>
      </c>
      <c r="R28" s="384"/>
    </row>
    <row r="29" spans="1:22" x14ac:dyDescent="0.15">
      <c r="B29" s="422" t="s">
        <v>60</v>
      </c>
      <c r="E29" s="443" t="str">
        <f>IF(D28=0,"n/a",(E28/D28-1))</f>
        <v>n/a</v>
      </c>
      <c r="F29" s="443" t="str">
        <f>IF(E28=0,"n/a",(F28/E28-1))</f>
        <v>n/a</v>
      </c>
      <c r="G29" s="444" t="str">
        <f>IF(F28=0,"n/a",(G28/F28-1))</f>
        <v>n/a</v>
      </c>
      <c r="H29" s="445">
        <v>0</v>
      </c>
      <c r="I29" s="445">
        <v>240.9</v>
      </c>
      <c r="J29" s="446">
        <v>6.4</v>
      </c>
      <c r="K29" s="445">
        <v>2.4500000000000002</v>
      </c>
      <c r="L29" s="445">
        <v>2</v>
      </c>
      <c r="M29" s="445">
        <v>0.7</v>
      </c>
      <c r="N29" s="445">
        <v>0.2</v>
      </c>
      <c r="O29" s="445">
        <v>0.02</v>
      </c>
      <c r="P29" s="445">
        <f t="shared" ref="P29:Q29" si="1">IF(O29&gt;20%,O29*0.6,2%)</f>
        <v>0.02</v>
      </c>
      <c r="Q29" s="445">
        <f t="shared" si="1"/>
        <v>0.02</v>
      </c>
      <c r="R29" s="447"/>
    </row>
    <row r="30" spans="1:22" x14ac:dyDescent="0.15">
      <c r="B30" s="422" t="s">
        <v>61</v>
      </c>
      <c r="E30" s="443"/>
      <c r="F30" s="443"/>
      <c r="G30" s="444"/>
      <c r="H30" s="448">
        <f t="shared" ref="H30:N30" si="2">H29*(1-H25)</f>
        <v>0</v>
      </c>
      <c r="I30" s="448">
        <f t="shared" si="2"/>
        <v>240.9</v>
      </c>
      <c r="J30" s="449">
        <f>J29*(1-J25)</f>
        <v>6.4</v>
      </c>
      <c r="K30" s="448">
        <f>K29*(1-K25)</f>
        <v>2.4500000000000002</v>
      </c>
      <c r="L30" s="448">
        <f t="shared" si="2"/>
        <v>2</v>
      </c>
      <c r="M30" s="448">
        <f t="shared" si="2"/>
        <v>0.7</v>
      </c>
      <c r="N30" s="448">
        <f t="shared" si="2"/>
        <v>0.2</v>
      </c>
      <c r="O30" s="448">
        <f>O29</f>
        <v>0.02</v>
      </c>
      <c r="P30" s="448">
        <f t="shared" ref="P30:Q30" si="3">P29</f>
        <v>0.02</v>
      </c>
      <c r="Q30" s="448">
        <f t="shared" si="3"/>
        <v>0.02</v>
      </c>
      <c r="R30" s="447"/>
    </row>
    <row r="31" spans="1:22" x14ac:dyDescent="0.15">
      <c r="B31" s="450" t="s">
        <v>62</v>
      </c>
      <c r="C31" s="387"/>
      <c r="D31" s="387"/>
      <c r="E31" s="451">
        <v>0</v>
      </c>
      <c r="F31" s="451">
        <v>0</v>
      </c>
      <c r="G31" s="452">
        <v>0</v>
      </c>
      <c r="H31" s="453">
        <f t="shared" ref="H31:Q31" si="4">H32-H28</f>
        <v>-1</v>
      </c>
      <c r="I31" s="453">
        <f t="shared" si="4"/>
        <v>0</v>
      </c>
      <c r="J31" s="454">
        <f t="shared" si="4"/>
        <v>0</v>
      </c>
      <c r="K31" s="453">
        <f t="shared" si="4"/>
        <v>0</v>
      </c>
      <c r="L31" s="453">
        <f t="shared" si="4"/>
        <v>-3705.4241999999995</v>
      </c>
      <c r="M31" s="455">
        <f t="shared" si="4"/>
        <v>-11023.636995000001</v>
      </c>
      <c r="N31" s="453">
        <f t="shared" si="4"/>
        <v>-13228.364394</v>
      </c>
      <c r="O31" s="455">
        <f t="shared" si="4"/>
        <v>-13492.93168188</v>
      </c>
      <c r="P31" s="455">
        <f t="shared" si="4"/>
        <v>-13762.790315517603</v>
      </c>
      <c r="Q31" s="455">
        <f t="shared" si="4"/>
        <v>-14038.046121827956</v>
      </c>
    </row>
    <row r="32" spans="1:22" ht="14.5" customHeight="1" x14ac:dyDescent="0.15">
      <c r="B32" s="438" t="s">
        <v>63</v>
      </c>
      <c r="E32" s="456">
        <f>E28+E31</f>
        <v>0</v>
      </c>
      <c r="F32" s="456">
        <f>F28+F31</f>
        <v>0</v>
      </c>
      <c r="G32" s="457">
        <f>G28+G31</f>
        <v>1</v>
      </c>
      <c r="H32" s="441">
        <f t="shared" ref="H32:Q32" si="5">H33*H28</f>
        <v>0</v>
      </c>
      <c r="I32" s="441">
        <f t="shared" si="5"/>
        <v>241.9</v>
      </c>
      <c r="J32" s="442">
        <f t="shared" si="5"/>
        <v>1790.0600000000002</v>
      </c>
      <c r="K32" s="441">
        <f t="shared" si="5"/>
        <v>6175.7070000000012</v>
      </c>
      <c r="L32" s="441">
        <f t="shared" si="5"/>
        <v>14821.696800000003</v>
      </c>
      <c r="M32" s="441">
        <f t="shared" si="5"/>
        <v>20472.468705000003</v>
      </c>
      <c r="N32" s="441">
        <f t="shared" si="5"/>
        <v>24566.962446000001</v>
      </c>
      <c r="O32" s="441">
        <f t="shared" si="5"/>
        <v>25058.301694920003</v>
      </c>
      <c r="P32" s="441">
        <f t="shared" si="5"/>
        <v>25559.467728818403</v>
      </c>
      <c r="Q32" s="441">
        <f t="shared" si="5"/>
        <v>26070.657083394774</v>
      </c>
    </row>
    <row r="33" spans="2:18" ht="14.5" customHeight="1" x14ac:dyDescent="0.15">
      <c r="B33" s="458" t="s">
        <v>64</v>
      </c>
      <c r="E33" s="443" t="str">
        <f>IF(E32=0,"n/a",(E32/E28))</f>
        <v>n/a</v>
      </c>
      <c r="F33" s="443" t="str">
        <f>IF(F32=0,"n/a",(F32/F28))</f>
        <v>n/a</v>
      </c>
      <c r="G33" s="444">
        <f>IF(G32=0,"n/a",(G32/G28))</f>
        <v>1</v>
      </c>
      <c r="H33" s="445">
        <v>0</v>
      </c>
      <c r="I33" s="445">
        <v>1</v>
      </c>
      <c r="J33" s="445">
        <v>1</v>
      </c>
      <c r="K33" s="445">
        <v>1</v>
      </c>
      <c r="L33" s="445">
        <v>0.8</v>
      </c>
      <c r="M33" s="445">
        <f>65%</f>
        <v>0.65</v>
      </c>
      <c r="N33" s="445">
        <f t="shared" ref="N33:Q33" si="6">M33</f>
        <v>0.65</v>
      </c>
      <c r="O33" s="445">
        <f t="shared" si="6"/>
        <v>0.65</v>
      </c>
      <c r="P33" s="445">
        <f t="shared" si="6"/>
        <v>0.65</v>
      </c>
      <c r="Q33" s="445">
        <f t="shared" si="6"/>
        <v>0.65</v>
      </c>
    </row>
    <row r="34" spans="2:18" ht="14.5" customHeight="1" x14ac:dyDescent="0.15">
      <c r="B34" s="459" t="s">
        <v>65</v>
      </c>
      <c r="E34" s="439">
        <v>0</v>
      </c>
      <c r="F34" s="439">
        <v>0</v>
      </c>
      <c r="G34" s="440">
        <v>0</v>
      </c>
      <c r="H34" s="460">
        <f t="shared" ref="H34:Q34" si="7">-H36*H28</f>
        <v>0</v>
      </c>
      <c r="I34" s="460">
        <f t="shared" si="7"/>
        <v>0</v>
      </c>
      <c r="J34" s="461">
        <f t="shared" si="7"/>
        <v>0</v>
      </c>
      <c r="K34" s="460">
        <f t="shared" si="7"/>
        <v>0</v>
      </c>
      <c r="L34" s="462">
        <f t="shared" si="7"/>
        <v>0</v>
      </c>
      <c r="M34" s="460">
        <f t="shared" si="7"/>
        <v>0</v>
      </c>
      <c r="N34" s="460">
        <f t="shared" si="7"/>
        <v>0</v>
      </c>
      <c r="O34" s="460">
        <f t="shared" si="7"/>
        <v>0</v>
      </c>
      <c r="P34" s="460">
        <f t="shared" si="7"/>
        <v>0</v>
      </c>
      <c r="Q34" s="460">
        <f t="shared" si="7"/>
        <v>0</v>
      </c>
    </row>
    <row r="35" spans="2:18" ht="14.5" customHeight="1" x14ac:dyDescent="0.15">
      <c r="B35" s="459" t="s">
        <v>66</v>
      </c>
      <c r="E35" s="463"/>
      <c r="F35" s="463"/>
      <c r="G35" s="464"/>
      <c r="H35" s="465">
        <v>0</v>
      </c>
      <c r="I35" s="465">
        <v>0</v>
      </c>
      <c r="J35" s="466">
        <f>I35</f>
        <v>0</v>
      </c>
      <c r="K35" s="465">
        <f>J35</f>
        <v>0</v>
      </c>
      <c r="L35" s="465">
        <f t="shared" ref="L35:Q35" si="8">K35</f>
        <v>0</v>
      </c>
      <c r="M35" s="465">
        <f t="shared" si="8"/>
        <v>0</v>
      </c>
      <c r="N35" s="465">
        <f t="shared" si="8"/>
        <v>0</v>
      </c>
      <c r="O35" s="465">
        <f t="shared" si="8"/>
        <v>0</v>
      </c>
      <c r="P35" s="465">
        <f t="shared" si="8"/>
        <v>0</v>
      </c>
      <c r="Q35" s="465">
        <f t="shared" si="8"/>
        <v>0</v>
      </c>
    </row>
    <row r="36" spans="2:18" ht="14.5" customHeight="1" x14ac:dyDescent="0.15">
      <c r="B36" s="422" t="s">
        <v>67</v>
      </c>
      <c r="C36" s="374"/>
      <c r="D36" s="374"/>
      <c r="E36" s="467" t="str">
        <f>IF(E34=0,"n/a",(-E34/E28))</f>
        <v>n/a</v>
      </c>
      <c r="F36" s="467" t="str">
        <f>IF(F34=0,"n/a",(-F34/F28))</f>
        <v>n/a</v>
      </c>
      <c r="G36" s="444" t="str">
        <f>IF(G34=0,"n/a",(-G34/G28))</f>
        <v>n/a</v>
      </c>
      <c r="H36" s="448">
        <f t="shared" ref="H36:N36" si="9">-H35*(1-H26)/H28</f>
        <v>0</v>
      </c>
      <c r="I36" s="448">
        <f t="shared" si="9"/>
        <v>0</v>
      </c>
      <c r="J36" s="449">
        <f t="shared" si="9"/>
        <v>0</v>
      </c>
      <c r="K36" s="448">
        <f t="shared" si="9"/>
        <v>0</v>
      </c>
      <c r="L36" s="448">
        <f t="shared" si="9"/>
        <v>0</v>
      </c>
      <c r="M36" s="448">
        <f t="shared" si="9"/>
        <v>0</v>
      </c>
      <c r="N36" s="448">
        <f t="shared" si="9"/>
        <v>0</v>
      </c>
      <c r="O36" s="448">
        <f>-O35/O28</f>
        <v>0</v>
      </c>
      <c r="P36" s="448">
        <f>-P35/P28</f>
        <v>0</v>
      </c>
      <c r="Q36" s="448">
        <f>-Q35/Q28</f>
        <v>0</v>
      </c>
    </row>
    <row r="37" spans="2:18" ht="14.5" customHeight="1" x14ac:dyDescent="0.15">
      <c r="B37" s="384" t="s">
        <v>68</v>
      </c>
      <c r="E37" s="439">
        <v>0</v>
      </c>
      <c r="F37" s="439">
        <v>-200</v>
      </c>
      <c r="G37" s="440">
        <v>-2000</v>
      </c>
      <c r="H37" s="460">
        <f t="shared" ref="H37:Q37" si="10">-H39*H28</f>
        <v>0</v>
      </c>
      <c r="I37" s="460">
        <f t="shared" si="10"/>
        <v>-300</v>
      </c>
      <c r="J37" s="461">
        <f t="shared" si="10"/>
        <v>-1090</v>
      </c>
      <c r="K37" s="460">
        <f t="shared" si="10"/>
        <v>-3000</v>
      </c>
      <c r="L37" s="460">
        <f t="shared" si="10"/>
        <v>-3060</v>
      </c>
      <c r="M37" s="460">
        <f t="shared" si="10"/>
        <v>-4131</v>
      </c>
      <c r="N37" s="460">
        <f t="shared" si="10"/>
        <v>-4544.1000000000004</v>
      </c>
      <c r="O37" s="460">
        <f t="shared" si="10"/>
        <v>-4634.9820000000009</v>
      </c>
      <c r="P37" s="460">
        <f t="shared" si="10"/>
        <v>-4727.6816400000007</v>
      </c>
      <c r="Q37" s="460">
        <f t="shared" si="10"/>
        <v>-4822.2352728000005</v>
      </c>
    </row>
    <row r="38" spans="2:18" x14ac:dyDescent="0.15">
      <c r="B38" s="384" t="s">
        <v>69</v>
      </c>
      <c r="E38" s="463"/>
      <c r="F38" s="463"/>
      <c r="G38" s="464"/>
      <c r="H38" s="465">
        <v>0</v>
      </c>
      <c r="I38" s="465">
        <v>-300</v>
      </c>
      <c r="J38" s="466">
        <v>-1090</v>
      </c>
      <c r="K38" s="465">
        <v>-3000</v>
      </c>
      <c r="L38" s="465">
        <f>K38*1.02</f>
        <v>-3060</v>
      </c>
      <c r="M38" s="465">
        <f>L38*(1+IF(M29&gt;2%, M29*0.5, 2%))</f>
        <v>-4131</v>
      </c>
      <c r="N38" s="465">
        <f t="shared" ref="N38:Q38" si="11">M38*(1+IF(N29&gt;2%, N29*0.5, 2%))</f>
        <v>-4544.1000000000004</v>
      </c>
      <c r="O38" s="465">
        <f t="shared" si="11"/>
        <v>-4634.9820000000009</v>
      </c>
      <c r="P38" s="465">
        <f t="shared" si="11"/>
        <v>-4727.6816400000007</v>
      </c>
      <c r="Q38" s="465">
        <f t="shared" si="11"/>
        <v>-4822.2352728000005</v>
      </c>
      <c r="R38" s="447"/>
    </row>
    <row r="39" spans="2:18" x14ac:dyDescent="0.15">
      <c r="B39" s="468" t="s">
        <v>67</v>
      </c>
      <c r="C39" s="387"/>
      <c r="D39" s="387"/>
      <c r="E39" s="469" t="str">
        <f>IF(E37=0,"n/a",(-E37/E28))</f>
        <v>n/a</v>
      </c>
      <c r="F39" s="469" t="e">
        <f>IF(F37=0,"n/a",(-F37/F28))</f>
        <v>#DIV/0!</v>
      </c>
      <c r="G39" s="470">
        <f>IF(G37=0,"n/a",(-G37/G28))</f>
        <v>2000</v>
      </c>
      <c r="H39" s="471">
        <f t="shared" ref="H39:N39" si="12">-H38/H28*(1-H26)</f>
        <v>0</v>
      </c>
      <c r="I39" s="471">
        <f t="shared" si="12"/>
        <v>1.2401818933443571</v>
      </c>
      <c r="J39" s="472">
        <f t="shared" si="12"/>
        <v>0.60891813682222939</v>
      </c>
      <c r="K39" s="471">
        <f t="shared" si="12"/>
        <v>0.48577434130213748</v>
      </c>
      <c r="L39" s="471">
        <f t="shared" si="12"/>
        <v>0.16516327604272674</v>
      </c>
      <c r="M39" s="471">
        <f t="shared" si="12"/>
        <v>0.13115907215157713</v>
      </c>
      <c r="N39" s="471">
        <f t="shared" si="12"/>
        <v>0.12022914947227904</v>
      </c>
      <c r="O39" s="471">
        <f>-O38/O28</f>
        <v>0.12022914947227906</v>
      </c>
      <c r="P39" s="471">
        <f>-P38/P28</f>
        <v>0.12022914947227904</v>
      </c>
      <c r="Q39" s="471">
        <f>-Q38/Q28</f>
        <v>0.12022914947227903</v>
      </c>
    </row>
    <row r="40" spans="2:18" x14ac:dyDescent="0.15">
      <c r="B40" s="438" t="s">
        <v>70</v>
      </c>
      <c r="E40" s="441">
        <f t="shared" ref="E40:Q40" si="13">SUM(E32,E34,E37)</f>
        <v>0</v>
      </c>
      <c r="F40" s="441">
        <f t="shared" si="13"/>
        <v>-200</v>
      </c>
      <c r="G40" s="442">
        <f t="shared" si="13"/>
        <v>-1999</v>
      </c>
      <c r="H40" s="441">
        <f t="shared" si="13"/>
        <v>0</v>
      </c>
      <c r="I40" s="441">
        <f t="shared" si="13"/>
        <v>-58.099999999999994</v>
      </c>
      <c r="J40" s="442">
        <f t="shared" si="13"/>
        <v>700.06000000000017</v>
      </c>
      <c r="K40" s="441">
        <f t="shared" si="13"/>
        <v>3175.7070000000012</v>
      </c>
      <c r="L40" s="441">
        <f t="shared" si="13"/>
        <v>11761.696800000003</v>
      </c>
      <c r="M40" s="441">
        <f t="shared" si="13"/>
        <v>16341.468705000003</v>
      </c>
      <c r="N40" s="473">
        <f t="shared" si="13"/>
        <v>20022.862445999999</v>
      </c>
      <c r="O40" s="441">
        <f t="shared" si="13"/>
        <v>20423.319694920003</v>
      </c>
      <c r="P40" s="441">
        <f t="shared" si="13"/>
        <v>20831.7860888184</v>
      </c>
      <c r="Q40" s="441">
        <f t="shared" si="13"/>
        <v>21248.421810594773</v>
      </c>
      <c r="R40" s="474"/>
    </row>
    <row r="41" spans="2:18" x14ac:dyDescent="0.15">
      <c r="B41" s="458" t="s">
        <v>64</v>
      </c>
      <c r="E41" s="443" t="str">
        <f t="shared" ref="E41:Q41" si="14">IF(E40=0,"n/a",(E40/E28))</f>
        <v>n/a</v>
      </c>
      <c r="F41" s="443" t="e">
        <f t="shared" si="14"/>
        <v>#DIV/0!</v>
      </c>
      <c r="G41" s="444">
        <f t="shared" si="14"/>
        <v>-1999</v>
      </c>
      <c r="H41" s="443" t="str">
        <f t="shared" si="14"/>
        <v>n/a</v>
      </c>
      <c r="I41" s="443">
        <f t="shared" si="14"/>
        <v>-0.24018189334435713</v>
      </c>
      <c r="J41" s="444">
        <f t="shared" si="14"/>
        <v>0.39108186317777066</v>
      </c>
      <c r="K41" s="443">
        <f t="shared" si="14"/>
        <v>0.51422565869786252</v>
      </c>
      <c r="L41" s="443">
        <f t="shared" si="14"/>
        <v>0.63483672395727331</v>
      </c>
      <c r="M41" s="443">
        <f t="shared" si="14"/>
        <v>0.51884092784842284</v>
      </c>
      <c r="N41" s="443">
        <f t="shared" si="14"/>
        <v>0.52977085052772088</v>
      </c>
      <c r="O41" s="443">
        <f t="shared" si="14"/>
        <v>0.52977085052772099</v>
      </c>
      <c r="P41" s="443">
        <f t="shared" si="14"/>
        <v>0.52977085052772088</v>
      </c>
      <c r="Q41" s="443">
        <f t="shared" si="14"/>
        <v>0.52977085052772099</v>
      </c>
    </row>
    <row r="42" spans="2:18" x14ac:dyDescent="0.15">
      <c r="B42" s="459" t="s">
        <v>71</v>
      </c>
      <c r="E42" s="439">
        <v>0</v>
      </c>
      <c r="F42" s="439">
        <v>0</v>
      </c>
      <c r="G42" s="440">
        <v>0</v>
      </c>
      <c r="H42" s="460">
        <f>H43*H78</f>
        <v>0</v>
      </c>
      <c r="I42" s="460">
        <f t="shared" ref="I42:Q42" si="15">I43*I78</f>
        <v>0</v>
      </c>
      <c r="J42" s="461">
        <f t="shared" si="15"/>
        <v>0</v>
      </c>
      <c r="K42" s="462">
        <f t="shared" si="15"/>
        <v>0</v>
      </c>
      <c r="L42" s="460">
        <f t="shared" si="15"/>
        <v>0</v>
      </c>
      <c r="M42" s="460">
        <f t="shared" si="15"/>
        <v>0</v>
      </c>
      <c r="N42" s="462">
        <f t="shared" si="15"/>
        <v>0</v>
      </c>
      <c r="O42" s="460">
        <f t="shared" si="15"/>
        <v>0</v>
      </c>
      <c r="P42" s="460">
        <f t="shared" si="15"/>
        <v>0</v>
      </c>
      <c r="Q42" s="460">
        <f t="shared" si="15"/>
        <v>0</v>
      </c>
    </row>
    <row r="43" spans="2:18" x14ac:dyDescent="0.15">
      <c r="B43" s="468" t="s">
        <v>72</v>
      </c>
      <c r="C43" s="387"/>
      <c r="D43" s="387"/>
      <c r="E43" s="475" t="str">
        <f>IF(E78=0,"n/a",(E42/E78))</f>
        <v>n/a</v>
      </c>
      <c r="F43" s="475" t="str">
        <f>IF(F78=0,"n/a",(F42/F78))</f>
        <v>n/a</v>
      </c>
      <c r="G43" s="476" t="str">
        <f>IF(G78=0,"n/a",(G42/G78))</f>
        <v>n/a</v>
      </c>
      <c r="H43" s="477">
        <v>0</v>
      </c>
      <c r="I43" s="477">
        <v>0</v>
      </c>
      <c r="J43" s="478">
        <v>0</v>
      </c>
      <c r="K43" s="477">
        <v>0</v>
      </c>
      <c r="L43" s="477">
        <v>0</v>
      </c>
      <c r="M43" s="477">
        <v>0</v>
      </c>
      <c r="N43" s="477">
        <v>0</v>
      </c>
      <c r="O43" s="477">
        <v>0</v>
      </c>
      <c r="P43" s="477">
        <v>0</v>
      </c>
      <c r="Q43" s="477">
        <v>0</v>
      </c>
    </row>
    <row r="44" spans="2:18" x14ac:dyDescent="0.15">
      <c r="B44" s="438" t="s">
        <v>73</v>
      </c>
      <c r="E44" s="441">
        <f>SUM(E40,E42)</f>
        <v>0</v>
      </c>
      <c r="F44" s="441">
        <f>SUM(F40,F42)</f>
        <v>-200</v>
      </c>
      <c r="G44" s="442">
        <f>SUM(G40,G42)</f>
        <v>-1999</v>
      </c>
      <c r="H44" s="441">
        <v>0</v>
      </c>
      <c r="I44" s="441">
        <f t="shared" ref="I44:Q44" si="16">SUM(I40,I42)</f>
        <v>-58.099999999999994</v>
      </c>
      <c r="J44" s="442">
        <f t="shared" si="16"/>
        <v>700.06000000000017</v>
      </c>
      <c r="K44" s="441">
        <f t="shared" si="16"/>
        <v>3175.7070000000012</v>
      </c>
      <c r="L44" s="441">
        <f t="shared" si="16"/>
        <v>11761.696800000003</v>
      </c>
      <c r="M44" s="441">
        <f t="shared" si="16"/>
        <v>16341.468705000003</v>
      </c>
      <c r="N44" s="441">
        <f t="shared" si="16"/>
        <v>20022.862445999999</v>
      </c>
      <c r="O44" s="441">
        <f t="shared" si="16"/>
        <v>20423.319694920003</v>
      </c>
      <c r="P44" s="441">
        <f t="shared" si="16"/>
        <v>20831.7860888184</v>
      </c>
      <c r="Q44" s="441">
        <f t="shared" si="16"/>
        <v>21248.421810594773</v>
      </c>
    </row>
    <row r="45" spans="2:18" x14ac:dyDescent="0.15">
      <c r="B45" s="458" t="s">
        <v>64</v>
      </c>
      <c r="E45" s="443" t="str">
        <f t="shared" ref="E45:Q45" si="17">IF(E44=0,"n/a",(E44/E28))</f>
        <v>n/a</v>
      </c>
      <c r="F45" s="443" t="e">
        <f t="shared" si="17"/>
        <v>#DIV/0!</v>
      </c>
      <c r="G45" s="444">
        <f t="shared" si="17"/>
        <v>-1999</v>
      </c>
      <c r="H45" s="443" t="str">
        <f t="shared" si="17"/>
        <v>n/a</v>
      </c>
      <c r="I45" s="443">
        <f t="shared" si="17"/>
        <v>-0.24018189334435713</v>
      </c>
      <c r="J45" s="444">
        <f t="shared" si="17"/>
        <v>0.39108186317777066</v>
      </c>
      <c r="K45" s="443">
        <f t="shared" si="17"/>
        <v>0.51422565869786252</v>
      </c>
      <c r="L45" s="443">
        <f t="shared" si="17"/>
        <v>0.63483672395727331</v>
      </c>
      <c r="M45" s="443">
        <f t="shared" si="17"/>
        <v>0.51884092784842284</v>
      </c>
      <c r="N45" s="443">
        <f t="shared" si="17"/>
        <v>0.52977085052772088</v>
      </c>
      <c r="O45" s="443">
        <f t="shared" si="17"/>
        <v>0.52977085052772099</v>
      </c>
      <c r="P45" s="443">
        <f t="shared" si="17"/>
        <v>0.52977085052772088</v>
      </c>
      <c r="Q45" s="443">
        <f t="shared" si="17"/>
        <v>0.52977085052772099</v>
      </c>
    </row>
    <row r="46" spans="2:18" x14ac:dyDescent="0.15">
      <c r="B46" s="450" t="s">
        <v>74</v>
      </c>
      <c r="C46" s="387"/>
      <c r="D46" s="387"/>
      <c r="E46" s="479">
        <v>0</v>
      </c>
      <c r="F46" s="451">
        <v>0</v>
      </c>
      <c r="G46" s="452">
        <v>0</v>
      </c>
      <c r="H46" s="451">
        <v>0</v>
      </c>
      <c r="I46" s="451">
        <v>0</v>
      </c>
      <c r="J46" s="452">
        <v>0</v>
      </c>
      <c r="K46" s="451">
        <v>0</v>
      </c>
      <c r="L46" s="451">
        <v>0</v>
      </c>
      <c r="M46" s="451">
        <v>0</v>
      </c>
      <c r="N46" s="451">
        <v>0</v>
      </c>
      <c r="O46" s="451">
        <v>0</v>
      </c>
      <c r="P46" s="451">
        <v>0</v>
      </c>
      <c r="Q46" s="451">
        <v>0</v>
      </c>
    </row>
    <row r="47" spans="2:18" x14ac:dyDescent="0.15">
      <c r="B47" s="480" t="s">
        <v>75</v>
      </c>
      <c r="C47" s="374"/>
      <c r="D47" s="374"/>
      <c r="E47" s="441">
        <f>SUM(E44,E46)</f>
        <v>0</v>
      </c>
      <c r="F47" s="441">
        <f>SUM(F44,F46)</f>
        <v>-200</v>
      </c>
      <c r="G47" s="481">
        <f t="shared" ref="G47:Q47" si="18">SUM(G44,G46)</f>
        <v>-1999</v>
      </c>
      <c r="H47" s="441">
        <f t="shared" si="18"/>
        <v>0</v>
      </c>
      <c r="I47" s="441">
        <f t="shared" si="18"/>
        <v>-58.099999999999994</v>
      </c>
      <c r="J47" s="442">
        <f t="shared" si="18"/>
        <v>700.06000000000017</v>
      </c>
      <c r="K47" s="473">
        <f t="shared" si="18"/>
        <v>3175.7070000000012</v>
      </c>
      <c r="L47" s="441">
        <f t="shared" si="18"/>
        <v>11761.696800000003</v>
      </c>
      <c r="M47" s="441">
        <f t="shared" si="18"/>
        <v>16341.468705000003</v>
      </c>
      <c r="N47" s="473">
        <f t="shared" si="18"/>
        <v>20022.862445999999</v>
      </c>
      <c r="O47" s="441">
        <f t="shared" si="18"/>
        <v>20423.319694920003</v>
      </c>
      <c r="P47" s="441">
        <f t="shared" si="18"/>
        <v>20831.7860888184</v>
      </c>
      <c r="Q47" s="441">
        <f t="shared" si="18"/>
        <v>21248.421810594773</v>
      </c>
    </row>
    <row r="48" spans="2:18" x14ac:dyDescent="0.15">
      <c r="B48" s="458" t="s">
        <v>64</v>
      </c>
      <c r="E48" s="443" t="str">
        <f t="shared" ref="E48:Q48" si="19">IF(E47=0,"n/a",(E47/E28))</f>
        <v>n/a</v>
      </c>
      <c r="F48" s="443" t="e">
        <f t="shared" si="19"/>
        <v>#DIV/0!</v>
      </c>
      <c r="G48" s="444">
        <f t="shared" si="19"/>
        <v>-1999</v>
      </c>
      <c r="H48" s="443" t="str">
        <f t="shared" si="19"/>
        <v>n/a</v>
      </c>
      <c r="I48" s="443">
        <f t="shared" si="19"/>
        <v>-0.24018189334435713</v>
      </c>
      <c r="J48" s="444">
        <f t="shared" si="19"/>
        <v>0.39108186317777066</v>
      </c>
      <c r="K48" s="443">
        <f t="shared" si="19"/>
        <v>0.51422565869786252</v>
      </c>
      <c r="L48" s="443">
        <f t="shared" si="19"/>
        <v>0.63483672395727331</v>
      </c>
      <c r="M48" s="443">
        <f t="shared" si="19"/>
        <v>0.51884092784842284</v>
      </c>
      <c r="N48" s="443">
        <f t="shared" si="19"/>
        <v>0.52977085052772088</v>
      </c>
      <c r="O48" s="443">
        <f t="shared" si="19"/>
        <v>0.52977085052772099</v>
      </c>
      <c r="P48" s="443">
        <f t="shared" si="19"/>
        <v>0.52977085052772088</v>
      </c>
      <c r="Q48" s="443">
        <f t="shared" si="19"/>
        <v>0.52977085052772099</v>
      </c>
    </row>
    <row r="49" spans="2:22" x14ac:dyDescent="0.15">
      <c r="B49" s="459" t="s">
        <v>76</v>
      </c>
      <c r="E49" s="439">
        <v>0</v>
      </c>
      <c r="F49" s="439">
        <v>0</v>
      </c>
      <c r="G49" s="440">
        <v>0</v>
      </c>
      <c r="H49" s="462"/>
      <c r="I49" s="462">
        <f t="shared" ref="I49" ca="1" si="20">IF(AVERAGE(H151:I151&lt;0),-AVERAGE(H151:I151)*$K$11,AVERAGE(H151:I151)*$K$10)</f>
        <v>62.668204535376354</v>
      </c>
      <c r="J49" s="482">
        <f t="shared" ref="J49" ca="1" si="21">IF(AVERAGE(I151:J151&lt;0),-AVERAGE(I151:J151)*$K$11,AVERAGE(I151:J151)*$K$10)</f>
        <v>15.18220089349351</v>
      </c>
      <c r="K49" s="462">
        <f t="shared" ref="K49" ca="1" si="22">IF(AVERAGE(J151:K151&lt;0),-AVERAGE(J151:K151)*$K$11,AVERAGE(J151:K151)*$K$10)</f>
        <v>101.76744914347927</v>
      </c>
      <c r="L49" s="462">
        <f t="shared" ref="L49" ca="1" si="23">IF(AVERAGE(K151:L151&lt;0),-AVERAGE(K151:L151)*$K$11,AVERAGE(K151:L151)*$K$10)</f>
        <v>204.65079034078735</v>
      </c>
      <c r="M49" s="462">
        <f ca="1">IF(AVERAGE(L151:M151&lt;0),-AVERAGE(L151:M151)*$K$11,AVERAGE(L151:M151)*$K$10)</f>
        <v>341.16351185172806</v>
      </c>
      <c r="N49" s="462">
        <f t="shared" ref="N49" ca="1" si="24">IF(AVERAGE(M151:N151&lt;0),-AVERAGE(M151:N151)*$K$11,AVERAGE(M151:N151)*$K$10)</f>
        <v>505.9394064433518</v>
      </c>
      <c r="O49" s="462">
        <f t="shared" ref="O49" ca="1" si="25">IF(AVERAGE(N151:O151&lt;0),-AVERAGE(N151:O151)*$K$11,AVERAGE(N151:O151)*$K$10)</f>
        <v>688.79941012674146</v>
      </c>
      <c r="P49" s="462">
        <f t="shared" ref="P49" ca="1" si="26">IF(AVERAGE(O151:P151&lt;0),-AVERAGE(O151:P151)*$K$11,AVERAGE(O151:P151)*$K$10)</f>
        <v>877.05270650330522</v>
      </c>
      <c r="Q49" s="462">
        <f t="shared" ref="Q49" ca="1" si="27">IF(AVERAGE(P151:Q151&lt;0),-AVERAGE(P151:Q151)*$K$11,AVERAGE(P151:Q151)*$K$10)</f>
        <v>1070.8246095948698</v>
      </c>
    </row>
    <row r="50" spans="2:22" x14ac:dyDescent="0.15">
      <c r="B50" s="450" t="s">
        <v>77</v>
      </c>
      <c r="C50" s="387"/>
      <c r="D50" s="387"/>
      <c r="E50" s="479">
        <v>0</v>
      </c>
      <c r="F50" s="451">
        <v>0</v>
      </c>
      <c r="G50" s="452">
        <v>0</v>
      </c>
      <c r="H50" s="451">
        <v>0</v>
      </c>
      <c r="I50" s="451">
        <v>0</v>
      </c>
      <c r="J50" s="452">
        <v>0</v>
      </c>
      <c r="K50" s="451">
        <v>0</v>
      </c>
      <c r="L50" s="451">
        <v>0</v>
      </c>
      <c r="M50" s="451">
        <v>0</v>
      </c>
      <c r="N50" s="451">
        <v>0</v>
      </c>
      <c r="O50" s="451">
        <v>0</v>
      </c>
      <c r="P50" s="451">
        <v>0</v>
      </c>
      <c r="Q50" s="451">
        <v>0</v>
      </c>
    </row>
    <row r="51" spans="2:22" x14ac:dyDescent="0.15">
      <c r="B51" s="438" t="s">
        <v>78</v>
      </c>
      <c r="E51" s="483">
        <f>SUM(E47,E49:E50)</f>
        <v>0</v>
      </c>
      <c r="F51" s="483">
        <f>SUM(F47,F49:F50)</f>
        <v>-200</v>
      </c>
      <c r="G51" s="484">
        <f t="shared" ref="G51:Q51" si="28">SUM(G47,G49:G50)</f>
        <v>-1999</v>
      </c>
      <c r="H51" s="483">
        <f>SUM(H47,H49:H50)</f>
        <v>0</v>
      </c>
      <c r="I51" s="483">
        <f ca="1">SUM(I47,I49:I50)</f>
        <v>-2937.3317954646236</v>
      </c>
      <c r="J51" s="484">
        <f t="shared" ref="J51" ca="1" si="29">SUM(J47,J49:J50)</f>
        <v>9415.1822008935014</v>
      </c>
      <c r="K51" s="473">
        <f ca="1">SUM(K47,K49:K50)</f>
        <v>10496.767449143481</v>
      </c>
      <c r="L51" s="483">
        <f t="shared" ca="1" si="28"/>
        <v>15797.150790340791</v>
      </c>
      <c r="M51" s="483">
        <f t="shared" ca="1" si="28"/>
        <v>19052.163511851733</v>
      </c>
      <c r="N51" s="473">
        <f t="shared" ca="1" si="28"/>
        <v>22959.139406443355</v>
      </c>
      <c r="O51" s="483">
        <f t="shared" ca="1" si="28"/>
        <v>23591.06341012675</v>
      </c>
      <c r="P51" s="483">
        <f t="shared" ca="1" si="28"/>
        <v>24237.361986503311</v>
      </c>
      <c r="Q51" s="483">
        <f t="shared" ca="1" si="28"/>
        <v>24898.340075194879</v>
      </c>
    </row>
    <row r="52" spans="2:22" x14ac:dyDescent="0.15">
      <c r="B52" s="459" t="s">
        <v>79</v>
      </c>
      <c r="E52" s="439">
        <v>0</v>
      </c>
      <c r="F52" s="439">
        <v>0</v>
      </c>
      <c r="G52" s="440">
        <v>0</v>
      </c>
      <c r="H52" s="462"/>
      <c r="I52" s="462">
        <f>-+IF(I44&lt;0,0,IF((H54-I44)&gt;0,0,IF(H54&gt;I53*I44,0,I53*I44-H54)))</f>
        <v>0</v>
      </c>
      <c r="J52" s="482" t="e">
        <f t="shared" ref="J52:Q52" si="30">-+IF(J44&lt;0,0,IF((I54-J44)&gt;0,0,IF(I54&gt;J53*J44,0,J53*J44-I54)))</f>
        <v>#VALUE!</v>
      </c>
      <c r="K52" s="462" t="e">
        <f>-+IF(K44&lt;0,0,IF((J54-K44)&gt;0,0,IF(J54&gt;K53*K44,0,K53*K44-J54)))</f>
        <v>#VALUE!</v>
      </c>
      <c r="L52" s="462" t="e">
        <f>-+IF(L44&lt;0,0,IF((K54-L44)&gt;0,0,IF(K54&gt;L53*L44,0,L53*L44-K54)))</f>
        <v>#VALUE!</v>
      </c>
      <c r="M52" s="462" t="e">
        <f t="shared" si="30"/>
        <v>#VALUE!</v>
      </c>
      <c r="N52" s="462" t="e">
        <f t="shared" si="30"/>
        <v>#VALUE!</v>
      </c>
      <c r="O52" s="462" t="e">
        <f>-+IF(O44&lt;0,0,IF((N54-O44)&gt;0,0,IF(N54&gt;O53*O44,0,O53*O44-N54)))</f>
        <v>#VALUE!</v>
      </c>
      <c r="P52" s="462" t="e">
        <f t="shared" si="30"/>
        <v>#VALUE!</v>
      </c>
      <c r="Q52" s="462" t="e">
        <f t="shared" si="30"/>
        <v>#VALUE!</v>
      </c>
    </row>
    <row r="53" spans="2:22" x14ac:dyDescent="0.15">
      <c r="B53" s="422" t="s">
        <v>80</v>
      </c>
      <c r="C53" s="374"/>
      <c r="D53" s="374"/>
      <c r="E53" s="467" t="str">
        <f>IF(E52=0,"n/a",-E52/(E51-E46))</f>
        <v>n/a</v>
      </c>
      <c r="F53" s="467" t="str">
        <f>IF(F52=0,"n/a",-F52/(F51-F46))</f>
        <v>n/a</v>
      </c>
      <c r="G53" s="444" t="str">
        <f>IF(G52=0,"n/a",(-G52/G51-G46))</f>
        <v>n/a</v>
      </c>
      <c r="H53" s="573" t="s">
        <v>263</v>
      </c>
      <c r="I53" s="477" t="str">
        <f>+H53</f>
        <v xml:space="preserve"> </v>
      </c>
      <c r="J53" s="478" t="str">
        <f t="shared" ref="J53:Q53" si="31">+I53</f>
        <v xml:space="preserve"> </v>
      </c>
      <c r="K53" s="477" t="str">
        <f t="shared" si="31"/>
        <v xml:space="preserve"> </v>
      </c>
      <c r="L53" s="477" t="str">
        <f t="shared" si="31"/>
        <v xml:space="preserve"> </v>
      </c>
      <c r="M53" s="477" t="str">
        <f t="shared" si="31"/>
        <v xml:space="preserve"> </v>
      </c>
      <c r="N53" s="477" t="str">
        <f t="shared" si="31"/>
        <v xml:space="preserve"> </v>
      </c>
      <c r="O53" s="477" t="str">
        <f t="shared" si="31"/>
        <v xml:space="preserve"> </v>
      </c>
      <c r="P53" s="477" t="str">
        <f t="shared" si="31"/>
        <v xml:space="preserve"> </v>
      </c>
      <c r="Q53" s="477" t="str">
        <f t="shared" si="31"/>
        <v xml:space="preserve"> </v>
      </c>
    </row>
    <row r="54" spans="2:22" x14ac:dyDescent="0.15">
      <c r="B54" s="468" t="s">
        <v>81</v>
      </c>
      <c r="C54" s="387"/>
      <c r="D54" s="387"/>
      <c r="E54" s="387"/>
      <c r="F54" s="387"/>
      <c r="G54" s="485"/>
      <c r="H54" s="486" t="e">
        <f>+IF(H52=0,G54+H44*-H53,IF(-H52&lt;H53*H44,G54-H53*H44-H52,G54))</f>
        <v>#VALUE!</v>
      </c>
      <c r="I54" s="487" t="e">
        <f>+IF(I52=0,H54+I44*-I53,IF(-I52&lt;I53*I44,H54-I53*I44-I52,H54))</f>
        <v>#VALUE!</v>
      </c>
      <c r="J54" s="488" t="e">
        <f t="shared" ref="J54:Q54" si="32">+IF(J52=0,I54+J44*-J53,IF(-J52&lt;J53*J44,I54-J53*J44-J52,I54))</f>
        <v>#VALUE!</v>
      </c>
      <c r="K54" s="455" t="e">
        <f t="shared" si="32"/>
        <v>#VALUE!</v>
      </c>
      <c r="L54" s="455" t="e">
        <f t="shared" si="32"/>
        <v>#VALUE!</v>
      </c>
      <c r="M54" s="455" t="e">
        <f t="shared" si="32"/>
        <v>#VALUE!</v>
      </c>
      <c r="N54" s="455" t="e">
        <f t="shared" si="32"/>
        <v>#VALUE!</v>
      </c>
      <c r="O54" s="455" t="e">
        <f t="shared" si="32"/>
        <v>#VALUE!</v>
      </c>
      <c r="P54" s="455" t="e">
        <f t="shared" si="32"/>
        <v>#VALUE!</v>
      </c>
      <c r="Q54" s="455" t="e">
        <f t="shared" si="32"/>
        <v>#VALUE!</v>
      </c>
      <c r="S54" s="462"/>
    </row>
    <row r="55" spans="2:22" x14ac:dyDescent="0.15">
      <c r="B55" s="489" t="s">
        <v>82</v>
      </c>
      <c r="C55" s="387"/>
      <c r="D55" s="387"/>
      <c r="E55" s="490">
        <f>SUM(E51,E52)</f>
        <v>0</v>
      </c>
      <c r="F55" s="490">
        <f>SUM(F51,F52)</f>
        <v>-200</v>
      </c>
      <c r="G55" s="491">
        <f t="shared" ref="G55:Q55" si="33">SUM(G51,G52)</f>
        <v>-1999</v>
      </c>
      <c r="H55" s="490">
        <f>SUM(H51,H52)</f>
        <v>0</v>
      </c>
      <c r="I55" s="492">
        <f t="shared" ca="1" si="33"/>
        <v>-2937.3317954646236</v>
      </c>
      <c r="J55" s="491">
        <f t="shared" ca="1" si="33"/>
        <v>9107.1822008934996</v>
      </c>
      <c r="K55" s="490">
        <f t="shared" ca="1" si="33"/>
        <v>8209.8674491434795</v>
      </c>
      <c r="L55" s="490">
        <f t="shared" ca="1" si="33"/>
        <v>12366.800790340791</v>
      </c>
      <c r="M55" s="490">
        <f t="shared" ca="1" si="33"/>
        <v>14935.743511851731</v>
      </c>
      <c r="N55" s="490">
        <f t="shared" ca="1" si="33"/>
        <v>18019.435406443354</v>
      </c>
      <c r="O55" s="490">
        <f t="shared" ca="1" si="33"/>
        <v>18552.565330126748</v>
      </c>
      <c r="P55" s="490">
        <f t="shared" ca="1" si="33"/>
        <v>19098.09394490331</v>
      </c>
      <c r="Q55" s="490">
        <f t="shared" ca="1" si="33"/>
        <v>19656.286672762879</v>
      </c>
      <c r="S55" s="493"/>
    </row>
    <row r="56" spans="2:22" x14ac:dyDescent="0.15">
      <c r="B56" s="480" t="s">
        <v>83</v>
      </c>
      <c r="C56" s="374"/>
      <c r="D56" s="374"/>
      <c r="E56" s="460"/>
      <c r="F56" s="460"/>
      <c r="G56" s="460"/>
      <c r="H56" s="441"/>
      <c r="I56" s="441"/>
      <c r="J56" s="441"/>
      <c r="K56" s="441"/>
      <c r="L56" s="441"/>
      <c r="M56" s="441"/>
      <c r="N56" s="441"/>
      <c r="O56" s="441"/>
      <c r="P56" s="441"/>
      <c r="Q56" s="441"/>
      <c r="S56" s="493"/>
    </row>
    <row r="57" spans="2:22" x14ac:dyDescent="0.15">
      <c r="B57" s="384" t="s">
        <v>84</v>
      </c>
      <c r="C57" s="374"/>
      <c r="D57" s="374"/>
      <c r="E57" s="494">
        <v>0</v>
      </c>
      <c r="F57" s="494">
        <f t="shared" ref="F57:Q57" si="34">+F55-F58</f>
        <v>-200</v>
      </c>
      <c r="G57" s="494">
        <f>+G55-G58</f>
        <v>-1999</v>
      </c>
      <c r="H57" s="494">
        <f>+H55-H58</f>
        <v>0</v>
      </c>
      <c r="I57" s="494">
        <f t="shared" ca="1" si="34"/>
        <v>-2937.3317954646236</v>
      </c>
      <c r="J57" s="494">
        <f t="shared" ca="1" si="34"/>
        <v>9107.1822008934996</v>
      </c>
      <c r="K57" s="494">
        <f t="shared" ca="1" si="34"/>
        <v>8209.8674491434795</v>
      </c>
      <c r="L57" s="494">
        <f t="shared" ca="1" si="34"/>
        <v>12366.800790340791</v>
      </c>
      <c r="M57" s="494">
        <f t="shared" ca="1" si="34"/>
        <v>14935.743511851731</v>
      </c>
      <c r="N57" s="494">
        <f t="shared" ca="1" si="34"/>
        <v>18019.435406443354</v>
      </c>
      <c r="O57" s="494">
        <f t="shared" ca="1" si="34"/>
        <v>18552.565330126748</v>
      </c>
      <c r="P57" s="494">
        <f t="shared" ca="1" si="34"/>
        <v>19098.09394490331</v>
      </c>
      <c r="Q57" s="494">
        <f t="shared" ca="1" si="34"/>
        <v>19656.286672762879</v>
      </c>
      <c r="S57" s="493"/>
    </row>
    <row r="58" spans="2:22" x14ac:dyDescent="0.15">
      <c r="B58" s="384" t="s">
        <v>85</v>
      </c>
      <c r="C58" s="374"/>
      <c r="D58" s="374"/>
      <c r="E58" s="439">
        <v>0</v>
      </c>
      <c r="F58" s="439">
        <v>0</v>
      </c>
      <c r="G58" s="439">
        <v>0</v>
      </c>
      <c r="H58" s="439">
        <v>0</v>
      </c>
      <c r="I58" s="439">
        <v>0</v>
      </c>
      <c r="J58" s="439">
        <v>0</v>
      </c>
      <c r="K58" s="439">
        <v>0</v>
      </c>
      <c r="L58" s="439">
        <v>0</v>
      </c>
      <c r="M58" s="439">
        <v>0</v>
      </c>
      <c r="N58" s="439">
        <v>0</v>
      </c>
      <c r="O58" s="439">
        <v>0</v>
      </c>
      <c r="P58" s="439">
        <v>0</v>
      </c>
      <c r="Q58" s="439">
        <v>0</v>
      </c>
      <c r="S58" s="493"/>
    </row>
    <row r="60" spans="2:22" x14ac:dyDescent="0.15">
      <c r="B60" s="412" t="s">
        <v>86</v>
      </c>
      <c r="C60" s="412"/>
      <c r="D60" s="412"/>
      <c r="E60" s="412"/>
      <c r="F60" s="412"/>
      <c r="G60" s="413"/>
      <c r="H60" s="412"/>
      <c r="I60" s="412"/>
      <c r="J60" s="412"/>
      <c r="K60" s="413"/>
      <c r="L60" s="412"/>
      <c r="M60" s="412"/>
      <c r="N60" s="412"/>
      <c r="O60" s="412"/>
      <c r="P60" s="412"/>
      <c r="Q60" s="412"/>
      <c r="S60" s="495"/>
    </row>
    <row r="61" spans="2:22" ht="6" customHeight="1" x14ac:dyDescent="0.15">
      <c r="G61" s="374"/>
      <c r="K61" s="374"/>
    </row>
    <row r="62" spans="2:22" ht="15" thickBot="1" x14ac:dyDescent="0.2">
      <c r="B62" s="496" t="s">
        <v>86</v>
      </c>
      <c r="C62" s="383"/>
      <c r="D62" s="383"/>
      <c r="E62" s="383"/>
      <c r="F62" s="383"/>
      <c r="G62" s="383"/>
      <c r="H62" s="383"/>
      <c r="I62" s="383"/>
      <c r="J62" s="383"/>
      <c r="K62" s="383"/>
      <c r="L62" s="383"/>
      <c r="M62" s="383"/>
      <c r="N62" s="383"/>
      <c r="O62" s="383"/>
      <c r="P62" s="383"/>
      <c r="Q62" s="383"/>
      <c r="S62" s="497"/>
      <c r="T62" s="498" t="s">
        <v>87</v>
      </c>
      <c r="U62" s="498" t="s">
        <v>88</v>
      </c>
      <c r="V62" s="498" t="s">
        <v>89</v>
      </c>
    </row>
    <row r="63" spans="2:22" x14ac:dyDescent="0.15">
      <c r="B63" s="459" t="s">
        <v>90</v>
      </c>
      <c r="G63" s="437"/>
      <c r="H63" s="499">
        <v>0</v>
      </c>
      <c r="I63" s="439">
        <v>0</v>
      </c>
      <c r="J63" s="439">
        <v>0</v>
      </c>
      <c r="K63" s="500">
        <v>0</v>
      </c>
      <c r="L63" s="439">
        <v>0</v>
      </c>
      <c r="M63" s="439">
        <v>0</v>
      </c>
      <c r="N63" s="439">
        <v>0</v>
      </c>
      <c r="O63" s="439">
        <v>0</v>
      </c>
      <c r="P63" s="439">
        <v>0</v>
      </c>
      <c r="Q63" s="439">
        <v>0</v>
      </c>
      <c r="S63" s="501" t="s">
        <v>91</v>
      </c>
      <c r="T63" s="502">
        <f>G28*(1+H29)</f>
        <v>1</v>
      </c>
      <c r="U63" s="502">
        <f>G28*(1+H29)*(1+I29)</f>
        <v>241.9</v>
      </c>
      <c r="V63" s="502">
        <f>G28*(1+H29)*(1+I29)*(1+J29)</f>
        <v>1790.0600000000002</v>
      </c>
    </row>
    <row r="64" spans="2:22" x14ac:dyDescent="0.15">
      <c r="B64" s="458" t="s">
        <v>64</v>
      </c>
      <c r="G64" s="437"/>
      <c r="H64" s="503">
        <v>0</v>
      </c>
      <c r="I64" s="445">
        <v>0</v>
      </c>
      <c r="J64" s="445">
        <v>0</v>
      </c>
      <c r="K64" s="504">
        <v>0</v>
      </c>
      <c r="L64" s="445">
        <v>0</v>
      </c>
      <c r="M64" s="445">
        <v>0</v>
      </c>
      <c r="N64" s="445">
        <v>0</v>
      </c>
      <c r="O64" s="445">
        <v>0</v>
      </c>
      <c r="P64" s="445">
        <v>0</v>
      </c>
      <c r="Q64" s="445">
        <v>0</v>
      </c>
      <c r="S64" s="501" t="s">
        <v>92</v>
      </c>
      <c r="T64" s="502">
        <f>H28</f>
        <v>1</v>
      </c>
      <c r="U64" s="502">
        <f t="shared" ref="U64:V64" si="35">I28</f>
        <v>241.9</v>
      </c>
      <c r="V64" s="502">
        <f t="shared" si="35"/>
        <v>1790.0600000000002</v>
      </c>
    </row>
    <row r="65" spans="2:22" x14ac:dyDescent="0.15">
      <c r="B65" s="459" t="s">
        <v>93</v>
      </c>
      <c r="G65" s="437"/>
      <c r="H65" s="505">
        <f t="shared" ref="H65:M65" si="36">H63*H64</f>
        <v>0</v>
      </c>
      <c r="I65" s="506">
        <f t="shared" si="36"/>
        <v>0</v>
      </c>
      <c r="J65" s="506">
        <f t="shared" si="36"/>
        <v>0</v>
      </c>
      <c r="K65" s="507">
        <f t="shared" si="36"/>
        <v>0</v>
      </c>
      <c r="L65" s="506">
        <f t="shared" si="36"/>
        <v>0</v>
      </c>
      <c r="M65" s="506">
        <f t="shared" si="36"/>
        <v>0</v>
      </c>
      <c r="N65" s="506">
        <f t="shared" ref="N65:Q65" si="37">N63*N64</f>
        <v>0</v>
      </c>
      <c r="O65" s="506">
        <f t="shared" si="37"/>
        <v>0</v>
      </c>
      <c r="P65" s="506">
        <f t="shared" si="37"/>
        <v>0</v>
      </c>
      <c r="Q65" s="506">
        <f t="shared" si="37"/>
        <v>0</v>
      </c>
      <c r="S65" s="501" t="s">
        <v>94</v>
      </c>
      <c r="T65" s="502">
        <f>T66-T64+T63</f>
        <v>0</v>
      </c>
      <c r="U65" s="502">
        <f t="shared" ref="U65:V65" si="38">U66-U64+U63</f>
        <v>-58.099999999999994</v>
      </c>
      <c r="V65" s="502">
        <f t="shared" si="38"/>
        <v>700.06000000000017</v>
      </c>
    </row>
    <row r="66" spans="2:22" x14ac:dyDescent="0.15">
      <c r="B66" s="459" t="s">
        <v>95</v>
      </c>
      <c r="G66" s="437"/>
      <c r="H66" s="499">
        <v>0</v>
      </c>
      <c r="I66" s="439">
        <v>0</v>
      </c>
      <c r="J66" s="439">
        <v>0</v>
      </c>
      <c r="K66" s="439">
        <v>0</v>
      </c>
      <c r="L66" s="499">
        <v>0</v>
      </c>
      <c r="M66" s="439">
        <v>0</v>
      </c>
      <c r="N66" s="439">
        <v>0</v>
      </c>
      <c r="O66" s="439">
        <v>0</v>
      </c>
      <c r="P66" s="439">
        <v>0</v>
      </c>
      <c r="Q66" s="439">
        <v>0</v>
      </c>
      <c r="S66" s="501" t="s">
        <v>96</v>
      </c>
      <c r="T66" s="502">
        <f>H40</f>
        <v>0</v>
      </c>
      <c r="U66" s="502">
        <f t="shared" ref="U66:V66" si="39">I40</f>
        <v>-58.099999999999994</v>
      </c>
      <c r="V66" s="502">
        <f t="shared" si="39"/>
        <v>700.06000000000017</v>
      </c>
    </row>
    <row r="67" spans="2:22" x14ac:dyDescent="0.15">
      <c r="B67" s="459" t="s">
        <v>97</v>
      </c>
      <c r="G67" s="437"/>
      <c r="H67" s="499">
        <v>0</v>
      </c>
      <c r="I67" s="439">
        <v>0</v>
      </c>
      <c r="J67" s="439">
        <v>0</v>
      </c>
      <c r="K67" s="440">
        <v>0</v>
      </c>
      <c r="L67" s="439">
        <v>0</v>
      </c>
      <c r="M67" s="439">
        <v>0</v>
      </c>
      <c r="N67" s="439">
        <v>0</v>
      </c>
      <c r="O67" s="439">
        <v>0</v>
      </c>
      <c r="P67" s="439">
        <v>0</v>
      </c>
      <c r="Q67" s="439">
        <v>0</v>
      </c>
    </row>
    <row r="69" spans="2:22" ht="15" hidden="1" outlineLevel="1" thickBot="1" x14ac:dyDescent="0.2">
      <c r="B69" s="496" t="s">
        <v>98</v>
      </c>
      <c r="C69" s="383"/>
      <c r="D69" s="383"/>
      <c r="E69" s="383"/>
      <c r="F69" s="383"/>
      <c r="G69" s="383"/>
      <c r="H69" s="383"/>
      <c r="I69" s="383"/>
      <c r="J69" s="383"/>
      <c r="K69" s="383"/>
      <c r="L69" s="383"/>
      <c r="M69" s="383"/>
      <c r="N69" s="383"/>
      <c r="O69" s="383"/>
      <c r="P69" s="383"/>
      <c r="Q69" s="383"/>
    </row>
    <row r="70" spans="2:22" hidden="1" outlineLevel="1" x14ac:dyDescent="0.15">
      <c r="B70" s="459" t="s">
        <v>90</v>
      </c>
      <c r="G70" s="437"/>
      <c r="H70" s="499">
        <v>0</v>
      </c>
      <c r="I70" s="439">
        <v>0</v>
      </c>
      <c r="J70" s="439">
        <v>0</v>
      </c>
      <c r="K70" s="500">
        <v>0</v>
      </c>
      <c r="L70" s="439">
        <v>0</v>
      </c>
      <c r="M70" s="439">
        <v>0</v>
      </c>
      <c r="N70" s="439">
        <v>0</v>
      </c>
      <c r="O70" s="439">
        <v>0</v>
      </c>
      <c r="P70" s="439">
        <v>0</v>
      </c>
      <c r="Q70" s="439">
        <v>0</v>
      </c>
    </row>
    <row r="71" spans="2:22" hidden="1" outlineLevel="1" x14ac:dyDescent="0.15">
      <c r="B71" s="458" t="s">
        <v>64</v>
      </c>
      <c r="G71" s="437"/>
      <c r="H71" s="503">
        <v>0</v>
      </c>
      <c r="I71" s="445">
        <v>0</v>
      </c>
      <c r="J71" s="445">
        <v>0</v>
      </c>
      <c r="K71" s="504">
        <v>0</v>
      </c>
      <c r="L71" s="445">
        <v>0</v>
      </c>
      <c r="M71" s="445">
        <v>0</v>
      </c>
      <c r="N71" s="445">
        <v>0</v>
      </c>
      <c r="O71" s="445">
        <v>0</v>
      </c>
      <c r="P71" s="445">
        <v>0</v>
      </c>
      <c r="Q71" s="445">
        <v>0</v>
      </c>
    </row>
    <row r="72" spans="2:22" hidden="1" outlineLevel="1" x14ac:dyDescent="0.15">
      <c r="B72" s="459" t="s">
        <v>93</v>
      </c>
      <c r="G72" s="437"/>
      <c r="H72" s="505">
        <f>H70*H71</f>
        <v>0</v>
      </c>
      <c r="I72" s="506">
        <f>I70*I71</f>
        <v>0</v>
      </c>
      <c r="J72" s="506">
        <f t="shared" ref="J72:Q72" si="40">J70*J71</f>
        <v>0</v>
      </c>
      <c r="K72" s="507">
        <f t="shared" si="40"/>
        <v>0</v>
      </c>
      <c r="L72" s="506">
        <f t="shared" si="40"/>
        <v>0</v>
      </c>
      <c r="M72" s="506">
        <f t="shared" si="40"/>
        <v>0</v>
      </c>
      <c r="N72" s="506">
        <f t="shared" si="40"/>
        <v>0</v>
      </c>
      <c r="O72" s="506">
        <f t="shared" si="40"/>
        <v>0</v>
      </c>
      <c r="P72" s="506">
        <f t="shared" si="40"/>
        <v>0</v>
      </c>
      <c r="Q72" s="506">
        <f t="shared" si="40"/>
        <v>0</v>
      </c>
    </row>
    <row r="73" spans="2:22" hidden="1" outlineLevel="1" x14ac:dyDescent="0.15">
      <c r="B73" s="459" t="s">
        <v>95</v>
      </c>
      <c r="G73" s="437"/>
      <c r="H73" s="499">
        <v>0</v>
      </c>
      <c r="I73" s="439">
        <v>0</v>
      </c>
      <c r="J73" s="439">
        <v>0</v>
      </c>
      <c r="K73" s="439">
        <v>0</v>
      </c>
      <c r="L73" s="499">
        <v>0</v>
      </c>
      <c r="M73" s="439">
        <v>0</v>
      </c>
      <c r="N73" s="439">
        <v>0</v>
      </c>
      <c r="O73" s="439">
        <v>0</v>
      </c>
      <c r="P73" s="439">
        <v>0</v>
      </c>
      <c r="Q73" s="439">
        <v>0</v>
      </c>
    </row>
    <row r="74" spans="2:22" hidden="1" outlineLevel="1" x14ac:dyDescent="0.15">
      <c r="B74" s="459" t="s">
        <v>97</v>
      </c>
      <c r="G74" s="437"/>
      <c r="H74" s="499">
        <v>0</v>
      </c>
      <c r="I74" s="439">
        <v>0</v>
      </c>
      <c r="J74" s="439">
        <v>0</v>
      </c>
      <c r="K74" s="440">
        <v>0</v>
      </c>
      <c r="L74" s="439">
        <v>0</v>
      </c>
      <c r="M74" s="439">
        <v>0</v>
      </c>
      <c r="N74" s="439">
        <v>0</v>
      </c>
      <c r="O74" s="439">
        <v>0</v>
      </c>
      <c r="P74" s="439">
        <v>0</v>
      </c>
      <c r="Q74" s="439">
        <v>0</v>
      </c>
    </row>
    <row r="75" spans="2:22" collapsed="1" x14ac:dyDescent="0.15">
      <c r="B75" s="412" t="s">
        <v>99</v>
      </c>
      <c r="C75" s="412"/>
      <c r="D75" s="412"/>
      <c r="E75" s="412"/>
      <c r="F75" s="412"/>
      <c r="G75" s="413"/>
      <c r="H75" s="412"/>
      <c r="I75" s="412"/>
      <c r="J75" s="412"/>
      <c r="K75" s="413"/>
      <c r="L75" s="412"/>
      <c r="M75" s="412"/>
      <c r="N75" s="412"/>
      <c r="O75" s="412"/>
      <c r="P75" s="412"/>
      <c r="Q75" s="412"/>
    </row>
    <row r="76" spans="2:22" ht="6" customHeight="1" x14ac:dyDescent="0.15">
      <c r="B76" s="459"/>
      <c r="G76" s="374"/>
      <c r="H76" s="463"/>
      <c r="I76" s="463"/>
      <c r="J76" s="463"/>
      <c r="K76" s="463"/>
      <c r="L76" s="463"/>
      <c r="M76" s="463"/>
      <c r="N76" s="463"/>
      <c r="O76" s="463"/>
      <c r="P76" s="463"/>
      <c r="Q76" s="463"/>
    </row>
    <row r="77" spans="2:22" ht="15" thickBot="1" x14ac:dyDescent="0.2">
      <c r="B77" s="416" t="s">
        <v>100</v>
      </c>
      <c r="C77" s="383"/>
      <c r="D77" s="383"/>
      <c r="E77" s="383"/>
      <c r="F77" s="383"/>
      <c r="G77" s="418"/>
      <c r="H77" s="383"/>
      <c r="I77" s="383"/>
      <c r="J77" s="383"/>
      <c r="K77" s="418"/>
      <c r="L77" s="383"/>
      <c r="M77" s="383"/>
      <c r="N77" s="383"/>
      <c r="O77" s="383"/>
      <c r="P77" s="383"/>
      <c r="Q77" s="383"/>
    </row>
    <row r="78" spans="2:22" x14ac:dyDescent="0.15">
      <c r="B78" s="459" t="s">
        <v>101</v>
      </c>
      <c r="E78" s="460">
        <f>+E79+E80</f>
        <v>0</v>
      </c>
      <c r="F78" s="460">
        <f>+F79+F80</f>
        <v>0</v>
      </c>
      <c r="G78" s="461">
        <f t="shared" ref="G78:K78" si="41">+G79+G80</f>
        <v>0</v>
      </c>
      <c r="H78" s="460">
        <f t="shared" si="41"/>
        <v>0</v>
      </c>
      <c r="I78" s="508">
        <f t="shared" si="41"/>
        <v>0</v>
      </c>
      <c r="J78" s="508">
        <f t="shared" si="41"/>
        <v>0</v>
      </c>
      <c r="K78" s="461">
        <f t="shared" si="41"/>
        <v>0</v>
      </c>
      <c r="L78" s="460">
        <f t="shared" ref="L78:Q78" si="42">-L81*L28</f>
        <v>0</v>
      </c>
      <c r="M78" s="460">
        <f t="shared" si="42"/>
        <v>0</v>
      </c>
      <c r="N78" s="460">
        <f t="shared" si="42"/>
        <v>0</v>
      </c>
      <c r="O78" s="460">
        <f t="shared" si="42"/>
        <v>0</v>
      </c>
      <c r="P78" s="460">
        <f t="shared" si="42"/>
        <v>0</v>
      </c>
      <c r="Q78" s="460">
        <f t="shared" si="42"/>
        <v>0</v>
      </c>
    </row>
    <row r="79" spans="2:22" x14ac:dyDescent="0.15">
      <c r="B79" s="459" t="s">
        <v>102</v>
      </c>
      <c r="E79" s="509">
        <v>0</v>
      </c>
      <c r="F79" s="509">
        <v>0</v>
      </c>
      <c r="G79" s="510">
        <v>0</v>
      </c>
      <c r="H79" s="509">
        <v>0</v>
      </c>
      <c r="I79" s="509">
        <v>0</v>
      </c>
      <c r="J79" s="509">
        <v>0</v>
      </c>
      <c r="K79" s="510">
        <v>0</v>
      </c>
      <c r="L79" s="511"/>
      <c r="M79" s="511"/>
      <c r="N79" s="511"/>
      <c r="O79" s="511"/>
      <c r="P79" s="511"/>
      <c r="Q79" s="511"/>
    </row>
    <row r="80" spans="2:22" x14ac:dyDescent="0.15">
      <c r="B80" s="459" t="s">
        <v>103</v>
      </c>
      <c r="E80" s="509">
        <v>0</v>
      </c>
      <c r="F80" s="509">
        <v>0</v>
      </c>
      <c r="G80" s="510">
        <v>0</v>
      </c>
      <c r="H80" s="509">
        <v>0</v>
      </c>
      <c r="I80" s="509">
        <v>0</v>
      </c>
      <c r="J80" s="509">
        <v>0</v>
      </c>
      <c r="K80" s="510">
        <v>0</v>
      </c>
      <c r="L80" s="511"/>
      <c r="M80" s="511"/>
      <c r="N80" s="511"/>
      <c r="O80" s="511"/>
      <c r="P80" s="511"/>
      <c r="Q80" s="511"/>
    </row>
    <row r="81" spans="2:19" x14ac:dyDescent="0.15">
      <c r="B81" s="458" t="str">
        <f>+B78 &amp; " as % of Net Sales"</f>
        <v>Total Capex as % of Net Sales</v>
      </c>
      <c r="C81" s="512"/>
      <c r="D81" s="512"/>
      <c r="E81" s="443" t="str">
        <f t="shared" ref="E81:F83" si="43">IF(E$28=0,"n/a",(-E78/E$28))</f>
        <v>n/a</v>
      </c>
      <c r="F81" s="443" t="str">
        <f t="shared" si="43"/>
        <v>n/a</v>
      </c>
      <c r="G81" s="444">
        <f t="shared" ref="G81:K83" si="44">IF(G$28=0,"n/a",(-G78/G$28))</f>
        <v>0</v>
      </c>
      <c r="H81" s="443">
        <f t="shared" si="44"/>
        <v>0</v>
      </c>
      <c r="I81" s="443">
        <f t="shared" si="44"/>
        <v>0</v>
      </c>
      <c r="J81" s="443">
        <f t="shared" si="44"/>
        <v>0</v>
      </c>
      <c r="K81" s="444">
        <f t="shared" si="44"/>
        <v>0</v>
      </c>
      <c r="L81" s="445">
        <v>0</v>
      </c>
      <c r="M81" s="445">
        <v>0</v>
      </c>
      <c r="N81" s="445">
        <v>0</v>
      </c>
      <c r="O81" s="445">
        <v>0</v>
      </c>
      <c r="P81" s="445">
        <v>0</v>
      </c>
      <c r="Q81" s="445">
        <v>0</v>
      </c>
    </row>
    <row r="82" spans="2:19" x14ac:dyDescent="0.15">
      <c r="B82" s="458" t="str">
        <f>+B79 &amp; " as % of Net Sales"</f>
        <v>Maintenance Capex as % of Net Sales</v>
      </c>
      <c r="C82" s="512"/>
      <c r="D82" s="512"/>
      <c r="E82" s="443" t="str">
        <f t="shared" si="43"/>
        <v>n/a</v>
      </c>
      <c r="F82" s="443" t="str">
        <f t="shared" si="43"/>
        <v>n/a</v>
      </c>
      <c r="G82" s="444">
        <f t="shared" si="44"/>
        <v>0</v>
      </c>
      <c r="H82" s="443">
        <f t="shared" si="44"/>
        <v>0</v>
      </c>
      <c r="I82" s="443">
        <f t="shared" si="44"/>
        <v>0</v>
      </c>
      <c r="J82" s="443">
        <f t="shared" si="44"/>
        <v>0</v>
      </c>
      <c r="K82" s="444">
        <f t="shared" si="44"/>
        <v>0</v>
      </c>
      <c r="L82" s="448"/>
      <c r="M82" s="448"/>
      <c r="N82" s="448"/>
      <c r="O82" s="448"/>
      <c r="P82" s="448"/>
      <c r="Q82" s="448"/>
    </row>
    <row r="83" spans="2:19" x14ac:dyDescent="0.15">
      <c r="B83" s="458" t="str">
        <f>+B80 &amp; " as % of Net Sales"</f>
        <v>Expansion Capex as % of Net Sales</v>
      </c>
      <c r="C83" s="512"/>
      <c r="D83" s="512"/>
      <c r="E83" s="443" t="str">
        <f t="shared" si="43"/>
        <v>n/a</v>
      </c>
      <c r="F83" s="443" t="str">
        <f t="shared" si="43"/>
        <v>n/a</v>
      </c>
      <c r="G83" s="444">
        <f t="shared" si="44"/>
        <v>0</v>
      </c>
      <c r="H83" s="443">
        <f t="shared" si="44"/>
        <v>0</v>
      </c>
      <c r="I83" s="443">
        <f t="shared" si="44"/>
        <v>0</v>
      </c>
      <c r="J83" s="443">
        <f t="shared" si="44"/>
        <v>0</v>
      </c>
      <c r="K83" s="444">
        <f t="shared" si="44"/>
        <v>0</v>
      </c>
      <c r="L83" s="448"/>
      <c r="M83" s="448"/>
      <c r="N83" s="448"/>
      <c r="O83" s="448"/>
      <c r="P83" s="448"/>
      <c r="Q83" s="448"/>
    </row>
    <row r="84" spans="2:19" ht="6" customHeight="1" x14ac:dyDescent="0.15">
      <c r="B84" s="458"/>
      <c r="C84" s="512"/>
      <c r="D84" s="512"/>
      <c r="E84" s="443"/>
      <c r="F84" s="443"/>
      <c r="G84" s="444"/>
      <c r="H84" s="443"/>
      <c r="I84" s="448"/>
      <c r="J84" s="448"/>
      <c r="K84" s="444"/>
      <c r="L84" s="448"/>
      <c r="M84" s="448"/>
      <c r="N84" s="448"/>
      <c r="O84" s="448"/>
      <c r="P84" s="448"/>
      <c r="Q84" s="448"/>
    </row>
    <row r="85" spans="2:19" ht="15" outlineLevel="1" thickBot="1" x14ac:dyDescent="0.2">
      <c r="B85" s="416" t="s">
        <v>104</v>
      </c>
      <c r="C85" s="383"/>
      <c r="D85" s="383"/>
      <c r="E85" s="383"/>
      <c r="F85" s="383"/>
      <c r="G85" s="418"/>
      <c r="H85" s="513"/>
      <c r="I85" s="383"/>
      <c r="J85" s="383"/>
      <c r="K85" s="418"/>
      <c r="L85" s="383"/>
      <c r="M85" s="383"/>
      <c r="N85" s="383"/>
      <c r="O85" s="383"/>
      <c r="P85" s="383"/>
      <c r="Q85" s="383"/>
    </row>
    <row r="86" spans="2:19" outlineLevel="1" x14ac:dyDescent="0.15">
      <c r="B86" s="459" t="s">
        <v>75</v>
      </c>
      <c r="C86" s="512"/>
      <c r="D86" s="512"/>
      <c r="E86" s="462"/>
      <c r="F86" s="462">
        <f>+F47</f>
        <v>-200</v>
      </c>
      <c r="G86" s="514">
        <f t="shared" ref="G86:Q86" si="45">+G47</f>
        <v>-1999</v>
      </c>
      <c r="H86" s="462">
        <f>+H47</f>
        <v>0</v>
      </c>
      <c r="I86" s="462">
        <f t="shared" si="45"/>
        <v>-58.099999999999994</v>
      </c>
      <c r="J86" s="462">
        <f t="shared" si="45"/>
        <v>700.06000000000017</v>
      </c>
      <c r="K86" s="514">
        <f t="shared" si="45"/>
        <v>3175.7070000000012</v>
      </c>
      <c r="L86" s="462">
        <f t="shared" si="45"/>
        <v>11761.696800000003</v>
      </c>
      <c r="M86" s="462">
        <f t="shared" si="45"/>
        <v>16341.468705000003</v>
      </c>
      <c r="N86" s="462">
        <f t="shared" si="45"/>
        <v>20022.862445999999</v>
      </c>
      <c r="O86" s="462">
        <f t="shared" si="45"/>
        <v>20423.319694920003</v>
      </c>
      <c r="P86" s="462">
        <f t="shared" si="45"/>
        <v>20831.7860888184</v>
      </c>
      <c r="Q86" s="462">
        <f t="shared" si="45"/>
        <v>21248.421810594773</v>
      </c>
    </row>
    <row r="87" spans="2:19" outlineLevel="1" x14ac:dyDescent="0.15">
      <c r="B87" s="459" t="s">
        <v>105</v>
      </c>
      <c r="C87" s="512"/>
      <c r="D87" s="512"/>
      <c r="E87" s="462"/>
      <c r="F87" s="462">
        <f t="shared" ref="F87" si="46">-F42-F46</f>
        <v>0</v>
      </c>
      <c r="G87" s="515">
        <f>-G42-G46</f>
        <v>0</v>
      </c>
      <c r="H87" s="462">
        <f>-H42-H46</f>
        <v>0</v>
      </c>
      <c r="I87" s="462">
        <f>-I42-I46</f>
        <v>0</v>
      </c>
      <c r="J87" s="462">
        <f t="shared" ref="J87:Q87" si="47">-J42-J46</f>
        <v>0</v>
      </c>
      <c r="K87" s="482">
        <f t="shared" si="47"/>
        <v>0</v>
      </c>
      <c r="L87" s="462">
        <f t="shared" si="47"/>
        <v>0</v>
      </c>
      <c r="M87" s="462">
        <f t="shared" si="47"/>
        <v>0</v>
      </c>
      <c r="N87" s="462">
        <f t="shared" si="47"/>
        <v>0</v>
      </c>
      <c r="O87" s="462">
        <f t="shared" si="47"/>
        <v>0</v>
      </c>
      <c r="P87" s="462">
        <f t="shared" si="47"/>
        <v>0</v>
      </c>
      <c r="Q87" s="462">
        <f t="shared" si="47"/>
        <v>0</v>
      </c>
      <c r="S87" s="516"/>
    </row>
    <row r="88" spans="2:19" outlineLevel="1" x14ac:dyDescent="0.15">
      <c r="B88" s="459" t="s">
        <v>106</v>
      </c>
      <c r="C88" s="512"/>
      <c r="D88" s="512"/>
      <c r="E88" s="443"/>
      <c r="F88" s="517">
        <f>IF(F53="n/a",-F44*$K$9,-F44*F53)</f>
        <v>44</v>
      </c>
      <c r="G88" s="515">
        <f>IF(G53="n/a",-G44*$K$9,-G44*G53)</f>
        <v>439.78000000000003</v>
      </c>
      <c r="H88" s="517">
        <f>+H52</f>
        <v>0</v>
      </c>
      <c r="I88" s="517">
        <f>+I52</f>
        <v>0</v>
      </c>
      <c r="J88" s="517" t="e">
        <f t="shared" ref="J88:Q88" si="48">+J52</f>
        <v>#VALUE!</v>
      </c>
      <c r="K88" s="482" t="e">
        <f t="shared" si="48"/>
        <v>#VALUE!</v>
      </c>
      <c r="L88" s="517" t="e">
        <f t="shared" si="48"/>
        <v>#VALUE!</v>
      </c>
      <c r="M88" s="517" t="e">
        <f t="shared" si="48"/>
        <v>#VALUE!</v>
      </c>
      <c r="N88" s="517" t="e">
        <f t="shared" si="48"/>
        <v>#VALUE!</v>
      </c>
      <c r="O88" s="517" t="e">
        <f>+O52</f>
        <v>#VALUE!</v>
      </c>
      <c r="P88" s="517" t="e">
        <f t="shared" si="48"/>
        <v>#VALUE!</v>
      </c>
      <c r="Q88" s="517" t="e">
        <f t="shared" si="48"/>
        <v>#VALUE!</v>
      </c>
    </row>
    <row r="89" spans="2:19" outlineLevel="1" x14ac:dyDescent="0.15">
      <c r="B89" s="459" t="s">
        <v>107</v>
      </c>
      <c r="C89" s="512"/>
      <c r="D89" s="512"/>
      <c r="E89" s="443"/>
      <c r="F89" s="462">
        <f>+E166-F166</f>
        <v>0</v>
      </c>
      <c r="G89" s="482">
        <f t="shared" ref="G89:P89" si="49">+F166-G166</f>
        <v>0</v>
      </c>
      <c r="H89" s="462">
        <f>+G166-H166</f>
        <v>0</v>
      </c>
      <c r="I89" s="462">
        <f t="shared" si="49"/>
        <v>0</v>
      </c>
      <c r="J89" s="462">
        <f t="shared" si="49"/>
        <v>0</v>
      </c>
      <c r="K89" s="482">
        <f t="shared" si="49"/>
        <v>0</v>
      </c>
      <c r="L89" s="462">
        <f t="shared" si="49"/>
        <v>0</v>
      </c>
      <c r="M89" s="462">
        <f t="shared" si="49"/>
        <v>0</v>
      </c>
      <c r="N89" s="462">
        <f t="shared" si="49"/>
        <v>0</v>
      </c>
      <c r="O89" s="462">
        <f t="shared" si="49"/>
        <v>0</v>
      </c>
      <c r="P89" s="462">
        <f t="shared" si="49"/>
        <v>0</v>
      </c>
      <c r="Q89" s="462">
        <f>+P166-Q166</f>
        <v>0</v>
      </c>
    </row>
    <row r="90" spans="2:19" ht="15" outlineLevel="1" thickBot="1" x14ac:dyDescent="0.2">
      <c r="B90" s="518" t="s">
        <v>108</v>
      </c>
      <c r="C90" s="519"/>
      <c r="D90" s="519"/>
      <c r="E90" s="520"/>
      <c r="F90" s="521">
        <f>F78</f>
        <v>0</v>
      </c>
      <c r="G90" s="522">
        <f t="shared" ref="G90:Q90" si="50">G78</f>
        <v>0</v>
      </c>
      <c r="H90" s="521">
        <f>H78</f>
        <v>0</v>
      </c>
      <c r="I90" s="521">
        <f t="shared" si="50"/>
        <v>0</v>
      </c>
      <c r="J90" s="521">
        <f t="shared" si="50"/>
        <v>0</v>
      </c>
      <c r="K90" s="522">
        <f t="shared" si="50"/>
        <v>0</v>
      </c>
      <c r="L90" s="521">
        <f t="shared" si="50"/>
        <v>0</v>
      </c>
      <c r="M90" s="521">
        <f t="shared" si="50"/>
        <v>0</v>
      </c>
      <c r="N90" s="521">
        <f t="shared" si="50"/>
        <v>0</v>
      </c>
      <c r="O90" s="521">
        <f t="shared" si="50"/>
        <v>0</v>
      </c>
      <c r="P90" s="521">
        <f t="shared" si="50"/>
        <v>0</v>
      </c>
      <c r="Q90" s="521">
        <f t="shared" si="50"/>
        <v>0</v>
      </c>
    </row>
    <row r="91" spans="2:19" outlineLevel="1" x14ac:dyDescent="0.15">
      <c r="B91" s="480" t="s">
        <v>109</v>
      </c>
      <c r="C91" s="512"/>
      <c r="D91" s="512"/>
      <c r="E91" s="443"/>
      <c r="F91" s="523">
        <f>SUM(F86:F90)</f>
        <v>-156</v>
      </c>
      <c r="G91" s="524">
        <f t="shared" ref="G91:Q91" si="51">SUM(G86:G90)</f>
        <v>-1559.22</v>
      </c>
      <c r="H91" s="523">
        <f>SUM(H86:H90)</f>
        <v>0</v>
      </c>
      <c r="I91" s="523">
        <f>SUM(I86:I90)</f>
        <v>-58.099999999999994</v>
      </c>
      <c r="J91" s="523" t="e">
        <f t="shared" si="51"/>
        <v>#VALUE!</v>
      </c>
      <c r="K91" s="524" t="e">
        <f t="shared" si="51"/>
        <v>#VALUE!</v>
      </c>
      <c r="L91" s="523" t="e">
        <f t="shared" si="51"/>
        <v>#VALUE!</v>
      </c>
      <c r="M91" s="523" t="e">
        <f t="shared" si="51"/>
        <v>#VALUE!</v>
      </c>
      <c r="N91" s="523" t="e">
        <f t="shared" si="51"/>
        <v>#VALUE!</v>
      </c>
      <c r="O91" s="523" t="e">
        <f t="shared" si="51"/>
        <v>#VALUE!</v>
      </c>
      <c r="P91" s="523" t="e">
        <f t="shared" si="51"/>
        <v>#VALUE!</v>
      </c>
      <c r="Q91" s="523" t="e">
        <f t="shared" si="51"/>
        <v>#VALUE!</v>
      </c>
    </row>
    <row r="92" spans="2:19" outlineLevel="1" x14ac:dyDescent="0.15">
      <c r="B92" s="525" t="s">
        <v>110</v>
      </c>
      <c r="C92" s="512"/>
      <c r="D92" s="512"/>
      <c r="E92" s="443"/>
      <c r="F92" s="462">
        <f>+F49</f>
        <v>0</v>
      </c>
      <c r="G92" s="482">
        <f t="shared" ref="G92" si="52">+G49</f>
        <v>0</v>
      </c>
      <c r="H92" s="462">
        <f>+H49</f>
        <v>0</v>
      </c>
      <c r="I92" s="462">
        <f t="shared" ref="I92:Q92" ca="1" si="53">+I49</f>
        <v>62.668204535376354</v>
      </c>
      <c r="J92" s="462">
        <f t="shared" ca="1" si="53"/>
        <v>15.18220089349351</v>
      </c>
      <c r="K92" s="482">
        <f t="shared" ca="1" si="53"/>
        <v>101.76744914347927</v>
      </c>
      <c r="L92" s="462">
        <f t="shared" ca="1" si="53"/>
        <v>204.65079034078735</v>
      </c>
      <c r="M92" s="462">
        <f ca="1">+M49</f>
        <v>341.16351185172806</v>
      </c>
      <c r="N92" s="462">
        <f t="shared" ca="1" si="53"/>
        <v>505.9394064433518</v>
      </c>
      <c r="O92" s="462">
        <f t="shared" ca="1" si="53"/>
        <v>688.79941012674146</v>
      </c>
      <c r="P92" s="462">
        <f t="shared" ca="1" si="53"/>
        <v>877.05270650330522</v>
      </c>
      <c r="Q92" s="462">
        <f t="shared" ca="1" si="53"/>
        <v>1070.8246095948698</v>
      </c>
    </row>
    <row r="93" spans="2:19" ht="15" outlineLevel="1" thickBot="1" x14ac:dyDescent="0.2">
      <c r="B93" s="526" t="s">
        <v>111</v>
      </c>
      <c r="C93" s="519"/>
      <c r="D93" s="519"/>
      <c r="E93" s="520"/>
      <c r="F93" s="521">
        <f>+F52</f>
        <v>0</v>
      </c>
      <c r="G93" s="522">
        <f>+G52</f>
        <v>0</v>
      </c>
      <c r="H93" s="521">
        <f>+H52</f>
        <v>0</v>
      </c>
      <c r="I93" s="521">
        <f>+I52</f>
        <v>0</v>
      </c>
      <c r="J93" s="521" t="e">
        <f t="shared" ref="J93:Q93" si="54">+J52</f>
        <v>#VALUE!</v>
      </c>
      <c r="K93" s="522" t="e">
        <f t="shared" si="54"/>
        <v>#VALUE!</v>
      </c>
      <c r="L93" s="521" t="e">
        <f t="shared" si="54"/>
        <v>#VALUE!</v>
      </c>
      <c r="M93" s="521" t="e">
        <f t="shared" si="54"/>
        <v>#VALUE!</v>
      </c>
      <c r="N93" s="521" t="e">
        <f t="shared" si="54"/>
        <v>#VALUE!</v>
      </c>
      <c r="O93" s="521" t="e">
        <f t="shared" si="54"/>
        <v>#VALUE!</v>
      </c>
      <c r="P93" s="521" t="e">
        <f t="shared" si="54"/>
        <v>#VALUE!</v>
      </c>
      <c r="Q93" s="521" t="e">
        <f t="shared" si="54"/>
        <v>#VALUE!</v>
      </c>
    </row>
    <row r="94" spans="2:19" outlineLevel="1" x14ac:dyDescent="0.15">
      <c r="B94" s="480" t="s">
        <v>112</v>
      </c>
      <c r="C94" s="527"/>
      <c r="D94" s="527"/>
      <c r="E94" s="528"/>
      <c r="F94" s="441">
        <f>+F91+F92+F93-F88</f>
        <v>-200</v>
      </c>
      <c r="G94" s="442">
        <f t="shared" ref="G94" si="55">+G91+G92+G93-G88</f>
        <v>-1999</v>
      </c>
      <c r="H94" s="441">
        <f>+H91+H92+H93-H88</f>
        <v>0</v>
      </c>
      <c r="I94" s="441">
        <f ca="1">+I91+I92+I93-I88</f>
        <v>-2937.3317954646236</v>
      </c>
      <c r="J94" s="441">
        <f t="shared" ref="J94:Q94" ca="1" si="56">+J91+J92+J93-J88</f>
        <v>9107.1822008934996</v>
      </c>
      <c r="K94" s="442">
        <f t="shared" ca="1" si="56"/>
        <v>8209.8674491434813</v>
      </c>
      <c r="L94" s="441">
        <f t="shared" ca="1" si="56"/>
        <v>12366.800790340791</v>
      </c>
      <c r="M94" s="441">
        <f ca="1">+M91+M92+M93-M88</f>
        <v>14935.743511851731</v>
      </c>
      <c r="N94" s="441">
        <f t="shared" ca="1" si="56"/>
        <v>18019.435406443354</v>
      </c>
      <c r="O94" s="441">
        <f t="shared" ca="1" si="56"/>
        <v>18552.565330126748</v>
      </c>
      <c r="P94" s="441">
        <f t="shared" ca="1" si="56"/>
        <v>19098.09394490331</v>
      </c>
      <c r="Q94" s="441">
        <f t="shared" ca="1" si="56"/>
        <v>19656.286672762879</v>
      </c>
    </row>
    <row r="95" spans="2:19" x14ac:dyDescent="0.15">
      <c r="B95" s="458"/>
      <c r="C95" s="512"/>
      <c r="D95" s="512"/>
      <c r="E95" s="443"/>
      <c r="F95" s="443"/>
      <c r="G95" s="443"/>
      <c r="H95" s="448"/>
      <c r="I95" s="448"/>
      <c r="J95" s="448"/>
      <c r="K95" s="448"/>
      <c r="L95" s="448"/>
      <c r="M95" s="448"/>
      <c r="N95" s="448"/>
      <c r="O95" s="448"/>
      <c r="P95" s="448"/>
      <c r="Q95" s="448"/>
    </row>
    <row r="96" spans="2:19" x14ac:dyDescent="0.15">
      <c r="B96" s="412" t="s">
        <v>113</v>
      </c>
      <c r="C96" s="412"/>
      <c r="D96" s="412"/>
      <c r="E96" s="412"/>
      <c r="F96" s="412"/>
      <c r="G96" s="413"/>
      <c r="H96" s="412"/>
      <c r="I96" s="412"/>
      <c r="J96" s="412"/>
      <c r="K96" s="413"/>
      <c r="L96" s="412"/>
      <c r="M96" s="412"/>
      <c r="N96" s="412"/>
      <c r="O96" s="412"/>
      <c r="P96" s="412"/>
      <c r="Q96" s="412"/>
    </row>
    <row r="97" spans="2:18" ht="6" customHeight="1" x14ac:dyDescent="0.15">
      <c r="B97" s="458"/>
      <c r="C97" s="529"/>
      <c r="D97" s="529"/>
      <c r="E97" s="443"/>
      <c r="F97" s="443"/>
      <c r="G97" s="443"/>
      <c r="H97" s="448"/>
      <c r="I97" s="448"/>
      <c r="J97" s="448"/>
      <c r="K97" s="448"/>
      <c r="L97" s="448"/>
      <c r="M97" s="448"/>
      <c r="N97" s="448"/>
      <c r="O97" s="448"/>
      <c r="P97" s="448"/>
      <c r="Q97" s="448"/>
    </row>
    <row r="98" spans="2:18" ht="15" thickBot="1" x14ac:dyDescent="0.2">
      <c r="B98" s="416" t="s">
        <v>114</v>
      </c>
      <c r="C98" s="383"/>
      <c r="D98" s="383"/>
      <c r="E98" s="383"/>
      <c r="F98" s="383"/>
      <c r="G98" s="383"/>
      <c r="H98" s="383"/>
      <c r="I98" s="383"/>
      <c r="J98" s="383"/>
      <c r="K98" s="383"/>
      <c r="L98" s="383"/>
      <c r="M98" s="383"/>
      <c r="N98" s="383"/>
      <c r="O98" s="383"/>
      <c r="P98" s="383"/>
      <c r="Q98" s="383"/>
    </row>
    <row r="99" spans="2:18" x14ac:dyDescent="0.15">
      <c r="B99" s="438" t="s">
        <v>115</v>
      </c>
      <c r="C99" s="530"/>
      <c r="D99" s="530"/>
      <c r="E99" s="459"/>
      <c r="F99" s="531"/>
      <c r="G99" s="532"/>
      <c r="H99" s="531"/>
      <c r="I99" s="531"/>
      <c r="J99" s="459"/>
      <c r="K99" s="533"/>
      <c r="L99" s="531"/>
      <c r="M99" s="531"/>
      <c r="N99" s="531"/>
      <c r="O99" s="531"/>
      <c r="P99" s="531"/>
      <c r="Q99" s="531"/>
    </row>
    <row r="100" spans="2:18" x14ac:dyDescent="0.15">
      <c r="B100" s="489" t="s">
        <v>116</v>
      </c>
      <c r="C100" s="534"/>
      <c r="D100" s="534"/>
      <c r="E100" s="450"/>
      <c r="F100" s="535"/>
      <c r="G100" s="536"/>
      <c r="H100" s="535"/>
      <c r="I100" s="535"/>
      <c r="J100" s="450"/>
      <c r="K100" s="537"/>
      <c r="L100" s="535"/>
      <c r="M100" s="535"/>
      <c r="N100" s="535"/>
      <c r="O100" s="535"/>
      <c r="P100" s="535"/>
      <c r="Q100" s="535"/>
    </row>
    <row r="101" spans="2:18" x14ac:dyDescent="0.15">
      <c r="B101" s="459" t="s">
        <v>117</v>
      </c>
      <c r="C101" s="530"/>
      <c r="D101" s="530"/>
      <c r="E101" s="538">
        <f>E102+E103</f>
        <v>0</v>
      </c>
      <c r="F101" s="538">
        <f>F102+F103</f>
        <v>0</v>
      </c>
      <c r="G101" s="539">
        <f>G102+G103</f>
        <v>0</v>
      </c>
      <c r="H101" s="538">
        <f>H102+H103</f>
        <v>0</v>
      </c>
      <c r="I101" s="538">
        <f t="shared" ref="I101:Q101" si="57">I102+I103</f>
        <v>0</v>
      </c>
      <c r="J101" s="538">
        <f t="shared" si="57"/>
        <v>0</v>
      </c>
      <c r="K101" s="539">
        <f t="shared" si="57"/>
        <v>0</v>
      </c>
      <c r="L101" s="538">
        <f t="shared" si="57"/>
        <v>0</v>
      </c>
      <c r="M101" s="538">
        <f t="shared" si="57"/>
        <v>0</v>
      </c>
      <c r="N101" s="538">
        <f t="shared" si="57"/>
        <v>0</v>
      </c>
      <c r="O101" s="538">
        <f t="shared" si="57"/>
        <v>0</v>
      </c>
      <c r="P101" s="538">
        <f t="shared" si="57"/>
        <v>0</v>
      </c>
      <c r="Q101" s="538">
        <f t="shared" si="57"/>
        <v>0</v>
      </c>
    </row>
    <row r="102" spans="2:18" x14ac:dyDescent="0.15">
      <c r="B102" s="540" t="s">
        <v>118</v>
      </c>
      <c r="C102" s="530"/>
      <c r="D102" s="530"/>
      <c r="E102" s="439">
        <v>0</v>
      </c>
      <c r="F102" s="439">
        <v>0</v>
      </c>
      <c r="G102" s="541">
        <v>0</v>
      </c>
      <c r="H102" s="542">
        <f>+G102+H46</f>
        <v>0</v>
      </c>
      <c r="I102" s="542">
        <f t="shared" ref="I102:Q102" si="58">+H102+I46</f>
        <v>0</v>
      </c>
      <c r="J102" s="542">
        <f t="shared" si="58"/>
        <v>0</v>
      </c>
      <c r="K102" s="543">
        <f t="shared" si="58"/>
        <v>0</v>
      </c>
      <c r="L102" s="542">
        <f t="shared" si="58"/>
        <v>0</v>
      </c>
      <c r="M102" s="542">
        <f t="shared" si="58"/>
        <v>0</v>
      </c>
      <c r="N102" s="542">
        <f t="shared" si="58"/>
        <v>0</v>
      </c>
      <c r="O102" s="542">
        <f t="shared" si="58"/>
        <v>0</v>
      </c>
      <c r="P102" s="542">
        <f t="shared" si="58"/>
        <v>0</v>
      </c>
      <c r="Q102" s="542">
        <f t="shared" si="58"/>
        <v>0</v>
      </c>
    </row>
    <row r="103" spans="2:18" x14ac:dyDescent="0.15">
      <c r="B103" s="540" t="s">
        <v>119</v>
      </c>
      <c r="C103" s="530"/>
      <c r="D103" s="530"/>
      <c r="E103" s="439">
        <v>0</v>
      </c>
      <c r="F103" s="439">
        <v>0</v>
      </c>
      <c r="G103" s="541">
        <v>0</v>
      </c>
      <c r="H103" s="542">
        <f>+G103</f>
        <v>0</v>
      </c>
      <c r="I103" s="542">
        <f t="shared" ref="I103:Q103" si="59">+H103</f>
        <v>0</v>
      </c>
      <c r="J103" s="542">
        <f t="shared" si="59"/>
        <v>0</v>
      </c>
      <c r="K103" s="543">
        <f t="shared" si="59"/>
        <v>0</v>
      </c>
      <c r="L103" s="542">
        <f t="shared" si="59"/>
        <v>0</v>
      </c>
      <c r="M103" s="542">
        <f t="shared" si="59"/>
        <v>0</v>
      </c>
      <c r="N103" s="542">
        <f t="shared" si="59"/>
        <v>0</v>
      </c>
      <c r="O103" s="542">
        <f t="shared" si="59"/>
        <v>0</v>
      </c>
      <c r="P103" s="542">
        <f t="shared" si="59"/>
        <v>0</v>
      </c>
      <c r="Q103" s="542">
        <f t="shared" si="59"/>
        <v>0</v>
      </c>
    </row>
    <row r="104" spans="2:18" x14ac:dyDescent="0.15">
      <c r="B104" s="459" t="s">
        <v>120</v>
      </c>
      <c r="C104" s="530"/>
      <c r="D104" s="530"/>
      <c r="E104" s="459">
        <f>E105+E106</f>
        <v>0</v>
      </c>
      <c r="F104" s="459">
        <f>F105+F106</f>
        <v>0</v>
      </c>
      <c r="G104" s="533">
        <f>G105+G106</f>
        <v>0</v>
      </c>
      <c r="H104" s="538">
        <f>H105+H106</f>
        <v>0</v>
      </c>
      <c r="I104" s="538">
        <f t="shared" ref="I104:Q104" si="60">I105+I106</f>
        <v>0</v>
      </c>
      <c r="J104" s="538">
        <f t="shared" si="60"/>
        <v>0</v>
      </c>
      <c r="K104" s="539">
        <f t="shared" si="60"/>
        <v>0</v>
      </c>
      <c r="L104" s="538">
        <f t="shared" si="60"/>
        <v>0</v>
      </c>
      <c r="M104" s="538">
        <f t="shared" si="60"/>
        <v>0</v>
      </c>
      <c r="N104" s="538">
        <f t="shared" si="60"/>
        <v>0</v>
      </c>
      <c r="O104" s="538">
        <f t="shared" si="60"/>
        <v>0</v>
      </c>
      <c r="P104" s="538">
        <f t="shared" si="60"/>
        <v>0</v>
      </c>
      <c r="Q104" s="538">
        <f t="shared" si="60"/>
        <v>0</v>
      </c>
    </row>
    <row r="105" spans="2:18" x14ac:dyDescent="0.15">
      <c r="B105" s="540" t="s">
        <v>121</v>
      </c>
      <c r="C105" s="530"/>
      <c r="D105" s="530"/>
      <c r="E105" s="439">
        <v>0</v>
      </c>
      <c r="F105" s="439">
        <v>0</v>
      </c>
      <c r="G105" s="541">
        <v>0</v>
      </c>
      <c r="H105" s="542">
        <f>+G105</f>
        <v>0</v>
      </c>
      <c r="I105" s="538">
        <f>+H105</f>
        <v>0</v>
      </c>
      <c r="J105" s="538">
        <f>+I105</f>
        <v>0</v>
      </c>
      <c r="K105" s="539">
        <f>+J105</f>
        <v>0</v>
      </c>
      <c r="L105" s="538">
        <f t="shared" ref="L105:Q105" si="61">+K105</f>
        <v>0</v>
      </c>
      <c r="M105" s="538">
        <f t="shared" si="61"/>
        <v>0</v>
      </c>
      <c r="N105" s="538">
        <f t="shared" si="61"/>
        <v>0</v>
      </c>
      <c r="O105" s="538">
        <f t="shared" si="61"/>
        <v>0</v>
      </c>
      <c r="P105" s="538">
        <f t="shared" si="61"/>
        <v>0</v>
      </c>
      <c r="Q105" s="538">
        <f t="shared" si="61"/>
        <v>0</v>
      </c>
    </row>
    <row r="106" spans="2:18" x14ac:dyDescent="0.15">
      <c r="B106" s="540" t="s">
        <v>122</v>
      </c>
      <c r="C106" s="530"/>
      <c r="D106" s="530"/>
      <c r="E106" s="439">
        <v>0</v>
      </c>
      <c r="F106" s="439">
        <v>0</v>
      </c>
      <c r="G106" s="541">
        <v>0</v>
      </c>
      <c r="H106" s="542">
        <f>+G106+H42-H78</f>
        <v>0</v>
      </c>
      <c r="I106" s="542">
        <f t="shared" ref="I106:Q106" si="62">+H106+I42-I78</f>
        <v>0</v>
      </c>
      <c r="J106" s="542">
        <f t="shared" si="62"/>
        <v>0</v>
      </c>
      <c r="K106" s="539">
        <f t="shared" si="62"/>
        <v>0</v>
      </c>
      <c r="L106" s="542">
        <f t="shared" si="62"/>
        <v>0</v>
      </c>
      <c r="M106" s="542">
        <f t="shared" si="62"/>
        <v>0</v>
      </c>
      <c r="N106" s="542">
        <f t="shared" si="62"/>
        <v>0</v>
      </c>
      <c r="O106" s="542">
        <f t="shared" si="62"/>
        <v>0</v>
      </c>
      <c r="P106" s="542">
        <f t="shared" si="62"/>
        <v>0</v>
      </c>
      <c r="Q106" s="542">
        <f t="shared" si="62"/>
        <v>0</v>
      </c>
    </row>
    <row r="107" spans="2:18" x14ac:dyDescent="0.15">
      <c r="B107" s="459" t="s">
        <v>123</v>
      </c>
      <c r="C107" s="530"/>
      <c r="D107" s="530"/>
      <c r="E107" s="542">
        <f>SUM(E108:E112)</f>
        <v>0</v>
      </c>
      <c r="F107" s="459">
        <f>SUM(F108:F112)</f>
        <v>0</v>
      </c>
      <c r="G107" s="539">
        <f>SUM(G108:G112)</f>
        <v>0</v>
      </c>
      <c r="H107" s="538">
        <f>SUM(H108:H112)</f>
        <v>0</v>
      </c>
      <c r="I107" s="538">
        <f>SUM(I108:I112)</f>
        <v>0</v>
      </c>
      <c r="J107" s="538">
        <f t="shared" ref="J107:Q107" si="63">SUM(J108:J112)</f>
        <v>0</v>
      </c>
      <c r="K107" s="539">
        <f t="shared" si="63"/>
        <v>0</v>
      </c>
      <c r="L107" s="538">
        <f t="shared" si="63"/>
        <v>0</v>
      </c>
      <c r="M107" s="538">
        <f t="shared" si="63"/>
        <v>0</v>
      </c>
      <c r="N107" s="538">
        <f t="shared" si="63"/>
        <v>0</v>
      </c>
      <c r="O107" s="538">
        <f t="shared" si="63"/>
        <v>0</v>
      </c>
      <c r="P107" s="538">
        <f t="shared" si="63"/>
        <v>0</v>
      </c>
      <c r="Q107" s="538">
        <f t="shared" si="63"/>
        <v>0</v>
      </c>
    </row>
    <row r="108" spans="2:18" x14ac:dyDescent="0.15">
      <c r="B108" s="544" t="s">
        <v>124</v>
      </c>
      <c r="C108" s="530"/>
      <c r="D108" s="530"/>
      <c r="E108" s="439">
        <v>0</v>
      </c>
      <c r="F108" s="439">
        <v>0</v>
      </c>
      <c r="G108" s="541">
        <v>0</v>
      </c>
      <c r="H108" s="542">
        <f>+G108</f>
        <v>0</v>
      </c>
      <c r="I108" s="542">
        <f t="shared" ref="I108:Q112" si="64">+H108</f>
        <v>0</v>
      </c>
      <c r="J108" s="542">
        <f t="shared" si="64"/>
        <v>0</v>
      </c>
      <c r="K108" s="543">
        <f t="shared" si="64"/>
        <v>0</v>
      </c>
      <c r="L108" s="542">
        <f t="shared" si="64"/>
        <v>0</v>
      </c>
      <c r="M108" s="542">
        <f t="shared" si="64"/>
        <v>0</v>
      </c>
      <c r="N108" s="542">
        <f t="shared" si="64"/>
        <v>0</v>
      </c>
      <c r="O108" s="542">
        <f t="shared" si="64"/>
        <v>0</v>
      </c>
      <c r="P108" s="542">
        <f t="shared" si="64"/>
        <v>0</v>
      </c>
      <c r="Q108" s="542">
        <f t="shared" si="64"/>
        <v>0</v>
      </c>
      <c r="R108" s="545" t="s">
        <v>123</v>
      </c>
    </row>
    <row r="109" spans="2:18" x14ac:dyDescent="0.15">
      <c r="B109" s="544" t="s">
        <v>125</v>
      </c>
      <c r="C109" s="530"/>
      <c r="D109" s="530"/>
      <c r="E109" s="439">
        <v>0</v>
      </c>
      <c r="F109" s="439">
        <v>0</v>
      </c>
      <c r="G109" s="541">
        <v>0</v>
      </c>
      <c r="H109" s="542">
        <f>+G109</f>
        <v>0</v>
      </c>
      <c r="I109" s="542">
        <f t="shared" si="64"/>
        <v>0</v>
      </c>
      <c r="J109" s="542">
        <f t="shared" si="64"/>
        <v>0</v>
      </c>
      <c r="K109" s="543">
        <f t="shared" si="64"/>
        <v>0</v>
      </c>
      <c r="L109" s="542">
        <f t="shared" si="64"/>
        <v>0</v>
      </c>
      <c r="M109" s="542">
        <f t="shared" si="64"/>
        <v>0</v>
      </c>
      <c r="N109" s="542">
        <f t="shared" si="64"/>
        <v>0</v>
      </c>
      <c r="O109" s="542">
        <f t="shared" si="64"/>
        <v>0</v>
      </c>
      <c r="P109" s="542">
        <f t="shared" si="64"/>
        <v>0</v>
      </c>
      <c r="Q109" s="542">
        <f t="shared" si="64"/>
        <v>0</v>
      </c>
      <c r="R109" s="545" t="s">
        <v>126</v>
      </c>
    </row>
    <row r="110" spans="2:18" x14ac:dyDescent="0.15">
      <c r="B110" s="544" t="s">
        <v>127</v>
      </c>
      <c r="C110" s="530"/>
      <c r="D110" s="530"/>
      <c r="E110" s="439">
        <v>0</v>
      </c>
      <c r="F110" s="439">
        <v>0</v>
      </c>
      <c r="G110" s="541">
        <v>0</v>
      </c>
      <c r="H110" s="542">
        <f>+G110</f>
        <v>0</v>
      </c>
      <c r="I110" s="542">
        <f>+H110</f>
        <v>0</v>
      </c>
      <c r="J110" s="542">
        <f t="shared" si="64"/>
        <v>0</v>
      </c>
      <c r="K110" s="543">
        <f t="shared" si="64"/>
        <v>0</v>
      </c>
      <c r="L110" s="542">
        <f t="shared" si="64"/>
        <v>0</v>
      </c>
      <c r="M110" s="542">
        <f t="shared" si="64"/>
        <v>0</v>
      </c>
      <c r="N110" s="542">
        <f t="shared" si="64"/>
        <v>0</v>
      </c>
      <c r="O110" s="542">
        <f t="shared" si="64"/>
        <v>0</v>
      </c>
      <c r="P110" s="542">
        <f t="shared" si="64"/>
        <v>0</v>
      </c>
      <c r="Q110" s="542">
        <f t="shared" si="64"/>
        <v>0</v>
      </c>
      <c r="R110" s="545" t="s">
        <v>123</v>
      </c>
    </row>
    <row r="111" spans="2:18" x14ac:dyDescent="0.15">
      <c r="B111" s="544" t="s">
        <v>128</v>
      </c>
      <c r="C111" s="530"/>
      <c r="D111" s="530"/>
      <c r="E111" s="439">
        <v>0</v>
      </c>
      <c r="F111" s="439">
        <v>0</v>
      </c>
      <c r="G111" s="541">
        <v>0</v>
      </c>
      <c r="H111" s="542">
        <f>+G111</f>
        <v>0</v>
      </c>
      <c r="I111" s="542">
        <f t="shared" si="64"/>
        <v>0</v>
      </c>
      <c r="J111" s="542">
        <f t="shared" si="64"/>
        <v>0</v>
      </c>
      <c r="K111" s="543">
        <f t="shared" si="64"/>
        <v>0</v>
      </c>
      <c r="L111" s="542">
        <f t="shared" si="64"/>
        <v>0</v>
      </c>
      <c r="M111" s="542">
        <f t="shared" si="64"/>
        <v>0</v>
      </c>
      <c r="N111" s="542">
        <f t="shared" si="64"/>
        <v>0</v>
      </c>
      <c r="O111" s="542">
        <f t="shared" si="64"/>
        <v>0</v>
      </c>
      <c r="P111" s="542">
        <f t="shared" si="64"/>
        <v>0</v>
      </c>
      <c r="Q111" s="542">
        <f t="shared" si="64"/>
        <v>0</v>
      </c>
      <c r="R111" s="545" t="s">
        <v>129</v>
      </c>
    </row>
    <row r="112" spans="2:18" x14ac:dyDescent="0.15">
      <c r="B112" s="544" t="s">
        <v>130</v>
      </c>
      <c r="C112" s="530"/>
      <c r="D112" s="530"/>
      <c r="E112" s="439">
        <v>0</v>
      </c>
      <c r="F112" s="439">
        <v>0</v>
      </c>
      <c r="G112" s="541">
        <v>0</v>
      </c>
      <c r="H112" s="542">
        <f>+G112</f>
        <v>0</v>
      </c>
      <c r="I112" s="542">
        <f>+H112</f>
        <v>0</v>
      </c>
      <c r="J112" s="542">
        <f>+I112</f>
        <v>0</v>
      </c>
      <c r="K112" s="543">
        <f>+J112</f>
        <v>0</v>
      </c>
      <c r="L112" s="542">
        <f>+K112</f>
        <v>0</v>
      </c>
      <c r="M112" s="542">
        <f t="shared" si="64"/>
        <v>0</v>
      </c>
      <c r="N112" s="542">
        <f t="shared" si="64"/>
        <v>0</v>
      </c>
      <c r="O112" s="542">
        <f t="shared" si="64"/>
        <v>0</v>
      </c>
      <c r="P112" s="542">
        <f t="shared" si="64"/>
        <v>0</v>
      </c>
      <c r="Q112" s="542">
        <f t="shared" si="64"/>
        <v>0</v>
      </c>
      <c r="R112" s="545" t="s">
        <v>123</v>
      </c>
    </row>
    <row r="113" spans="2:18" x14ac:dyDescent="0.15">
      <c r="B113" s="438" t="s">
        <v>131</v>
      </c>
      <c r="C113" s="530"/>
      <c r="D113" s="530"/>
      <c r="E113" s="438">
        <f>E101+E104+E107</f>
        <v>0</v>
      </c>
      <c r="F113" s="438">
        <f>F101+F104+F107</f>
        <v>0</v>
      </c>
      <c r="G113" s="546">
        <f>G101+G104+G107</f>
        <v>0</v>
      </c>
      <c r="H113" s="547">
        <f>H101+H104+H107</f>
        <v>0</v>
      </c>
      <c r="I113" s="547">
        <f t="shared" ref="I113:Q113" si="65">I101+I104+I107</f>
        <v>0</v>
      </c>
      <c r="J113" s="547">
        <f t="shared" si="65"/>
        <v>0</v>
      </c>
      <c r="K113" s="546">
        <f t="shared" si="65"/>
        <v>0</v>
      </c>
      <c r="L113" s="547">
        <f t="shared" si="65"/>
        <v>0</v>
      </c>
      <c r="M113" s="547">
        <f t="shared" si="65"/>
        <v>0</v>
      </c>
      <c r="N113" s="547">
        <f t="shared" si="65"/>
        <v>0</v>
      </c>
      <c r="O113" s="547">
        <f t="shared" si="65"/>
        <v>0</v>
      </c>
      <c r="P113" s="547">
        <f t="shared" si="65"/>
        <v>0</v>
      </c>
      <c r="Q113" s="547">
        <f t="shared" si="65"/>
        <v>0</v>
      </c>
    </row>
    <row r="114" spans="2:18" x14ac:dyDescent="0.15">
      <c r="B114" s="459"/>
      <c r="C114" s="530"/>
      <c r="D114" s="530"/>
      <c r="E114" s="531"/>
      <c r="F114" s="531"/>
      <c r="G114" s="532"/>
      <c r="H114" s="459"/>
      <c r="I114" s="459"/>
      <c r="J114" s="459"/>
      <c r="K114" s="548"/>
      <c r="L114" s="531"/>
      <c r="M114" s="531"/>
      <c r="N114" s="531"/>
      <c r="O114" s="531"/>
      <c r="P114" s="531"/>
      <c r="Q114" s="459"/>
    </row>
    <row r="115" spans="2:18" x14ac:dyDescent="0.15">
      <c r="B115" s="489" t="s">
        <v>132</v>
      </c>
      <c r="C115" s="534"/>
      <c r="D115" s="534"/>
      <c r="E115" s="535"/>
      <c r="F115" s="535"/>
      <c r="G115" s="536"/>
      <c r="H115" s="450"/>
      <c r="I115" s="450"/>
      <c r="J115" s="450"/>
      <c r="K115" s="549"/>
      <c r="L115" s="535"/>
      <c r="M115" s="535"/>
      <c r="N115" s="535"/>
      <c r="O115" s="535"/>
      <c r="P115" s="535"/>
      <c r="Q115" s="450"/>
    </row>
    <row r="116" spans="2:18" x14ac:dyDescent="0.15">
      <c r="B116" s="459" t="s">
        <v>133</v>
      </c>
      <c r="C116" s="530"/>
      <c r="D116" s="530"/>
      <c r="E116" s="439">
        <v>0</v>
      </c>
      <c r="F116" s="439">
        <v>0</v>
      </c>
      <c r="G116" s="541">
        <v>0</v>
      </c>
      <c r="H116" s="538">
        <f>+H154*H$28</f>
        <v>0</v>
      </c>
      <c r="I116" s="538">
        <f t="shared" ref="I116:Q116" si="66">+I154*I$28</f>
        <v>0</v>
      </c>
      <c r="J116" s="538">
        <f>+J154*J$28</f>
        <v>0</v>
      </c>
      <c r="K116" s="539">
        <f t="shared" si="66"/>
        <v>0</v>
      </c>
      <c r="L116" s="538">
        <f t="shared" si="66"/>
        <v>0</v>
      </c>
      <c r="M116" s="538">
        <f t="shared" si="66"/>
        <v>0</v>
      </c>
      <c r="N116" s="538">
        <f t="shared" si="66"/>
        <v>0</v>
      </c>
      <c r="O116" s="538">
        <f t="shared" si="66"/>
        <v>0</v>
      </c>
      <c r="P116" s="538">
        <f t="shared" si="66"/>
        <v>0</v>
      </c>
      <c r="Q116" s="538">
        <f t="shared" si="66"/>
        <v>0</v>
      </c>
      <c r="R116" s="545" t="s">
        <v>134</v>
      </c>
    </row>
    <row r="117" spans="2:18" x14ac:dyDescent="0.15">
      <c r="B117" s="459" t="s">
        <v>135</v>
      </c>
      <c r="C117" s="530"/>
      <c r="D117" s="530"/>
      <c r="E117" s="439">
        <v>0</v>
      </c>
      <c r="F117" s="439">
        <v>0</v>
      </c>
      <c r="G117" s="541">
        <v>0</v>
      </c>
      <c r="H117" s="538">
        <f>+H155*H$28</f>
        <v>0</v>
      </c>
      <c r="I117" s="538">
        <f t="shared" ref="I117:Q117" si="67">+I155*I$28</f>
        <v>0</v>
      </c>
      <c r="J117" s="538">
        <f t="shared" si="67"/>
        <v>0</v>
      </c>
      <c r="K117" s="539">
        <f t="shared" si="67"/>
        <v>0</v>
      </c>
      <c r="L117" s="538">
        <f t="shared" si="67"/>
        <v>0</v>
      </c>
      <c r="M117" s="538">
        <f t="shared" si="67"/>
        <v>0</v>
      </c>
      <c r="N117" s="538">
        <f t="shared" si="67"/>
        <v>0</v>
      </c>
      <c r="O117" s="538">
        <f t="shared" si="67"/>
        <v>0</v>
      </c>
      <c r="P117" s="538">
        <f t="shared" si="67"/>
        <v>0</v>
      </c>
      <c r="Q117" s="538">
        <f t="shared" si="67"/>
        <v>0</v>
      </c>
      <c r="R117" s="545" t="s">
        <v>134</v>
      </c>
    </row>
    <row r="118" spans="2:18" x14ac:dyDescent="0.15">
      <c r="B118" s="459" t="s">
        <v>136</v>
      </c>
      <c r="C118" s="530"/>
      <c r="D118" s="530"/>
      <c r="E118" s="439">
        <v>0</v>
      </c>
      <c r="F118" s="439">
        <v>0</v>
      </c>
      <c r="G118" s="541">
        <v>0</v>
      </c>
      <c r="H118" s="538">
        <f t="shared" ref="H118:Q118" si="68">+H160*H28</f>
        <v>0</v>
      </c>
      <c r="I118" s="538">
        <f t="shared" si="68"/>
        <v>0</v>
      </c>
      <c r="J118" s="538">
        <f t="shared" si="68"/>
        <v>0</v>
      </c>
      <c r="K118" s="539">
        <f t="shared" si="68"/>
        <v>0</v>
      </c>
      <c r="L118" s="538">
        <f t="shared" si="68"/>
        <v>0</v>
      </c>
      <c r="M118" s="538">
        <f t="shared" si="68"/>
        <v>0</v>
      </c>
      <c r="N118" s="538">
        <f t="shared" si="68"/>
        <v>0</v>
      </c>
      <c r="O118" s="538">
        <f t="shared" si="68"/>
        <v>0</v>
      </c>
      <c r="P118" s="538">
        <f t="shared" si="68"/>
        <v>0</v>
      </c>
      <c r="Q118" s="538">
        <f t="shared" si="68"/>
        <v>0</v>
      </c>
      <c r="R118" s="545" t="s">
        <v>134</v>
      </c>
    </row>
    <row r="119" spans="2:18" x14ac:dyDescent="0.15">
      <c r="B119" s="459" t="s">
        <v>137</v>
      </c>
      <c r="C119" s="530"/>
      <c r="D119" s="530"/>
      <c r="E119" s="439">
        <v>0</v>
      </c>
      <c r="F119" s="439">
        <v>0</v>
      </c>
      <c r="G119" s="541">
        <v>0</v>
      </c>
      <c r="H119" s="542">
        <f t="shared" ref="H119:Q119" si="69">+H156*H28</f>
        <v>0</v>
      </c>
      <c r="I119" s="542">
        <f t="shared" si="69"/>
        <v>0</v>
      </c>
      <c r="J119" s="542">
        <f t="shared" si="69"/>
        <v>0</v>
      </c>
      <c r="K119" s="543">
        <f t="shared" si="69"/>
        <v>0</v>
      </c>
      <c r="L119" s="542">
        <f t="shared" si="69"/>
        <v>0</v>
      </c>
      <c r="M119" s="542">
        <f t="shared" si="69"/>
        <v>0</v>
      </c>
      <c r="N119" s="542">
        <f t="shared" si="69"/>
        <v>0</v>
      </c>
      <c r="O119" s="542">
        <f t="shared" si="69"/>
        <v>0</v>
      </c>
      <c r="P119" s="542">
        <f t="shared" si="69"/>
        <v>0</v>
      </c>
      <c r="Q119" s="542">
        <f t="shared" si="69"/>
        <v>0</v>
      </c>
      <c r="R119" s="545" t="s">
        <v>134</v>
      </c>
    </row>
    <row r="120" spans="2:18" x14ac:dyDescent="0.15">
      <c r="B120" s="459" t="s">
        <v>138</v>
      </c>
      <c r="C120" s="530"/>
      <c r="D120" s="530"/>
      <c r="E120" s="439">
        <v>0</v>
      </c>
      <c r="F120" s="439">
        <v>0</v>
      </c>
      <c r="G120" s="541">
        <v>0</v>
      </c>
      <c r="H120" s="542">
        <f>+G120</f>
        <v>0</v>
      </c>
      <c r="I120" s="542">
        <f>+H120</f>
        <v>0</v>
      </c>
      <c r="J120" s="542">
        <f t="shared" ref="J120:Q121" si="70">+I120</f>
        <v>0</v>
      </c>
      <c r="K120" s="543">
        <f t="shared" si="70"/>
        <v>0</v>
      </c>
      <c r="L120" s="542">
        <f t="shared" si="70"/>
        <v>0</v>
      </c>
      <c r="M120" s="542">
        <f t="shared" si="70"/>
        <v>0</v>
      </c>
      <c r="N120" s="542">
        <f t="shared" si="70"/>
        <v>0</v>
      </c>
      <c r="O120" s="542">
        <f t="shared" si="70"/>
        <v>0</v>
      </c>
      <c r="P120" s="542">
        <f t="shared" si="70"/>
        <v>0</v>
      </c>
      <c r="Q120" s="542">
        <f t="shared" si="70"/>
        <v>0</v>
      </c>
      <c r="R120" s="545" t="s">
        <v>129</v>
      </c>
    </row>
    <row r="121" spans="2:18" x14ac:dyDescent="0.15">
      <c r="B121" s="459" t="s">
        <v>139</v>
      </c>
      <c r="C121" s="530"/>
      <c r="D121" s="530"/>
      <c r="E121" s="439">
        <v>0</v>
      </c>
      <c r="F121" s="439">
        <v>0</v>
      </c>
      <c r="G121" s="541">
        <v>0</v>
      </c>
      <c r="H121" s="542">
        <f>+G121</f>
        <v>0</v>
      </c>
      <c r="I121" s="542">
        <f>+H121</f>
        <v>0</v>
      </c>
      <c r="J121" s="542">
        <f t="shared" si="70"/>
        <v>0</v>
      </c>
      <c r="K121" s="543">
        <f t="shared" si="70"/>
        <v>0</v>
      </c>
      <c r="L121" s="542">
        <f t="shared" si="70"/>
        <v>0</v>
      </c>
      <c r="M121" s="542">
        <f t="shared" si="70"/>
        <v>0</v>
      </c>
      <c r="N121" s="542">
        <f t="shared" si="70"/>
        <v>0</v>
      </c>
      <c r="O121" s="542">
        <f t="shared" si="70"/>
        <v>0</v>
      </c>
      <c r="P121" s="542">
        <f t="shared" si="70"/>
        <v>0</v>
      </c>
      <c r="Q121" s="542">
        <f t="shared" si="70"/>
        <v>0</v>
      </c>
      <c r="R121" s="545" t="s">
        <v>129</v>
      </c>
    </row>
    <row r="122" spans="2:18" x14ac:dyDescent="0.15">
      <c r="B122" s="459" t="s">
        <v>140</v>
      </c>
      <c r="C122" s="530"/>
      <c r="D122" s="530"/>
      <c r="E122" s="439">
        <v>0</v>
      </c>
      <c r="F122" s="439">
        <v>0</v>
      </c>
      <c r="G122" s="541">
        <v>5000</v>
      </c>
      <c r="H122" s="542">
        <f>+G122+H94</f>
        <v>5000</v>
      </c>
      <c r="I122" s="542">
        <f t="shared" ref="I122:K122" ca="1" si="71">+H122+I94</f>
        <v>-3035.3710111509481</v>
      </c>
      <c r="J122" s="542">
        <f t="shared" ca="1" si="71"/>
        <v>6071.8111897425515</v>
      </c>
      <c r="K122" s="543">
        <f t="shared" ca="1" si="71"/>
        <v>14281.678638886033</v>
      </c>
      <c r="L122" s="542">
        <f ca="1">+K122+L94</f>
        <v>26648.479429226823</v>
      </c>
      <c r="M122" s="542">
        <f ca="1">+L122+M94</f>
        <v>41584.222941078551</v>
      </c>
      <c r="N122" s="542">
        <f t="shared" ref="N122:Q122" ca="1" si="72">+M122+N94</f>
        <v>59603.658347521909</v>
      </c>
      <c r="O122" s="542">
        <f t="shared" ca="1" si="72"/>
        <v>78156.223677648653</v>
      </c>
      <c r="P122" s="542">
        <f t="shared" ca="1" si="72"/>
        <v>97254.317622551956</v>
      </c>
      <c r="Q122" s="542">
        <f t="shared" ca="1" si="72"/>
        <v>116910.60429531484</v>
      </c>
      <c r="R122" s="545" t="s">
        <v>129</v>
      </c>
    </row>
    <row r="123" spans="2:18" x14ac:dyDescent="0.15">
      <c r="B123" s="438" t="s">
        <v>141</v>
      </c>
      <c r="C123" s="530"/>
      <c r="D123" s="530"/>
      <c r="E123" s="438">
        <f t="shared" ref="E123:Q123" si="73">SUM(E116:E122)</f>
        <v>0</v>
      </c>
      <c r="F123" s="438">
        <f t="shared" si="73"/>
        <v>0</v>
      </c>
      <c r="G123" s="550">
        <f t="shared" si="73"/>
        <v>5000</v>
      </c>
      <c r="H123" s="547">
        <f>SUM(H116:H122)</f>
        <v>5000</v>
      </c>
      <c r="I123" s="547">
        <f t="shared" ca="1" si="73"/>
        <v>-3035.3710111509481</v>
      </c>
      <c r="J123" s="547">
        <f t="shared" ca="1" si="73"/>
        <v>6071.8111897425515</v>
      </c>
      <c r="K123" s="546">
        <f t="shared" ca="1" si="73"/>
        <v>14281.678638886033</v>
      </c>
      <c r="L123" s="547">
        <f ca="1">SUM(L116:L122)</f>
        <v>26648.479429226823</v>
      </c>
      <c r="M123" s="547">
        <f ca="1">SUM(M116:M122)</f>
        <v>41584.222941078551</v>
      </c>
      <c r="N123" s="547">
        <f t="shared" ca="1" si="73"/>
        <v>59603.658347521909</v>
      </c>
      <c r="O123" s="547">
        <f t="shared" ca="1" si="73"/>
        <v>78156.223677648653</v>
      </c>
      <c r="P123" s="547">
        <f t="shared" ca="1" si="73"/>
        <v>97254.317622551956</v>
      </c>
      <c r="Q123" s="547">
        <f t="shared" ca="1" si="73"/>
        <v>116910.60429531484</v>
      </c>
    </row>
    <row r="124" spans="2:18" x14ac:dyDescent="0.15">
      <c r="B124" s="551" t="s">
        <v>142</v>
      </c>
      <c r="C124" s="552"/>
      <c r="D124" s="552"/>
      <c r="E124" s="551">
        <f t="shared" ref="E124:Q124" si="74">E113+E123</f>
        <v>0</v>
      </c>
      <c r="F124" s="551">
        <f t="shared" si="74"/>
        <v>0</v>
      </c>
      <c r="G124" s="553">
        <f t="shared" si="74"/>
        <v>5000</v>
      </c>
      <c r="H124" s="554">
        <f>H113+H123</f>
        <v>5000</v>
      </c>
      <c r="I124" s="554">
        <f t="shared" ca="1" si="74"/>
        <v>-3035.3710111509481</v>
      </c>
      <c r="J124" s="554">
        <f t="shared" ca="1" si="74"/>
        <v>6071.8111897425515</v>
      </c>
      <c r="K124" s="555">
        <f t="shared" ca="1" si="74"/>
        <v>14281.678638886033</v>
      </c>
      <c r="L124" s="554">
        <f ca="1">L113+L123</f>
        <v>26648.479429226823</v>
      </c>
      <c r="M124" s="554">
        <f ca="1">M113+M123</f>
        <v>41584.222941078551</v>
      </c>
      <c r="N124" s="554">
        <f t="shared" ca="1" si="74"/>
        <v>59603.658347521909</v>
      </c>
      <c r="O124" s="554">
        <f t="shared" ca="1" si="74"/>
        <v>78156.223677648653</v>
      </c>
      <c r="P124" s="554">
        <f t="shared" ca="1" si="74"/>
        <v>97254.317622551956</v>
      </c>
      <c r="Q124" s="554">
        <f t="shared" ca="1" si="74"/>
        <v>116910.60429531484</v>
      </c>
    </row>
    <row r="125" spans="2:18" x14ac:dyDescent="0.15">
      <c r="B125" s="459"/>
      <c r="C125" s="530"/>
      <c r="D125" s="530"/>
      <c r="E125" s="531"/>
      <c r="F125" s="531"/>
      <c r="G125" s="531"/>
      <c r="H125" s="531"/>
      <c r="I125" s="459"/>
      <c r="J125" s="459"/>
      <c r="K125" s="556"/>
      <c r="L125" s="531"/>
      <c r="M125" s="531"/>
      <c r="N125" s="531"/>
      <c r="O125" s="531"/>
      <c r="P125" s="531"/>
      <c r="Q125" s="459"/>
    </row>
    <row r="126" spans="2:18" x14ac:dyDescent="0.15">
      <c r="B126" s="489" t="s">
        <v>143</v>
      </c>
      <c r="C126" s="534"/>
      <c r="D126" s="534"/>
      <c r="E126" s="535"/>
      <c r="F126" s="535"/>
      <c r="G126" s="535"/>
      <c r="H126" s="535"/>
      <c r="I126" s="450"/>
      <c r="J126" s="450"/>
      <c r="K126" s="557"/>
      <c r="L126" s="535"/>
      <c r="M126" s="535"/>
      <c r="N126" s="535"/>
      <c r="O126" s="535"/>
      <c r="P126" s="535"/>
      <c r="Q126" s="450"/>
    </row>
    <row r="127" spans="2:18" x14ac:dyDescent="0.15">
      <c r="B127" s="459" t="s">
        <v>144</v>
      </c>
      <c r="C127" s="530"/>
      <c r="D127" s="530"/>
      <c r="E127" s="439">
        <v>0</v>
      </c>
      <c r="F127" s="439">
        <v>0</v>
      </c>
      <c r="G127" s="541">
        <f>G122</f>
        <v>5000</v>
      </c>
      <c r="H127" s="558">
        <f t="shared" ref="H127:Q127" si="75">+G127+H57</f>
        <v>5000</v>
      </c>
      <c r="I127" s="558">
        <f t="shared" ca="1" si="75"/>
        <v>-3035.3710111509481</v>
      </c>
      <c r="J127" s="558">
        <f t="shared" ca="1" si="75"/>
        <v>6071.8111897425515</v>
      </c>
      <c r="K127" s="539">
        <f t="shared" ca="1" si="75"/>
        <v>14281.678638886031</v>
      </c>
      <c r="L127" s="558">
        <f t="shared" ca="1" si="75"/>
        <v>26648.47942922682</v>
      </c>
      <c r="M127" s="558">
        <f ca="1">+L127+M57</f>
        <v>41584.222941078551</v>
      </c>
      <c r="N127" s="558">
        <f t="shared" ca="1" si="75"/>
        <v>59603.658347521909</v>
      </c>
      <c r="O127" s="558">
        <f t="shared" ca="1" si="75"/>
        <v>78156.223677648653</v>
      </c>
      <c r="P127" s="558">
        <f t="shared" ca="1" si="75"/>
        <v>97254.317622551956</v>
      </c>
      <c r="Q127" s="558">
        <f t="shared" ca="1" si="75"/>
        <v>116910.60429531484</v>
      </c>
    </row>
    <row r="128" spans="2:18" x14ac:dyDescent="0.15">
      <c r="B128" s="459" t="s">
        <v>145</v>
      </c>
      <c r="C128" s="530"/>
      <c r="D128" s="530"/>
      <c r="E128" s="439">
        <v>0</v>
      </c>
      <c r="F128" s="439">
        <v>0</v>
      </c>
      <c r="G128" s="541">
        <v>0</v>
      </c>
      <c r="H128" s="558">
        <f>+G128+H58</f>
        <v>0</v>
      </c>
      <c r="I128" s="558">
        <f t="shared" ref="I128:Q128" si="76">+H128+I58</f>
        <v>0</v>
      </c>
      <c r="J128" s="558">
        <f t="shared" si="76"/>
        <v>0</v>
      </c>
      <c r="K128" s="543">
        <f t="shared" si="76"/>
        <v>0</v>
      </c>
      <c r="L128" s="558">
        <f t="shared" si="76"/>
        <v>0</v>
      </c>
      <c r="M128" s="558">
        <f t="shared" si="76"/>
        <v>0</v>
      </c>
      <c r="N128" s="558">
        <f>+M128+N58</f>
        <v>0</v>
      </c>
      <c r="O128" s="558">
        <f t="shared" si="76"/>
        <v>0</v>
      </c>
      <c r="P128" s="558">
        <f t="shared" si="76"/>
        <v>0</v>
      </c>
      <c r="Q128" s="558">
        <f t="shared" si="76"/>
        <v>0</v>
      </c>
    </row>
    <row r="129" spans="2:18" x14ac:dyDescent="0.15">
      <c r="B129" s="459" t="s">
        <v>146</v>
      </c>
      <c r="C129" s="530"/>
      <c r="D129" s="530"/>
      <c r="E129" s="542">
        <f>SUM(E130:E132)</f>
        <v>0</v>
      </c>
      <c r="F129" s="538">
        <f>SUM(F130:F132)</f>
        <v>0</v>
      </c>
      <c r="G129" s="539">
        <f>SUM(G130:G132)</f>
        <v>0</v>
      </c>
      <c r="H129" s="542">
        <f>SUM(H130:H132)</f>
        <v>0</v>
      </c>
      <c r="I129" s="542">
        <f>SUM(I130:I132)</f>
        <v>0</v>
      </c>
      <c r="J129" s="538">
        <f t="shared" ref="J129:Q129" si="77">SUM(J130:J132)</f>
        <v>0</v>
      </c>
      <c r="K129" s="539">
        <f t="shared" si="77"/>
        <v>0</v>
      </c>
      <c r="L129" s="538">
        <f t="shared" si="77"/>
        <v>0</v>
      </c>
      <c r="M129" s="538">
        <f t="shared" si="77"/>
        <v>0</v>
      </c>
      <c r="N129" s="538">
        <f t="shared" si="77"/>
        <v>0</v>
      </c>
      <c r="O129" s="538">
        <f t="shared" si="77"/>
        <v>0</v>
      </c>
      <c r="P129" s="538">
        <f t="shared" si="77"/>
        <v>0</v>
      </c>
      <c r="Q129" s="538">
        <f t="shared" si="77"/>
        <v>0</v>
      </c>
    </row>
    <row r="130" spans="2:18" x14ac:dyDescent="0.15">
      <c r="B130" s="540" t="s">
        <v>147</v>
      </c>
      <c r="C130" s="530"/>
      <c r="D130" s="530"/>
      <c r="E130" s="439">
        <v>0</v>
      </c>
      <c r="F130" s="439">
        <v>0</v>
      </c>
      <c r="G130" s="541">
        <v>0</v>
      </c>
      <c r="H130" s="542">
        <f>+G130</f>
        <v>0</v>
      </c>
      <c r="I130" s="542">
        <f t="shared" ref="I130:Q131" si="78">+H130</f>
        <v>0</v>
      </c>
      <c r="J130" s="542">
        <f t="shared" si="78"/>
        <v>0</v>
      </c>
      <c r="K130" s="543">
        <f t="shared" si="78"/>
        <v>0</v>
      </c>
      <c r="L130" s="542">
        <f t="shared" si="78"/>
        <v>0</v>
      </c>
      <c r="M130" s="542">
        <f t="shared" si="78"/>
        <v>0</v>
      </c>
      <c r="N130" s="542">
        <f t="shared" si="78"/>
        <v>0</v>
      </c>
      <c r="O130" s="542">
        <f t="shared" si="78"/>
        <v>0</v>
      </c>
      <c r="P130" s="542">
        <f t="shared" si="78"/>
        <v>0</v>
      </c>
      <c r="Q130" s="542">
        <f t="shared" si="78"/>
        <v>0</v>
      </c>
      <c r="R130" s="545" t="s">
        <v>129</v>
      </c>
    </row>
    <row r="131" spans="2:18" x14ac:dyDescent="0.15">
      <c r="B131" s="540" t="s">
        <v>148</v>
      </c>
      <c r="C131" s="530"/>
      <c r="D131" s="530"/>
      <c r="E131" s="439">
        <v>0</v>
      </c>
      <c r="F131" s="439">
        <v>0</v>
      </c>
      <c r="G131" s="541">
        <v>0</v>
      </c>
      <c r="H131" s="542">
        <f>+G131</f>
        <v>0</v>
      </c>
      <c r="I131" s="542">
        <f t="shared" si="78"/>
        <v>0</v>
      </c>
      <c r="J131" s="542">
        <f t="shared" si="78"/>
        <v>0</v>
      </c>
      <c r="K131" s="543">
        <f t="shared" si="78"/>
        <v>0</v>
      </c>
      <c r="L131" s="542">
        <f t="shared" si="78"/>
        <v>0</v>
      </c>
      <c r="M131" s="542">
        <f t="shared" si="78"/>
        <v>0</v>
      </c>
      <c r="N131" s="542">
        <f t="shared" si="78"/>
        <v>0</v>
      </c>
      <c r="O131" s="542">
        <f t="shared" si="78"/>
        <v>0</v>
      </c>
      <c r="P131" s="542">
        <f t="shared" si="78"/>
        <v>0</v>
      </c>
      <c r="Q131" s="542">
        <f t="shared" si="78"/>
        <v>0</v>
      </c>
      <c r="R131" s="545" t="s">
        <v>134</v>
      </c>
    </row>
    <row r="132" spans="2:18" x14ac:dyDescent="0.15">
      <c r="B132" s="540" t="s">
        <v>149</v>
      </c>
      <c r="C132" s="530"/>
      <c r="D132" s="530"/>
      <c r="E132" s="439">
        <v>0</v>
      </c>
      <c r="F132" s="439">
        <v>0</v>
      </c>
      <c r="G132" s="541">
        <v>0</v>
      </c>
      <c r="H132" s="542">
        <f t="shared" ref="H132:Q132" si="79">+H161*H28</f>
        <v>0</v>
      </c>
      <c r="I132" s="542">
        <f t="shared" si="79"/>
        <v>0</v>
      </c>
      <c r="J132" s="542">
        <f t="shared" si="79"/>
        <v>0</v>
      </c>
      <c r="K132" s="543">
        <f t="shared" si="79"/>
        <v>0</v>
      </c>
      <c r="L132" s="542">
        <f t="shared" si="79"/>
        <v>0</v>
      </c>
      <c r="M132" s="542">
        <f t="shared" si="79"/>
        <v>0</v>
      </c>
      <c r="N132" s="542">
        <f t="shared" si="79"/>
        <v>0</v>
      </c>
      <c r="O132" s="542">
        <f t="shared" si="79"/>
        <v>0</v>
      </c>
      <c r="P132" s="542">
        <f t="shared" si="79"/>
        <v>0</v>
      </c>
      <c r="Q132" s="542">
        <f t="shared" si="79"/>
        <v>0</v>
      </c>
      <c r="R132" s="545" t="s">
        <v>134</v>
      </c>
    </row>
    <row r="133" spans="2:18" x14ac:dyDescent="0.15">
      <c r="B133" s="459" t="s">
        <v>150</v>
      </c>
      <c r="C133" s="530"/>
      <c r="D133" s="530"/>
      <c r="E133" s="538">
        <f>SUM(E134:E136)</f>
        <v>0</v>
      </c>
      <c r="F133" s="538">
        <f>SUM(F134:F136)</f>
        <v>0</v>
      </c>
      <c r="G133" s="539">
        <f>SUM(G134:G136)</f>
        <v>0</v>
      </c>
      <c r="H133" s="538">
        <f>SUM(H134:H136)</f>
        <v>0</v>
      </c>
      <c r="I133" s="538">
        <f t="shared" ref="I133:Q133" si="80">SUM(I134:I136)</f>
        <v>0</v>
      </c>
      <c r="J133" s="538">
        <f t="shared" si="80"/>
        <v>0</v>
      </c>
      <c r="K133" s="539">
        <f t="shared" si="80"/>
        <v>0</v>
      </c>
      <c r="L133" s="538">
        <f t="shared" si="80"/>
        <v>0</v>
      </c>
      <c r="M133" s="538">
        <f t="shared" si="80"/>
        <v>0</v>
      </c>
      <c r="N133" s="538">
        <f t="shared" si="80"/>
        <v>0</v>
      </c>
      <c r="O133" s="538">
        <f t="shared" si="80"/>
        <v>0</v>
      </c>
      <c r="P133" s="538">
        <f t="shared" si="80"/>
        <v>0</v>
      </c>
      <c r="Q133" s="538">
        <f t="shared" si="80"/>
        <v>0</v>
      </c>
      <c r="R133" s="545"/>
    </row>
    <row r="134" spans="2:18" x14ac:dyDescent="0.15">
      <c r="B134" s="540" t="s">
        <v>151</v>
      </c>
      <c r="C134" s="530"/>
      <c r="D134" s="530"/>
      <c r="E134" s="439">
        <v>0</v>
      </c>
      <c r="F134" s="439">
        <v>0</v>
      </c>
      <c r="G134" s="541">
        <v>0</v>
      </c>
      <c r="H134" s="542">
        <f>+G134</f>
        <v>0</v>
      </c>
      <c r="I134" s="542">
        <f t="shared" ref="I134:Q136" si="81">+H134</f>
        <v>0</v>
      </c>
      <c r="J134" s="542">
        <f t="shared" si="81"/>
        <v>0</v>
      </c>
      <c r="K134" s="543">
        <f t="shared" si="81"/>
        <v>0</v>
      </c>
      <c r="L134" s="542">
        <f t="shared" si="81"/>
        <v>0</v>
      </c>
      <c r="M134" s="542">
        <f t="shared" si="81"/>
        <v>0</v>
      </c>
      <c r="N134" s="542">
        <f t="shared" si="81"/>
        <v>0</v>
      </c>
      <c r="O134" s="542">
        <f t="shared" si="81"/>
        <v>0</v>
      </c>
      <c r="P134" s="542">
        <f t="shared" si="81"/>
        <v>0</v>
      </c>
      <c r="Q134" s="542">
        <f t="shared" si="81"/>
        <v>0</v>
      </c>
      <c r="R134" s="545" t="s">
        <v>129</v>
      </c>
    </row>
    <row r="135" spans="2:18" x14ac:dyDescent="0.15">
      <c r="B135" s="540" t="s">
        <v>152</v>
      </c>
      <c r="C135" s="530"/>
      <c r="D135" s="530"/>
      <c r="E135" s="439">
        <v>0</v>
      </c>
      <c r="F135" s="439">
        <v>0</v>
      </c>
      <c r="G135" s="541">
        <v>0</v>
      </c>
      <c r="H135" s="542">
        <f>+G135</f>
        <v>0</v>
      </c>
      <c r="I135" s="542">
        <f t="shared" si="81"/>
        <v>0</v>
      </c>
      <c r="J135" s="542">
        <f t="shared" si="81"/>
        <v>0</v>
      </c>
      <c r="K135" s="543">
        <f t="shared" si="81"/>
        <v>0</v>
      </c>
      <c r="L135" s="542">
        <f t="shared" si="81"/>
        <v>0</v>
      </c>
      <c r="M135" s="542">
        <f t="shared" si="81"/>
        <v>0</v>
      </c>
      <c r="N135" s="542">
        <f t="shared" si="81"/>
        <v>0</v>
      </c>
      <c r="O135" s="542">
        <f t="shared" si="81"/>
        <v>0</v>
      </c>
      <c r="P135" s="542">
        <f t="shared" si="81"/>
        <v>0</v>
      </c>
      <c r="Q135" s="542">
        <f t="shared" si="81"/>
        <v>0</v>
      </c>
      <c r="R135" s="545" t="s">
        <v>129</v>
      </c>
    </row>
    <row r="136" spans="2:18" x14ac:dyDescent="0.15">
      <c r="B136" s="540" t="s">
        <v>153</v>
      </c>
      <c r="C136" s="530"/>
      <c r="D136" s="530"/>
      <c r="E136" s="439">
        <v>0</v>
      </c>
      <c r="F136" s="439">
        <v>0</v>
      </c>
      <c r="G136" s="541">
        <v>0</v>
      </c>
      <c r="H136" s="542">
        <f>+G136</f>
        <v>0</v>
      </c>
      <c r="I136" s="542">
        <f t="shared" si="81"/>
        <v>0</v>
      </c>
      <c r="J136" s="542">
        <f t="shared" si="81"/>
        <v>0</v>
      </c>
      <c r="K136" s="543">
        <f t="shared" si="81"/>
        <v>0</v>
      </c>
      <c r="L136" s="542">
        <f t="shared" si="81"/>
        <v>0</v>
      </c>
      <c r="M136" s="542">
        <f t="shared" si="81"/>
        <v>0</v>
      </c>
      <c r="N136" s="542">
        <f t="shared" si="81"/>
        <v>0</v>
      </c>
      <c r="O136" s="542">
        <f t="shared" si="81"/>
        <v>0</v>
      </c>
      <c r="P136" s="542">
        <f t="shared" si="81"/>
        <v>0</v>
      </c>
      <c r="Q136" s="542">
        <f t="shared" si="81"/>
        <v>0</v>
      </c>
      <c r="R136" s="545" t="s">
        <v>134</v>
      </c>
    </row>
    <row r="137" spans="2:18" x14ac:dyDescent="0.15">
      <c r="B137" s="459" t="s">
        <v>154</v>
      </c>
      <c r="C137" s="530"/>
      <c r="D137" s="530"/>
      <c r="E137" s="542">
        <f>SUM(E138:E143)</f>
        <v>0</v>
      </c>
      <c r="F137" s="459">
        <f>SUM(F138:F143)</f>
        <v>0</v>
      </c>
      <c r="G137" s="533">
        <f>SUM(G138:G143)</f>
        <v>0</v>
      </c>
      <c r="H137" s="538">
        <f>SUM(H138:H143)</f>
        <v>0</v>
      </c>
      <c r="I137" s="538">
        <f t="shared" ref="I137:Q137" si="82">SUM(I138:I143)</f>
        <v>0</v>
      </c>
      <c r="J137" s="538">
        <f t="shared" si="82"/>
        <v>0</v>
      </c>
      <c r="K137" s="539">
        <f t="shared" si="82"/>
        <v>0</v>
      </c>
      <c r="L137" s="538">
        <f t="shared" si="82"/>
        <v>0</v>
      </c>
      <c r="M137" s="538">
        <f t="shared" si="82"/>
        <v>0</v>
      </c>
      <c r="N137" s="538">
        <f t="shared" si="82"/>
        <v>0</v>
      </c>
      <c r="O137" s="538">
        <f t="shared" si="82"/>
        <v>0</v>
      </c>
      <c r="P137" s="538">
        <f t="shared" si="82"/>
        <v>0</v>
      </c>
      <c r="Q137" s="538">
        <f t="shared" si="82"/>
        <v>0</v>
      </c>
      <c r="R137" s="545"/>
    </row>
    <row r="138" spans="2:18" x14ac:dyDescent="0.15">
      <c r="B138" s="540" t="s">
        <v>155</v>
      </c>
      <c r="C138" s="530"/>
      <c r="D138" s="530"/>
      <c r="E138" s="439">
        <v>0</v>
      </c>
      <c r="F138" s="439">
        <v>0</v>
      </c>
      <c r="G138" s="541">
        <v>0</v>
      </c>
      <c r="H138" s="542">
        <f>+G138</f>
        <v>0</v>
      </c>
      <c r="I138" s="542">
        <f t="shared" ref="I138:Q140" si="83">+H138</f>
        <v>0</v>
      </c>
      <c r="J138" s="542">
        <f t="shared" si="83"/>
        <v>0</v>
      </c>
      <c r="K138" s="543">
        <f t="shared" si="83"/>
        <v>0</v>
      </c>
      <c r="L138" s="542">
        <f t="shared" si="83"/>
        <v>0</v>
      </c>
      <c r="M138" s="542">
        <f t="shared" si="83"/>
        <v>0</v>
      </c>
      <c r="N138" s="542">
        <f t="shared" si="83"/>
        <v>0</v>
      </c>
      <c r="O138" s="542">
        <f t="shared" si="83"/>
        <v>0</v>
      </c>
      <c r="P138" s="542">
        <f t="shared" si="83"/>
        <v>0</v>
      </c>
      <c r="Q138" s="542">
        <f t="shared" si="83"/>
        <v>0</v>
      </c>
      <c r="R138" s="545" t="s">
        <v>129</v>
      </c>
    </row>
    <row r="139" spans="2:18" x14ac:dyDescent="0.15">
      <c r="B139" s="540" t="s">
        <v>156</v>
      </c>
      <c r="C139" s="530"/>
      <c r="D139" s="530"/>
      <c r="E139" s="439">
        <v>0</v>
      </c>
      <c r="F139" s="439">
        <v>0</v>
      </c>
      <c r="G139" s="541">
        <v>0</v>
      </c>
      <c r="H139" s="542">
        <f>+G139</f>
        <v>0</v>
      </c>
      <c r="I139" s="542">
        <f t="shared" si="83"/>
        <v>0</v>
      </c>
      <c r="J139" s="542">
        <f t="shared" si="83"/>
        <v>0</v>
      </c>
      <c r="K139" s="543">
        <f t="shared" si="83"/>
        <v>0</v>
      </c>
      <c r="L139" s="542">
        <f t="shared" si="83"/>
        <v>0</v>
      </c>
      <c r="M139" s="542">
        <f t="shared" si="83"/>
        <v>0</v>
      </c>
      <c r="N139" s="542">
        <f t="shared" si="83"/>
        <v>0</v>
      </c>
      <c r="O139" s="542">
        <f t="shared" si="83"/>
        <v>0</v>
      </c>
      <c r="P139" s="542">
        <f t="shared" si="83"/>
        <v>0</v>
      </c>
      <c r="Q139" s="542">
        <f t="shared" si="83"/>
        <v>0</v>
      </c>
      <c r="R139" s="545" t="s">
        <v>129</v>
      </c>
    </row>
    <row r="140" spans="2:18" x14ac:dyDescent="0.15">
      <c r="B140" s="540" t="s">
        <v>157</v>
      </c>
      <c r="C140" s="530"/>
      <c r="D140" s="530"/>
      <c r="E140" s="439">
        <v>0</v>
      </c>
      <c r="F140" s="439">
        <v>0</v>
      </c>
      <c r="G140" s="541">
        <v>0</v>
      </c>
      <c r="H140" s="542">
        <f>+G140</f>
        <v>0</v>
      </c>
      <c r="I140" s="542">
        <f t="shared" si="83"/>
        <v>0</v>
      </c>
      <c r="J140" s="542">
        <f t="shared" si="83"/>
        <v>0</v>
      </c>
      <c r="K140" s="543">
        <f t="shared" si="83"/>
        <v>0</v>
      </c>
      <c r="L140" s="542">
        <f t="shared" si="83"/>
        <v>0</v>
      </c>
      <c r="M140" s="542">
        <f t="shared" si="83"/>
        <v>0</v>
      </c>
      <c r="N140" s="542">
        <f t="shared" si="83"/>
        <v>0</v>
      </c>
      <c r="O140" s="542">
        <f t="shared" si="83"/>
        <v>0</v>
      </c>
      <c r="P140" s="542">
        <f t="shared" si="83"/>
        <v>0</v>
      </c>
      <c r="Q140" s="542">
        <f t="shared" si="83"/>
        <v>0</v>
      </c>
      <c r="R140" s="545" t="s">
        <v>134</v>
      </c>
    </row>
    <row r="141" spans="2:18" x14ac:dyDescent="0.15">
      <c r="B141" s="540" t="s">
        <v>158</v>
      </c>
      <c r="C141" s="530"/>
      <c r="D141" s="530"/>
      <c r="E141" s="439">
        <v>0</v>
      </c>
      <c r="F141" s="439">
        <v>0</v>
      </c>
      <c r="G141" s="541">
        <v>0</v>
      </c>
      <c r="H141" s="542">
        <f>+H157*H$28</f>
        <v>0</v>
      </c>
      <c r="I141" s="542">
        <f t="shared" ref="I141:Q141" si="84">+I157*I$28</f>
        <v>0</v>
      </c>
      <c r="J141" s="542">
        <f t="shared" si="84"/>
        <v>0</v>
      </c>
      <c r="K141" s="543">
        <f t="shared" si="84"/>
        <v>0</v>
      </c>
      <c r="L141" s="542">
        <f t="shared" si="84"/>
        <v>0</v>
      </c>
      <c r="M141" s="542">
        <f t="shared" si="84"/>
        <v>0</v>
      </c>
      <c r="N141" s="542">
        <f t="shared" si="84"/>
        <v>0</v>
      </c>
      <c r="O141" s="542">
        <f t="shared" si="84"/>
        <v>0</v>
      </c>
      <c r="P141" s="542">
        <f t="shared" si="84"/>
        <v>0</v>
      </c>
      <c r="Q141" s="542">
        <f t="shared" si="84"/>
        <v>0</v>
      </c>
      <c r="R141" s="545" t="s">
        <v>134</v>
      </c>
    </row>
    <row r="142" spans="2:18" x14ac:dyDescent="0.15">
      <c r="B142" s="540" t="s">
        <v>159</v>
      </c>
      <c r="C142" s="530"/>
      <c r="D142" s="530"/>
      <c r="E142" s="439">
        <v>0</v>
      </c>
      <c r="F142" s="439">
        <v>0</v>
      </c>
      <c r="G142" s="541">
        <v>0</v>
      </c>
      <c r="H142" s="542">
        <f t="shared" ref="H142:Q142" si="85">+H159*H28</f>
        <v>0</v>
      </c>
      <c r="I142" s="542">
        <f t="shared" si="85"/>
        <v>0</v>
      </c>
      <c r="J142" s="542">
        <f t="shared" si="85"/>
        <v>0</v>
      </c>
      <c r="K142" s="543">
        <f t="shared" si="85"/>
        <v>0</v>
      </c>
      <c r="L142" s="542">
        <f t="shared" si="85"/>
        <v>0</v>
      </c>
      <c r="M142" s="542">
        <f t="shared" si="85"/>
        <v>0</v>
      </c>
      <c r="N142" s="542">
        <f t="shared" si="85"/>
        <v>0</v>
      </c>
      <c r="O142" s="542">
        <f t="shared" si="85"/>
        <v>0</v>
      </c>
      <c r="P142" s="542">
        <f t="shared" si="85"/>
        <v>0</v>
      </c>
      <c r="Q142" s="542">
        <f t="shared" si="85"/>
        <v>0</v>
      </c>
      <c r="R142" s="545" t="s">
        <v>134</v>
      </c>
    </row>
    <row r="143" spans="2:18" x14ac:dyDescent="0.15">
      <c r="B143" s="540" t="s">
        <v>160</v>
      </c>
      <c r="C143" s="530"/>
      <c r="D143" s="530"/>
      <c r="E143" s="439">
        <v>0</v>
      </c>
      <c r="F143" s="439">
        <v>0</v>
      </c>
      <c r="G143" s="541">
        <v>0</v>
      </c>
      <c r="H143" s="542">
        <f t="shared" ref="H143:Q143" si="86">+H158*H28</f>
        <v>0</v>
      </c>
      <c r="I143" s="542">
        <f t="shared" si="86"/>
        <v>0</v>
      </c>
      <c r="J143" s="542">
        <f t="shared" si="86"/>
        <v>0</v>
      </c>
      <c r="K143" s="543">
        <f t="shared" si="86"/>
        <v>0</v>
      </c>
      <c r="L143" s="542">
        <f t="shared" si="86"/>
        <v>0</v>
      </c>
      <c r="M143" s="542">
        <f t="shared" si="86"/>
        <v>0</v>
      </c>
      <c r="N143" s="542">
        <f t="shared" si="86"/>
        <v>0</v>
      </c>
      <c r="O143" s="542">
        <f t="shared" si="86"/>
        <v>0</v>
      </c>
      <c r="P143" s="542">
        <f t="shared" si="86"/>
        <v>0</v>
      </c>
      <c r="Q143" s="542">
        <f t="shared" si="86"/>
        <v>0</v>
      </c>
      <c r="R143" s="545" t="s">
        <v>134</v>
      </c>
    </row>
    <row r="144" spans="2:18" x14ac:dyDescent="0.15">
      <c r="B144" s="551" t="s">
        <v>161</v>
      </c>
      <c r="C144" s="552"/>
      <c r="D144" s="552"/>
      <c r="E144" s="559">
        <f>SUM(E127,E128,E129,E133,E137)</f>
        <v>0</v>
      </c>
      <c r="F144" s="551">
        <f t="shared" ref="F144:G144" si="87">SUM(F127,F128,F129,F133,F137)</f>
        <v>0</v>
      </c>
      <c r="G144" s="555">
        <f t="shared" si="87"/>
        <v>5000</v>
      </c>
      <c r="H144" s="554">
        <f t="shared" ref="H144:Q144" si="88">SUM(H127,H128,H129,H133,H137)</f>
        <v>5000</v>
      </c>
      <c r="I144" s="554">
        <f t="shared" ca="1" si="88"/>
        <v>-3035.3710111509481</v>
      </c>
      <c r="J144" s="554">
        <f t="shared" ca="1" si="88"/>
        <v>6071.8111897425515</v>
      </c>
      <c r="K144" s="555">
        <f t="shared" ca="1" si="88"/>
        <v>14281.678638886031</v>
      </c>
      <c r="L144" s="554">
        <f t="shared" ca="1" si="88"/>
        <v>26648.47942922682</v>
      </c>
      <c r="M144" s="554">
        <f ca="1">SUM(M127,M128,M129,M133,M137)</f>
        <v>41584.222941078551</v>
      </c>
      <c r="N144" s="554">
        <f t="shared" ca="1" si="88"/>
        <v>59603.658347521909</v>
      </c>
      <c r="O144" s="554">
        <f t="shared" ca="1" si="88"/>
        <v>78156.223677648653</v>
      </c>
      <c r="P144" s="554">
        <f t="shared" ca="1" si="88"/>
        <v>97254.317622551956</v>
      </c>
      <c r="Q144" s="554">
        <f t="shared" ca="1" si="88"/>
        <v>116910.60429531484</v>
      </c>
    </row>
    <row r="145" spans="2:18" x14ac:dyDescent="0.15">
      <c r="B145" s="560" t="s">
        <v>162</v>
      </c>
      <c r="C145" s="561"/>
      <c r="D145" s="561"/>
      <c r="E145" s="562" t="b">
        <f>E144=E124</f>
        <v>1</v>
      </c>
      <c r="F145" s="562" t="b">
        <f t="shared" ref="F145:Q145" si="89">F144=F124</f>
        <v>1</v>
      </c>
      <c r="G145" s="562" t="b">
        <f t="shared" si="89"/>
        <v>1</v>
      </c>
      <c r="H145" s="562" t="b">
        <f>H144=H124</f>
        <v>1</v>
      </c>
      <c r="I145" s="562" t="b">
        <f t="shared" ca="1" si="89"/>
        <v>1</v>
      </c>
      <c r="J145" s="562" t="b">
        <f t="shared" ca="1" si="89"/>
        <v>1</v>
      </c>
      <c r="K145" s="562" t="b">
        <f t="shared" ca="1" si="89"/>
        <v>1</v>
      </c>
      <c r="L145" s="562" t="b">
        <f ca="1">L144=L124</f>
        <v>1</v>
      </c>
      <c r="M145" s="562" t="b">
        <f t="shared" ca="1" si="89"/>
        <v>1</v>
      </c>
      <c r="N145" s="562" t="b">
        <f t="shared" ca="1" si="89"/>
        <v>1</v>
      </c>
      <c r="O145" s="562" t="b">
        <f t="shared" ca="1" si="89"/>
        <v>1</v>
      </c>
      <c r="P145" s="562" t="b">
        <f t="shared" ca="1" si="89"/>
        <v>1</v>
      </c>
      <c r="Q145" s="562" t="b">
        <f t="shared" ca="1" si="89"/>
        <v>1</v>
      </c>
    </row>
    <row r="146" spans="2:18" ht="6" customHeight="1" x14ac:dyDescent="0.15">
      <c r="B146" s="560"/>
      <c r="C146" s="530"/>
      <c r="D146" s="530"/>
      <c r="E146" s="531"/>
      <c r="F146" s="531"/>
      <c r="G146" s="531"/>
      <c r="H146" s="531"/>
      <c r="I146" s="531"/>
      <c r="J146" s="531"/>
      <c r="K146" s="531"/>
      <c r="L146" s="531"/>
      <c r="M146" s="531"/>
      <c r="N146" s="531"/>
      <c r="O146" s="531"/>
      <c r="P146" s="531"/>
      <c r="Q146" s="459"/>
    </row>
    <row r="147" spans="2:18" x14ac:dyDescent="0.15">
      <c r="B147" s="563" t="s">
        <v>163</v>
      </c>
      <c r="C147" s="534"/>
      <c r="D147" s="534"/>
      <c r="E147" s="450"/>
      <c r="F147" s="450"/>
      <c r="G147" s="450"/>
      <c r="H147" s="450"/>
      <c r="I147" s="450"/>
      <c r="J147" s="450"/>
      <c r="K147" s="450"/>
      <c r="L147" s="450"/>
      <c r="M147" s="450"/>
      <c r="N147" s="450"/>
      <c r="O147" s="450"/>
      <c r="P147" s="450"/>
      <c r="Q147" s="450"/>
    </row>
    <row r="148" spans="2:18" x14ac:dyDescent="0.15">
      <c r="B148" s="459" t="s">
        <v>164</v>
      </c>
      <c r="C148" s="530"/>
      <c r="D148" s="530"/>
      <c r="E148" s="542">
        <f>E134+E135+E138+E139</f>
        <v>0</v>
      </c>
      <c r="F148" s="542">
        <f t="shared" ref="F148:Q148" si="90">F134+F135+F138+F139</f>
        <v>0</v>
      </c>
      <c r="G148" s="543">
        <f t="shared" si="90"/>
        <v>0</v>
      </c>
      <c r="H148" s="542">
        <f t="shared" si="90"/>
        <v>0</v>
      </c>
      <c r="I148" s="542">
        <f t="shared" si="90"/>
        <v>0</v>
      </c>
      <c r="J148" s="542">
        <f t="shared" si="90"/>
        <v>0</v>
      </c>
      <c r="K148" s="564">
        <f t="shared" si="90"/>
        <v>0</v>
      </c>
      <c r="L148" s="542">
        <f t="shared" si="90"/>
        <v>0</v>
      </c>
      <c r="M148" s="542">
        <f t="shared" si="90"/>
        <v>0</v>
      </c>
      <c r="N148" s="542">
        <f t="shared" si="90"/>
        <v>0</v>
      </c>
      <c r="O148" s="542">
        <f t="shared" si="90"/>
        <v>0</v>
      </c>
      <c r="P148" s="542">
        <f t="shared" si="90"/>
        <v>0</v>
      </c>
      <c r="Q148" s="542">
        <f t="shared" si="90"/>
        <v>0</v>
      </c>
    </row>
    <row r="149" spans="2:18" x14ac:dyDescent="0.15">
      <c r="B149" s="459" t="s">
        <v>165</v>
      </c>
      <c r="C149" s="530"/>
      <c r="D149" s="530"/>
      <c r="E149" s="542">
        <f t="shared" ref="E149:Q149" si="91">E130</f>
        <v>0</v>
      </c>
      <c r="F149" s="542">
        <f t="shared" si="91"/>
        <v>0</v>
      </c>
      <c r="G149" s="543">
        <f t="shared" si="91"/>
        <v>0</v>
      </c>
      <c r="H149" s="542">
        <f t="shared" si="91"/>
        <v>0</v>
      </c>
      <c r="I149" s="542">
        <f t="shared" si="91"/>
        <v>0</v>
      </c>
      <c r="J149" s="542">
        <f t="shared" si="91"/>
        <v>0</v>
      </c>
      <c r="K149" s="543">
        <f t="shared" si="91"/>
        <v>0</v>
      </c>
      <c r="L149" s="542">
        <f t="shared" si="91"/>
        <v>0</v>
      </c>
      <c r="M149" s="542">
        <f t="shared" si="91"/>
        <v>0</v>
      </c>
      <c r="N149" s="542">
        <f t="shared" si="91"/>
        <v>0</v>
      </c>
      <c r="O149" s="542">
        <f t="shared" si="91"/>
        <v>0</v>
      </c>
      <c r="P149" s="542">
        <f t="shared" si="91"/>
        <v>0</v>
      </c>
      <c r="Q149" s="542">
        <f t="shared" si="91"/>
        <v>0</v>
      </c>
    </row>
    <row r="150" spans="2:18" x14ac:dyDescent="0.15">
      <c r="B150" s="459" t="s">
        <v>166</v>
      </c>
      <c r="C150" s="530"/>
      <c r="D150" s="530"/>
      <c r="E150" s="542">
        <f>E120+E121+E122+E111</f>
        <v>0</v>
      </c>
      <c r="F150" s="542">
        <f t="shared" ref="F150:G150" si="92">F120+F121+F122+F111</f>
        <v>0</v>
      </c>
      <c r="G150" s="543">
        <f t="shared" si="92"/>
        <v>5000</v>
      </c>
      <c r="H150" s="542">
        <f>H120+H121+H122+H111</f>
        <v>5000</v>
      </c>
      <c r="I150" s="542">
        <f t="shared" ref="I150:Q150" ca="1" si="93">I120+I121+I122+I111</f>
        <v>-3035.3710111509481</v>
      </c>
      <c r="J150" s="542">
        <f t="shared" ca="1" si="93"/>
        <v>6071.8111897425515</v>
      </c>
      <c r="K150" s="543">
        <f t="shared" ca="1" si="93"/>
        <v>14281.678638886033</v>
      </c>
      <c r="L150" s="542">
        <f ca="1">L120+L121+L122+L111</f>
        <v>26648.479429226823</v>
      </c>
      <c r="M150" s="542">
        <f ca="1">M120+M121+M122+M111</f>
        <v>41584.222941078551</v>
      </c>
      <c r="N150" s="542">
        <f t="shared" ca="1" si="93"/>
        <v>59603.658347521909</v>
      </c>
      <c r="O150" s="542">
        <f t="shared" ca="1" si="93"/>
        <v>78156.223677648653</v>
      </c>
      <c r="P150" s="542">
        <f t="shared" ca="1" si="93"/>
        <v>97254.317622551956</v>
      </c>
      <c r="Q150" s="542">
        <f t="shared" ca="1" si="93"/>
        <v>116910.60429531484</v>
      </c>
    </row>
    <row r="151" spans="2:18" x14ac:dyDescent="0.15">
      <c r="B151" s="551" t="s">
        <v>167</v>
      </c>
      <c r="C151" s="565"/>
      <c r="D151" s="565"/>
      <c r="E151" s="559">
        <f>E148+E149-E150</f>
        <v>0</v>
      </c>
      <c r="F151" s="559">
        <f t="shared" ref="F151:G151" si="94">F148+F149-F150</f>
        <v>0</v>
      </c>
      <c r="G151" s="566">
        <f t="shared" si="94"/>
        <v>-5000</v>
      </c>
      <c r="H151" s="559">
        <f t="shared" ref="H151:Q151" si="95">H148+H149-H150</f>
        <v>-5000</v>
      </c>
      <c r="I151" s="559">
        <f t="shared" ca="1" si="95"/>
        <v>3035.3710111509481</v>
      </c>
      <c r="J151" s="559">
        <f t="shared" ca="1" si="95"/>
        <v>-6071.8111897425515</v>
      </c>
      <c r="K151" s="566">
        <f t="shared" ca="1" si="95"/>
        <v>-14281.678638886033</v>
      </c>
      <c r="L151" s="559">
        <f t="shared" ca="1" si="95"/>
        <v>-26648.479429226823</v>
      </c>
      <c r="M151" s="559">
        <f t="shared" ca="1" si="95"/>
        <v>-41584.222941078551</v>
      </c>
      <c r="N151" s="559">
        <f t="shared" ca="1" si="95"/>
        <v>-59603.658347521909</v>
      </c>
      <c r="O151" s="559">
        <f t="shared" ca="1" si="95"/>
        <v>-78156.223677648653</v>
      </c>
      <c r="P151" s="559">
        <f t="shared" ca="1" si="95"/>
        <v>-97254.317622551956</v>
      </c>
      <c r="Q151" s="559">
        <f t="shared" ca="1" si="95"/>
        <v>-116910.60429531484</v>
      </c>
    </row>
    <row r="153" spans="2:18" ht="15" thickBot="1" x14ac:dyDescent="0.2">
      <c r="B153" s="416" t="s">
        <v>168</v>
      </c>
      <c r="C153" s="567"/>
      <c r="D153" s="567"/>
      <c r="E153" s="567"/>
      <c r="F153" s="568"/>
      <c r="G153" s="568"/>
      <c r="H153" s="569"/>
      <c r="I153" s="569"/>
      <c r="J153" s="569"/>
      <c r="K153" s="569"/>
      <c r="L153" s="569"/>
      <c r="M153" s="569"/>
      <c r="N153" s="569"/>
      <c r="O153" s="569"/>
      <c r="P153" s="569"/>
      <c r="Q153" s="569"/>
    </row>
    <row r="154" spans="2:18" ht="15" customHeight="1" x14ac:dyDescent="0.15">
      <c r="B154" s="458" t="s">
        <v>169</v>
      </c>
      <c r="C154" s="512"/>
      <c r="D154" s="512"/>
      <c r="E154" s="443" t="str">
        <f t="shared" ref="E154:F154" si="96">IF(E$28=0,"n/a",(E116/E$28))</f>
        <v>n/a</v>
      </c>
      <c r="F154" s="443" t="str">
        <f t="shared" si="96"/>
        <v>n/a</v>
      </c>
      <c r="G154" s="443">
        <f>IF(G$28=0,"n/a",(G116/G$28))</f>
        <v>0</v>
      </c>
      <c r="H154" s="503">
        <v>0</v>
      </c>
      <c r="I154" s="445">
        <f t="shared" ref="I154:I161" si="97">+H154</f>
        <v>0</v>
      </c>
      <c r="J154" s="445">
        <f t="shared" ref="J154:Q154" si="98">+I154</f>
        <v>0</v>
      </c>
      <c r="K154" s="445">
        <f t="shared" si="98"/>
        <v>0</v>
      </c>
      <c r="L154" s="445">
        <f t="shared" si="98"/>
        <v>0</v>
      </c>
      <c r="M154" s="445">
        <f t="shared" si="98"/>
        <v>0</v>
      </c>
      <c r="N154" s="445">
        <f t="shared" si="98"/>
        <v>0</v>
      </c>
      <c r="O154" s="445">
        <f t="shared" si="98"/>
        <v>0</v>
      </c>
      <c r="P154" s="445">
        <f t="shared" si="98"/>
        <v>0</v>
      </c>
      <c r="Q154" s="445">
        <f t="shared" si="98"/>
        <v>0</v>
      </c>
      <c r="R154" s="447" t="s">
        <v>170</v>
      </c>
    </row>
    <row r="155" spans="2:18" ht="15" customHeight="1" x14ac:dyDescent="0.15">
      <c r="B155" s="458" t="s">
        <v>171</v>
      </c>
      <c r="C155" s="512"/>
      <c r="D155" s="512"/>
      <c r="E155" s="443" t="str">
        <f>IF(E$28=0,"n/a",(E117/E$28))</f>
        <v>n/a</v>
      </c>
      <c r="F155" s="443" t="str">
        <f>IF(F$28=0,"n/a",(F117/F$28))</f>
        <v>n/a</v>
      </c>
      <c r="G155" s="443">
        <f>IF(G$28=0,"n/a",(G117/G$28))</f>
        <v>0</v>
      </c>
      <c r="H155" s="503">
        <v>0</v>
      </c>
      <c r="I155" s="445">
        <f t="shared" si="97"/>
        <v>0</v>
      </c>
      <c r="J155" s="445">
        <f t="shared" ref="J155:Q161" si="99">+I155</f>
        <v>0</v>
      </c>
      <c r="K155" s="445">
        <f t="shared" si="99"/>
        <v>0</v>
      </c>
      <c r="L155" s="445">
        <f t="shared" si="99"/>
        <v>0</v>
      </c>
      <c r="M155" s="445">
        <f t="shared" si="99"/>
        <v>0</v>
      </c>
      <c r="N155" s="445">
        <f t="shared" si="99"/>
        <v>0</v>
      </c>
      <c r="O155" s="445">
        <f t="shared" si="99"/>
        <v>0</v>
      </c>
      <c r="P155" s="445">
        <f t="shared" si="99"/>
        <v>0</v>
      </c>
      <c r="Q155" s="445">
        <f t="shared" si="99"/>
        <v>0</v>
      </c>
    </row>
    <row r="156" spans="2:18" ht="15" customHeight="1" x14ac:dyDescent="0.15">
      <c r="B156" s="458" t="s">
        <v>172</v>
      </c>
      <c r="C156" s="512"/>
      <c r="D156" s="512"/>
      <c r="E156" s="443" t="str">
        <f>IF(E$28=0,"n/a",(E119/E$28))</f>
        <v>n/a</v>
      </c>
      <c r="F156" s="443" t="str">
        <f>IF(F$28=0,"n/a",(F119/F$28))</f>
        <v>n/a</v>
      </c>
      <c r="G156" s="443">
        <f>IF(G$28=0,"n/a",(G119/G$28))</f>
        <v>0</v>
      </c>
      <c r="H156" s="503">
        <v>0</v>
      </c>
      <c r="I156" s="445">
        <f t="shared" si="97"/>
        <v>0</v>
      </c>
      <c r="J156" s="445">
        <f t="shared" si="99"/>
        <v>0</v>
      </c>
      <c r="K156" s="445">
        <f t="shared" si="99"/>
        <v>0</v>
      </c>
      <c r="L156" s="445">
        <f t="shared" si="99"/>
        <v>0</v>
      </c>
      <c r="M156" s="445">
        <f t="shared" si="99"/>
        <v>0</v>
      </c>
      <c r="N156" s="445">
        <f t="shared" si="99"/>
        <v>0</v>
      </c>
      <c r="O156" s="445">
        <f t="shared" si="99"/>
        <v>0</v>
      </c>
      <c r="P156" s="445">
        <f t="shared" si="99"/>
        <v>0</v>
      </c>
      <c r="Q156" s="445">
        <f t="shared" si="99"/>
        <v>0</v>
      </c>
    </row>
    <row r="157" spans="2:18" ht="15" customHeight="1" x14ac:dyDescent="0.15">
      <c r="B157" s="458" t="s">
        <v>173</v>
      </c>
      <c r="C157" s="512"/>
      <c r="D157" s="512"/>
      <c r="E157" s="443" t="str">
        <f>IF(E$28=0,"n/a",(E141/E$28))</f>
        <v>n/a</v>
      </c>
      <c r="F157" s="443" t="str">
        <f>IF(F$28=0,"n/a",(F141/F$28))</f>
        <v>n/a</v>
      </c>
      <c r="G157" s="443">
        <f>IF(G$28=0,"n/a",(G141/G$28))</f>
        <v>0</v>
      </c>
      <c r="H157" s="503">
        <v>0</v>
      </c>
      <c r="I157" s="445">
        <f t="shared" si="97"/>
        <v>0</v>
      </c>
      <c r="J157" s="445">
        <f t="shared" si="99"/>
        <v>0</v>
      </c>
      <c r="K157" s="445">
        <f t="shared" si="99"/>
        <v>0</v>
      </c>
      <c r="L157" s="445">
        <f t="shared" si="99"/>
        <v>0</v>
      </c>
      <c r="M157" s="445">
        <f t="shared" si="99"/>
        <v>0</v>
      </c>
      <c r="N157" s="445">
        <f t="shared" si="99"/>
        <v>0</v>
      </c>
      <c r="O157" s="445">
        <f t="shared" si="99"/>
        <v>0</v>
      </c>
      <c r="P157" s="445">
        <f t="shared" si="99"/>
        <v>0</v>
      </c>
      <c r="Q157" s="445">
        <f t="shared" si="99"/>
        <v>0</v>
      </c>
    </row>
    <row r="158" spans="2:18" ht="15" customHeight="1" x14ac:dyDescent="0.15">
      <c r="B158" s="458" t="s">
        <v>174</v>
      </c>
      <c r="C158" s="512"/>
      <c r="D158" s="512"/>
      <c r="E158" s="443" t="str">
        <f>IF(E$28=0,"n/a",(E143/E$28))</f>
        <v>n/a</v>
      </c>
      <c r="F158" s="443" t="str">
        <f>IF(F$28=0,"n/a",(F143/F$28))</f>
        <v>n/a</v>
      </c>
      <c r="G158" s="443">
        <f>IF(G$28=0,"n/a",(G143/G$28))</f>
        <v>0</v>
      </c>
      <c r="H158" s="503">
        <v>0</v>
      </c>
      <c r="I158" s="445">
        <f t="shared" si="97"/>
        <v>0</v>
      </c>
      <c r="J158" s="445">
        <f t="shared" si="99"/>
        <v>0</v>
      </c>
      <c r="K158" s="445">
        <f t="shared" si="99"/>
        <v>0</v>
      </c>
      <c r="L158" s="445">
        <f t="shared" si="99"/>
        <v>0</v>
      </c>
      <c r="M158" s="445">
        <f t="shared" si="99"/>
        <v>0</v>
      </c>
      <c r="N158" s="445">
        <f t="shared" si="99"/>
        <v>0</v>
      </c>
      <c r="O158" s="445">
        <f t="shared" si="99"/>
        <v>0</v>
      </c>
      <c r="P158" s="445">
        <f t="shared" si="99"/>
        <v>0</v>
      </c>
      <c r="Q158" s="445">
        <f t="shared" si="99"/>
        <v>0</v>
      </c>
    </row>
    <row r="159" spans="2:18" ht="15" customHeight="1" x14ac:dyDescent="0.15">
      <c r="B159" s="458" t="s">
        <v>175</v>
      </c>
      <c r="C159" s="570"/>
      <c r="D159" s="570"/>
      <c r="E159" s="443" t="str">
        <f>IF(E$28=0,"n/a",(E142/E$28))</f>
        <v>n/a</v>
      </c>
      <c r="F159" s="443" t="str">
        <f>IF(F$28=0,"n/a",(F142/F$28))</f>
        <v>n/a</v>
      </c>
      <c r="G159" s="443">
        <f>IF(G$28=0,"n/a",(G142/G$28))</f>
        <v>0</v>
      </c>
      <c r="H159" s="503">
        <v>0</v>
      </c>
      <c r="I159" s="445">
        <f t="shared" si="97"/>
        <v>0</v>
      </c>
      <c r="J159" s="445">
        <f t="shared" si="99"/>
        <v>0</v>
      </c>
      <c r="K159" s="445">
        <f t="shared" si="99"/>
        <v>0</v>
      </c>
      <c r="L159" s="445">
        <f t="shared" si="99"/>
        <v>0</v>
      </c>
      <c r="M159" s="445">
        <f t="shared" si="99"/>
        <v>0</v>
      </c>
      <c r="N159" s="445">
        <f t="shared" si="99"/>
        <v>0</v>
      </c>
      <c r="O159" s="445">
        <f t="shared" si="99"/>
        <v>0</v>
      </c>
      <c r="P159" s="445">
        <f t="shared" si="99"/>
        <v>0</v>
      </c>
      <c r="Q159" s="445">
        <f t="shared" si="99"/>
        <v>0</v>
      </c>
    </row>
    <row r="160" spans="2:18" s="571" customFormat="1" ht="15" customHeight="1" x14ac:dyDescent="0.15">
      <c r="B160" s="458" t="s">
        <v>176</v>
      </c>
      <c r="E160" s="443" t="str">
        <f>IF(E$28=0, "n/a",E118/$E$28)</f>
        <v>n/a</v>
      </c>
      <c r="F160" s="443" t="str">
        <f t="shared" ref="F160" si="100">IF(F$28=0, "n/a",F118/$E$28)</f>
        <v>n/a</v>
      </c>
      <c r="G160" s="443" t="e">
        <f>IF(G$28=0, "n/a",G118/$E$28)</f>
        <v>#DIV/0!</v>
      </c>
      <c r="H160" s="503">
        <v>0</v>
      </c>
      <c r="I160" s="445">
        <f t="shared" si="97"/>
        <v>0</v>
      </c>
      <c r="J160" s="445">
        <f t="shared" si="99"/>
        <v>0</v>
      </c>
      <c r="K160" s="445">
        <f t="shared" si="99"/>
        <v>0</v>
      </c>
      <c r="L160" s="445">
        <f t="shared" si="99"/>
        <v>0</v>
      </c>
      <c r="M160" s="445">
        <f t="shared" si="99"/>
        <v>0</v>
      </c>
      <c r="N160" s="445">
        <f t="shared" si="99"/>
        <v>0</v>
      </c>
      <c r="O160" s="445">
        <f t="shared" si="99"/>
        <v>0</v>
      </c>
      <c r="P160" s="445">
        <f t="shared" si="99"/>
        <v>0</v>
      </c>
      <c r="Q160" s="445">
        <f t="shared" si="99"/>
        <v>0</v>
      </c>
    </row>
    <row r="161" spans="2:17" s="571" customFormat="1" ht="15" customHeight="1" x14ac:dyDescent="0.15">
      <c r="B161" s="458" t="s">
        <v>177</v>
      </c>
      <c r="E161" s="443" t="str">
        <f>IF(E$28=0, "n/a",E132/$E$28)</f>
        <v>n/a</v>
      </c>
      <c r="F161" s="443" t="str">
        <f>IF(F$28=0, "n/a",F132/$E$28)</f>
        <v>n/a</v>
      </c>
      <c r="G161" s="443" t="e">
        <f>IF(G$28=0, "n/a",G132/$E$28)</f>
        <v>#DIV/0!</v>
      </c>
      <c r="H161" s="503">
        <v>0</v>
      </c>
      <c r="I161" s="445">
        <f t="shared" si="97"/>
        <v>0</v>
      </c>
      <c r="J161" s="445">
        <f t="shared" si="99"/>
        <v>0</v>
      </c>
      <c r="K161" s="445">
        <f t="shared" si="99"/>
        <v>0</v>
      </c>
      <c r="L161" s="445">
        <f t="shared" si="99"/>
        <v>0</v>
      </c>
      <c r="M161" s="445">
        <f t="shared" si="99"/>
        <v>0</v>
      </c>
      <c r="N161" s="445">
        <f t="shared" si="99"/>
        <v>0</v>
      </c>
      <c r="O161" s="445">
        <f t="shared" si="99"/>
        <v>0</v>
      </c>
      <c r="P161" s="445">
        <f t="shared" si="99"/>
        <v>0</v>
      </c>
      <c r="Q161" s="445">
        <f t="shared" si="99"/>
        <v>0</v>
      </c>
    </row>
    <row r="163" spans="2:17" x14ac:dyDescent="0.15">
      <c r="B163" s="563" t="s">
        <v>178</v>
      </c>
      <c r="C163" s="534"/>
      <c r="D163" s="534"/>
      <c r="E163" s="450"/>
      <c r="F163" s="450"/>
      <c r="G163" s="450"/>
      <c r="H163" s="450"/>
      <c r="I163" s="450"/>
      <c r="J163" s="450"/>
      <c r="K163" s="450"/>
      <c r="L163" s="450"/>
      <c r="M163" s="450"/>
      <c r="N163" s="450"/>
      <c r="O163" s="450"/>
      <c r="P163" s="450"/>
      <c r="Q163" s="450"/>
    </row>
    <row r="164" spans="2:17" x14ac:dyDescent="0.15">
      <c r="B164" s="459" t="s">
        <v>179</v>
      </c>
      <c r="C164" s="530"/>
      <c r="D164" s="530"/>
      <c r="E164" s="538">
        <f>E109+E116+E117+E118+E119</f>
        <v>0</v>
      </c>
      <c r="F164" s="538">
        <f>F109+F116+F117+F118+F119</f>
        <v>0</v>
      </c>
      <c r="G164" s="572">
        <f>G109+G116+G117+G118+G119</f>
        <v>0</v>
      </c>
      <c r="H164" s="538">
        <f>H109+H116+H117+H118+H119</f>
        <v>0</v>
      </c>
      <c r="I164" s="538">
        <f t="shared" ref="I164:Q164" si="101">I109+I116+I117+I118+I119</f>
        <v>0</v>
      </c>
      <c r="J164" s="538">
        <f t="shared" si="101"/>
        <v>0</v>
      </c>
      <c r="K164" s="572">
        <f t="shared" si="101"/>
        <v>0</v>
      </c>
      <c r="L164" s="538">
        <f t="shared" si="101"/>
        <v>0</v>
      </c>
      <c r="M164" s="538">
        <f t="shared" si="101"/>
        <v>0</v>
      </c>
      <c r="N164" s="538">
        <f t="shared" si="101"/>
        <v>0</v>
      </c>
      <c r="O164" s="538">
        <f t="shared" si="101"/>
        <v>0</v>
      </c>
      <c r="P164" s="538">
        <f t="shared" si="101"/>
        <v>0</v>
      </c>
      <c r="Q164" s="538">
        <f t="shared" si="101"/>
        <v>0</v>
      </c>
    </row>
    <row r="165" spans="2:17" x14ac:dyDescent="0.15">
      <c r="B165" s="459" t="s">
        <v>180</v>
      </c>
      <c r="C165" s="530"/>
      <c r="D165" s="530"/>
      <c r="E165" s="538">
        <f t="shared" ref="E165:Q165" si="102">E131+E132+E136+E140+E141+E142+E143</f>
        <v>0</v>
      </c>
      <c r="F165" s="538">
        <f t="shared" si="102"/>
        <v>0</v>
      </c>
      <c r="G165" s="539">
        <f t="shared" si="102"/>
        <v>0</v>
      </c>
      <c r="H165" s="538">
        <f>H131+H132+H136+H140+H141+H142+H143</f>
        <v>0</v>
      </c>
      <c r="I165" s="538">
        <f t="shared" si="102"/>
        <v>0</v>
      </c>
      <c r="J165" s="538">
        <f>J131+J132+J136+J140+J141+J142+J143</f>
        <v>0</v>
      </c>
      <c r="K165" s="539">
        <f t="shared" si="102"/>
        <v>0</v>
      </c>
      <c r="L165" s="538">
        <f t="shared" si="102"/>
        <v>0</v>
      </c>
      <c r="M165" s="538">
        <f t="shared" si="102"/>
        <v>0</v>
      </c>
      <c r="N165" s="538">
        <f t="shared" si="102"/>
        <v>0</v>
      </c>
      <c r="O165" s="538">
        <f t="shared" si="102"/>
        <v>0</v>
      </c>
      <c r="P165" s="538">
        <f t="shared" si="102"/>
        <v>0</v>
      </c>
      <c r="Q165" s="538">
        <f t="shared" si="102"/>
        <v>0</v>
      </c>
    </row>
    <row r="166" spans="2:17" x14ac:dyDescent="0.15">
      <c r="B166" s="551" t="s">
        <v>134</v>
      </c>
      <c r="C166" s="565"/>
      <c r="D166" s="565"/>
      <c r="E166" s="554">
        <f>E164-E165</f>
        <v>0</v>
      </c>
      <c r="F166" s="554">
        <f>F164-F165</f>
        <v>0</v>
      </c>
      <c r="G166" s="555">
        <f>G164-G165</f>
        <v>0</v>
      </c>
      <c r="H166" s="554">
        <f t="shared" ref="H166:Q166" si="103">H164-H165</f>
        <v>0</v>
      </c>
      <c r="I166" s="554">
        <f t="shared" si="103"/>
        <v>0</v>
      </c>
      <c r="J166" s="554">
        <f t="shared" si="103"/>
        <v>0</v>
      </c>
      <c r="K166" s="555">
        <f t="shared" si="103"/>
        <v>0</v>
      </c>
      <c r="L166" s="554">
        <f t="shared" si="103"/>
        <v>0</v>
      </c>
      <c r="M166" s="554">
        <f t="shared" si="103"/>
        <v>0</v>
      </c>
      <c r="N166" s="554">
        <f t="shared" si="103"/>
        <v>0</v>
      </c>
      <c r="O166" s="554">
        <f t="shared" si="103"/>
        <v>0</v>
      </c>
      <c r="P166" s="554">
        <f t="shared" si="103"/>
        <v>0</v>
      </c>
      <c r="Q166" s="554">
        <f t="shared" si="103"/>
        <v>0</v>
      </c>
    </row>
    <row r="167" spans="2:17" x14ac:dyDescent="0.15">
      <c r="B167" s="459"/>
      <c r="C167" s="530"/>
      <c r="D167" s="530"/>
      <c r="E167" s="459"/>
      <c r="F167" s="459"/>
      <c r="G167" s="384"/>
      <c r="H167" s="459"/>
      <c r="I167" s="459"/>
      <c r="J167" s="459"/>
      <c r="K167" s="459"/>
      <c r="L167" s="459"/>
      <c r="M167" s="459"/>
      <c r="N167" s="459"/>
      <c r="O167" s="459"/>
      <c r="P167" s="459"/>
      <c r="Q167" s="459"/>
    </row>
  </sheetData>
  <mergeCells count="3">
    <mergeCell ref="E20:G20"/>
    <mergeCell ref="H20:J20"/>
    <mergeCell ref="K20:Q20"/>
  </mergeCells>
  <pageMargins left="0.23622047244094491" right="0.23622047244094491" top="0.74803149606299213" bottom="0.74803149606299213" header="0.31496062992125984" footer="0.31496062992125984"/>
  <pageSetup paperSize="9" scale="60" orientation="portrait" r:id="rId1"/>
  <rowBreaks count="1" manualBreakCount="1">
    <brk id="95" min="1" max="16" man="1"/>
  </rowBreaks>
  <ignoredErrors>
    <ignoredError sqref="G137:Q137 H103:Q104 H129:Q129 I119:Q119 H133:Q133 H136:Q136 H131:Q131 I130:Q130" formula="1"/>
    <ignoredError sqref="I159:Q159 I161:Q161 I154:Q154 I155:Q155 I156:Q156 I157:Q157 I158:Q158 I160:Q160 E39:G39 D58:Q58 I53:Q53 D57:G57 I57:Q57" unlockedFormula="1"/>
    <ignoredError sqref="E45:F48" evalErro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  <pageSetUpPr fitToPage="1"/>
  </sheetPr>
  <dimension ref="C1:Z114"/>
  <sheetViews>
    <sheetView showGridLines="0" topLeftCell="A4" zoomScaleSheetLayoutView="90" zoomScalePageLayoutView="90" workbookViewId="0">
      <selection activeCell="F10" sqref="F10"/>
    </sheetView>
  </sheetViews>
  <sheetFormatPr baseColWidth="10" defaultColWidth="8.83203125" defaultRowHeight="13" x14ac:dyDescent="0.15"/>
  <cols>
    <col min="1" max="1" width="7.6640625" style="7" customWidth="1"/>
    <col min="2" max="2" width="1.33203125" style="7" customWidth="1"/>
    <col min="3" max="3" width="29" style="7" customWidth="1"/>
    <col min="4" max="4" width="11.1640625" style="7" bestFit="1" customWidth="1"/>
    <col min="5" max="5" width="13.33203125" style="7" customWidth="1"/>
    <col min="6" max="8" width="7.6640625" style="7" customWidth="1"/>
    <col min="9" max="11" width="7.33203125" style="7" customWidth="1"/>
    <col min="12" max="12" width="11.5" style="7" customWidth="1"/>
    <col min="13" max="14" width="7.6640625" style="7" customWidth="1"/>
    <col min="15" max="15" width="8.5" style="7" customWidth="1"/>
    <col min="16" max="16" width="1.33203125" style="7" customWidth="1"/>
    <col min="17" max="17" width="8.1640625" style="7" customWidth="1"/>
    <col min="18" max="18" width="1.5" style="7" customWidth="1"/>
    <col min="19" max="19" width="28.1640625" style="7" customWidth="1"/>
    <col min="20" max="20" width="10.5" style="7" customWidth="1"/>
    <col min="21" max="21" width="8.5" style="7" customWidth="1"/>
    <col min="22" max="22" width="9.1640625" style="7" customWidth="1"/>
    <col min="23" max="23" width="8.83203125" style="7" customWidth="1"/>
    <col min="24" max="24" width="9.1640625" style="7" customWidth="1"/>
    <col min="25" max="25" width="1.5" style="7" customWidth="1"/>
    <col min="26" max="16384" width="8.83203125" style="7"/>
  </cols>
  <sheetData>
    <row r="1" spans="3:25" customFormat="1" ht="6" customHeight="1" x14ac:dyDescent="0.2"/>
    <row r="2" spans="3:25" customFormat="1" ht="40.5" customHeight="1" x14ac:dyDescent="0.2">
      <c r="C2" s="331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4"/>
      <c r="Q2" s="236"/>
      <c r="R2" s="335"/>
    </row>
    <row r="3" spans="3:25" ht="3.75" customHeight="1" x14ac:dyDescent="0.15"/>
    <row r="4" spans="3:25" ht="19.5" customHeight="1" x14ac:dyDescent="0.15">
      <c r="C4" s="276" t="str">
        <f>"Summary of Acquisition of "&amp;Input!D8&amp;""</f>
        <v>Summary of Acquisition of Autoni</v>
      </c>
      <c r="D4" s="277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</row>
    <row r="5" spans="3:25" ht="3.75" customHeight="1" x14ac:dyDescent="0.15">
      <c r="C5" s="14"/>
      <c r="D5" s="14"/>
      <c r="E5" s="14"/>
      <c r="F5" s="14"/>
      <c r="G5" s="14"/>
      <c r="H5" s="14"/>
    </row>
    <row r="6" spans="3:25" ht="19.5" customHeight="1" x14ac:dyDescent="0.15">
      <c r="C6" s="583" t="s">
        <v>181</v>
      </c>
      <c r="D6" s="584"/>
      <c r="E6" s="584"/>
      <c r="F6" s="584"/>
      <c r="G6" s="584"/>
      <c r="H6" s="584"/>
      <c r="J6" s="583" t="s">
        <v>20</v>
      </c>
      <c r="K6" s="584"/>
      <c r="L6" s="584"/>
      <c r="M6" s="584"/>
      <c r="N6" s="584"/>
      <c r="O6" s="585"/>
    </row>
    <row r="7" spans="3:25" ht="12.75" customHeight="1" thickBot="1" x14ac:dyDescent="0.2">
      <c r="C7" s="297" t="s">
        <v>182</v>
      </c>
      <c r="D7" s="278"/>
      <c r="E7" s="278"/>
      <c r="F7" s="278"/>
      <c r="G7" s="278"/>
      <c r="H7" s="278"/>
      <c r="J7" s="262" t="s">
        <v>183</v>
      </c>
      <c r="K7" s="263"/>
      <c r="L7" s="263"/>
      <c r="M7" s="264">
        <f>+Input!G21</f>
        <v>2016</v>
      </c>
      <c r="N7" s="265">
        <f>+M7+1</f>
        <v>2017</v>
      </c>
      <c r="O7" s="265">
        <f>+N7+1</f>
        <v>2018</v>
      </c>
    </row>
    <row r="8" spans="3:25" ht="12.75" customHeight="1" x14ac:dyDescent="0.15">
      <c r="C8" s="17"/>
      <c r="D8" s="18"/>
      <c r="E8" s="181"/>
      <c r="F8" s="266" t="s">
        <v>184</v>
      </c>
      <c r="G8" s="266"/>
      <c r="H8" s="223"/>
      <c r="J8" s="21" t="s">
        <v>185</v>
      </c>
      <c r="K8" s="21"/>
      <c r="L8" s="156"/>
      <c r="M8" s="158">
        <f>+D15/'DCF output'!$G$8</f>
        <v>150000</v>
      </c>
      <c r="N8" s="158">
        <f>+D15/'DCF output'!$H$8</f>
        <v>150000</v>
      </c>
      <c r="O8" s="158">
        <f>+D15/'DCF output'!$I$8</f>
        <v>620.09094667217857</v>
      </c>
      <c r="P8" s="20"/>
      <c r="Q8" s="20"/>
    </row>
    <row r="9" spans="3:25" ht="12.75" customHeight="1" thickBot="1" x14ac:dyDescent="0.25">
      <c r="C9" s="262" t="str">
        <f>+Input!D11</f>
        <v>tEUR</v>
      </c>
      <c r="D9" s="267" t="s">
        <v>186</v>
      </c>
      <c r="E9" s="267" t="s">
        <v>187</v>
      </c>
      <c r="F9" s="268" t="s">
        <v>188</v>
      </c>
      <c r="G9" s="268" t="s">
        <v>189</v>
      </c>
      <c r="H9" s="268" t="s">
        <v>190</v>
      </c>
      <c r="J9" s="21" t="s">
        <v>191</v>
      </c>
      <c r="K9" s="27"/>
      <c r="L9" s="27"/>
      <c r="M9" s="158">
        <f>+D15/'DCF output'!G10</f>
        <v>-75.037518759379694</v>
      </c>
      <c r="N9" s="158" t="e">
        <f>+D15/'DCF output'!H10</f>
        <v>#VALUE!</v>
      </c>
      <c r="O9" s="158">
        <f>+D15/'DCF output'!I10</f>
        <v>-2581.7555938037867</v>
      </c>
    </row>
    <row r="10" spans="3:25" ht="12.75" customHeight="1" x14ac:dyDescent="0.15">
      <c r="C10" s="21" t="s">
        <v>192</v>
      </c>
      <c r="D10" s="154" t="e">
        <f>+'DCF output'!E48</f>
        <v>#VALUE!</v>
      </c>
      <c r="E10" s="22" t="e">
        <f>+'DCF output'!E50</f>
        <v>#VALUE!</v>
      </c>
      <c r="F10" s="23" t="e">
        <f>D10/$E$12</f>
        <v>#VALUE!</v>
      </c>
      <c r="G10" s="23" t="e">
        <f>(E10-D10)/$E$12</f>
        <v>#VALUE!</v>
      </c>
      <c r="H10" s="24" t="e">
        <f>F10+G10</f>
        <v>#VALUE!</v>
      </c>
      <c r="J10" s="21" t="s">
        <v>193</v>
      </c>
      <c r="K10" s="21"/>
      <c r="L10" s="158"/>
      <c r="M10" s="158">
        <f>+D17/'DCF output'!$G$13</f>
        <v>-77.538769384692344</v>
      </c>
      <c r="N10" s="158" t="e">
        <f>+D15/'DCF output'!$H$13</f>
        <v>#VALUE!</v>
      </c>
      <c r="O10" s="158">
        <f>+D15/'DCF output'!$I$13</f>
        <v>-2581.7555938037867</v>
      </c>
    </row>
    <row r="11" spans="3:25" s="27" customFormat="1" ht="12.75" customHeight="1" x14ac:dyDescent="0.2">
      <c r="C11" s="25" t="s">
        <v>183</v>
      </c>
      <c r="D11" s="155">
        <f>+'DCF output'!E53</f>
        <v>0</v>
      </c>
      <c r="E11" s="155">
        <f>+'DCF output'!E55</f>
        <v>0</v>
      </c>
      <c r="F11" s="23" t="e">
        <f>D11/$E$12</f>
        <v>#VALUE!</v>
      </c>
      <c r="G11" s="23" t="e">
        <f>(E11-D11)/$E$12</f>
        <v>#VALUE!</v>
      </c>
      <c r="H11" s="24" t="e">
        <f>F11+G11</f>
        <v>#VALUE!</v>
      </c>
      <c r="I11" s="7"/>
      <c r="Y11" s="7"/>
    </row>
    <row r="12" spans="3:25" s="27" customFormat="1" ht="12.75" customHeight="1" x14ac:dyDescent="0.2">
      <c r="C12" s="279" t="s">
        <v>194</v>
      </c>
      <c r="D12" s="280" t="e">
        <f>D10+D11</f>
        <v>#VALUE!</v>
      </c>
      <c r="E12" s="280" t="e">
        <f>E10+E11</f>
        <v>#VALUE!</v>
      </c>
      <c r="F12" s="282" t="e">
        <f>SUM(F10:F11)</f>
        <v>#VALUE!</v>
      </c>
      <c r="G12" s="283" t="e">
        <f>SUM(G10:G11)</f>
        <v>#VALUE!</v>
      </c>
      <c r="H12" s="283" t="e">
        <f>H10+H11</f>
        <v>#VALUE!</v>
      </c>
      <c r="I12" s="7"/>
      <c r="Y12" s="7"/>
    </row>
    <row r="13" spans="3:25" s="27" customFormat="1" ht="12.75" customHeight="1" x14ac:dyDescent="0.2">
      <c r="I13" s="7"/>
      <c r="J13" s="17" t="s">
        <v>195</v>
      </c>
      <c r="K13" s="17"/>
      <c r="L13" s="17"/>
      <c r="M13" s="17"/>
      <c r="N13" s="17"/>
      <c r="O13" s="299" t="e">
        <f>+#REF!</f>
        <v>#REF!</v>
      </c>
    </row>
    <row r="14" spans="3:25" s="27" customFormat="1" ht="12.75" customHeight="1" x14ac:dyDescent="0.2">
      <c r="C14" s="297" t="s">
        <v>196</v>
      </c>
      <c r="D14" s="296"/>
      <c r="E14" s="278"/>
      <c r="F14" s="278"/>
      <c r="G14" s="278"/>
      <c r="H14" s="278"/>
      <c r="I14" s="7"/>
    </row>
    <row r="15" spans="3:25" s="27" customFormat="1" ht="12.75" customHeight="1" x14ac:dyDescent="0.2">
      <c r="C15" s="281" t="s">
        <v>197</v>
      </c>
      <c r="D15" s="336">
        <f>+Input!D9</f>
        <v>150000</v>
      </c>
      <c r="E15" s="44"/>
      <c r="F15" s="24"/>
      <c r="G15" s="24"/>
      <c r="H15" s="24"/>
      <c r="I15" s="7"/>
    </row>
    <row r="16" spans="3:25" s="27" customFormat="1" ht="12.75" customHeight="1" x14ac:dyDescent="0.2">
      <c r="C16" s="25" t="str">
        <f>"Net Debt in "&amp;Input!D8&amp;""</f>
        <v>Net Debt in Autoni</v>
      </c>
      <c r="D16" s="31">
        <f>+Input!G151</f>
        <v>-5000</v>
      </c>
      <c r="E16" s="28"/>
      <c r="F16" s="28"/>
      <c r="G16" s="28"/>
      <c r="H16" s="28"/>
      <c r="I16" s="7"/>
    </row>
    <row r="17" spans="3:26" s="27" customFormat="1" ht="12.75" customHeight="1" x14ac:dyDescent="0.2">
      <c r="C17" s="279" t="s">
        <v>198</v>
      </c>
      <c r="D17" s="337">
        <f>+D15-D16</f>
        <v>155000</v>
      </c>
      <c r="E17" s="28"/>
      <c r="F17" s="28"/>
      <c r="G17" s="28"/>
      <c r="H17" s="28"/>
      <c r="I17" s="7"/>
    </row>
    <row r="18" spans="3:26" ht="12.75" customHeight="1" x14ac:dyDescent="0.15">
      <c r="C18" s="260" t="s">
        <v>199</v>
      </c>
      <c r="D18" s="261">
        <f>+D17-Input!G127</f>
        <v>150000</v>
      </c>
      <c r="E18" s="30"/>
      <c r="F18" s="157"/>
      <c r="G18" s="157"/>
      <c r="H18" s="157"/>
      <c r="Y18" s="8"/>
    </row>
    <row r="19" spans="3:26" s="27" customFormat="1" ht="19.5" customHeight="1" x14ac:dyDescent="0.2">
      <c r="C19" s="34" t="s">
        <v>200</v>
      </c>
      <c r="D19" s="35"/>
      <c r="E19" s="35"/>
      <c r="F19" s="35"/>
      <c r="G19" s="35"/>
      <c r="H19" s="35"/>
      <c r="I19" s="7"/>
      <c r="J19" s="175" t="s">
        <v>201</v>
      </c>
      <c r="K19" s="35"/>
      <c r="L19" s="35"/>
      <c r="M19" s="35"/>
      <c r="N19" s="35"/>
      <c r="O19" s="176"/>
      <c r="Y19" s="7"/>
    </row>
    <row r="20" spans="3:26" s="27" customFormat="1" ht="12.75" customHeight="1" thickBot="1" x14ac:dyDescent="0.25">
      <c r="C20" s="21" t="s">
        <v>44</v>
      </c>
      <c r="D20" s="21"/>
      <c r="E20" s="21"/>
      <c r="F20" s="21"/>
      <c r="G20" s="21"/>
      <c r="H20" s="32">
        <f>+'DCF output'!Q47</f>
        <v>0.25</v>
      </c>
      <c r="I20" s="7"/>
      <c r="J20" s="262" t="str">
        <f>+C9</f>
        <v>tEUR</v>
      </c>
      <c r="K20" s="274"/>
      <c r="L20" s="274"/>
      <c r="M20" s="274"/>
      <c r="N20" s="274" t="s">
        <v>202</v>
      </c>
      <c r="O20" s="274" t="s">
        <v>203</v>
      </c>
      <c r="P20" s="26"/>
      <c r="Q20" s="26"/>
      <c r="Y20" s="7"/>
    </row>
    <row r="21" spans="3:26" s="27" customFormat="1" ht="12.75" customHeight="1" x14ac:dyDescent="0.2">
      <c r="C21" s="21" t="s">
        <v>46</v>
      </c>
      <c r="D21" s="21"/>
      <c r="E21" s="21"/>
      <c r="F21" s="21"/>
      <c r="G21" s="21"/>
      <c r="H21" s="32">
        <f>+'DCF output'!Q48</f>
        <v>0.02</v>
      </c>
      <c r="I21" s="7"/>
      <c r="J21" s="21" t="s">
        <v>204</v>
      </c>
      <c r="K21" s="21"/>
      <c r="L21" s="21"/>
      <c r="M21" s="21"/>
      <c r="N21" s="154">
        <f>+Input!H28</f>
        <v>1</v>
      </c>
      <c r="O21" s="154">
        <f>+Input!L28</f>
        <v>18527.121000000003</v>
      </c>
      <c r="P21" s="26"/>
      <c r="Q21" s="26"/>
    </row>
    <row r="22" spans="3:26" s="27" customFormat="1" ht="12.75" customHeight="1" x14ac:dyDescent="0.2">
      <c r="C22" s="21" t="str">
        <f>"FX Rate SEK / "&amp;Input!D11&amp;""</f>
        <v>FX Rate SEK / tEUR</v>
      </c>
      <c r="D22" s="21"/>
      <c r="E22" s="21"/>
      <c r="F22" s="21"/>
      <c r="G22" s="21"/>
      <c r="H22" s="33">
        <f>+Input!D12</f>
        <v>1</v>
      </c>
      <c r="I22" s="7"/>
      <c r="J22" s="21" t="s">
        <v>205</v>
      </c>
      <c r="K22" s="21"/>
      <c r="L22" s="21"/>
      <c r="M22" s="21"/>
      <c r="N22" s="154">
        <f>+Input!H40</f>
        <v>0</v>
      </c>
      <c r="O22" s="154">
        <f>+Input!L40</f>
        <v>11761.696800000003</v>
      </c>
      <c r="P22" s="26"/>
      <c r="Q22" s="26"/>
    </row>
    <row r="23" spans="3:26" s="27" customFormat="1" ht="12.75" customHeight="1" x14ac:dyDescent="0.2">
      <c r="C23" s="25" t="s">
        <v>40</v>
      </c>
      <c r="D23" s="177"/>
      <c r="E23" s="25"/>
      <c r="F23" s="25"/>
      <c r="G23" s="25"/>
      <c r="H23" s="178">
        <f>+Input!D13</f>
        <v>43125</v>
      </c>
      <c r="I23" s="7"/>
      <c r="J23" s="21" t="s">
        <v>206</v>
      </c>
      <c r="K23" s="21"/>
      <c r="L23" s="21"/>
      <c r="M23" s="21"/>
      <c r="N23" s="154">
        <f>+Input!H47</f>
        <v>0</v>
      </c>
      <c r="O23" s="154">
        <f>+Input!L47</f>
        <v>11761.696800000003</v>
      </c>
      <c r="P23" s="26"/>
      <c r="Q23" s="26"/>
    </row>
    <row r="24" spans="3:26" s="27" customFormat="1" ht="12.75" customHeight="1" x14ac:dyDescent="0.2">
      <c r="I24" s="7"/>
      <c r="J24" s="25" t="s">
        <v>207</v>
      </c>
      <c r="K24" s="25"/>
      <c r="L24" s="25"/>
      <c r="M24" s="25"/>
      <c r="N24" s="31">
        <f>+Input!H57</f>
        <v>0</v>
      </c>
      <c r="O24" s="31">
        <f ca="1">+Input!L57</f>
        <v>12366.800790340791</v>
      </c>
      <c r="P24" s="26"/>
      <c r="Q24" s="26"/>
    </row>
    <row r="25" spans="3:26" s="27" customFormat="1" ht="12.75" customHeight="1" x14ac:dyDescent="0.2">
      <c r="I25" s="14"/>
      <c r="J25" s="25" t="s">
        <v>208</v>
      </c>
      <c r="K25" s="25"/>
      <c r="L25" s="25"/>
      <c r="M25" s="25"/>
      <c r="N25" s="31">
        <f>+Input!H94</f>
        <v>0</v>
      </c>
      <c r="O25" s="31">
        <f ca="1">+Input!L94</f>
        <v>12366.800790340791</v>
      </c>
      <c r="P25" s="26"/>
      <c r="Q25" s="26"/>
    </row>
    <row r="26" spans="3:26" s="27" customFormat="1" ht="12.75" customHeight="1" x14ac:dyDescent="0.2">
      <c r="C26" s="156"/>
      <c r="D26" s="156"/>
      <c r="E26" s="156"/>
      <c r="F26" s="156"/>
      <c r="G26" s="156"/>
      <c r="H26" s="156"/>
      <c r="I26" s="14"/>
      <c r="J26" s="156"/>
      <c r="K26" s="156"/>
      <c r="L26" s="156"/>
      <c r="M26" s="156"/>
      <c r="N26" s="156"/>
      <c r="O26" s="156"/>
    </row>
    <row r="27" spans="3:26" s="27" customFormat="1" ht="12.75" customHeight="1" x14ac:dyDescent="0.2">
      <c r="C27" s="222" t="s">
        <v>209</v>
      </c>
      <c r="D27" s="369"/>
      <c r="E27" s="369"/>
      <c r="F27" s="369"/>
      <c r="G27" s="369"/>
      <c r="H27" s="369"/>
      <c r="I27" s="172"/>
      <c r="J27" s="172"/>
      <c r="K27" s="172"/>
      <c r="L27" s="172"/>
      <c r="M27" s="172"/>
      <c r="N27" s="172"/>
      <c r="O27" s="172"/>
    </row>
    <row r="28" spans="3:26" s="27" customFormat="1" ht="12.75" customHeight="1" thickBot="1" x14ac:dyDescent="0.25">
      <c r="C28" s="243"/>
      <c r="D28" s="244"/>
      <c r="E28" s="244"/>
      <c r="F28" s="244"/>
      <c r="G28" s="244"/>
      <c r="H28" s="244"/>
      <c r="I28" s="245"/>
      <c r="J28" s="245"/>
      <c r="K28" s="245"/>
      <c r="L28" s="272" t="s">
        <v>210</v>
      </c>
      <c r="M28" s="245"/>
      <c r="N28" s="273" t="s">
        <v>210</v>
      </c>
      <c r="O28" s="245"/>
    </row>
    <row r="29" spans="3:26" s="27" customFormat="1" ht="12.75" customHeight="1" thickBot="1" x14ac:dyDescent="0.25">
      <c r="C29" s="240" t="str">
        <f>+Input!D11</f>
        <v>tEUR</v>
      </c>
      <c r="D29" s="241">
        <f>+Input!F21</f>
        <v>2015</v>
      </c>
      <c r="E29" s="241">
        <f>+Input!G21</f>
        <v>2016</v>
      </c>
      <c r="F29" s="242">
        <f>+Input!H21</f>
        <v>2017</v>
      </c>
      <c r="G29" s="242">
        <f>+Input!I21</f>
        <v>2018</v>
      </c>
      <c r="H29" s="242">
        <f>+Input!J21</f>
        <v>2019</v>
      </c>
      <c r="I29" s="242">
        <f>+Input!K21</f>
        <v>2020</v>
      </c>
      <c r="J29" s="242">
        <f>+Input!L21</f>
        <v>2021</v>
      </c>
      <c r="K29" s="269">
        <f>+Input!Q21</f>
        <v>2026</v>
      </c>
      <c r="L29" s="270" t="str">
        <f>RIGHT(E29,2)&amp;"A"&amp;"-"&amp;RIGHT(J29,2)&amp;"E"</f>
        <v>16A-21E</v>
      </c>
      <c r="M29" s="271"/>
      <c r="N29" s="270" t="str">
        <f>RIGHT(J29,2)&amp;"E"&amp;"-"&amp;RIGHT(K29,2)&amp;"E"</f>
        <v>21E-26E</v>
      </c>
      <c r="O29" s="15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3:26" s="27" customFormat="1" ht="12.75" customHeight="1" x14ac:dyDescent="0.2">
      <c r="C30" s="46" t="str">
        <f>+[4]INPUT!C24</f>
        <v>Net Sales</v>
      </c>
      <c r="D30" s="159">
        <f>+Input!F28+Input!F63+Input!F70</f>
        <v>0</v>
      </c>
      <c r="E30" s="159">
        <f>+Input!G28+Input!G63+Input!G70</f>
        <v>1</v>
      </c>
      <c r="F30" s="159">
        <f>+Input!H28+Input!H63+Input!H70</f>
        <v>1</v>
      </c>
      <c r="G30" s="159">
        <f>+Input!I28+Input!I63+Input!I70</f>
        <v>241.9</v>
      </c>
      <c r="H30" s="159">
        <f>+Input!J28+Input!J63+Input!J70</f>
        <v>1790.0600000000002</v>
      </c>
      <c r="I30" s="159">
        <f>+Input!K28+Input!K63+Input!K70</f>
        <v>6175.7070000000012</v>
      </c>
      <c r="J30" s="159">
        <f>+Input!L28+Input!L63+Input!L70</f>
        <v>18527.121000000003</v>
      </c>
      <c r="K30" s="160">
        <f>+Input!Q28+Input!Q63</f>
        <v>40108.70320522273</v>
      </c>
      <c r="L30" s="152">
        <f>+(J30/E30)^(0.2)-1</f>
        <v>6.1377541889259453</v>
      </c>
      <c r="M30" s="152"/>
      <c r="N30" s="152">
        <f>+(K30/J30)^(1/5)-1</f>
        <v>0.1670410612025055</v>
      </c>
      <c r="O30" s="15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3:26" s="27" customFormat="1" ht="12.75" customHeight="1" x14ac:dyDescent="0.2">
      <c r="C31" s="161" t="str">
        <f>+[4]INPUT!C25</f>
        <v>Growth</v>
      </c>
      <c r="D31" s="162"/>
      <c r="E31" s="163" t="e">
        <f>+E30/D30-1</f>
        <v>#DIV/0!</v>
      </c>
      <c r="F31" s="163">
        <f t="shared" ref="F31:J31" si="0">+F30/E30-1</f>
        <v>0</v>
      </c>
      <c r="G31" s="163">
        <f t="shared" si="0"/>
        <v>240.9</v>
      </c>
      <c r="H31" s="163">
        <f t="shared" si="0"/>
        <v>6.4</v>
      </c>
      <c r="I31" s="163">
        <f t="shared" si="0"/>
        <v>2.4500000000000002</v>
      </c>
      <c r="J31" s="164">
        <f t="shared" si="0"/>
        <v>2</v>
      </c>
      <c r="K31" s="165"/>
      <c r="L31" s="106"/>
      <c r="M31" s="106"/>
      <c r="N31" s="107"/>
      <c r="O31" s="16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3:26" s="27" customFormat="1" ht="12.75" customHeight="1" x14ac:dyDescent="0.2">
      <c r="C32" s="46" t="str">
        <f>+[4]INPUT!C35</f>
        <v>EBITDA</v>
      </c>
      <c r="D32" s="159">
        <f>+Input!F40+D33</f>
        <v>-200</v>
      </c>
      <c r="E32" s="159">
        <f>+Input!G40+E33</f>
        <v>-1999</v>
      </c>
      <c r="F32" s="159">
        <f>+Input!H40+F33</f>
        <v>0</v>
      </c>
      <c r="G32" s="159">
        <f>+Input!I40+G33</f>
        <v>-58.099999999999994</v>
      </c>
      <c r="H32" s="159">
        <f>+Input!J40+H33</f>
        <v>700.06000000000017</v>
      </c>
      <c r="I32" s="159">
        <f>+Input!K40+I33</f>
        <v>3175.7070000000012</v>
      </c>
      <c r="J32" s="159">
        <f>+Input!L40+J33</f>
        <v>11761.696800000003</v>
      </c>
      <c r="K32" s="160">
        <f>+Input!Q40+K33</f>
        <v>21248.421810594773</v>
      </c>
      <c r="L32" s="151">
        <f>+(J32/E32)^(0.2)-1</f>
        <v>-2.4253825480309787</v>
      </c>
      <c r="M32" s="151"/>
      <c r="N32" s="151">
        <f>+(K32/J32)^(1/5)-1</f>
        <v>0.1255669693044219</v>
      </c>
      <c r="O32" s="151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3:26" s="27" customFormat="1" ht="12.75" customHeight="1" x14ac:dyDescent="0.2">
      <c r="C33" s="167" t="s">
        <v>211</v>
      </c>
      <c r="D33" s="168">
        <f>+Input!F65+Input!F66+Input!F72+Input!F73</f>
        <v>0</v>
      </c>
      <c r="E33" s="168">
        <f>+Input!G65+Input!G66+Input!G72+Input!G73</f>
        <v>0</v>
      </c>
      <c r="F33" s="168">
        <f>+Input!H65+Input!H66+Input!H72+Input!H73</f>
        <v>0</v>
      </c>
      <c r="G33" s="168">
        <f>+Input!I65+Input!I66+Input!I72+Input!I73</f>
        <v>0</v>
      </c>
      <c r="H33" s="168">
        <f>+Input!J65+Input!J66+Input!J72+Input!J73</f>
        <v>0</v>
      </c>
      <c r="I33" s="168">
        <f>+Input!K65+Input!K66+Input!K72+Input!K73</f>
        <v>0</v>
      </c>
      <c r="J33" s="168">
        <f>+Input!L65+Input!L66+Input!L72+Input!L73</f>
        <v>0</v>
      </c>
      <c r="K33" s="169">
        <f>+Input!Q65+Input!Q66+Input!Q72+Input!Q73</f>
        <v>0</v>
      </c>
      <c r="L33" s="106"/>
      <c r="M33" s="106"/>
      <c r="N33" s="107"/>
      <c r="O33" s="16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3:26" s="27" customFormat="1" ht="12.75" customHeight="1" x14ac:dyDescent="0.2">
      <c r="C34" s="161" t="str">
        <f>+[4]INPUT!C36</f>
        <v>Margin</v>
      </c>
      <c r="D34" s="163" t="e">
        <f t="shared" ref="D34:J34" si="1">+D32/D$30</f>
        <v>#DIV/0!</v>
      </c>
      <c r="E34" s="163">
        <f t="shared" si="1"/>
        <v>-1999</v>
      </c>
      <c r="F34" s="163">
        <f t="shared" si="1"/>
        <v>0</v>
      </c>
      <c r="G34" s="163">
        <f t="shared" si="1"/>
        <v>-0.24018189334435713</v>
      </c>
      <c r="H34" s="163">
        <f t="shared" si="1"/>
        <v>0.39108186317777066</v>
      </c>
      <c r="I34" s="163">
        <f t="shared" si="1"/>
        <v>0.51422565869786252</v>
      </c>
      <c r="J34" s="163">
        <f t="shared" si="1"/>
        <v>0.63483672395727331</v>
      </c>
      <c r="K34" s="170"/>
      <c r="L34" s="106"/>
      <c r="M34" s="106"/>
      <c r="N34" s="107"/>
      <c r="O34" s="16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3:26" s="27" customFormat="1" ht="12.75" customHeight="1" x14ac:dyDescent="0.2">
      <c r="C35" s="46" t="str">
        <f>+[4]INPUT!C39</f>
        <v>EBITA</v>
      </c>
      <c r="D35" s="159">
        <f>+Input!F44+D33</f>
        <v>-200</v>
      </c>
      <c r="E35" s="159">
        <f>+Input!G44+E33</f>
        <v>-1999</v>
      </c>
      <c r="F35" s="159">
        <f>+Input!H44+F33</f>
        <v>0</v>
      </c>
      <c r="G35" s="159">
        <f>+Input!I44+G33</f>
        <v>-58.099999999999994</v>
      </c>
      <c r="H35" s="159">
        <f>+Input!J44+H33</f>
        <v>700.06000000000017</v>
      </c>
      <c r="I35" s="159">
        <f>+Input!K44+I33</f>
        <v>3175.7070000000012</v>
      </c>
      <c r="J35" s="159">
        <f>+Input!L44+J33</f>
        <v>11761.696800000003</v>
      </c>
      <c r="K35" s="160">
        <f>+Input!M44+K33</f>
        <v>16341.468705000003</v>
      </c>
      <c r="L35" s="151">
        <f>+(J35/E35)^(0.2)-1</f>
        <v>-2.4253825480309787</v>
      </c>
      <c r="M35" s="151"/>
      <c r="N35" s="151">
        <f>+(K35/J35)^(1/5)-1</f>
        <v>6.7982708996303209E-2</v>
      </c>
      <c r="O35" s="151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3:26" s="27" customFormat="1" ht="12.75" customHeight="1" x14ac:dyDescent="0.2">
      <c r="C36" s="161" t="str">
        <f>+[4]INPUT!C40</f>
        <v>Margin</v>
      </c>
      <c r="D36" s="163" t="e">
        <f t="shared" ref="D36:J36" si="2">+D35/D$30</f>
        <v>#DIV/0!</v>
      </c>
      <c r="E36" s="163">
        <f t="shared" si="2"/>
        <v>-1999</v>
      </c>
      <c r="F36" s="163">
        <f t="shared" si="2"/>
        <v>0</v>
      </c>
      <c r="G36" s="163">
        <f t="shared" si="2"/>
        <v>-0.24018189334435713</v>
      </c>
      <c r="H36" s="163">
        <f t="shared" si="2"/>
        <v>0.39108186317777066</v>
      </c>
      <c r="I36" s="163">
        <f t="shared" si="2"/>
        <v>0.51422565869786252</v>
      </c>
      <c r="J36" s="163">
        <f t="shared" si="2"/>
        <v>0.63483672395727331</v>
      </c>
      <c r="K36" s="171"/>
      <c r="L36" s="106"/>
      <c r="M36" s="106"/>
      <c r="N36" s="107"/>
      <c r="O36" s="16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3:26" s="27" customFormat="1" ht="12.75" customHeight="1" x14ac:dyDescent="0.2">
      <c r="C37" s="46" t="s">
        <v>212</v>
      </c>
      <c r="D37" s="159">
        <f>+Input!F94+'DCF output'!F37</f>
        <v>-200</v>
      </c>
      <c r="E37" s="159">
        <f>+Input!G94+'DCF output'!G37</f>
        <v>-1999</v>
      </c>
      <c r="F37" s="159">
        <f>+Input!H94+'DCF output'!H37</f>
        <v>0</v>
      </c>
      <c r="G37" s="159">
        <f ca="1">+Input!I94+'DCF output'!I37</f>
        <v>-2937.3317954646236</v>
      </c>
      <c r="H37" s="159">
        <f ca="1">+Input!J94+'DCF output'!J37</f>
        <v>9107.1822008934996</v>
      </c>
      <c r="I37" s="159">
        <f ca="1">+Input!K94+'DCF output'!K37</f>
        <v>8209.8674491434813</v>
      </c>
      <c r="J37" s="159">
        <f ca="1">+Input!L94+'DCF output'!L37</f>
        <v>12366.800790340791</v>
      </c>
      <c r="K37" s="171"/>
      <c r="L37" s="106"/>
      <c r="M37" s="106"/>
      <c r="N37" s="173"/>
      <c r="O37" s="17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3:26" s="27" customFormat="1" ht="17.25" customHeight="1" thickBot="1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275" t="s">
        <v>213</v>
      </c>
      <c r="T38" s="214"/>
      <c r="U38" s="214"/>
      <c r="V38" s="214"/>
      <c r="W38" s="214"/>
      <c r="X38" s="214"/>
      <c r="Y38" s="3"/>
      <c r="Z38" s="3"/>
    </row>
    <row r="39" spans="3:26" s="27" customFormat="1" ht="13.5" customHeight="1" thickBot="1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40" t="str">
        <f>+Input!D11&amp;" (excl. Synergies)"</f>
        <v>tEUR (excl. Synergies)</v>
      </c>
      <c r="T39" s="241">
        <f>+E29</f>
        <v>2016</v>
      </c>
      <c r="U39" s="242">
        <f>+F29</f>
        <v>2017</v>
      </c>
      <c r="V39" s="242">
        <f>+G29</f>
        <v>2018</v>
      </c>
      <c r="W39" s="242">
        <f>+H29</f>
        <v>2019</v>
      </c>
      <c r="X39" s="242">
        <f>+I29</f>
        <v>2020</v>
      </c>
      <c r="Y39" s="3"/>
      <c r="Z39" s="3"/>
    </row>
    <row r="40" spans="3:26" s="27" customFormat="1" ht="12" customHeight="1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50" t="s">
        <v>59</v>
      </c>
      <c r="T40" s="215">
        <f>+Input!G28</f>
        <v>1</v>
      </c>
      <c r="U40" s="215">
        <f>+Input!H28</f>
        <v>1</v>
      </c>
      <c r="V40" s="215">
        <f>+Input!I28</f>
        <v>241.9</v>
      </c>
      <c r="W40" s="215">
        <f>+Input!J28</f>
        <v>1790.0600000000002</v>
      </c>
      <c r="X40" s="215">
        <f>+Input!K28</f>
        <v>6175.7070000000012</v>
      </c>
      <c r="Y40" s="7"/>
      <c r="Z40" s="3"/>
    </row>
    <row r="41" spans="3:26" s="27" customFormat="1" ht="12" customHeight="1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 t="s">
        <v>70</v>
      </c>
      <c r="T41" s="216">
        <f>+Input!G40</f>
        <v>-1999</v>
      </c>
      <c r="U41" s="216">
        <f>+Input!H40</f>
        <v>0</v>
      </c>
      <c r="V41" s="216">
        <f>+Input!I40</f>
        <v>-58.099999999999994</v>
      </c>
      <c r="W41" s="216">
        <f>+Input!J40</f>
        <v>700.06000000000017</v>
      </c>
      <c r="X41" s="216">
        <f>+Input!K40</f>
        <v>3175.7070000000012</v>
      </c>
      <c r="Z41" s="3"/>
    </row>
    <row r="42" spans="3:26" s="8" customFormat="1" ht="12" customHeight="1" x14ac:dyDescent="0.1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48" t="s">
        <v>214</v>
      </c>
      <c r="T42" s="249">
        <f>+T41/T40</f>
        <v>-1999</v>
      </c>
      <c r="U42" s="249">
        <f t="shared" ref="U42:X42" si="3">+U41/U40</f>
        <v>0</v>
      </c>
      <c r="V42" s="249">
        <f t="shared" si="3"/>
        <v>-0.24018189334435713</v>
      </c>
      <c r="W42" s="249">
        <f t="shared" si="3"/>
        <v>0.39108186317777066</v>
      </c>
      <c r="X42" s="249">
        <f t="shared" si="3"/>
        <v>0.51422565869786252</v>
      </c>
      <c r="Z42" s="3"/>
    </row>
    <row r="43" spans="3:26" s="27" customFormat="1" ht="12" customHeight="1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50" t="s">
        <v>73</v>
      </c>
      <c r="T43" s="216">
        <f>+Input!G44</f>
        <v>-1999</v>
      </c>
      <c r="U43" s="216">
        <f>+Input!H44</f>
        <v>0</v>
      </c>
      <c r="V43" s="216">
        <f>+Input!I44</f>
        <v>-58.099999999999994</v>
      </c>
      <c r="W43" s="216">
        <f>+Input!J44</f>
        <v>700.06000000000017</v>
      </c>
      <c r="X43" s="216">
        <f>+Input!K44</f>
        <v>3175.7070000000012</v>
      </c>
      <c r="Z43" s="3"/>
    </row>
    <row r="44" spans="3:26" s="8" customFormat="1" ht="12" customHeight="1" x14ac:dyDescent="0.15">
      <c r="S44" s="255" t="s">
        <v>214</v>
      </c>
      <c r="T44" s="256">
        <f>+T43/T40</f>
        <v>-1999</v>
      </c>
      <c r="U44" s="256">
        <f>+U43/U40</f>
        <v>0</v>
      </c>
      <c r="V44" s="256">
        <f>+V43/V40</f>
        <v>-0.24018189334435713</v>
      </c>
      <c r="W44" s="256">
        <f>+W43/W40</f>
        <v>0.39108186317777066</v>
      </c>
      <c r="X44" s="256">
        <f>+X43/X40</f>
        <v>0.51422565869786252</v>
      </c>
    </row>
    <row r="45" spans="3:26" s="27" customFormat="1" ht="8.25" customHeight="1" thickBot="1" x14ac:dyDescent="0.25">
      <c r="S45" s="254"/>
      <c r="T45" s="254"/>
      <c r="U45" s="254"/>
      <c r="V45" s="254"/>
      <c r="W45" s="254"/>
      <c r="X45" s="254"/>
    </row>
    <row r="46" spans="3:26" s="27" customFormat="1" ht="12" customHeight="1" x14ac:dyDescent="0.2">
      <c r="I46" s="36"/>
      <c r="S46" s="183" t="s">
        <v>215</v>
      </c>
      <c r="T46" s="259" t="e">
        <f>+E10</f>
        <v>#VALUE!</v>
      </c>
      <c r="U46" s="217"/>
      <c r="V46" s="183"/>
    </row>
    <row r="47" spans="3:26" s="27" customFormat="1" ht="12" customHeight="1" x14ac:dyDescent="0.2">
      <c r="S47" s="183" t="s">
        <v>183</v>
      </c>
      <c r="T47" s="259">
        <f>+E11</f>
        <v>0</v>
      </c>
      <c r="U47" s="217"/>
      <c r="V47" s="183"/>
      <c r="W47" s="217" t="s">
        <v>44</v>
      </c>
      <c r="X47" s="250">
        <f>+H20</f>
        <v>0.25</v>
      </c>
    </row>
    <row r="48" spans="3:26" s="27" customFormat="1" ht="12" customHeight="1" x14ac:dyDescent="0.2">
      <c r="S48" s="257" t="s">
        <v>216</v>
      </c>
      <c r="T48" s="258" t="e">
        <f>+E12</f>
        <v>#VALUE!</v>
      </c>
      <c r="U48" s="217"/>
      <c r="V48" s="217"/>
      <c r="W48" s="217" t="s">
        <v>217</v>
      </c>
      <c r="X48" s="250">
        <f>+H21</f>
        <v>0.02</v>
      </c>
    </row>
    <row r="49" spans="3:24" s="27" customFormat="1" ht="3" customHeight="1" x14ac:dyDescent="0.2">
      <c r="S49" s="183"/>
      <c r="T49" s="217"/>
      <c r="U49" s="217"/>
      <c r="V49" s="217"/>
      <c r="W49" s="217"/>
      <c r="X49" s="217"/>
    </row>
    <row r="50" spans="3:24" s="8" customFormat="1" ht="12" customHeight="1" x14ac:dyDescent="0.2"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S50" s="257" t="s">
        <v>218</v>
      </c>
      <c r="T50" s="258">
        <f>+D15</f>
        <v>150000</v>
      </c>
      <c r="U50" s="217"/>
      <c r="V50" s="217"/>
      <c r="W50" s="217" t="s">
        <v>219</v>
      </c>
      <c r="X50" s="302" t="e">
        <f>+O13</f>
        <v>#REF!</v>
      </c>
    </row>
    <row r="51" spans="3:24" s="27" customFormat="1" ht="12" customHeight="1" x14ac:dyDescent="0.2">
      <c r="S51" s="183" t="s">
        <v>220</v>
      </c>
      <c r="T51" s="251" t="e">
        <f>+T50/T48</f>
        <v>#VALUE!</v>
      </c>
      <c r="U51" s="217"/>
      <c r="V51" s="217"/>
      <c r="W51" s="217"/>
      <c r="X51" s="217"/>
    </row>
    <row r="52" spans="3:24" s="27" customFormat="1" ht="8.25" customHeight="1" thickBot="1" x14ac:dyDescent="0.25">
      <c r="S52" s="252"/>
      <c r="T52" s="253"/>
      <c r="U52" s="253"/>
      <c r="V52" s="253"/>
      <c r="W52" s="253"/>
      <c r="X52" s="253"/>
    </row>
    <row r="53" spans="3:24" s="27" customFormat="1" ht="12" customHeight="1" x14ac:dyDescent="0.2">
      <c r="S53" s="246" t="s">
        <v>20</v>
      </c>
      <c r="T53" s="246">
        <f>+T39</f>
        <v>2016</v>
      </c>
      <c r="U53" s="247">
        <f>+U39</f>
        <v>2017</v>
      </c>
      <c r="V53" s="247">
        <f>+V39</f>
        <v>2018</v>
      </c>
      <c r="W53" s="247">
        <f>+W39</f>
        <v>2019</v>
      </c>
      <c r="X53" s="247">
        <f>+X39</f>
        <v>2020</v>
      </c>
    </row>
    <row r="54" spans="3:24" s="27" customFormat="1" ht="12" customHeight="1" x14ac:dyDescent="0.2">
      <c r="S54" s="21" t="s">
        <v>221</v>
      </c>
      <c r="T54" s="239">
        <f>+$T$50/T40</f>
        <v>150000</v>
      </c>
      <c r="U54" s="239">
        <f>+$T$50/U40</f>
        <v>150000</v>
      </c>
      <c r="V54" s="239">
        <f>+$T$50/V40</f>
        <v>620.09094667217857</v>
      </c>
      <c r="W54" s="239">
        <f>+$T$50/W40</f>
        <v>83.796073874618713</v>
      </c>
      <c r="X54" s="239">
        <f>+$T$50/X40</f>
        <v>24.288717065106873</v>
      </c>
    </row>
    <row r="55" spans="3:24" s="27" customFormat="1" ht="12" customHeight="1" x14ac:dyDescent="0.2">
      <c r="S55" s="21" t="s">
        <v>222</v>
      </c>
      <c r="T55" s="218">
        <f>+$T$50/T41</f>
        <v>-75.037518759379694</v>
      </c>
      <c r="U55" s="218" t="e">
        <f t="shared" ref="U55:X55" si="4">+$T$50/U41</f>
        <v>#DIV/0!</v>
      </c>
      <c r="V55" s="218">
        <f t="shared" si="4"/>
        <v>-2581.7555938037867</v>
      </c>
      <c r="W55" s="218">
        <f t="shared" si="4"/>
        <v>214.26734851298454</v>
      </c>
      <c r="X55" s="218">
        <f t="shared" si="4"/>
        <v>47.233576649231161</v>
      </c>
    </row>
    <row r="56" spans="3:24" s="27" customFormat="1" ht="13.5" customHeight="1" x14ac:dyDescent="0.2">
      <c r="S56" s="21" t="s">
        <v>223</v>
      </c>
      <c r="T56" s="218">
        <f>+$T$50/T43</f>
        <v>-75.037518759379694</v>
      </c>
      <c r="U56" s="218" t="e">
        <f>+$T$50/U43</f>
        <v>#DIV/0!</v>
      </c>
      <c r="V56" s="218">
        <f>+$T$50/V43</f>
        <v>-2581.7555938037867</v>
      </c>
      <c r="W56" s="218">
        <f>+$T$50/W43</f>
        <v>214.26734851298454</v>
      </c>
      <c r="X56" s="218">
        <f>+$T$50/X43</f>
        <v>47.233576649231161</v>
      </c>
    </row>
    <row r="57" spans="3:24" s="27" customFormat="1" ht="13.5" customHeight="1" x14ac:dyDescent="0.2">
      <c r="S57" s="7"/>
    </row>
    <row r="58" spans="3:24" s="27" customFormat="1" ht="16" x14ac:dyDescent="0.2"/>
    <row r="59" spans="3:24" s="27" customFormat="1" ht="16" x14ac:dyDescent="0.2"/>
    <row r="60" spans="3:24" s="27" customFormat="1" ht="16" x14ac:dyDescent="0.2"/>
    <row r="61" spans="3:24" s="27" customFormat="1" ht="16" x14ac:dyDescent="0.2"/>
    <row r="62" spans="3:24" s="27" customFormat="1" ht="16" x14ac:dyDescent="0.2"/>
    <row r="63" spans="3:24" s="27" customFormat="1" ht="16" x14ac:dyDescent="0.2"/>
    <row r="64" spans="3:24" s="27" customFormat="1" ht="16" x14ac:dyDescent="0.2"/>
    <row r="65" s="27" customFormat="1" ht="16" x14ac:dyDescent="0.2"/>
    <row r="66" s="27" customFormat="1" ht="16" x14ac:dyDescent="0.2"/>
    <row r="67" s="27" customFormat="1" ht="16" x14ac:dyDescent="0.2"/>
    <row r="68" s="27" customFormat="1" ht="16" x14ac:dyDescent="0.2"/>
    <row r="69" s="27" customFormat="1" ht="16" x14ac:dyDescent="0.2"/>
    <row r="70" s="27" customFormat="1" ht="16" x14ac:dyDescent="0.2"/>
    <row r="71" s="27" customFormat="1" ht="16" x14ac:dyDescent="0.2"/>
    <row r="72" s="27" customFormat="1" ht="16" x14ac:dyDescent="0.2"/>
    <row r="73" s="27" customFormat="1" ht="16" x14ac:dyDescent="0.2"/>
    <row r="74" s="27" customFormat="1" ht="16" x14ac:dyDescent="0.2"/>
    <row r="75" s="27" customFormat="1" ht="16" x14ac:dyDescent="0.2"/>
    <row r="76" s="27" customFormat="1" ht="16" x14ac:dyDescent="0.2"/>
    <row r="77" s="27" customFormat="1" ht="16" x14ac:dyDescent="0.2"/>
    <row r="78" s="27" customFormat="1" ht="16" x14ac:dyDescent="0.2"/>
    <row r="79" s="27" customFormat="1" ht="16" x14ac:dyDescent="0.2"/>
    <row r="80" s="27" customFormat="1" ht="16" x14ac:dyDescent="0.2"/>
    <row r="81" s="27" customFormat="1" ht="16" x14ac:dyDescent="0.2"/>
    <row r="82" s="27" customFormat="1" ht="16" x14ac:dyDescent="0.2"/>
    <row r="83" s="27" customFormat="1" ht="16" x14ac:dyDescent="0.2"/>
    <row r="84" s="27" customFormat="1" ht="16" x14ac:dyDescent="0.2"/>
    <row r="85" s="27" customFormat="1" ht="16" x14ac:dyDescent="0.2"/>
    <row r="86" s="27" customFormat="1" ht="16" x14ac:dyDescent="0.2"/>
    <row r="87" s="27" customFormat="1" ht="16" x14ac:dyDescent="0.2"/>
    <row r="88" s="27" customFormat="1" ht="16" x14ac:dyDescent="0.2"/>
    <row r="89" s="27" customFormat="1" ht="16" x14ac:dyDescent="0.2"/>
    <row r="90" s="27" customFormat="1" ht="16" x14ac:dyDescent="0.2"/>
    <row r="91" s="27" customFormat="1" ht="16" x14ac:dyDescent="0.2"/>
    <row r="92" s="27" customFormat="1" ht="16" x14ac:dyDescent="0.2"/>
    <row r="93" s="27" customFormat="1" ht="16" x14ac:dyDescent="0.2"/>
    <row r="94" s="27" customFormat="1" ht="16" x14ac:dyDescent="0.2"/>
    <row r="95" s="27" customFormat="1" ht="16" x14ac:dyDescent="0.2"/>
    <row r="96" s="27" customFormat="1" ht="16" x14ac:dyDescent="0.2"/>
    <row r="97" s="27" customFormat="1" ht="16" x14ac:dyDescent="0.2"/>
    <row r="98" s="27" customFormat="1" ht="16" x14ac:dyDescent="0.2"/>
    <row r="99" s="27" customFormat="1" ht="16" x14ac:dyDescent="0.2"/>
    <row r="100" s="27" customFormat="1" ht="16" x14ac:dyDescent="0.2"/>
    <row r="101" s="27" customFormat="1" ht="16" x14ac:dyDescent="0.2"/>
    <row r="102" s="27" customFormat="1" ht="16" x14ac:dyDescent="0.2"/>
    <row r="103" s="27" customFormat="1" ht="16" x14ac:dyDescent="0.2"/>
    <row r="104" s="27" customFormat="1" ht="16" x14ac:dyDescent="0.2"/>
    <row r="105" s="27" customFormat="1" ht="16" x14ac:dyDescent="0.2"/>
    <row r="106" s="27" customFormat="1" ht="16" x14ac:dyDescent="0.2"/>
    <row r="107" s="27" customFormat="1" ht="16" x14ac:dyDescent="0.2"/>
    <row r="108" s="27" customFormat="1" ht="16" x14ac:dyDescent="0.2"/>
    <row r="109" s="27" customFormat="1" ht="16" x14ac:dyDescent="0.2"/>
    <row r="110" s="27" customFormat="1" ht="16" x14ac:dyDescent="0.2"/>
    <row r="111" s="27" customFormat="1" ht="16" x14ac:dyDescent="0.2"/>
    <row r="112" s="27" customFormat="1" ht="16" x14ac:dyDescent="0.2"/>
    <row r="113" s="27" customFormat="1" ht="16" x14ac:dyDescent="0.2"/>
    <row r="114" s="27" customFormat="1" ht="16" x14ac:dyDescent="0.2"/>
  </sheetData>
  <mergeCells count="2">
    <mergeCell ref="C6:H6"/>
    <mergeCell ref="J6:O6"/>
  </mergeCells>
  <pageMargins left="0.70866141732283472" right="0.70866141732283472" top="0.74803149606299213" bottom="0.74803149606299213" header="0.31496062992125984" footer="0.31496062992125984"/>
  <pageSetup paperSize="9" scale="92" orientation="landscape" r:id="rId1"/>
  <colBreaks count="1" manualBreakCount="1">
    <brk id="15" max="1048575" man="1"/>
  </colBreaks>
  <ignoredErrors>
    <ignoredError sqref="M11:O11 D10:H12 L30:N35 D31:J36" evalError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B1:AJ80"/>
  <sheetViews>
    <sheetView showGridLines="0" zoomScale="80" zoomScaleNormal="80" zoomScaleSheetLayoutView="80" zoomScalePageLayoutView="80" workbookViewId="0">
      <selection activeCell="Q31" sqref="C6:Q31"/>
    </sheetView>
  </sheetViews>
  <sheetFormatPr baseColWidth="10" defaultColWidth="8.83203125" defaultRowHeight="12" outlineLevelRow="1" x14ac:dyDescent="0.15"/>
  <cols>
    <col min="1" max="1" width="8.83203125" style="53"/>
    <col min="2" max="2" width="2.33203125" style="53" customWidth="1"/>
    <col min="3" max="3" width="23.83203125" style="53" customWidth="1"/>
    <col min="4" max="5" width="6.6640625" style="53" customWidth="1"/>
    <col min="6" max="6" width="8.5" style="53" customWidth="1"/>
    <col min="7" max="15" width="11" style="53" customWidth="1"/>
    <col min="16" max="16" width="11.33203125" style="53" customWidth="1"/>
    <col min="17" max="17" width="11" style="53" customWidth="1"/>
    <col min="18" max="20" width="2.33203125" style="53" customWidth="1"/>
    <col min="21" max="21" width="6.33203125" style="53" customWidth="1"/>
    <col min="22" max="22" width="7.6640625" style="53" customWidth="1"/>
    <col min="23" max="26" width="8.83203125" style="53"/>
    <col min="27" max="27" width="10" style="53" customWidth="1"/>
    <col min="28" max="28" width="5.1640625" style="53" customWidth="1"/>
    <col min="29" max="29" width="4.1640625" style="53" customWidth="1"/>
    <col min="30" max="30" width="7.6640625" style="53" customWidth="1"/>
    <col min="31" max="35" width="8.83203125" style="53"/>
    <col min="36" max="36" width="2.83203125" style="53" customWidth="1"/>
    <col min="37" max="16384" width="8.83203125" style="53"/>
  </cols>
  <sheetData>
    <row r="1" spans="3:36" customFormat="1" ht="6" customHeight="1" x14ac:dyDescent="0.2"/>
    <row r="2" spans="3:36" ht="40.5" customHeight="1" x14ac:dyDescent="0.15">
      <c r="C2" s="331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4"/>
      <c r="S2" s="371"/>
      <c r="T2" s="371"/>
      <c r="U2" s="331"/>
      <c r="V2" s="332"/>
      <c r="W2" s="332"/>
      <c r="X2" s="332"/>
      <c r="Y2" s="332"/>
      <c r="Z2" s="332"/>
      <c r="AA2" s="332"/>
      <c r="AB2" s="332"/>
      <c r="AC2" s="332"/>
      <c r="AD2" s="332"/>
      <c r="AE2" s="332"/>
      <c r="AF2" s="332"/>
      <c r="AG2" s="332"/>
      <c r="AH2" s="332"/>
      <c r="AI2" s="332"/>
      <c r="AJ2" s="334"/>
    </row>
    <row r="3" spans="3:36" ht="6" customHeight="1" x14ac:dyDescent="0.15"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  <c r="Y3" s="371"/>
      <c r="Z3" s="371"/>
      <c r="AA3" s="371"/>
      <c r="AB3" s="371"/>
      <c r="AC3" s="371"/>
      <c r="AD3" s="371"/>
      <c r="AE3" s="371"/>
      <c r="AF3" s="371"/>
      <c r="AG3" s="371"/>
      <c r="AH3" s="371"/>
      <c r="AI3" s="371"/>
      <c r="AJ3" s="371"/>
    </row>
    <row r="4" spans="3:36" ht="18.75" customHeight="1" x14ac:dyDescent="0.15">
      <c r="C4" s="276" t="s">
        <v>224</v>
      </c>
      <c r="D4" s="277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6"/>
      <c r="Q4" s="277"/>
      <c r="R4" s="371"/>
      <c r="S4" s="371"/>
      <c r="T4" s="371"/>
      <c r="U4" s="276" t="s">
        <v>225</v>
      </c>
      <c r="V4" s="277"/>
      <c r="W4" s="277"/>
      <c r="X4" s="277"/>
      <c r="Y4" s="277"/>
      <c r="Z4" s="277"/>
      <c r="AA4" s="277"/>
      <c r="AB4" s="277"/>
      <c r="AC4" s="277"/>
      <c r="AD4" s="277"/>
      <c r="AE4" s="277"/>
      <c r="AF4" s="277"/>
      <c r="AG4" s="277"/>
      <c r="AH4" s="276"/>
      <c r="AI4" s="277"/>
      <c r="AJ4" s="371"/>
    </row>
    <row r="5" spans="3:36" ht="6" customHeight="1" x14ac:dyDescent="0.15">
      <c r="C5" s="371"/>
      <c r="D5" s="371"/>
      <c r="E5" s="371"/>
      <c r="F5" s="371"/>
      <c r="G5" s="371"/>
      <c r="H5" s="371"/>
      <c r="I5" s="371"/>
      <c r="J5" s="371"/>
      <c r="K5" s="371"/>
      <c r="L5" s="371"/>
      <c r="M5" s="371"/>
      <c r="N5" s="371"/>
      <c r="O5" s="371"/>
      <c r="P5" s="371"/>
      <c r="Q5" s="371"/>
      <c r="R5" s="371"/>
      <c r="S5" s="371"/>
      <c r="T5" s="371"/>
      <c r="U5" s="371"/>
      <c r="V5" s="371"/>
      <c r="W5" s="371"/>
      <c r="X5" s="371"/>
      <c r="Y5" s="371"/>
      <c r="Z5" s="371"/>
      <c r="AA5" s="371"/>
      <c r="AB5" s="371"/>
      <c r="AC5" s="371"/>
      <c r="AD5" s="371"/>
      <c r="AE5" s="371"/>
      <c r="AF5" s="371"/>
      <c r="AG5" s="371"/>
      <c r="AH5" s="371"/>
      <c r="AI5" s="371"/>
      <c r="AJ5" s="371"/>
    </row>
    <row r="6" spans="3:36" ht="16.5" customHeight="1" x14ac:dyDescent="0.15">
      <c r="C6" s="185"/>
      <c r="D6" s="185"/>
      <c r="E6" s="300"/>
      <c r="F6" s="212" t="s">
        <v>48</v>
      </c>
      <c r="G6" s="213"/>
      <c r="H6" s="328" t="s">
        <v>49</v>
      </c>
      <c r="I6" s="300"/>
      <c r="J6" s="300"/>
      <c r="K6" s="301"/>
      <c r="L6" s="329" t="s">
        <v>50</v>
      </c>
      <c r="M6" s="300"/>
      <c r="N6" s="300"/>
      <c r="O6" s="300"/>
      <c r="P6" s="300"/>
      <c r="Q6" s="300"/>
      <c r="R6" s="371"/>
      <c r="S6" s="371"/>
      <c r="T6" s="371"/>
      <c r="U6" s="224" t="s">
        <v>226</v>
      </c>
      <c r="V6" s="224"/>
      <c r="W6" s="224"/>
      <c r="X6" s="224"/>
      <c r="Y6" s="224"/>
      <c r="Z6" s="224"/>
      <c r="AA6" s="224"/>
      <c r="AB6" s="119"/>
      <c r="AC6" s="224" t="s">
        <v>227</v>
      </c>
      <c r="AD6" s="224"/>
      <c r="AE6" s="224"/>
      <c r="AF6" s="224"/>
      <c r="AG6" s="224"/>
      <c r="AH6" s="224"/>
      <c r="AI6" s="224"/>
      <c r="AJ6" s="371"/>
    </row>
    <row r="7" spans="3:36" ht="13.5" customHeight="1" thickBot="1" x14ac:dyDescent="0.2">
      <c r="C7" s="205" t="str">
        <f>+Input!D11</f>
        <v>tEUR</v>
      </c>
      <c r="D7" s="205"/>
      <c r="E7" s="205"/>
      <c r="F7" s="206">
        <f>+G7-1</f>
        <v>2015</v>
      </c>
      <c r="G7" s="186">
        <f>+H7-1</f>
        <v>2016</v>
      </c>
      <c r="H7" s="187">
        <f>+Input!D15</f>
        <v>2017</v>
      </c>
      <c r="I7" s="188">
        <f>+H7+1</f>
        <v>2018</v>
      </c>
      <c r="J7" s="188">
        <f t="shared" ref="J7:Q7" si="0">+I7+1</f>
        <v>2019</v>
      </c>
      <c r="K7" s="189">
        <f t="shared" si="0"/>
        <v>2020</v>
      </c>
      <c r="L7" s="188">
        <f t="shared" si="0"/>
        <v>2021</v>
      </c>
      <c r="M7" s="188">
        <f t="shared" si="0"/>
        <v>2022</v>
      </c>
      <c r="N7" s="188">
        <f t="shared" si="0"/>
        <v>2023</v>
      </c>
      <c r="O7" s="188">
        <f t="shared" si="0"/>
        <v>2024</v>
      </c>
      <c r="P7" s="188">
        <f t="shared" si="0"/>
        <v>2025</v>
      </c>
      <c r="Q7" s="188">
        <f t="shared" si="0"/>
        <v>2026</v>
      </c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371"/>
      <c r="AI7" s="371"/>
      <c r="AJ7" s="371"/>
    </row>
    <row r="8" spans="3:36" ht="13" x14ac:dyDescent="0.15">
      <c r="C8" s="190" t="s">
        <v>59</v>
      </c>
      <c r="D8" s="190"/>
      <c r="E8" s="191"/>
      <c r="F8" s="303">
        <f>+Input!F28</f>
        <v>0</v>
      </c>
      <c r="G8" s="304">
        <f>+Input!G28</f>
        <v>1</v>
      </c>
      <c r="H8" s="305">
        <f>+Input!H28</f>
        <v>1</v>
      </c>
      <c r="I8" s="305">
        <f>+Input!I28</f>
        <v>241.9</v>
      </c>
      <c r="J8" s="305">
        <f>+Input!J28</f>
        <v>1790.0600000000002</v>
      </c>
      <c r="K8" s="304">
        <f>+Input!K28</f>
        <v>6175.7070000000012</v>
      </c>
      <c r="L8" s="305">
        <f>+Input!L28</f>
        <v>18527.121000000003</v>
      </c>
      <c r="M8" s="305">
        <f>+Input!M28</f>
        <v>31496.105700000004</v>
      </c>
      <c r="N8" s="305">
        <f>+Input!N28</f>
        <v>37795.326840000002</v>
      </c>
      <c r="O8" s="305">
        <f>+Input!O28</f>
        <v>38551.233376800003</v>
      </c>
      <c r="P8" s="305">
        <f>+Input!P28</f>
        <v>39322.258044336006</v>
      </c>
      <c r="Q8" s="306">
        <f>+Input!Q28</f>
        <v>40108.70320522273</v>
      </c>
      <c r="R8" s="371"/>
      <c r="S8" s="371"/>
      <c r="T8" s="371"/>
      <c r="U8" s="120"/>
      <c r="V8" s="120"/>
      <c r="W8" s="586" t="s">
        <v>228</v>
      </c>
      <c r="X8" s="586"/>
      <c r="Y8" s="586"/>
      <c r="Z8" s="586"/>
      <c r="AA8" s="586"/>
      <c r="AB8" s="119"/>
      <c r="AC8" s="120"/>
      <c r="AD8" s="120"/>
      <c r="AE8" s="586" t="s">
        <v>229</v>
      </c>
      <c r="AF8" s="586"/>
      <c r="AG8" s="586"/>
      <c r="AH8" s="586"/>
      <c r="AI8" s="586"/>
      <c r="AJ8" s="371"/>
    </row>
    <row r="9" spans="3:36" ht="15" customHeight="1" x14ac:dyDescent="0.15">
      <c r="C9" s="207" t="s">
        <v>230</v>
      </c>
      <c r="D9" s="207"/>
      <c r="E9" s="207"/>
      <c r="F9" s="210" t="str">
        <f>IF(E8=0,"n/a",(F8/E8-1))</f>
        <v>n/a</v>
      </c>
      <c r="G9" s="211" t="str">
        <f>IF(F8=0,"n/a",(G8/F8-1))</f>
        <v>n/a</v>
      </c>
      <c r="H9" s="210">
        <f t="shared" ref="H9:Q9" si="1">IF(G8=0,"n/a",(H8/G8-1))</f>
        <v>0</v>
      </c>
      <c r="I9" s="210">
        <f t="shared" si="1"/>
        <v>240.9</v>
      </c>
      <c r="J9" s="210">
        <f t="shared" si="1"/>
        <v>6.4</v>
      </c>
      <c r="K9" s="211">
        <f t="shared" si="1"/>
        <v>2.4500000000000002</v>
      </c>
      <c r="L9" s="210">
        <f t="shared" si="1"/>
        <v>2</v>
      </c>
      <c r="M9" s="210">
        <f t="shared" si="1"/>
        <v>0.7</v>
      </c>
      <c r="N9" s="210">
        <f t="shared" si="1"/>
        <v>0.19999999999999996</v>
      </c>
      <c r="O9" s="210">
        <f t="shared" si="1"/>
        <v>2.0000000000000018E-2</v>
      </c>
      <c r="P9" s="210">
        <f t="shared" si="1"/>
        <v>2.0000000000000018E-2</v>
      </c>
      <c r="Q9" s="210">
        <f t="shared" si="1"/>
        <v>2.0000000000000018E-2</v>
      </c>
      <c r="R9" s="371"/>
      <c r="S9" s="371"/>
      <c r="T9" s="371"/>
      <c r="U9" s="120"/>
      <c r="V9" s="121" t="e">
        <f>+E60</f>
        <v>#VALUE!</v>
      </c>
      <c r="W9" s="122">
        <f>+X9-0.02</f>
        <v>-0.04</v>
      </c>
      <c r="X9" s="122">
        <f>+Y9-0.02</f>
        <v>-0.02</v>
      </c>
      <c r="Y9" s="122">
        <v>0</v>
      </c>
      <c r="Z9" s="122">
        <f>+Y9+0.02</f>
        <v>0.02</v>
      </c>
      <c r="AA9" s="122">
        <f>+Z9+0.02</f>
        <v>0.04</v>
      </c>
      <c r="AB9" s="119"/>
      <c r="AC9" s="120"/>
      <c r="AD9" s="121" t="e">
        <f>+E60</f>
        <v>#VALUE!</v>
      </c>
      <c r="AE9" s="123">
        <f>+AF9-0.005</f>
        <v>9.9999999999999985E-3</v>
      </c>
      <c r="AF9" s="123">
        <f>+AG9-0.005</f>
        <v>1.4999999999999999E-2</v>
      </c>
      <c r="AG9" s="123">
        <f>+Input!K16</f>
        <v>0.02</v>
      </c>
      <c r="AH9" s="123">
        <f>+AG9+0.005</f>
        <v>2.5000000000000001E-2</v>
      </c>
      <c r="AI9" s="123">
        <f>+AH9+0.005</f>
        <v>3.0000000000000002E-2</v>
      </c>
      <c r="AJ9" s="371"/>
    </row>
    <row r="10" spans="3:36" ht="13" x14ac:dyDescent="0.15">
      <c r="C10" s="190" t="s">
        <v>70</v>
      </c>
      <c r="D10" s="190"/>
      <c r="E10" s="191"/>
      <c r="F10" s="303">
        <f>+Input!F40</f>
        <v>-200</v>
      </c>
      <c r="G10" s="307">
        <f>+Input!G40</f>
        <v>-1999</v>
      </c>
      <c r="H10" s="303" t="e">
        <f>+H11*H8</f>
        <v>#VALUE!</v>
      </c>
      <c r="I10" s="303">
        <f t="shared" ref="I10:Q10" si="2">+I11*I8</f>
        <v>-58.099999999999994</v>
      </c>
      <c r="J10" s="303">
        <f>+J11*J8</f>
        <v>700.06000000000017</v>
      </c>
      <c r="K10" s="307">
        <f t="shared" si="2"/>
        <v>3175.7070000000012</v>
      </c>
      <c r="L10" s="305">
        <f t="shared" si="2"/>
        <v>11761.696800000003</v>
      </c>
      <c r="M10" s="305">
        <f t="shared" si="2"/>
        <v>16341.468705000001</v>
      </c>
      <c r="N10" s="305">
        <f t="shared" si="2"/>
        <v>20022.862445999999</v>
      </c>
      <c r="O10" s="305">
        <f t="shared" si="2"/>
        <v>20423.319694920003</v>
      </c>
      <c r="P10" s="305">
        <f t="shared" si="2"/>
        <v>20831.7860888184</v>
      </c>
      <c r="Q10" s="305">
        <f t="shared" si="2"/>
        <v>21248.421810594773</v>
      </c>
      <c r="R10" s="371"/>
      <c r="S10" s="371"/>
      <c r="T10" s="371"/>
      <c r="U10" s="587" t="s">
        <v>44</v>
      </c>
      <c r="V10" s="123">
        <f>+V11-0.005</f>
        <v>0.24</v>
      </c>
      <c r="W10" s="124" t="e">
        <f t="dataTable" ref="W10:AA14" dt2D="1" dtr="1" r1="W30" r2="Q47" ca="1"/>
        <v>#VALUE!</v>
      </c>
      <c r="X10" s="125" t="e">
        <v>#VALUE!</v>
      </c>
      <c r="Y10" s="126" t="e">
        <v>#VALUE!</v>
      </c>
      <c r="Z10" s="125" t="e">
        <v>#VALUE!</v>
      </c>
      <c r="AA10" s="136" t="e">
        <v>#VALUE!</v>
      </c>
      <c r="AB10" s="119"/>
      <c r="AC10" s="587" t="s">
        <v>44</v>
      </c>
      <c r="AD10" s="123">
        <f>+AD11-0.005</f>
        <v>0.24</v>
      </c>
      <c r="AE10" s="124" t="e">
        <f t="dataTable" ref="AE10:AI14" dt2D="1" dtr="1" r1="Q48" r2="Q47"/>
        <v>#VALUE!</v>
      </c>
      <c r="AF10" s="125" t="e">
        <v>#VALUE!</v>
      </c>
      <c r="AG10" s="126" t="e">
        <v>#VALUE!</v>
      </c>
      <c r="AH10" s="125" t="e">
        <v>#VALUE!</v>
      </c>
      <c r="AI10" s="136" t="e">
        <v>#VALUE!</v>
      </c>
      <c r="AJ10" s="371"/>
    </row>
    <row r="11" spans="3:36" ht="12.75" customHeight="1" x14ac:dyDescent="0.15">
      <c r="C11" s="207" t="s">
        <v>64</v>
      </c>
      <c r="D11" s="207"/>
      <c r="E11" s="182"/>
      <c r="F11" s="182" t="e">
        <f>IF(F10=0,"n/a",(F10/F8))</f>
        <v>#DIV/0!</v>
      </c>
      <c r="G11" s="209">
        <f>IF(G10=0,"n/a",(G10/G8))</f>
        <v>-1999</v>
      </c>
      <c r="H11" s="182" t="e">
        <f>+Input!H41+$W$31</f>
        <v>#VALUE!</v>
      </c>
      <c r="I11" s="182">
        <f>+Input!I41+$W$31</f>
        <v>-0.24018189334435713</v>
      </c>
      <c r="J11" s="182">
        <f>+Input!J41+$W$31</f>
        <v>0.39108186317777066</v>
      </c>
      <c r="K11" s="209">
        <f>+Input!K41+$W$31</f>
        <v>0.51422565869786252</v>
      </c>
      <c r="L11" s="182">
        <f>+Input!L41+$W$31</f>
        <v>0.63483672395727331</v>
      </c>
      <c r="M11" s="182">
        <f>+Input!M41+$W$31</f>
        <v>0.51884092784842284</v>
      </c>
      <c r="N11" s="182">
        <f>+Input!N41+$W$31</f>
        <v>0.52977085052772088</v>
      </c>
      <c r="O11" s="182">
        <f>+Input!O41+$W$31</f>
        <v>0.52977085052772099</v>
      </c>
      <c r="P11" s="182">
        <f>+Input!P41+$W$31</f>
        <v>0.52977085052772088</v>
      </c>
      <c r="Q11" s="182">
        <f>+Input!Q41+$W$31</f>
        <v>0.52977085052772099</v>
      </c>
      <c r="R11" s="371"/>
      <c r="S11" s="371"/>
      <c r="T11" s="371"/>
      <c r="U11" s="587"/>
      <c r="V11" s="123">
        <f>+V12-0.005</f>
        <v>0.245</v>
      </c>
      <c r="W11" s="127" t="e">
        <v>#VALUE!</v>
      </c>
      <c r="X11" s="128" t="e">
        <v>#VALUE!</v>
      </c>
      <c r="Y11" s="129" t="e">
        <v>#VALUE!</v>
      </c>
      <c r="Z11" s="128" t="e">
        <v>#VALUE!</v>
      </c>
      <c r="AA11" s="137" t="e">
        <v>#VALUE!</v>
      </c>
      <c r="AB11" s="119"/>
      <c r="AC11" s="587"/>
      <c r="AD11" s="123">
        <f>+AD12-0.005</f>
        <v>0.245</v>
      </c>
      <c r="AE11" s="127" t="e">
        <v>#VALUE!</v>
      </c>
      <c r="AF11" s="128" t="e">
        <v>#VALUE!</v>
      </c>
      <c r="AG11" s="129" t="e">
        <v>#VALUE!</v>
      </c>
      <c r="AH11" s="128" t="e">
        <v>#VALUE!</v>
      </c>
      <c r="AI11" s="137" t="e">
        <v>#VALUE!</v>
      </c>
      <c r="AJ11" s="371"/>
    </row>
    <row r="12" spans="3:36" ht="13" x14ac:dyDescent="0.15">
      <c r="C12" s="193" t="s">
        <v>71</v>
      </c>
      <c r="D12" s="193"/>
      <c r="E12" s="194"/>
      <c r="F12" s="308">
        <f>+Input!F42</f>
        <v>0</v>
      </c>
      <c r="G12" s="309">
        <f>+Input!G42</f>
        <v>0</v>
      </c>
      <c r="H12" s="308">
        <f>+Input!H42</f>
        <v>0</v>
      </c>
      <c r="I12" s="308">
        <f>+Input!I42</f>
        <v>0</v>
      </c>
      <c r="J12" s="308">
        <f>+Input!J42</f>
        <v>0</v>
      </c>
      <c r="K12" s="309">
        <f>+Input!K42</f>
        <v>0</v>
      </c>
      <c r="L12" s="310">
        <f>+Input!L42</f>
        <v>0</v>
      </c>
      <c r="M12" s="310">
        <f>+Input!M42</f>
        <v>0</v>
      </c>
      <c r="N12" s="310">
        <f>+Input!N42</f>
        <v>0</v>
      </c>
      <c r="O12" s="310">
        <f>+Input!O42</f>
        <v>0</v>
      </c>
      <c r="P12" s="310">
        <f>+Input!P42</f>
        <v>0</v>
      </c>
      <c r="Q12" s="310">
        <f>+Input!Q42</f>
        <v>0</v>
      </c>
      <c r="R12" s="371"/>
      <c r="S12" s="371"/>
      <c r="T12" s="371"/>
      <c r="U12" s="587"/>
      <c r="V12" s="123">
        <f>+Input!K15</f>
        <v>0.25</v>
      </c>
      <c r="W12" s="130" t="e">
        <v>#VALUE!</v>
      </c>
      <c r="X12" s="129" t="e">
        <v>#VALUE!</v>
      </c>
      <c r="Y12" s="225" t="e">
        <v>#VALUE!</v>
      </c>
      <c r="Z12" s="129" t="e">
        <v>#VALUE!</v>
      </c>
      <c r="AA12" s="138" t="e">
        <v>#VALUE!</v>
      </c>
      <c r="AB12" s="119"/>
      <c r="AC12" s="587"/>
      <c r="AD12" s="123">
        <f>+$V$12</f>
        <v>0.25</v>
      </c>
      <c r="AE12" s="130" t="e">
        <v>#VALUE!</v>
      </c>
      <c r="AF12" s="129" t="e">
        <v>#VALUE!</v>
      </c>
      <c r="AG12" s="225" t="e">
        <v>#VALUE!</v>
      </c>
      <c r="AH12" s="129" t="e">
        <v>#VALUE!</v>
      </c>
      <c r="AI12" s="138" t="e">
        <v>#VALUE!</v>
      </c>
      <c r="AJ12" s="371"/>
    </row>
    <row r="13" spans="3:36" ht="13" x14ac:dyDescent="0.15">
      <c r="C13" s="190" t="s">
        <v>73</v>
      </c>
      <c r="D13" s="190"/>
      <c r="E13" s="195"/>
      <c r="F13" s="195">
        <f t="shared" ref="F13:Q13" si="3">+F10+F12</f>
        <v>-200</v>
      </c>
      <c r="G13" s="196">
        <f t="shared" si="3"/>
        <v>-1999</v>
      </c>
      <c r="H13" s="195" t="e">
        <f t="shared" si="3"/>
        <v>#VALUE!</v>
      </c>
      <c r="I13" s="195">
        <f t="shared" si="3"/>
        <v>-58.099999999999994</v>
      </c>
      <c r="J13" s="195">
        <f t="shared" si="3"/>
        <v>700.06000000000017</v>
      </c>
      <c r="K13" s="196">
        <f t="shared" si="3"/>
        <v>3175.7070000000012</v>
      </c>
      <c r="L13" s="195">
        <f t="shared" si="3"/>
        <v>11761.696800000003</v>
      </c>
      <c r="M13" s="195">
        <f t="shared" si="3"/>
        <v>16341.468705000001</v>
      </c>
      <c r="N13" s="195">
        <f t="shared" si="3"/>
        <v>20022.862445999999</v>
      </c>
      <c r="O13" s="195">
        <f t="shared" si="3"/>
        <v>20423.319694920003</v>
      </c>
      <c r="P13" s="195">
        <f t="shared" si="3"/>
        <v>20831.7860888184</v>
      </c>
      <c r="Q13" s="195">
        <f t="shared" si="3"/>
        <v>21248.421810594773</v>
      </c>
      <c r="R13" s="371"/>
      <c r="S13" s="371"/>
      <c r="T13" s="371"/>
      <c r="U13" s="587"/>
      <c r="V13" s="123">
        <f>V12+0.005</f>
        <v>0.255</v>
      </c>
      <c r="W13" s="127" t="e">
        <v>#VALUE!</v>
      </c>
      <c r="X13" s="128" t="e">
        <v>#VALUE!</v>
      </c>
      <c r="Y13" s="129" t="e">
        <v>#VALUE!</v>
      </c>
      <c r="Z13" s="128" t="e">
        <v>#VALUE!</v>
      </c>
      <c r="AA13" s="137" t="e">
        <v>#VALUE!</v>
      </c>
      <c r="AB13" s="119"/>
      <c r="AC13" s="587"/>
      <c r="AD13" s="123">
        <f>AD12+0.005</f>
        <v>0.255</v>
      </c>
      <c r="AE13" s="127" t="e">
        <v>#VALUE!</v>
      </c>
      <c r="AF13" s="128" t="e">
        <v>#VALUE!</v>
      </c>
      <c r="AG13" s="129" t="e">
        <v>#VALUE!</v>
      </c>
      <c r="AH13" s="128" t="e">
        <v>#VALUE!</v>
      </c>
      <c r="AI13" s="137" t="e">
        <v>#VALUE!</v>
      </c>
      <c r="AJ13" s="371"/>
    </row>
    <row r="14" spans="3:36" ht="13" x14ac:dyDescent="0.15">
      <c r="C14" s="193" t="s">
        <v>106</v>
      </c>
      <c r="D14" s="193"/>
      <c r="E14" s="192"/>
      <c r="F14" s="197">
        <f>+Input!F52</f>
        <v>0</v>
      </c>
      <c r="G14" s="309">
        <f>+Input!G52</f>
        <v>0</v>
      </c>
      <c r="H14" s="197">
        <f>+Input!H52</f>
        <v>0</v>
      </c>
      <c r="I14" s="197">
        <f>+Input!I52</f>
        <v>0</v>
      </c>
      <c r="J14" s="197" t="e">
        <f>+Input!J52</f>
        <v>#VALUE!</v>
      </c>
      <c r="K14" s="309" t="e">
        <f>+Input!K52</f>
        <v>#VALUE!</v>
      </c>
      <c r="L14" s="197" t="e">
        <f>+Input!L52</f>
        <v>#VALUE!</v>
      </c>
      <c r="M14" s="197" t="e">
        <f>+Input!M52</f>
        <v>#VALUE!</v>
      </c>
      <c r="N14" s="197" t="e">
        <f>+Input!N52</f>
        <v>#VALUE!</v>
      </c>
      <c r="O14" s="197" t="e">
        <f>+Input!O52</f>
        <v>#VALUE!</v>
      </c>
      <c r="P14" s="197" t="e">
        <f>+Input!P52</f>
        <v>#VALUE!</v>
      </c>
      <c r="Q14" s="197" t="e">
        <f>+Input!Q52</f>
        <v>#VALUE!</v>
      </c>
      <c r="R14" s="371"/>
      <c r="S14" s="371"/>
      <c r="T14" s="371"/>
      <c r="U14" s="587"/>
      <c r="V14" s="123">
        <f>V13+0.005</f>
        <v>0.26</v>
      </c>
      <c r="W14" s="139" t="e">
        <v>#VALUE!</v>
      </c>
      <c r="X14" s="140" t="e">
        <v>#VALUE!</v>
      </c>
      <c r="Y14" s="141" t="e">
        <v>#VALUE!</v>
      </c>
      <c r="Z14" s="140" t="e">
        <v>#VALUE!</v>
      </c>
      <c r="AA14" s="142" t="e">
        <v>#VALUE!</v>
      </c>
      <c r="AB14" s="119"/>
      <c r="AC14" s="587"/>
      <c r="AD14" s="123">
        <f>AD13+0.005</f>
        <v>0.26</v>
      </c>
      <c r="AE14" s="139" t="e">
        <v>#VALUE!</v>
      </c>
      <c r="AF14" s="140" t="e">
        <v>#VALUE!</v>
      </c>
      <c r="AG14" s="141" t="e">
        <v>#VALUE!</v>
      </c>
      <c r="AH14" s="140" t="e">
        <v>#VALUE!</v>
      </c>
      <c r="AI14" s="142" t="e">
        <v>#VALUE!</v>
      </c>
      <c r="AJ14" s="371"/>
    </row>
    <row r="15" spans="3:36" x14ac:dyDescent="0.15">
      <c r="C15" s="207" t="s">
        <v>231</v>
      </c>
      <c r="D15" s="207"/>
      <c r="E15" s="207"/>
      <c r="F15" s="182">
        <f>+Input!$K$9</f>
        <v>0.22</v>
      </c>
      <c r="G15" s="209">
        <f>+Input!$K$9</f>
        <v>0.22</v>
      </c>
      <c r="H15" s="182">
        <f>+Input!$K$9</f>
        <v>0.22</v>
      </c>
      <c r="I15" s="182">
        <f>+Input!$K$9</f>
        <v>0.22</v>
      </c>
      <c r="J15" s="182">
        <f>+Input!$K$9</f>
        <v>0.22</v>
      </c>
      <c r="K15" s="209">
        <f>+Input!$K$9</f>
        <v>0.22</v>
      </c>
      <c r="L15" s="182">
        <f>+Input!$K$9</f>
        <v>0.22</v>
      </c>
      <c r="M15" s="182">
        <f>+Input!$K$9</f>
        <v>0.22</v>
      </c>
      <c r="N15" s="182">
        <f>+Input!$K$9</f>
        <v>0.22</v>
      </c>
      <c r="O15" s="182">
        <f>+Input!$K$9</f>
        <v>0.22</v>
      </c>
      <c r="P15" s="182">
        <f>+Input!$K$9</f>
        <v>0.22</v>
      </c>
      <c r="Q15" s="182">
        <f>+Input!$K$9</f>
        <v>0.22</v>
      </c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371"/>
      <c r="AJ15" s="371"/>
    </row>
    <row r="16" spans="3:36" ht="16.5" customHeight="1" x14ac:dyDescent="0.15">
      <c r="C16" s="190" t="s">
        <v>232</v>
      </c>
      <c r="D16" s="190"/>
      <c r="E16" s="190"/>
      <c r="F16" s="303">
        <f>+F13+F14</f>
        <v>-200</v>
      </c>
      <c r="G16" s="307">
        <f t="shared" ref="G16:Q16" si="4">+G13+G14</f>
        <v>-1999</v>
      </c>
      <c r="H16" s="303" t="e">
        <f t="shared" si="4"/>
        <v>#VALUE!</v>
      </c>
      <c r="I16" s="303">
        <f t="shared" si="4"/>
        <v>-58.099999999999994</v>
      </c>
      <c r="J16" s="303" t="e">
        <f t="shared" si="4"/>
        <v>#VALUE!</v>
      </c>
      <c r="K16" s="307" t="e">
        <f t="shared" si="4"/>
        <v>#VALUE!</v>
      </c>
      <c r="L16" s="305" t="e">
        <f t="shared" si="4"/>
        <v>#VALUE!</v>
      </c>
      <c r="M16" s="305" t="e">
        <f t="shared" si="4"/>
        <v>#VALUE!</v>
      </c>
      <c r="N16" s="305" t="e">
        <f t="shared" si="4"/>
        <v>#VALUE!</v>
      </c>
      <c r="O16" s="305" t="e">
        <f t="shared" si="4"/>
        <v>#VALUE!</v>
      </c>
      <c r="P16" s="305" t="e">
        <f t="shared" si="4"/>
        <v>#VALUE!</v>
      </c>
      <c r="Q16" s="305" t="e">
        <f t="shared" si="4"/>
        <v>#VALUE!</v>
      </c>
      <c r="R16" s="371"/>
      <c r="S16" s="371"/>
      <c r="T16" s="371"/>
      <c r="U16" s="224" t="s">
        <v>233</v>
      </c>
      <c r="V16" s="224"/>
      <c r="W16" s="224"/>
      <c r="X16" s="224"/>
      <c r="Y16" s="224"/>
      <c r="Z16" s="224"/>
      <c r="AA16" s="224"/>
      <c r="AB16" s="119"/>
      <c r="AC16" s="224" t="s">
        <v>234</v>
      </c>
      <c r="AD16" s="224"/>
      <c r="AE16" s="224"/>
      <c r="AF16" s="224"/>
      <c r="AG16" s="224"/>
      <c r="AH16" s="224"/>
      <c r="AI16" s="224"/>
      <c r="AJ16" s="371"/>
    </row>
    <row r="17" spans="3:35" ht="13" x14ac:dyDescent="0.15">
      <c r="C17" s="193" t="s">
        <v>71</v>
      </c>
      <c r="D17" s="193"/>
      <c r="E17" s="193"/>
      <c r="F17" s="311">
        <f>-F12</f>
        <v>0</v>
      </c>
      <c r="G17" s="312">
        <f>-G12</f>
        <v>0</v>
      </c>
      <c r="H17" s="311">
        <f>-H12</f>
        <v>0</v>
      </c>
      <c r="I17" s="313">
        <f>-I12</f>
        <v>0</v>
      </c>
      <c r="J17" s="313">
        <f t="shared" ref="J17:Q17" si="5">-J12</f>
        <v>0</v>
      </c>
      <c r="K17" s="312">
        <f t="shared" si="5"/>
        <v>0</v>
      </c>
      <c r="L17" s="311">
        <f t="shared" si="5"/>
        <v>0</v>
      </c>
      <c r="M17" s="311">
        <f t="shared" si="5"/>
        <v>0</v>
      </c>
      <c r="N17" s="311">
        <f t="shared" si="5"/>
        <v>0</v>
      </c>
      <c r="O17" s="311">
        <f t="shared" si="5"/>
        <v>0</v>
      </c>
      <c r="P17" s="311">
        <f t="shared" si="5"/>
        <v>0</v>
      </c>
      <c r="Q17" s="311">
        <f t="shared" si="5"/>
        <v>0</v>
      </c>
      <c r="R17" s="371"/>
      <c r="S17" s="371"/>
      <c r="T17" s="371"/>
      <c r="U17" s="371"/>
      <c r="V17" s="371"/>
      <c r="W17" s="371"/>
      <c r="X17" s="371"/>
      <c r="Y17" s="371"/>
      <c r="Z17" s="371"/>
      <c r="AA17" s="371"/>
      <c r="AB17" s="371"/>
      <c r="AC17" s="371"/>
      <c r="AD17" s="371"/>
      <c r="AE17" s="371"/>
      <c r="AF17" s="371"/>
      <c r="AG17" s="371"/>
      <c r="AH17" s="371"/>
      <c r="AI17" s="371"/>
    </row>
    <row r="18" spans="3:35" ht="13" x14ac:dyDescent="0.15">
      <c r="C18" s="190" t="s">
        <v>107</v>
      </c>
      <c r="D18" s="190"/>
      <c r="E18" s="190"/>
      <c r="F18" s="303">
        <f>+Input!F89</f>
        <v>0</v>
      </c>
      <c r="G18" s="307">
        <f>+Input!G89</f>
        <v>0</v>
      </c>
      <c r="H18" s="303">
        <f>+Input!H89</f>
        <v>0</v>
      </c>
      <c r="I18" s="303">
        <f>+Input!I89</f>
        <v>0</v>
      </c>
      <c r="J18" s="303">
        <f>+Input!J89</f>
        <v>0</v>
      </c>
      <c r="K18" s="307">
        <f>+Input!K89</f>
        <v>0</v>
      </c>
      <c r="L18" s="305">
        <f>+Input!L89</f>
        <v>0</v>
      </c>
      <c r="M18" s="305">
        <f>+Input!M89</f>
        <v>0</v>
      </c>
      <c r="N18" s="305">
        <f>+Input!N89</f>
        <v>0</v>
      </c>
      <c r="O18" s="305">
        <f>+Input!O89</f>
        <v>0</v>
      </c>
      <c r="P18" s="305">
        <f>+Input!P89</f>
        <v>0</v>
      </c>
      <c r="Q18" s="305">
        <f>+Input!Q89</f>
        <v>0</v>
      </c>
      <c r="R18" s="371"/>
      <c r="S18" s="371"/>
      <c r="T18" s="371"/>
      <c r="U18" s="120"/>
      <c r="V18" s="120"/>
      <c r="W18" s="586" t="s">
        <v>235</v>
      </c>
      <c r="X18" s="586"/>
      <c r="Y18" s="586"/>
      <c r="Z18" s="586"/>
      <c r="AA18" s="586"/>
      <c r="AB18" s="131"/>
      <c r="AC18" s="120"/>
      <c r="AD18" s="120"/>
      <c r="AE18" s="586" t="s">
        <v>236</v>
      </c>
      <c r="AF18" s="586"/>
      <c r="AG18" s="586"/>
      <c r="AH18" s="586"/>
      <c r="AI18" s="586"/>
    </row>
    <row r="19" spans="3:35" ht="13" x14ac:dyDescent="0.15">
      <c r="C19" s="207" t="s">
        <v>237</v>
      </c>
      <c r="D19" s="207"/>
      <c r="E19" s="207"/>
      <c r="F19" s="314" t="e">
        <f>F18/(F8-E8)</f>
        <v>#DIV/0!</v>
      </c>
      <c r="G19" s="208">
        <f>IFERROR(G18/(G8-F8),"n.m.")</f>
        <v>0</v>
      </c>
      <c r="H19" s="314" t="e">
        <f>H18/(H8-G8)</f>
        <v>#DIV/0!</v>
      </c>
      <c r="I19" s="314">
        <f>I18/(I8-H8)</f>
        <v>0</v>
      </c>
      <c r="J19" s="314">
        <f>J18/(J8-I8)</f>
        <v>0</v>
      </c>
      <c r="K19" s="208">
        <f>K18/(K8-J8)</f>
        <v>0</v>
      </c>
      <c r="L19" s="314">
        <f>L18/(L8-K8)</f>
        <v>0</v>
      </c>
      <c r="M19" s="314">
        <f t="shared" ref="M19:O19" si="6">M18/(M8-L8)</f>
        <v>0</v>
      </c>
      <c r="N19" s="314">
        <f t="shared" si="6"/>
        <v>0</v>
      </c>
      <c r="O19" s="314">
        <f t="shared" si="6"/>
        <v>0</v>
      </c>
      <c r="P19" s="314">
        <f>P18/(P8-O8)</f>
        <v>0</v>
      </c>
      <c r="Q19" s="314">
        <f>Q18/(Q8-P8)</f>
        <v>0</v>
      </c>
      <c r="R19" s="371"/>
      <c r="S19" s="371"/>
      <c r="T19" s="371"/>
      <c r="U19" s="120"/>
      <c r="V19" s="121" t="e">
        <f>+E60</f>
        <v>#VALUE!</v>
      </c>
      <c r="W19" s="122">
        <f>+X19-0.02</f>
        <v>-0.04</v>
      </c>
      <c r="X19" s="122">
        <f>+Y19-0.02</f>
        <v>-0.02</v>
      </c>
      <c r="Y19" s="122">
        <v>0</v>
      </c>
      <c r="Z19" s="122">
        <f>+Y19+0.02</f>
        <v>0.02</v>
      </c>
      <c r="AA19" s="122">
        <f>+Z19+0.02</f>
        <v>0.04</v>
      </c>
      <c r="AB19" s="132"/>
      <c r="AC19" s="120"/>
      <c r="AD19" s="121" t="e">
        <f>+E60</f>
        <v>#VALUE!</v>
      </c>
      <c r="AE19" s="123">
        <f>+AF19-0.02</f>
        <v>-0.04</v>
      </c>
      <c r="AF19" s="123">
        <f>+AG19-0.02</f>
        <v>-0.02</v>
      </c>
      <c r="AG19" s="123">
        <v>0</v>
      </c>
      <c r="AH19" s="123">
        <f>+AG19+0.02</f>
        <v>0.02</v>
      </c>
      <c r="AI19" s="123">
        <f>+AH19+0.02</f>
        <v>0.04</v>
      </c>
    </row>
    <row r="20" spans="3:35" ht="13" x14ac:dyDescent="0.15">
      <c r="C20" s="190" t="s">
        <v>108</v>
      </c>
      <c r="D20" s="190"/>
      <c r="E20" s="190"/>
      <c r="F20" s="303">
        <f>+Input!F90</f>
        <v>0</v>
      </c>
      <c r="G20" s="307">
        <f>+Input!G90</f>
        <v>0</v>
      </c>
      <c r="H20" s="303">
        <f>-H22*H8</f>
        <v>0</v>
      </c>
      <c r="I20" s="303">
        <f>-I22*I8</f>
        <v>0</v>
      </c>
      <c r="J20" s="303">
        <f t="shared" ref="J20:Q20" si="7">-J22*J8</f>
        <v>0</v>
      </c>
      <c r="K20" s="307">
        <f t="shared" si="7"/>
        <v>0</v>
      </c>
      <c r="L20" s="305">
        <f t="shared" si="7"/>
        <v>0</v>
      </c>
      <c r="M20" s="305">
        <f t="shared" si="7"/>
        <v>0</v>
      </c>
      <c r="N20" s="305">
        <f t="shared" si="7"/>
        <v>0</v>
      </c>
      <c r="O20" s="305">
        <f t="shared" si="7"/>
        <v>0</v>
      </c>
      <c r="P20" s="305">
        <f t="shared" si="7"/>
        <v>0</v>
      </c>
      <c r="Q20" s="305">
        <f t="shared" si="7"/>
        <v>0</v>
      </c>
      <c r="R20" s="371"/>
      <c r="S20" s="371"/>
      <c r="T20" s="371"/>
      <c r="U20" s="587" t="s">
        <v>44</v>
      </c>
      <c r="V20" s="123">
        <f>+V21-0.005</f>
        <v>0.24</v>
      </c>
      <c r="W20" s="124" t="e">
        <f t="dataTable" ref="W20:AA24" dt2D="1" dtr="1" r1="W31" r2="Q47" ca="1"/>
        <v>#VALUE!</v>
      </c>
      <c r="X20" s="125" t="e">
        <v>#VALUE!</v>
      </c>
      <c r="Y20" s="126" t="e">
        <v>#VALUE!</v>
      </c>
      <c r="Z20" s="125" t="e">
        <v>#VALUE!</v>
      </c>
      <c r="AA20" s="136" t="e">
        <v>#VALUE!</v>
      </c>
      <c r="AB20" s="133"/>
      <c r="AC20" s="587" t="s">
        <v>44</v>
      </c>
      <c r="AD20" s="123">
        <f>+AD21-0.005</f>
        <v>0.24</v>
      </c>
      <c r="AE20" s="124" t="e">
        <f t="dataTable" ref="AE20:AI24" dt2D="1" dtr="1" r1="W32" r2="Q47" ca="1"/>
        <v>#VALUE!</v>
      </c>
      <c r="AF20" s="125" t="e">
        <v>#VALUE!</v>
      </c>
      <c r="AG20" s="126" t="e">
        <v>#VALUE!</v>
      </c>
      <c r="AH20" s="125" t="e">
        <v>#VALUE!</v>
      </c>
      <c r="AI20" s="136" t="e">
        <v>#VALUE!</v>
      </c>
    </row>
    <row r="21" spans="3:35" ht="13" x14ac:dyDescent="0.15">
      <c r="C21" s="207" t="s">
        <v>72</v>
      </c>
      <c r="D21" s="207"/>
      <c r="E21" s="207"/>
      <c r="F21" s="314" t="e">
        <f>-F17/F20</f>
        <v>#DIV/0!</v>
      </c>
      <c r="G21" s="208" t="e">
        <f t="shared" ref="G21:Q21" si="8">-G17/G20</f>
        <v>#DIV/0!</v>
      </c>
      <c r="H21" s="314" t="e">
        <f t="shared" si="8"/>
        <v>#DIV/0!</v>
      </c>
      <c r="I21" s="314" t="e">
        <f t="shared" si="8"/>
        <v>#DIV/0!</v>
      </c>
      <c r="J21" s="314" t="e">
        <f t="shared" si="8"/>
        <v>#DIV/0!</v>
      </c>
      <c r="K21" s="208" t="e">
        <f t="shared" si="8"/>
        <v>#DIV/0!</v>
      </c>
      <c r="L21" s="314" t="e">
        <f t="shared" si="8"/>
        <v>#DIV/0!</v>
      </c>
      <c r="M21" s="314" t="e">
        <f t="shared" si="8"/>
        <v>#DIV/0!</v>
      </c>
      <c r="N21" s="314" t="e">
        <f t="shared" si="8"/>
        <v>#DIV/0!</v>
      </c>
      <c r="O21" s="314" t="e">
        <f t="shared" si="8"/>
        <v>#DIV/0!</v>
      </c>
      <c r="P21" s="314" t="e">
        <f t="shared" si="8"/>
        <v>#DIV/0!</v>
      </c>
      <c r="Q21" s="314" t="e">
        <f t="shared" si="8"/>
        <v>#DIV/0!</v>
      </c>
      <c r="R21" s="371"/>
      <c r="S21" s="371"/>
      <c r="T21" s="371"/>
      <c r="U21" s="587"/>
      <c r="V21" s="123">
        <f>+V22-0.005</f>
        <v>0.245</v>
      </c>
      <c r="W21" s="127" t="e">
        <v>#VALUE!</v>
      </c>
      <c r="X21" s="128" t="e">
        <v>#VALUE!</v>
      </c>
      <c r="Y21" s="129" t="e">
        <v>#VALUE!</v>
      </c>
      <c r="Z21" s="128" t="e">
        <v>#VALUE!</v>
      </c>
      <c r="AA21" s="137" t="e">
        <v>#VALUE!</v>
      </c>
      <c r="AB21" s="134"/>
      <c r="AC21" s="587"/>
      <c r="AD21" s="123">
        <f>+AD22-0.005</f>
        <v>0.245</v>
      </c>
      <c r="AE21" s="127" t="e">
        <v>#VALUE!</v>
      </c>
      <c r="AF21" s="128" t="e">
        <v>#VALUE!</v>
      </c>
      <c r="AG21" s="129" t="e">
        <v>#VALUE!</v>
      </c>
      <c r="AH21" s="128" t="e">
        <v>#VALUE!</v>
      </c>
      <c r="AI21" s="137" t="e">
        <v>#VALUE!</v>
      </c>
    </row>
    <row r="22" spans="3:35" ht="13" x14ac:dyDescent="0.15">
      <c r="C22" s="207" t="s">
        <v>238</v>
      </c>
      <c r="D22" s="207"/>
      <c r="E22" s="207"/>
      <c r="F22" s="314" t="e">
        <f>-F20/F8</f>
        <v>#DIV/0!</v>
      </c>
      <c r="G22" s="208">
        <f t="shared" ref="G22" si="9">-G20/G8</f>
        <v>0</v>
      </c>
      <c r="H22" s="314">
        <f>+Input!H81+$W$32</f>
        <v>0</v>
      </c>
      <c r="I22" s="314">
        <f>+Input!I81+$W$32</f>
        <v>0</v>
      </c>
      <c r="J22" s="314">
        <f>+Input!J81+$W$32</f>
        <v>0</v>
      </c>
      <c r="K22" s="208">
        <f>+Input!K81+$W$32</f>
        <v>0</v>
      </c>
      <c r="L22" s="314">
        <f>+Input!L81+$W$32</f>
        <v>0</v>
      </c>
      <c r="M22" s="314">
        <f>+Input!M81+$W$32</f>
        <v>0</v>
      </c>
      <c r="N22" s="314">
        <f>+Input!N81+$W$32</f>
        <v>0</v>
      </c>
      <c r="O22" s="314">
        <f>+Input!O81+$W$32</f>
        <v>0</v>
      </c>
      <c r="P22" s="314">
        <f>+Input!P81+$W$32</f>
        <v>0</v>
      </c>
      <c r="Q22" s="314">
        <f>+Input!Q81+$W$32</f>
        <v>0</v>
      </c>
      <c r="R22" s="371"/>
      <c r="S22" s="371"/>
      <c r="T22" s="371"/>
      <c r="U22" s="587"/>
      <c r="V22" s="123">
        <f>+$V$12</f>
        <v>0.25</v>
      </c>
      <c r="W22" s="130" t="e">
        <v>#VALUE!</v>
      </c>
      <c r="X22" s="129" t="e">
        <v>#VALUE!</v>
      </c>
      <c r="Y22" s="225" t="e">
        <v>#VALUE!</v>
      </c>
      <c r="Z22" s="129" t="e">
        <v>#VALUE!</v>
      </c>
      <c r="AA22" s="138" t="e">
        <v>#VALUE!</v>
      </c>
      <c r="AB22" s="135"/>
      <c r="AC22" s="587"/>
      <c r="AD22" s="123">
        <f>+$V$12</f>
        <v>0.25</v>
      </c>
      <c r="AE22" s="130" t="e">
        <v>#VALUE!</v>
      </c>
      <c r="AF22" s="129" t="e">
        <v>#VALUE!</v>
      </c>
      <c r="AG22" s="225" t="e">
        <v>#VALUE!</v>
      </c>
      <c r="AH22" s="129" t="e">
        <v>#VALUE!</v>
      </c>
      <c r="AI22" s="138" t="e">
        <v>#VALUE!</v>
      </c>
    </row>
    <row r="23" spans="3:35" ht="13" x14ac:dyDescent="0.15">
      <c r="C23" s="190" t="s">
        <v>239</v>
      </c>
      <c r="D23" s="190"/>
      <c r="E23" s="190"/>
      <c r="F23" s="303">
        <f t="shared" ref="F23:Q23" si="10">F16+F17+F18+F20</f>
        <v>-200</v>
      </c>
      <c r="G23" s="307">
        <f t="shared" si="10"/>
        <v>-1999</v>
      </c>
      <c r="H23" s="303" t="e">
        <f t="shared" si="10"/>
        <v>#VALUE!</v>
      </c>
      <c r="I23" s="303">
        <f t="shared" si="10"/>
        <v>-58.099999999999994</v>
      </c>
      <c r="J23" s="303" t="e">
        <f>J16+J17+J18+J20</f>
        <v>#VALUE!</v>
      </c>
      <c r="K23" s="307" t="e">
        <f t="shared" si="10"/>
        <v>#VALUE!</v>
      </c>
      <c r="L23" s="305" t="e">
        <f t="shared" si="10"/>
        <v>#VALUE!</v>
      </c>
      <c r="M23" s="305" t="e">
        <f t="shared" si="10"/>
        <v>#VALUE!</v>
      </c>
      <c r="N23" s="305" t="e">
        <f t="shared" si="10"/>
        <v>#VALUE!</v>
      </c>
      <c r="O23" s="305" t="e">
        <f t="shared" si="10"/>
        <v>#VALUE!</v>
      </c>
      <c r="P23" s="305" t="e">
        <f t="shared" si="10"/>
        <v>#VALUE!</v>
      </c>
      <c r="Q23" s="305" t="e">
        <f t="shared" si="10"/>
        <v>#VALUE!</v>
      </c>
      <c r="R23" s="371"/>
      <c r="S23" s="371"/>
      <c r="T23" s="371"/>
      <c r="U23" s="587"/>
      <c r="V23" s="123">
        <f>V22+0.005</f>
        <v>0.255</v>
      </c>
      <c r="W23" s="127" t="e">
        <v>#VALUE!</v>
      </c>
      <c r="X23" s="128" t="e">
        <v>#VALUE!</v>
      </c>
      <c r="Y23" s="129" t="e">
        <v>#VALUE!</v>
      </c>
      <c r="Z23" s="128" t="e">
        <v>#VALUE!</v>
      </c>
      <c r="AA23" s="137" t="e">
        <v>#VALUE!</v>
      </c>
      <c r="AB23" s="135"/>
      <c r="AC23" s="587"/>
      <c r="AD23" s="123">
        <f>AD22+0.005</f>
        <v>0.255</v>
      </c>
      <c r="AE23" s="127" t="e">
        <v>#VALUE!</v>
      </c>
      <c r="AF23" s="128" t="e">
        <v>#VALUE!</v>
      </c>
      <c r="AG23" s="129" t="e">
        <v>#VALUE!</v>
      </c>
      <c r="AH23" s="128" t="e">
        <v>#VALUE!</v>
      </c>
      <c r="AI23" s="137" t="e">
        <v>#VALUE!</v>
      </c>
    </row>
    <row r="24" spans="3:35" ht="13" x14ac:dyDescent="0.15">
      <c r="C24" s="207" t="s">
        <v>240</v>
      </c>
      <c r="D24" s="207"/>
      <c r="E24" s="207"/>
      <c r="F24" s="314">
        <f t="shared" ref="F24:Q24" si="11">F23/F10</f>
        <v>1</v>
      </c>
      <c r="G24" s="208">
        <f t="shared" si="11"/>
        <v>1</v>
      </c>
      <c r="H24" s="314" t="e">
        <f t="shared" si="11"/>
        <v>#VALUE!</v>
      </c>
      <c r="I24" s="314">
        <f t="shared" si="11"/>
        <v>1</v>
      </c>
      <c r="J24" s="314" t="e">
        <f t="shared" si="11"/>
        <v>#VALUE!</v>
      </c>
      <c r="K24" s="208" t="e">
        <f t="shared" si="11"/>
        <v>#VALUE!</v>
      </c>
      <c r="L24" s="314" t="e">
        <f t="shared" si="11"/>
        <v>#VALUE!</v>
      </c>
      <c r="M24" s="314" t="e">
        <f t="shared" si="11"/>
        <v>#VALUE!</v>
      </c>
      <c r="N24" s="314" t="e">
        <f t="shared" si="11"/>
        <v>#VALUE!</v>
      </c>
      <c r="O24" s="314" t="e">
        <f t="shared" si="11"/>
        <v>#VALUE!</v>
      </c>
      <c r="P24" s="314" t="e">
        <f t="shared" si="11"/>
        <v>#VALUE!</v>
      </c>
      <c r="Q24" s="314" t="e">
        <f t="shared" si="11"/>
        <v>#VALUE!</v>
      </c>
      <c r="R24" s="371"/>
      <c r="S24" s="371"/>
      <c r="T24" s="371"/>
      <c r="U24" s="587"/>
      <c r="V24" s="123">
        <f>V23+0.005</f>
        <v>0.26</v>
      </c>
      <c r="W24" s="139" t="e">
        <v>#VALUE!</v>
      </c>
      <c r="X24" s="140" t="e">
        <v>#VALUE!</v>
      </c>
      <c r="Y24" s="141" t="e">
        <v>#VALUE!</v>
      </c>
      <c r="Z24" s="140" t="e">
        <v>#VALUE!</v>
      </c>
      <c r="AA24" s="142" t="e">
        <v>#VALUE!</v>
      </c>
      <c r="AB24" s="135"/>
      <c r="AC24" s="587"/>
      <c r="AD24" s="123">
        <f>AD23+0.005</f>
        <v>0.26</v>
      </c>
      <c r="AE24" s="139" t="e">
        <v>#VALUE!</v>
      </c>
      <c r="AF24" s="140" t="e">
        <v>#VALUE!</v>
      </c>
      <c r="AG24" s="141" t="e">
        <v>#VALUE!</v>
      </c>
      <c r="AH24" s="140" t="e">
        <v>#VALUE!</v>
      </c>
      <c r="AI24" s="142" t="e">
        <v>#VALUE!</v>
      </c>
    </row>
    <row r="25" spans="3:35" ht="4.5" customHeight="1" thickBot="1" x14ac:dyDescent="0.2">
      <c r="C25" s="198"/>
      <c r="D25" s="198"/>
      <c r="E25" s="198"/>
      <c r="F25" s="315"/>
      <c r="G25" s="316"/>
      <c r="H25" s="317">
        <f>1/(1+'DCF output'!$Q$47)^(H7-Input!$D$15+Input!$D$16)</f>
        <v>0.87794873836642462</v>
      </c>
      <c r="I25" s="317">
        <f>1/(1+'DCF output'!$Q$47)^(I7-Input!$D$15+Input!$D$16)</f>
        <v>0.70235899069313967</v>
      </c>
      <c r="J25" s="317">
        <f>1/(1+'DCF output'!$Q$47)^(J7-Input!$D$15+Input!$D$16)</f>
        <v>0.56188719255451181</v>
      </c>
      <c r="K25" s="317">
        <f>1/(1+'DCF output'!$Q$47)^(K7-Input!$D$15+Input!$D$16)</f>
        <v>0.44950975404360943</v>
      </c>
      <c r="L25" s="317">
        <f>1/(1+'DCF output'!$Q$47)^(L7-Input!$D$15+Input!$D$16)</f>
        <v>0.35960780323488756</v>
      </c>
      <c r="M25" s="317">
        <f>1/(1+'DCF output'!$Q$47)^(M7-Input!$D$15+Input!$D$16)</f>
        <v>0.28768624258791009</v>
      </c>
      <c r="N25" s="317">
        <f>1/(1+'DCF output'!$Q$47)^(N7-Input!$D$15+Input!$D$16)</f>
        <v>0.23014899407032807</v>
      </c>
      <c r="O25" s="317">
        <f>1/(1+'DCF output'!$Q$47)^(O7-Input!$D$15+Input!$D$16)</f>
        <v>0.18411919525626241</v>
      </c>
      <c r="P25" s="317">
        <f>1/(1+'DCF output'!$Q$47)^(P7-Input!$D$15+Input!$D$16)</f>
        <v>0.14729535620500991</v>
      </c>
      <c r="Q25" s="317">
        <f>1/(1+'DCF output'!$Q$47)^(Q7-Input!$D$15+Input!$D$16)</f>
        <v>0.11783628496400793</v>
      </c>
      <c r="R25" s="371"/>
      <c r="S25" s="371"/>
      <c r="T25" s="371"/>
      <c r="U25" s="371"/>
      <c r="V25" s="371"/>
      <c r="W25" s="371"/>
      <c r="X25" s="371"/>
      <c r="Y25" s="371"/>
      <c r="Z25" s="371"/>
      <c r="AA25" s="371"/>
      <c r="AB25" s="371"/>
      <c r="AC25" s="371"/>
      <c r="AD25" s="371"/>
      <c r="AE25" s="371"/>
      <c r="AF25" s="371"/>
      <c r="AG25" s="371"/>
      <c r="AH25" s="371"/>
      <c r="AI25" s="371"/>
    </row>
    <row r="26" spans="3:35" ht="13" x14ac:dyDescent="0.15">
      <c r="C26" s="190" t="s">
        <v>241</v>
      </c>
      <c r="D26" s="190"/>
      <c r="E26" s="190"/>
      <c r="F26" s="318"/>
      <c r="G26" s="318"/>
      <c r="H26" s="303" t="e">
        <f>H23*H25</f>
        <v>#VALUE!</v>
      </c>
      <c r="I26" s="303">
        <f t="shared" ref="I26:Q26" si="12">I23*I25</f>
        <v>-40.807057359271411</v>
      </c>
      <c r="J26" s="303" t="e">
        <f t="shared" si="12"/>
        <v>#VALUE!</v>
      </c>
      <c r="K26" s="303" t="e">
        <f t="shared" si="12"/>
        <v>#VALUE!</v>
      </c>
      <c r="L26" s="303" t="e">
        <f t="shared" si="12"/>
        <v>#VALUE!</v>
      </c>
      <c r="M26" s="303" t="e">
        <f t="shared" si="12"/>
        <v>#VALUE!</v>
      </c>
      <c r="N26" s="303" t="e">
        <f t="shared" si="12"/>
        <v>#VALUE!</v>
      </c>
      <c r="O26" s="303" t="e">
        <f t="shared" si="12"/>
        <v>#VALUE!</v>
      </c>
      <c r="P26" s="303" t="e">
        <f t="shared" si="12"/>
        <v>#VALUE!</v>
      </c>
      <c r="Q26" s="303" t="e">
        <f t="shared" si="12"/>
        <v>#VALUE!</v>
      </c>
      <c r="R26" s="371"/>
      <c r="S26" s="371"/>
      <c r="T26" s="371"/>
      <c r="U26" s="370"/>
      <c r="V26" s="180"/>
      <c r="W26" s="115"/>
      <c r="X26" s="116"/>
      <c r="Y26" s="116"/>
      <c r="Z26" s="117"/>
      <c r="AA26" s="116"/>
      <c r="AB26" s="116"/>
      <c r="AC26" s="370"/>
      <c r="AD26" s="371"/>
      <c r="AE26" s="371"/>
      <c r="AF26" s="371"/>
      <c r="AG26" s="371"/>
      <c r="AH26" s="371"/>
      <c r="AI26" s="371"/>
    </row>
    <row r="27" spans="3:35" ht="20" hidden="1" customHeight="1" outlineLevel="1" x14ac:dyDescent="0.15">
      <c r="C27" s="199" t="s">
        <v>242</v>
      </c>
      <c r="D27" s="200"/>
      <c r="E27" s="193"/>
      <c r="F27" s="319"/>
      <c r="G27" s="319"/>
      <c r="H27" s="319"/>
      <c r="I27" s="319"/>
      <c r="J27" s="319"/>
      <c r="K27" s="319"/>
      <c r="L27" s="319"/>
      <c r="M27" s="319"/>
      <c r="N27" s="319"/>
      <c r="O27" s="319"/>
      <c r="P27" s="319"/>
      <c r="Q27" s="320" t="e">
        <f>(Q23*(1+'DCF output'!Q48)/('DCF output'!Q47-'DCF output'!Q48))</f>
        <v>#VALUE!</v>
      </c>
      <c r="R27" s="371"/>
      <c r="S27" s="371"/>
      <c r="T27" s="371"/>
      <c r="U27" s="370"/>
      <c r="V27" s="180"/>
      <c r="W27" s="115"/>
      <c r="X27" s="116"/>
      <c r="Y27" s="116"/>
      <c r="Z27" s="116"/>
      <c r="AA27" s="116"/>
      <c r="AB27" s="116"/>
      <c r="AC27" s="370"/>
      <c r="AD27" s="371"/>
      <c r="AE27" s="371"/>
      <c r="AF27" s="371"/>
      <c r="AG27" s="371"/>
      <c r="AH27" s="371"/>
      <c r="AI27" s="371"/>
    </row>
    <row r="28" spans="3:35" ht="10.25" customHeight="1" collapsed="1" x14ac:dyDescent="0.15">
      <c r="C28" s="193"/>
      <c r="D28" s="193"/>
      <c r="E28" s="193"/>
      <c r="F28" s="319"/>
      <c r="G28" s="319"/>
      <c r="H28" s="319"/>
      <c r="I28" s="319"/>
      <c r="J28" s="319"/>
      <c r="K28" s="319"/>
      <c r="L28" s="319"/>
      <c r="M28" s="319"/>
      <c r="N28" s="319"/>
      <c r="O28" s="319"/>
      <c r="P28" s="319"/>
      <c r="Q28" s="319"/>
      <c r="R28" s="371"/>
      <c r="S28" s="371"/>
      <c r="T28" s="371"/>
      <c r="U28" s="370"/>
      <c r="V28" s="180"/>
      <c r="W28" s="115"/>
      <c r="X28" s="116"/>
      <c r="Y28" s="116"/>
      <c r="Z28" s="116"/>
      <c r="AA28" s="116"/>
      <c r="AB28" s="116"/>
      <c r="AC28" s="370"/>
      <c r="AD28" s="371"/>
      <c r="AE28" s="371"/>
      <c r="AF28" s="371"/>
      <c r="AG28" s="371"/>
      <c r="AH28" s="371"/>
      <c r="AI28" s="371"/>
    </row>
    <row r="29" spans="3:35" ht="12.75" customHeight="1" x14ac:dyDescent="0.15">
      <c r="C29" s="284" t="s">
        <v>54</v>
      </c>
      <c r="D29" s="285"/>
      <c r="E29" s="285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2" t="e">
        <f>+E48</f>
        <v>#VALUE!</v>
      </c>
      <c r="R29" s="371"/>
      <c r="S29" s="371"/>
      <c r="T29" s="371"/>
      <c r="U29" s="370"/>
      <c r="V29" s="180"/>
      <c r="W29" s="115"/>
      <c r="X29" s="116"/>
      <c r="Y29" s="116"/>
      <c r="Z29" s="116"/>
      <c r="AA29" s="116"/>
      <c r="AB29" s="116"/>
      <c r="AC29" s="370"/>
      <c r="AD29" s="371"/>
      <c r="AE29" s="371"/>
      <c r="AF29" s="371"/>
      <c r="AG29" s="371"/>
      <c r="AH29" s="371"/>
      <c r="AI29" s="371"/>
    </row>
    <row r="30" spans="3:35" ht="12.75" customHeight="1" thickBot="1" x14ac:dyDescent="0.2">
      <c r="C30" s="287" t="s">
        <v>56</v>
      </c>
      <c r="D30" s="201"/>
      <c r="E30" s="202"/>
      <c r="F30" s="323"/>
      <c r="G30" s="323"/>
      <c r="H30" s="323"/>
      <c r="I30" s="323"/>
      <c r="J30" s="323"/>
      <c r="K30" s="323"/>
      <c r="L30" s="323"/>
      <c r="M30" s="323"/>
      <c r="N30" s="323"/>
      <c r="O30" s="323"/>
      <c r="P30" s="323"/>
      <c r="Q30" s="324" t="e">
        <f>+E49</f>
        <v>#VALUE!</v>
      </c>
      <c r="R30" s="371"/>
      <c r="S30" s="371"/>
      <c r="T30" s="371"/>
      <c r="U30" s="370"/>
      <c r="V30" s="114"/>
      <c r="W30" s="113">
        <v>0</v>
      </c>
      <c r="X30" s="116"/>
      <c r="Y30" s="116"/>
      <c r="Z30" s="116"/>
      <c r="AA30" s="116"/>
      <c r="AB30" s="116"/>
      <c r="AC30" s="370"/>
      <c r="AD30" s="371"/>
      <c r="AE30" s="371"/>
      <c r="AF30" s="371"/>
      <c r="AG30" s="371"/>
      <c r="AH30" s="371"/>
      <c r="AI30" s="371"/>
    </row>
    <row r="31" spans="3:35" ht="13" x14ac:dyDescent="0.15">
      <c r="C31" s="291" t="s">
        <v>216</v>
      </c>
      <c r="D31" s="292"/>
      <c r="E31" s="292"/>
      <c r="F31" s="325"/>
      <c r="G31" s="325"/>
      <c r="H31" s="326"/>
      <c r="I31" s="326"/>
      <c r="J31" s="326"/>
      <c r="K31" s="326"/>
      <c r="L31" s="326"/>
      <c r="M31" s="326"/>
      <c r="N31" s="326"/>
      <c r="O31" s="326"/>
      <c r="P31" s="326"/>
      <c r="Q31" s="327" t="e">
        <f>+Q29+Q30</f>
        <v>#VALUE!</v>
      </c>
      <c r="R31" s="371"/>
      <c r="S31" s="371"/>
      <c r="T31" s="371"/>
      <c r="U31" s="370"/>
      <c r="V31" s="114"/>
      <c r="W31" s="113">
        <v>0</v>
      </c>
      <c r="X31" s="116"/>
      <c r="Y31" s="116"/>
      <c r="Z31" s="116"/>
      <c r="AA31" s="116"/>
      <c r="AB31" s="116"/>
      <c r="AC31" s="370"/>
      <c r="AD31" s="371"/>
      <c r="AE31" s="371"/>
      <c r="AF31" s="371"/>
      <c r="AG31" s="371"/>
      <c r="AH31" s="371"/>
      <c r="AI31" s="371"/>
    </row>
    <row r="32" spans="3:35" ht="2" customHeight="1" x14ac:dyDescent="0.15"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371"/>
      <c r="S32" s="371"/>
      <c r="T32" s="371"/>
      <c r="U32" s="370"/>
      <c r="V32" s="114"/>
      <c r="W32" s="113">
        <v>0</v>
      </c>
      <c r="X32" s="116"/>
      <c r="Y32" s="116"/>
      <c r="Z32" s="116"/>
      <c r="AA32" s="116"/>
      <c r="AB32" s="116"/>
      <c r="AC32" s="370"/>
      <c r="AD32" s="371"/>
      <c r="AE32" s="371"/>
      <c r="AF32" s="371"/>
      <c r="AG32" s="371"/>
      <c r="AH32" s="371"/>
      <c r="AI32" s="371"/>
    </row>
    <row r="33" spans="3:29" ht="2" customHeight="1" x14ac:dyDescent="0.15"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371"/>
      <c r="S33" s="371"/>
      <c r="T33" s="371"/>
      <c r="U33" s="370"/>
      <c r="V33" s="370"/>
      <c r="W33" s="370"/>
      <c r="X33" s="370"/>
      <c r="Y33" s="370"/>
      <c r="Z33" s="370"/>
      <c r="AA33" s="370"/>
      <c r="AB33" s="370"/>
      <c r="AC33" s="370"/>
    </row>
    <row r="34" spans="3:29" ht="13" thickBot="1" x14ac:dyDescent="0.2">
      <c r="C34" s="54" t="s">
        <v>183</v>
      </c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371"/>
      <c r="S34" s="371"/>
      <c r="T34" s="371"/>
      <c r="U34" s="370"/>
      <c r="V34" s="370"/>
      <c r="W34" s="370"/>
      <c r="X34" s="370"/>
      <c r="Y34" s="370"/>
      <c r="Z34" s="370"/>
      <c r="AA34" s="370"/>
      <c r="AB34" s="370"/>
      <c r="AC34" s="370"/>
    </row>
    <row r="35" spans="3:29" x14ac:dyDescent="0.15">
      <c r="C35" s="371" t="s">
        <v>205</v>
      </c>
      <c r="D35" s="371"/>
      <c r="E35" s="371"/>
      <c r="F35" s="371"/>
      <c r="G35" s="371"/>
      <c r="H35" s="52">
        <f>+Input!H65+Input!H66+Input!H72+Input!H73</f>
        <v>0</v>
      </c>
      <c r="I35" s="52">
        <f>+Input!I65+Input!I66+Input!I72+Input!I73</f>
        <v>0</v>
      </c>
      <c r="J35" s="52">
        <f>+Input!J65+Input!J66+Input!J72+Input!J73</f>
        <v>0</v>
      </c>
      <c r="K35" s="52">
        <f>+Input!K65+Input!K66+Input!K72+Input!K73</f>
        <v>0</v>
      </c>
      <c r="L35" s="52">
        <f>+Input!L65+Input!L66+Input!L72+Input!L73</f>
        <v>0</v>
      </c>
      <c r="M35" s="52">
        <f>+Input!M65+Input!M66+Input!M72+Input!M73</f>
        <v>0</v>
      </c>
      <c r="N35" s="52">
        <f>+Input!N65+Input!N66+Input!N72+Input!N73</f>
        <v>0</v>
      </c>
      <c r="O35" s="52">
        <f>+Input!O65+Input!O66+Input!O72+Input!O73</f>
        <v>0</v>
      </c>
      <c r="P35" s="52">
        <f>+Input!P65+Input!P66+Input!P72+Input!P73</f>
        <v>0</v>
      </c>
      <c r="Q35" s="52">
        <f>+Input!Q65+Input!Q66+Input!Q72+Input!Q73</f>
        <v>0</v>
      </c>
      <c r="R35" s="371"/>
      <c r="S35" s="371"/>
      <c r="T35" s="371"/>
      <c r="U35" s="370"/>
      <c r="V35" s="370"/>
      <c r="W35" s="370"/>
      <c r="X35" s="370"/>
      <c r="Y35" s="371"/>
      <c r="Z35" s="370"/>
      <c r="AA35" s="370"/>
      <c r="AB35" s="370"/>
      <c r="AC35" s="371"/>
    </row>
    <row r="36" spans="3:29" x14ac:dyDescent="0.15">
      <c r="C36" s="371" t="s">
        <v>243</v>
      </c>
      <c r="D36" s="371"/>
      <c r="E36" s="371"/>
      <c r="F36" s="371"/>
      <c r="G36" s="371"/>
      <c r="H36" s="58">
        <f t="shared" ref="H36:Q36" si="13">H35*(1-H15)</f>
        <v>0</v>
      </c>
      <c r="I36" s="58">
        <f t="shared" si="13"/>
        <v>0</v>
      </c>
      <c r="J36" s="58">
        <f t="shared" si="13"/>
        <v>0</v>
      </c>
      <c r="K36" s="58">
        <f t="shared" si="13"/>
        <v>0</v>
      </c>
      <c r="L36" s="58">
        <f t="shared" si="13"/>
        <v>0</v>
      </c>
      <c r="M36" s="58">
        <f t="shared" si="13"/>
        <v>0</v>
      </c>
      <c r="N36" s="58">
        <f t="shared" si="13"/>
        <v>0</v>
      </c>
      <c r="O36" s="58">
        <f t="shared" si="13"/>
        <v>0</v>
      </c>
      <c r="P36" s="58">
        <f t="shared" si="13"/>
        <v>0</v>
      </c>
      <c r="Q36" s="58">
        <f t="shared" si="13"/>
        <v>0</v>
      </c>
      <c r="R36" s="371"/>
      <c r="S36" s="371"/>
      <c r="T36" s="371"/>
      <c r="U36" s="370"/>
      <c r="V36" s="370"/>
      <c r="W36" s="370"/>
      <c r="X36" s="370"/>
      <c r="Y36" s="371"/>
      <c r="Z36" s="370"/>
      <c r="AA36" s="370"/>
      <c r="AB36" s="370"/>
      <c r="AC36" s="371"/>
    </row>
    <row r="37" spans="3:29" ht="13" thickBot="1" x14ac:dyDescent="0.2">
      <c r="C37" s="57" t="s">
        <v>244</v>
      </c>
      <c r="D37" s="57"/>
      <c r="E37" s="57"/>
      <c r="F37" s="57"/>
      <c r="G37" s="57"/>
      <c r="H37" s="64">
        <f>H36+Input!H67+Input!H74</f>
        <v>0</v>
      </c>
      <c r="I37" s="64">
        <f>I36+Input!I67+Input!I74</f>
        <v>0</v>
      </c>
      <c r="J37" s="64">
        <f>J36+Input!J67+Input!J74</f>
        <v>0</v>
      </c>
      <c r="K37" s="64">
        <f>K36+Input!K67+Input!K74</f>
        <v>0</v>
      </c>
      <c r="L37" s="64">
        <f>L36+Input!L67+Input!L74</f>
        <v>0</v>
      </c>
      <c r="M37" s="64">
        <f>M36+Input!M67+Input!M74</f>
        <v>0</v>
      </c>
      <c r="N37" s="64">
        <f>N36+Input!N67+Input!N74</f>
        <v>0</v>
      </c>
      <c r="O37" s="64">
        <f>O36+Input!O67+Input!O74</f>
        <v>0</v>
      </c>
      <c r="P37" s="64">
        <f>P36+Input!P67+Input!P74</f>
        <v>0</v>
      </c>
      <c r="Q37" s="64">
        <f>Q36+Input!Q67+Input!Q74</f>
        <v>0</v>
      </c>
      <c r="R37" s="371"/>
      <c r="S37" s="371"/>
      <c r="T37" s="371"/>
      <c r="U37" s="370"/>
      <c r="V37" s="370"/>
      <c r="W37" s="370"/>
      <c r="X37" s="370"/>
      <c r="Y37" s="371"/>
      <c r="Z37" s="370"/>
      <c r="AA37" s="370"/>
      <c r="AB37" s="370"/>
      <c r="AC37" s="371"/>
    </row>
    <row r="38" spans="3:29" x14ac:dyDescent="0.15">
      <c r="C38" s="59" t="s">
        <v>245</v>
      </c>
      <c r="D38" s="59"/>
      <c r="E38" s="59"/>
      <c r="F38" s="59"/>
      <c r="G38" s="59"/>
      <c r="H38" s="60">
        <f t="shared" ref="H38:Q38" si="14">H37*H25</f>
        <v>0</v>
      </c>
      <c r="I38" s="60">
        <f t="shared" si="14"/>
        <v>0</v>
      </c>
      <c r="J38" s="60">
        <f t="shared" si="14"/>
        <v>0</v>
      </c>
      <c r="K38" s="60">
        <f t="shared" si="14"/>
        <v>0</v>
      </c>
      <c r="L38" s="60">
        <f t="shared" si="14"/>
        <v>0</v>
      </c>
      <c r="M38" s="60">
        <f t="shared" si="14"/>
        <v>0</v>
      </c>
      <c r="N38" s="60">
        <f t="shared" si="14"/>
        <v>0</v>
      </c>
      <c r="O38" s="60">
        <f t="shared" si="14"/>
        <v>0</v>
      </c>
      <c r="P38" s="60">
        <f t="shared" si="14"/>
        <v>0</v>
      </c>
      <c r="Q38" s="60">
        <f t="shared" si="14"/>
        <v>0</v>
      </c>
      <c r="R38" s="371"/>
      <c r="S38" s="371"/>
      <c r="T38" s="371"/>
      <c r="U38" s="371"/>
      <c r="V38" s="371"/>
      <c r="W38" s="371"/>
      <c r="X38" s="371"/>
      <c r="Y38" s="371"/>
      <c r="Z38" s="371"/>
      <c r="AA38" s="371"/>
      <c r="AB38" s="371"/>
      <c r="AC38" s="371"/>
    </row>
    <row r="39" spans="3:29" ht="6" customHeight="1" x14ac:dyDescent="0.15">
      <c r="C39" s="61"/>
      <c r="D39" s="61"/>
      <c r="E39" s="62"/>
      <c r="F39" s="62"/>
      <c r="G39" s="62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371"/>
      <c r="S39" s="371"/>
      <c r="T39" s="371"/>
      <c r="U39" s="371"/>
      <c r="V39" s="371"/>
      <c r="W39" s="371"/>
      <c r="X39" s="371"/>
      <c r="Y39" s="371"/>
      <c r="Z39" s="371"/>
      <c r="AA39" s="371"/>
      <c r="AB39" s="371"/>
      <c r="AC39" s="371"/>
    </row>
    <row r="40" spans="3:29" ht="13.5" customHeight="1" x14ac:dyDescent="0.15">
      <c r="C40" s="284" t="s">
        <v>246</v>
      </c>
      <c r="D40" s="285"/>
      <c r="E40" s="285"/>
      <c r="F40" s="285"/>
      <c r="G40" s="285"/>
      <c r="H40" s="285"/>
      <c r="I40" s="285"/>
      <c r="J40" s="285"/>
      <c r="K40" s="285"/>
      <c r="L40" s="285"/>
      <c r="M40" s="285"/>
      <c r="N40" s="285"/>
      <c r="O40" s="285"/>
      <c r="P40" s="285"/>
      <c r="Q40" s="286">
        <f>+SUM(H38:Q38)</f>
        <v>0</v>
      </c>
      <c r="R40" s="371"/>
      <c r="S40" s="371"/>
      <c r="T40" s="371"/>
      <c r="U40" s="371"/>
      <c r="V40" s="371"/>
      <c r="W40" s="371"/>
      <c r="X40" s="371"/>
      <c r="Y40" s="371"/>
      <c r="Z40" s="371"/>
      <c r="AA40" s="371"/>
      <c r="AB40" s="371"/>
      <c r="AC40" s="371"/>
    </row>
    <row r="41" spans="3:29" ht="13.5" customHeight="1" thickBot="1" x14ac:dyDescent="0.2">
      <c r="C41" s="287" t="s">
        <v>247</v>
      </c>
      <c r="D41" s="201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88">
        <f>(Q37*(1+'DCF output'!Q48)/('DCF output'!Q47-'DCF output'!Q48))*Q25</f>
        <v>0</v>
      </c>
      <c r="R41" s="371"/>
      <c r="S41" s="371"/>
      <c r="T41" s="371"/>
      <c r="U41" s="371"/>
      <c r="V41" s="371"/>
      <c r="W41" s="371"/>
      <c r="X41" s="371"/>
      <c r="Y41" s="371"/>
      <c r="Z41" s="371"/>
      <c r="AA41" s="371"/>
      <c r="AB41" s="371"/>
      <c r="AC41" s="371"/>
    </row>
    <row r="42" spans="3:29" ht="14" thickBot="1" x14ac:dyDescent="0.2">
      <c r="C42" s="289" t="s">
        <v>248</v>
      </c>
      <c r="D42" s="203"/>
      <c r="E42" s="203"/>
      <c r="F42" s="203"/>
      <c r="G42" s="203"/>
      <c r="H42" s="204"/>
      <c r="I42" s="204"/>
      <c r="J42" s="204"/>
      <c r="K42" s="204"/>
      <c r="L42" s="204"/>
      <c r="M42" s="204"/>
      <c r="N42" s="204"/>
      <c r="O42" s="204"/>
      <c r="P42" s="204"/>
      <c r="Q42" s="290">
        <f>+Q40+Q41</f>
        <v>0</v>
      </c>
      <c r="R42" s="371"/>
      <c r="S42" s="371"/>
      <c r="T42" s="371"/>
      <c r="U42" s="371"/>
      <c r="V42" s="371"/>
      <c r="W42" s="371"/>
      <c r="X42" s="371"/>
      <c r="Y42" s="371"/>
      <c r="Z42" s="371"/>
      <c r="AA42" s="371"/>
      <c r="AB42" s="371"/>
      <c r="AC42" s="371"/>
    </row>
    <row r="43" spans="3:29" ht="6" customHeight="1" x14ac:dyDescent="0.15">
      <c r="C43" s="371"/>
      <c r="D43" s="371"/>
      <c r="E43" s="371"/>
      <c r="F43" s="371"/>
      <c r="G43" s="371"/>
      <c r="H43" s="371"/>
      <c r="I43" s="371"/>
      <c r="J43" s="371"/>
      <c r="K43" s="371"/>
      <c r="L43" s="371"/>
      <c r="M43" s="371"/>
      <c r="N43" s="371"/>
      <c r="O43" s="371"/>
      <c r="P43" s="371"/>
      <c r="Q43" s="371"/>
      <c r="R43" s="371"/>
      <c r="S43" s="371"/>
      <c r="T43" s="371"/>
      <c r="U43" s="371"/>
      <c r="V43" s="371"/>
      <c r="W43" s="371"/>
      <c r="X43" s="371"/>
      <c r="Y43" s="371"/>
      <c r="Z43" s="371"/>
      <c r="AA43" s="371"/>
      <c r="AB43" s="371"/>
      <c r="AC43" s="371"/>
    </row>
    <row r="44" spans="3:29" ht="6" customHeight="1" x14ac:dyDescent="0.15">
      <c r="C44" s="371"/>
      <c r="D44" s="371"/>
      <c r="E44" s="371"/>
      <c r="F44" s="371"/>
      <c r="G44" s="371"/>
      <c r="H44" s="371"/>
      <c r="I44" s="371"/>
      <c r="J44" s="371"/>
      <c r="K44" s="371"/>
      <c r="L44" s="371"/>
      <c r="M44" s="371"/>
      <c r="N44" s="371"/>
      <c r="O44" s="371"/>
      <c r="P44" s="371"/>
      <c r="Q44" s="371"/>
      <c r="R44" s="371"/>
      <c r="S44" s="371"/>
      <c r="T44" s="371"/>
      <c r="U44" s="371"/>
      <c r="V44" s="371"/>
      <c r="W44" s="371"/>
      <c r="X44" s="371"/>
      <c r="Y44" s="371"/>
      <c r="Z44" s="371"/>
      <c r="AA44" s="371"/>
      <c r="AB44" s="371"/>
      <c r="AC44" s="371"/>
    </row>
    <row r="45" spans="3:29" ht="13" thickBot="1" x14ac:dyDescent="0.2">
      <c r="C45" s="6" t="s">
        <v>249</v>
      </c>
      <c r="D45" s="96" t="s">
        <v>250</v>
      </c>
      <c r="E45" s="96" t="str">
        <f>Input!D11</f>
        <v>tEUR</v>
      </c>
      <c r="F45" s="96" t="s">
        <v>251</v>
      </c>
      <c r="G45" s="143"/>
      <c r="H45" s="6" t="s">
        <v>252</v>
      </c>
      <c r="I45" s="6"/>
      <c r="J45" s="6"/>
      <c r="K45" s="6"/>
      <c r="L45" s="6"/>
      <c r="M45" s="143"/>
      <c r="N45" s="6" t="s">
        <v>42</v>
      </c>
      <c r="O45" s="6"/>
      <c r="P45" s="6"/>
      <c r="Q45" s="6"/>
      <c r="R45" s="371"/>
      <c r="S45" s="371"/>
      <c r="T45" s="371"/>
      <c r="U45" s="371"/>
      <c r="V45" s="371"/>
      <c r="W45" s="371"/>
      <c r="X45" s="371"/>
      <c r="Y45" s="371"/>
      <c r="Z45" s="371"/>
      <c r="AA45" s="371"/>
      <c r="AB45" s="371"/>
      <c r="AC45" s="371"/>
    </row>
    <row r="46" spans="3:29" ht="6" customHeight="1" x14ac:dyDescent="0.15">
      <c r="C46" s="371"/>
      <c r="D46" s="69"/>
      <c r="E46" s="69"/>
      <c r="F46" s="69"/>
      <c r="G46" s="370"/>
      <c r="H46" s="371"/>
      <c r="I46" s="371"/>
      <c r="J46" s="371"/>
      <c r="K46" s="371"/>
      <c r="L46" s="371"/>
      <c r="M46" s="370"/>
      <c r="N46" s="371"/>
      <c r="O46" s="371"/>
      <c r="P46" s="371"/>
      <c r="Q46" s="371"/>
      <c r="R46" s="371"/>
      <c r="S46" s="371"/>
      <c r="T46" s="371"/>
      <c r="U46" s="371"/>
      <c r="V46" s="371"/>
      <c r="W46" s="371"/>
      <c r="X46" s="371"/>
      <c r="Y46" s="371"/>
      <c r="Z46" s="371"/>
      <c r="AA46" s="371"/>
      <c r="AB46" s="371"/>
      <c r="AC46" s="371"/>
    </row>
    <row r="47" spans="3:29" x14ac:dyDescent="0.15">
      <c r="C47" s="372" t="s">
        <v>253</v>
      </c>
      <c r="D47" s="70"/>
      <c r="E47" s="70"/>
      <c r="F47" s="70"/>
      <c r="G47" s="370"/>
      <c r="H47" s="372" t="s">
        <v>254</v>
      </c>
      <c r="I47" s="372"/>
      <c r="J47" s="81">
        <f>+G7</f>
        <v>2016</v>
      </c>
      <c r="K47" s="112">
        <f>+H7</f>
        <v>2017</v>
      </c>
      <c r="L47" s="112">
        <f>+I7</f>
        <v>2018</v>
      </c>
      <c r="M47" s="370"/>
      <c r="N47" s="1" t="s">
        <v>44</v>
      </c>
      <c r="O47" s="371"/>
      <c r="P47" s="371"/>
      <c r="Q47" s="98">
        <f>+Input!K15</f>
        <v>0.25</v>
      </c>
      <c r="R47" s="371"/>
      <c r="S47" s="371"/>
      <c r="T47" s="371"/>
      <c r="U47" s="371"/>
      <c r="V47" s="371"/>
      <c r="W47" s="371"/>
      <c r="X47" s="371"/>
      <c r="Y47" s="371"/>
      <c r="Z47" s="371"/>
      <c r="AA47" s="371"/>
      <c r="AB47" s="371"/>
      <c r="AC47" s="371"/>
    </row>
    <row r="48" spans="3:29" x14ac:dyDescent="0.15">
      <c r="C48" s="11" t="s">
        <v>54</v>
      </c>
      <c r="D48" s="71" t="e">
        <f>F48/F50</f>
        <v>#VALUE!</v>
      </c>
      <c r="E48" s="72" t="e">
        <f>SUM(H26:Q26)</f>
        <v>#VALUE!</v>
      </c>
      <c r="F48" s="72" t="e">
        <f>E48*Input!$D$12</f>
        <v>#VALUE!</v>
      </c>
      <c r="G48" s="371"/>
      <c r="H48" s="371" t="s">
        <v>255</v>
      </c>
      <c r="I48" s="371"/>
      <c r="J48" s="82" t="e">
        <f>$E$50/G8</f>
        <v>#VALUE!</v>
      </c>
      <c r="K48" s="82" t="e">
        <f>$E$50/H8</f>
        <v>#VALUE!</v>
      </c>
      <c r="L48" s="82" t="e">
        <f>$E$50/I8</f>
        <v>#VALUE!</v>
      </c>
      <c r="M48" s="371"/>
      <c r="N48" s="1" t="s">
        <v>46</v>
      </c>
      <c r="O48" s="371"/>
      <c r="P48" s="371"/>
      <c r="Q48" s="98">
        <f>+Input!K16</f>
        <v>0.02</v>
      </c>
      <c r="R48" s="371"/>
      <c r="S48" s="371"/>
      <c r="T48" s="371"/>
      <c r="U48" s="371"/>
      <c r="V48" s="371"/>
      <c r="W48" s="371"/>
      <c r="X48" s="371"/>
      <c r="Y48" s="371"/>
      <c r="Z48" s="371"/>
      <c r="AA48" s="371"/>
      <c r="AB48" s="371"/>
      <c r="AC48" s="371"/>
    </row>
    <row r="49" spans="2:20" x14ac:dyDescent="0.15">
      <c r="B49" s="371"/>
      <c r="C49" s="10" t="s">
        <v>56</v>
      </c>
      <c r="D49" s="73" t="e">
        <f>F49/F50</f>
        <v>#VALUE!</v>
      </c>
      <c r="E49" s="74" t="e">
        <f>Q27*Q25</f>
        <v>#VALUE!</v>
      </c>
      <c r="F49" s="74" t="e">
        <f>E49*Input!$D$12</f>
        <v>#VALUE!</v>
      </c>
      <c r="G49" s="371"/>
      <c r="H49" s="371" t="s">
        <v>256</v>
      </c>
      <c r="I49" s="371"/>
      <c r="J49" s="82" t="e">
        <f>$E$50/G10</f>
        <v>#VALUE!</v>
      </c>
      <c r="K49" s="82" t="e">
        <f>$E$50/H10</f>
        <v>#VALUE!</v>
      </c>
      <c r="L49" s="82" t="e">
        <f>$E$50/I10</f>
        <v>#VALUE!</v>
      </c>
      <c r="M49" s="371"/>
      <c r="N49" s="371"/>
      <c r="O49" s="371"/>
      <c r="P49" s="371"/>
      <c r="Q49" s="371"/>
      <c r="R49" s="371"/>
      <c r="S49" s="371"/>
      <c r="T49" s="371"/>
    </row>
    <row r="50" spans="2:20" x14ac:dyDescent="0.15">
      <c r="B50" s="371"/>
      <c r="C50" s="61" t="s">
        <v>58</v>
      </c>
      <c r="D50" s="75" t="e">
        <f>+D48+D49</f>
        <v>#VALUE!</v>
      </c>
      <c r="E50" s="76" t="e">
        <f>E48+E49</f>
        <v>#VALUE!</v>
      </c>
      <c r="F50" s="76" t="e">
        <f>E50*Input!$D$12</f>
        <v>#VALUE!</v>
      </c>
      <c r="G50" s="371"/>
      <c r="H50" s="371" t="s">
        <v>257</v>
      </c>
      <c r="I50" s="371"/>
      <c r="J50" s="82" t="e">
        <f>$E$50/G13</f>
        <v>#VALUE!</v>
      </c>
      <c r="K50" s="82" t="e">
        <f>$E$50/H13</f>
        <v>#VALUE!</v>
      </c>
      <c r="L50" s="82" t="e">
        <f>$E$50/I13</f>
        <v>#VALUE!</v>
      </c>
      <c r="M50" s="371"/>
      <c r="N50" s="371"/>
      <c r="O50" s="371"/>
      <c r="P50" s="371"/>
      <c r="Q50" s="371"/>
      <c r="R50" s="371"/>
      <c r="S50" s="371"/>
      <c r="T50" s="371"/>
    </row>
    <row r="51" spans="2:20" ht="6" customHeight="1" x14ac:dyDescent="0.15">
      <c r="B51" s="371"/>
      <c r="C51" s="65"/>
      <c r="D51" s="77"/>
      <c r="E51" s="77"/>
      <c r="F51" s="77"/>
      <c r="G51" s="371"/>
      <c r="H51" s="371"/>
      <c r="I51" s="371"/>
      <c r="J51" s="371"/>
      <c r="K51" s="371"/>
      <c r="L51" s="371"/>
      <c r="M51" s="371"/>
      <c r="N51" s="371"/>
      <c r="O51" s="371"/>
      <c r="P51" s="371"/>
      <c r="Q51" s="371"/>
      <c r="R51" s="371"/>
      <c r="S51" s="371"/>
      <c r="T51" s="371"/>
    </row>
    <row r="52" spans="2:20" hidden="1" outlineLevel="1" x14ac:dyDescent="0.15">
      <c r="B52" s="371"/>
      <c r="C52" s="66" t="s">
        <v>183</v>
      </c>
      <c r="D52" s="78"/>
      <c r="E52" s="78"/>
      <c r="F52" s="78"/>
      <c r="G52" s="371"/>
      <c r="H52" s="372" t="s">
        <v>258</v>
      </c>
      <c r="I52" s="372"/>
      <c r="J52" s="81">
        <f>+J47</f>
        <v>2016</v>
      </c>
      <c r="K52" s="112">
        <f>+K47</f>
        <v>2017</v>
      </c>
      <c r="L52" s="112">
        <f>+L47</f>
        <v>2018</v>
      </c>
      <c r="M52" s="371"/>
      <c r="N52" s="371"/>
      <c r="O52" s="371"/>
      <c r="P52" s="371"/>
      <c r="Q52" s="371"/>
      <c r="R52" s="371"/>
      <c r="S52" s="371"/>
      <c r="T52" s="371"/>
    </row>
    <row r="53" spans="2:20" hidden="1" outlineLevel="1" x14ac:dyDescent="0.15">
      <c r="B53" s="370">
        <f t="shared" ref="B53" si="15">+IF(B51=0,A53+B43*-B52,IF(-B51&lt;B52*B43,A53-B52*B43-B51,A53))</f>
        <v>0</v>
      </c>
      <c r="C53" s="11" t="s">
        <v>54</v>
      </c>
      <c r="D53" s="71" t="e">
        <f>F53/F55</f>
        <v>#DIV/0!</v>
      </c>
      <c r="E53" s="72">
        <f>SUM(H38:Q38)</f>
        <v>0</v>
      </c>
      <c r="F53" s="72">
        <f>E53*Input!$D$12</f>
        <v>0</v>
      </c>
      <c r="G53" s="371"/>
      <c r="H53" s="371" t="s">
        <v>255</v>
      </c>
      <c r="I53" s="370" t="e">
        <f>+IF(I51=0,H53+I43*-I52,IF(-I51&lt;I52*I43,H53-I52*I43-I51,H53))</f>
        <v>#VALUE!</v>
      </c>
      <c r="J53" s="370" t="e">
        <f t="shared" ref="J53:R53" si="16">+IF(J51=0,I53+J43*-J52,IF(-J51&lt;J52*J43,I53-J52*J43-J51,I53))</f>
        <v>#VALUE!</v>
      </c>
      <c r="K53" s="370" t="e">
        <f t="shared" si="16"/>
        <v>#VALUE!</v>
      </c>
      <c r="L53" s="99" t="e">
        <f t="shared" si="16"/>
        <v>#VALUE!</v>
      </c>
      <c r="M53" s="370" t="e">
        <f t="shared" si="16"/>
        <v>#VALUE!</v>
      </c>
      <c r="N53" s="370" t="e">
        <f t="shared" si="16"/>
        <v>#VALUE!</v>
      </c>
      <c r="O53" s="370" t="e">
        <f t="shared" si="16"/>
        <v>#VALUE!</v>
      </c>
      <c r="P53" s="370" t="e">
        <f t="shared" si="16"/>
        <v>#VALUE!</v>
      </c>
      <c r="Q53" s="370" t="e">
        <f t="shared" si="16"/>
        <v>#VALUE!</v>
      </c>
      <c r="R53" s="370" t="e">
        <f t="shared" si="16"/>
        <v>#VALUE!</v>
      </c>
      <c r="S53" s="370"/>
      <c r="T53" s="370"/>
    </row>
    <row r="54" spans="2:20" hidden="1" outlineLevel="1" x14ac:dyDescent="0.15">
      <c r="B54" s="371"/>
      <c r="C54" s="10" t="s">
        <v>56</v>
      </c>
      <c r="D54" s="73" t="e">
        <f>F54/F55</f>
        <v>#DIV/0!</v>
      </c>
      <c r="E54" s="74">
        <f>Q41</f>
        <v>0</v>
      </c>
      <c r="F54" s="74">
        <f>E54*Input!$D$12</f>
        <v>0</v>
      </c>
      <c r="G54" s="371"/>
      <c r="H54" s="371" t="s">
        <v>256</v>
      </c>
      <c r="I54" s="371"/>
      <c r="J54" s="82" t="e">
        <f>$E$60/$G$10</f>
        <v>#VALUE!</v>
      </c>
      <c r="K54" s="82" t="e">
        <f>$E$60/(Input!$H$40+Input!$H$65+Input!$H$66+Input!$H$72+Input!$H$73)</f>
        <v>#VALUE!</v>
      </c>
      <c r="L54" s="82" t="e">
        <f>$E$60/(Input!$I$40+Input!$I$65+Input!$I$66+Input!$I$72+Input!$I$73)</f>
        <v>#VALUE!</v>
      </c>
      <c r="M54" s="371"/>
      <c r="N54" s="371"/>
      <c r="O54" s="371"/>
      <c r="P54" s="371"/>
      <c r="Q54" s="371"/>
      <c r="R54" s="371"/>
      <c r="S54" s="371"/>
      <c r="T54" s="371"/>
    </row>
    <row r="55" spans="2:20" hidden="1" outlineLevel="1" x14ac:dyDescent="0.15">
      <c r="B55" s="371"/>
      <c r="C55" s="61" t="s">
        <v>58</v>
      </c>
      <c r="D55" s="75" t="e">
        <f>+D53+D54</f>
        <v>#DIV/0!</v>
      </c>
      <c r="E55" s="76">
        <f>E53+E54</f>
        <v>0</v>
      </c>
      <c r="F55" s="76">
        <f>E55*Input!$D$12</f>
        <v>0</v>
      </c>
      <c r="G55" s="371"/>
      <c r="H55" s="371" t="s">
        <v>257</v>
      </c>
      <c r="I55" s="371"/>
      <c r="J55" s="82" t="e">
        <f>$E$60/$G$13</f>
        <v>#VALUE!</v>
      </c>
      <c r="K55" s="82" t="e">
        <f>$E$60/(Input!$H$40+Input!$H$65+Input!$H$66+Input!$H$72+Input!$H$73+Input!$H$42)</f>
        <v>#VALUE!</v>
      </c>
      <c r="L55" s="82" t="e">
        <f>$E$60/(Input!$I$40+Input!$I$65+Input!$I$66+Input!$I$72+Input!$I$73+Input!$I$42)</f>
        <v>#VALUE!</v>
      </c>
      <c r="M55" s="371"/>
      <c r="N55" s="371"/>
      <c r="O55" s="371"/>
      <c r="P55" s="371"/>
      <c r="Q55" s="371"/>
      <c r="R55" s="371"/>
      <c r="S55" s="371"/>
      <c r="T55" s="371"/>
    </row>
    <row r="56" spans="2:20" ht="6" customHeight="1" collapsed="1" x14ac:dyDescent="0.15">
      <c r="B56" s="371"/>
      <c r="C56" s="65"/>
      <c r="D56" s="77"/>
      <c r="E56" s="77"/>
      <c r="F56" s="77"/>
      <c r="G56" s="371"/>
      <c r="H56" s="371"/>
      <c r="I56" s="371"/>
      <c r="J56" s="69"/>
      <c r="K56" s="69"/>
      <c r="L56" s="69"/>
      <c r="M56" s="371"/>
      <c r="N56" s="371"/>
      <c r="O56" s="371"/>
      <c r="P56" s="371"/>
      <c r="Q56" s="371"/>
      <c r="R56" s="371"/>
      <c r="S56" s="371"/>
      <c r="T56" s="371"/>
    </row>
    <row r="57" spans="2:20" x14ac:dyDescent="0.15">
      <c r="B57" s="371"/>
      <c r="C57" s="83" t="s">
        <v>52</v>
      </c>
      <c r="D57" s="84"/>
      <c r="E57" s="84"/>
      <c r="F57" s="84"/>
      <c r="G57" s="371"/>
      <c r="H57" s="372" t="s">
        <v>259</v>
      </c>
      <c r="I57" s="372"/>
      <c r="J57" s="81"/>
      <c r="K57" s="81"/>
      <c r="L57" s="112">
        <f>+Q7</f>
        <v>2026</v>
      </c>
      <c r="M57" s="371"/>
      <c r="N57" s="371"/>
      <c r="O57" s="371"/>
      <c r="P57" s="371"/>
      <c r="Q57" s="371"/>
      <c r="R57" s="371"/>
      <c r="S57" s="371"/>
      <c r="T57" s="371"/>
    </row>
    <row r="58" spans="2:20" x14ac:dyDescent="0.15">
      <c r="B58" s="371"/>
      <c r="C58" s="85" t="s">
        <v>54</v>
      </c>
      <c r="D58" s="86" t="e">
        <f>F58/F60</f>
        <v>#VALUE!</v>
      </c>
      <c r="E58" s="87" t="e">
        <f>+E48+E53</f>
        <v>#VALUE!</v>
      </c>
      <c r="F58" s="88" t="e">
        <f>E58*Input!$D$12</f>
        <v>#VALUE!</v>
      </c>
      <c r="G58" s="371"/>
      <c r="H58" s="371" t="s">
        <v>255</v>
      </c>
      <c r="I58" s="371"/>
      <c r="J58" s="371"/>
      <c r="K58" s="371"/>
      <c r="L58" s="82" t="e">
        <f>Q27/Q8</f>
        <v>#VALUE!</v>
      </c>
      <c r="M58" s="371"/>
      <c r="N58" s="371"/>
      <c r="O58" s="371"/>
      <c r="P58" s="371"/>
      <c r="Q58" s="371"/>
      <c r="R58" s="371"/>
      <c r="S58" s="371"/>
      <c r="T58" s="371"/>
    </row>
    <row r="59" spans="2:20" x14ac:dyDescent="0.15">
      <c r="B59" s="371"/>
      <c r="C59" s="89" t="s">
        <v>56</v>
      </c>
      <c r="D59" s="90" t="e">
        <f>F59/F60</f>
        <v>#VALUE!</v>
      </c>
      <c r="E59" s="91" t="e">
        <f>+E49+E54</f>
        <v>#VALUE!</v>
      </c>
      <c r="F59" s="92" t="e">
        <f>E59*Input!$D$12</f>
        <v>#VALUE!</v>
      </c>
      <c r="G59" s="371"/>
      <c r="H59" s="371" t="s">
        <v>256</v>
      </c>
      <c r="I59" s="371"/>
      <c r="J59" s="371"/>
      <c r="K59" s="371"/>
      <c r="L59" s="82" t="e">
        <f>Q27/Q10</f>
        <v>#VALUE!</v>
      </c>
      <c r="M59" s="371"/>
      <c r="N59" s="371"/>
      <c r="O59" s="371"/>
      <c r="P59" s="371"/>
      <c r="Q59" s="371"/>
      <c r="R59" s="371"/>
      <c r="S59" s="371"/>
      <c r="T59" s="371"/>
    </row>
    <row r="60" spans="2:20" x14ac:dyDescent="0.15">
      <c r="B60" s="371"/>
      <c r="C60" s="93" t="s">
        <v>58</v>
      </c>
      <c r="D60" s="94" t="e">
        <f>+D58+D59</f>
        <v>#VALUE!</v>
      </c>
      <c r="E60" s="95" t="e">
        <f>E58+E59</f>
        <v>#VALUE!</v>
      </c>
      <c r="F60" s="95" t="e">
        <f>E60*Input!$D$12</f>
        <v>#VALUE!</v>
      </c>
      <c r="G60" s="371"/>
      <c r="H60" s="371" t="s">
        <v>257</v>
      </c>
      <c r="I60" s="371"/>
      <c r="J60" s="371"/>
      <c r="K60" s="371"/>
      <c r="L60" s="82" t="e">
        <f>Q27/Q13</f>
        <v>#VALUE!</v>
      </c>
      <c r="M60" s="371"/>
      <c r="N60" s="371"/>
      <c r="O60" s="371"/>
      <c r="P60" s="371"/>
      <c r="Q60" s="371"/>
      <c r="R60" s="371"/>
      <c r="S60" s="371"/>
      <c r="T60" s="371"/>
    </row>
    <row r="61" spans="2:20" ht="6" customHeight="1" x14ac:dyDescent="0.15">
      <c r="B61" s="371"/>
      <c r="C61" s="65"/>
      <c r="D61" s="69"/>
      <c r="E61" s="77"/>
      <c r="F61" s="77"/>
      <c r="G61" s="371"/>
      <c r="H61" s="371"/>
      <c r="I61" s="371"/>
      <c r="J61" s="371"/>
      <c r="K61" s="371"/>
      <c r="L61" s="371"/>
      <c r="M61" s="371"/>
      <c r="N61" s="371"/>
      <c r="O61" s="371"/>
      <c r="P61" s="371"/>
      <c r="Q61" s="371"/>
      <c r="R61" s="371"/>
      <c r="S61" s="371"/>
      <c r="T61" s="371"/>
    </row>
    <row r="62" spans="2:20" x14ac:dyDescent="0.15">
      <c r="B62" s="371"/>
      <c r="C62" s="68" t="s">
        <v>167</v>
      </c>
      <c r="D62" s="97"/>
      <c r="E62" s="220">
        <f>+Input!G151</f>
        <v>-5000</v>
      </c>
      <c r="F62" s="221">
        <f>E62*Input!$D$12</f>
        <v>-5000</v>
      </c>
      <c r="G62" s="371"/>
      <c r="H62" s="371"/>
      <c r="I62" s="371"/>
      <c r="J62" s="371"/>
      <c r="K62" s="371"/>
      <c r="L62" s="371"/>
      <c r="M62" s="371"/>
      <c r="N62" s="371"/>
      <c r="O62" s="371"/>
      <c r="P62" s="371"/>
      <c r="Q62" s="371"/>
      <c r="R62" s="371"/>
      <c r="S62" s="371"/>
      <c r="T62" s="371"/>
    </row>
    <row r="63" spans="2:20" x14ac:dyDescent="0.15">
      <c r="B63" s="371"/>
      <c r="C63" s="67" t="s">
        <v>260</v>
      </c>
      <c r="D63" s="70"/>
      <c r="E63" s="79" t="e">
        <f>E60-E62</f>
        <v>#VALUE!</v>
      </c>
      <c r="F63" s="80" t="e">
        <f>F60-F62</f>
        <v>#VALUE!</v>
      </c>
      <c r="G63" s="371"/>
      <c r="H63" s="371"/>
      <c r="I63" s="371"/>
      <c r="J63" s="371"/>
      <c r="K63" s="371"/>
      <c r="L63" s="371"/>
      <c r="M63" s="371"/>
      <c r="N63" s="371"/>
      <c r="O63" s="371"/>
      <c r="P63" s="371"/>
      <c r="Q63" s="371"/>
      <c r="R63" s="371"/>
      <c r="S63" s="371"/>
      <c r="T63" s="371"/>
    </row>
    <row r="64" spans="2:20" x14ac:dyDescent="0.15">
      <c r="B64" s="371"/>
      <c r="C64" s="65"/>
      <c r="D64" s="65"/>
      <c r="E64" s="65"/>
      <c r="F64" s="65"/>
      <c r="G64" s="371"/>
      <c r="H64" s="371"/>
      <c r="I64" s="371"/>
      <c r="J64" s="371"/>
      <c r="K64" s="371"/>
      <c r="L64" s="371"/>
      <c r="M64" s="371"/>
      <c r="N64" s="371"/>
      <c r="O64" s="371"/>
      <c r="P64" s="371"/>
      <c r="Q64" s="371"/>
      <c r="R64" s="371"/>
      <c r="S64" s="371"/>
      <c r="T64" s="371"/>
    </row>
    <row r="70" spans="17:17" ht="15" customHeight="1" x14ac:dyDescent="0.15">
      <c r="Q70" s="371"/>
    </row>
    <row r="80" spans="17:17" x14ac:dyDescent="0.15">
      <c r="Q80" s="100"/>
    </row>
  </sheetData>
  <mergeCells count="8">
    <mergeCell ref="W18:AA18"/>
    <mergeCell ref="U20:U24"/>
    <mergeCell ref="AE18:AI18"/>
    <mergeCell ref="AC20:AC24"/>
    <mergeCell ref="W8:AA8"/>
    <mergeCell ref="U10:U14"/>
    <mergeCell ref="AE8:AI8"/>
    <mergeCell ref="AC10:AC14"/>
  </mergeCells>
  <pageMargins left="0.70866141732283472" right="0.70866141732283472" top="0.74803149606299213" bottom="0.74803149606299213" header="0.31496062992125984" footer="0.31496062992125984"/>
  <pageSetup paperSize="9" scale="93" fitToWidth="0" fitToHeight="0" orientation="landscape" r:id="rId1"/>
  <rowBreaks count="1" manualBreakCount="1">
    <brk id="43" min="1" max="17" man="1"/>
  </rowBreaks>
  <ignoredErrors>
    <ignoredError sqref="Q47:Q48" unlockedFormula="1"/>
    <ignoredError sqref="W20:AA24 W10:AA14 D49 J48:L60 E63:F63 D51:F60 D50 F50 D48 F48 F49" evalErro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  <pageSetUpPr fitToPage="1"/>
  </sheetPr>
  <dimension ref="B1:W48"/>
  <sheetViews>
    <sheetView showGridLines="0" topLeftCell="A4" zoomScale="90" zoomScaleNormal="90" zoomScaleSheetLayoutView="90" zoomScalePageLayoutView="90" workbookViewId="0">
      <selection activeCell="L25" sqref="L25"/>
    </sheetView>
  </sheetViews>
  <sheetFormatPr baseColWidth="10" defaultColWidth="8.83203125" defaultRowHeight="13" x14ac:dyDescent="0.15"/>
  <cols>
    <col min="1" max="1" width="8.83203125" style="7"/>
    <col min="2" max="2" width="2.5" style="7" customWidth="1"/>
    <col min="3" max="3" width="20" style="7" customWidth="1"/>
    <col min="4" max="4" width="8.5" style="7" customWidth="1"/>
    <col min="5" max="5" width="8.83203125" style="7" customWidth="1"/>
    <col min="6" max="7" width="7.83203125" style="7" customWidth="1"/>
    <col min="8" max="8" width="2" style="7" customWidth="1"/>
    <col min="9" max="9" width="20.1640625" style="7" customWidth="1"/>
    <col min="10" max="10" width="7.5" style="7" customWidth="1"/>
    <col min="11" max="11" width="10" style="7" customWidth="1"/>
    <col min="12" max="12" width="9.83203125" style="7" customWidth="1"/>
    <col min="13" max="13" width="9.6640625" style="7" customWidth="1"/>
    <col min="14" max="14" width="9" style="7" customWidth="1"/>
    <col min="15" max="15" width="2.5" style="7" customWidth="1"/>
    <col min="16" max="16384" width="8.83203125" style="7"/>
  </cols>
  <sheetData>
    <row r="1" spans="2:23" customFormat="1" ht="6" customHeight="1" x14ac:dyDescent="0.2"/>
    <row r="2" spans="2:23" customFormat="1" ht="40.5" customHeight="1" x14ac:dyDescent="0.2">
      <c r="C2" s="331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3"/>
    </row>
    <row r="3" spans="2:23" ht="6" customHeight="1" x14ac:dyDescent="0.15"/>
    <row r="4" spans="2:23" ht="16" x14ac:dyDescent="0.2">
      <c r="C4" s="12"/>
      <c r="D4" s="13"/>
      <c r="E4" s="13"/>
      <c r="F4" s="13"/>
      <c r="G4" s="13"/>
      <c r="H4" s="13"/>
      <c r="I4" s="13"/>
      <c r="J4" s="13"/>
      <c r="K4" s="12"/>
      <c r="L4" s="12"/>
      <c r="M4" s="12"/>
      <c r="N4" s="12"/>
    </row>
    <row r="5" spans="2:23" ht="4.5" customHeight="1" x14ac:dyDescent="0.15">
      <c r="C5" s="14"/>
      <c r="D5" s="14"/>
      <c r="E5" s="14"/>
      <c r="F5" s="14"/>
      <c r="G5" s="14"/>
      <c r="H5" s="14"/>
      <c r="I5" s="14"/>
      <c r="J5" s="14"/>
    </row>
    <row r="6" spans="2:23" x14ac:dyDescent="0.15">
      <c r="C6" s="15" t="str">
        <f>+Input!D11</f>
        <v>tEUR</v>
      </c>
      <c r="D6" s="14"/>
      <c r="E6" s="14"/>
      <c r="F6" s="14"/>
      <c r="G6" s="14"/>
      <c r="H6" s="14"/>
      <c r="I6" s="14"/>
      <c r="J6" s="14"/>
    </row>
    <row r="7" spans="2:23" ht="4.5" customHeight="1" x14ac:dyDescent="0.15">
      <c r="C7" s="15"/>
      <c r="D7" s="16"/>
      <c r="E7" s="16"/>
      <c r="F7" s="16"/>
      <c r="G7" s="16"/>
      <c r="H7" s="16"/>
      <c r="I7" s="16"/>
      <c r="J7" s="16"/>
    </row>
    <row r="8" spans="2:23" ht="19.5" customHeight="1" x14ac:dyDescent="0.15">
      <c r="C8" s="588" t="s">
        <v>261</v>
      </c>
      <c r="D8" s="588"/>
      <c r="E8" s="588"/>
      <c r="F8" s="588"/>
      <c r="G8" s="588"/>
      <c r="H8" s="19"/>
      <c r="I8" s="588" t="s">
        <v>262</v>
      </c>
      <c r="J8" s="588"/>
      <c r="K8" s="588"/>
      <c r="L8" s="588"/>
      <c r="M8" s="588"/>
      <c r="N8" s="588"/>
    </row>
    <row r="9" spans="2:23" s="145" customFormat="1" x14ac:dyDescent="0.15">
      <c r="C9" s="146"/>
      <c r="D9" s="146"/>
      <c r="E9" s="146"/>
      <c r="F9" s="146"/>
      <c r="G9" s="146"/>
      <c r="H9" s="146"/>
      <c r="I9" s="146"/>
      <c r="J9" s="147"/>
      <c r="K9" s="146"/>
      <c r="L9" s="146"/>
      <c r="M9" s="146"/>
      <c r="N9" s="146"/>
      <c r="O9" s="146"/>
      <c r="P9" s="148"/>
      <c r="Q9" s="148"/>
    </row>
    <row r="10" spans="2:23" ht="14" thickBot="1" x14ac:dyDescent="0.2">
      <c r="C10" s="227" t="str">
        <f>+C6</f>
        <v>tEUR</v>
      </c>
      <c r="D10" s="228">
        <f>+Input!G21</f>
        <v>2016</v>
      </c>
      <c r="E10" s="229">
        <f>+Input!H21</f>
        <v>2017</v>
      </c>
      <c r="F10" s="229">
        <f>+Input!I21</f>
        <v>2018</v>
      </c>
      <c r="G10" s="229">
        <f>+Input!J21</f>
        <v>2019</v>
      </c>
      <c r="H10" s="9"/>
      <c r="I10" s="227" t="str">
        <f>+C6</f>
        <v>tEUR</v>
      </c>
      <c r="J10" s="228"/>
      <c r="K10" s="228">
        <f>+D10</f>
        <v>2016</v>
      </c>
      <c r="L10" s="229">
        <f>+E10</f>
        <v>2017</v>
      </c>
      <c r="M10" s="229">
        <f>+F10</f>
        <v>2018</v>
      </c>
      <c r="N10" s="229">
        <f>+G10</f>
        <v>2019</v>
      </c>
      <c r="R10" s="17"/>
      <c r="S10" s="17"/>
      <c r="T10" s="17"/>
      <c r="U10" s="17"/>
      <c r="V10" s="17"/>
      <c r="W10" s="17"/>
    </row>
    <row r="11" spans="2:23" ht="12.75" customHeight="1" x14ac:dyDescent="0.15">
      <c r="B11" s="7" t="s">
        <v>263</v>
      </c>
      <c r="C11" s="37" t="s">
        <v>59</v>
      </c>
      <c r="D11" s="38">
        <f>+Input!G28+D13</f>
        <v>1</v>
      </c>
      <c r="E11" s="38">
        <f>+Input!H28+E13</f>
        <v>1</v>
      </c>
      <c r="F11" s="38">
        <f>+Input!I28+F13</f>
        <v>241.9</v>
      </c>
      <c r="G11" s="38">
        <f>+Input!J28+G13</f>
        <v>1790.0600000000002</v>
      </c>
      <c r="H11" s="9"/>
      <c r="I11" s="25" t="s">
        <v>264</v>
      </c>
      <c r="J11" s="22"/>
      <c r="K11" s="22">
        <f>+Input!G101+Input!G104</f>
        <v>0</v>
      </c>
      <c r="L11" s="22">
        <f>+Input!H101+Input!H104</f>
        <v>0</v>
      </c>
      <c r="M11" s="22">
        <f>+Input!I101+Input!I104</f>
        <v>0</v>
      </c>
      <c r="N11" s="22">
        <f>+Input!J101+Input!J104</f>
        <v>0</v>
      </c>
      <c r="R11" s="17"/>
      <c r="S11" s="17"/>
      <c r="T11" s="17"/>
      <c r="U11" s="17"/>
      <c r="V11" s="17"/>
      <c r="W11" s="17"/>
    </row>
    <row r="12" spans="2:23" ht="12.75" customHeight="1" x14ac:dyDescent="0.15">
      <c r="C12" s="39" t="s">
        <v>265</v>
      </c>
      <c r="D12" s="144" t="str">
        <f>+Input!G29</f>
        <v>n/a</v>
      </c>
      <c r="E12" s="144">
        <f>+Input!H29</f>
        <v>0</v>
      </c>
      <c r="F12" s="144">
        <f>+Input!I29</f>
        <v>240.9</v>
      </c>
      <c r="G12" s="144">
        <f>+Input!J29</f>
        <v>6.4</v>
      </c>
      <c r="H12" s="9"/>
      <c r="I12" s="21" t="s">
        <v>134</v>
      </c>
      <c r="J12" s="22"/>
      <c r="K12" s="22">
        <f>+Input!G166</f>
        <v>0</v>
      </c>
      <c r="L12" s="22">
        <f>+Input!H166</f>
        <v>0</v>
      </c>
      <c r="M12" s="22">
        <f>+Input!I166</f>
        <v>0</v>
      </c>
      <c r="N12" s="22">
        <f>+Input!J166</f>
        <v>0</v>
      </c>
      <c r="R12" s="17"/>
      <c r="S12" s="17"/>
      <c r="T12" s="17"/>
      <c r="U12" s="17"/>
      <c r="V12" s="17"/>
      <c r="W12" s="17"/>
    </row>
    <row r="13" spans="2:23" ht="12.75" customHeight="1" x14ac:dyDescent="0.15">
      <c r="C13" s="226" t="s">
        <v>266</v>
      </c>
      <c r="D13" s="179">
        <f>+Input!G63+Input!G70</f>
        <v>0</v>
      </c>
      <c r="E13" s="179">
        <f>+Input!H63+Input!H70</f>
        <v>0</v>
      </c>
      <c r="F13" s="179">
        <f>+Input!I63+Input!I70</f>
        <v>0</v>
      </c>
      <c r="G13" s="179">
        <f>+Input!J63+Input!J70</f>
        <v>0</v>
      </c>
      <c r="H13" s="9"/>
      <c r="I13" s="21" t="s">
        <v>267</v>
      </c>
      <c r="J13" s="22"/>
      <c r="K13" s="22">
        <f>+Input!G108+Input!G110+Input!G112</f>
        <v>0</v>
      </c>
      <c r="L13" s="22">
        <f>+Input!H108+Input!H110+Input!H112</f>
        <v>0</v>
      </c>
      <c r="M13" s="22">
        <f>+Input!I108+Input!I110+Input!I112</f>
        <v>0</v>
      </c>
      <c r="N13" s="22">
        <f>+Input!J108+Input!J110+Input!J112</f>
        <v>0</v>
      </c>
      <c r="R13" s="17"/>
      <c r="S13" s="17"/>
      <c r="T13" s="17"/>
      <c r="U13" s="17"/>
      <c r="V13" s="17"/>
      <c r="W13" s="17"/>
    </row>
    <row r="14" spans="2:23" ht="12.75" customHeight="1" x14ac:dyDescent="0.15">
      <c r="C14" s="37" t="s">
        <v>268</v>
      </c>
      <c r="D14" s="38">
        <f>+Input!G40+D16</f>
        <v>-1999</v>
      </c>
      <c r="E14" s="38">
        <f>+Input!H40+E16</f>
        <v>0</v>
      </c>
      <c r="F14" s="38">
        <f>+Input!I40+F16</f>
        <v>-58.099999999999994</v>
      </c>
      <c r="G14" s="38">
        <f>+Input!J40+G16</f>
        <v>700.06000000000017</v>
      </c>
      <c r="H14" s="9"/>
      <c r="I14" s="40" t="s">
        <v>269</v>
      </c>
      <c r="J14" s="41"/>
      <c r="K14" s="41">
        <f t="shared" ref="K14:N14" si="0">+SUM(K11:K13)</f>
        <v>0</v>
      </c>
      <c r="L14" s="41">
        <f t="shared" si="0"/>
        <v>0</v>
      </c>
      <c r="M14" s="41">
        <f t="shared" si="0"/>
        <v>0</v>
      </c>
      <c r="N14" s="41">
        <f t="shared" si="0"/>
        <v>0</v>
      </c>
      <c r="R14" s="17"/>
      <c r="S14" s="17"/>
      <c r="T14" s="17"/>
      <c r="U14" s="17"/>
      <c r="V14" s="17"/>
      <c r="W14" s="17"/>
    </row>
    <row r="15" spans="2:23" ht="12.75" customHeight="1" x14ac:dyDescent="0.15">
      <c r="C15" s="39" t="s">
        <v>270</v>
      </c>
      <c r="D15" s="49">
        <f t="shared" ref="D15:G15" si="1">D14/D11</f>
        <v>-1999</v>
      </c>
      <c r="E15" s="49">
        <f t="shared" si="1"/>
        <v>0</v>
      </c>
      <c r="F15" s="49">
        <f t="shared" si="1"/>
        <v>-0.24018189334435713</v>
      </c>
      <c r="G15" s="49">
        <f t="shared" si="1"/>
        <v>0.39108186317777066</v>
      </c>
      <c r="H15" s="9"/>
      <c r="I15" s="25" t="s">
        <v>271</v>
      </c>
      <c r="J15" s="22"/>
      <c r="K15" s="22">
        <f>+Input!G151</f>
        <v>-5000</v>
      </c>
      <c r="L15" s="22">
        <f>+Input!H151</f>
        <v>-5000</v>
      </c>
      <c r="M15" s="22">
        <f ca="1">+Input!I151</f>
        <v>3035.3710110850534</v>
      </c>
      <c r="N15" s="22">
        <f ca="1">+Input!J151</f>
        <v>-6071.8111897837553</v>
      </c>
      <c r="R15" s="29"/>
      <c r="S15" s="29"/>
      <c r="T15" s="29"/>
      <c r="U15" s="29"/>
      <c r="V15" s="29"/>
      <c r="W15" s="29"/>
    </row>
    <row r="16" spans="2:23" ht="12.75" customHeight="1" x14ac:dyDescent="0.15">
      <c r="C16" s="43" t="s">
        <v>211</v>
      </c>
      <c r="D16" s="31">
        <f>+Input!G65+Input!G66+Input!G72+Input!G73</f>
        <v>0</v>
      </c>
      <c r="E16" s="31">
        <f>+Input!H65+Input!H66+Input!H72+Input!H73</f>
        <v>0</v>
      </c>
      <c r="F16" s="31">
        <f>+Input!I65+Input!I66+Input!I72+Input!I73</f>
        <v>0</v>
      </c>
      <c r="G16" s="31">
        <f>+Input!J65+Input!J66+Input!J72+Input!J73</f>
        <v>0</v>
      </c>
      <c r="H16" s="9"/>
      <c r="I16" s="25" t="s">
        <v>272</v>
      </c>
      <c r="J16" s="22"/>
      <c r="K16" s="22">
        <f>-Input!G109+Input!G131+Input!G132</f>
        <v>0</v>
      </c>
      <c r="L16" s="22">
        <f>-Input!H109+Input!H131+Input!H132</f>
        <v>0</v>
      </c>
      <c r="M16" s="22">
        <f>-Input!I109+Input!I131+Input!I132</f>
        <v>0</v>
      </c>
      <c r="N16" s="22">
        <f>-Input!J109+Input!J131+Input!J132</f>
        <v>0</v>
      </c>
    </row>
    <row r="17" spans="3:14" x14ac:dyDescent="0.15">
      <c r="C17" s="108" t="s">
        <v>71</v>
      </c>
      <c r="D17" s="109">
        <f>+Input!G42</f>
        <v>0</v>
      </c>
      <c r="E17" s="109">
        <f>+Input!H42</f>
        <v>0</v>
      </c>
      <c r="F17" s="109">
        <f>+Input!I42</f>
        <v>0</v>
      </c>
      <c r="G17" s="109">
        <f>+Input!J42</f>
        <v>0</v>
      </c>
      <c r="H17" s="9"/>
      <c r="I17" s="25" t="s">
        <v>273</v>
      </c>
      <c r="J17" s="22"/>
      <c r="K17" s="22">
        <f>+Input!G127</f>
        <v>5000</v>
      </c>
      <c r="L17" s="22">
        <f>+Input!H127</f>
        <v>5000</v>
      </c>
      <c r="M17" s="22">
        <f ca="1">+Input!I127</f>
        <v>-3035.3710110850534</v>
      </c>
      <c r="N17" s="22">
        <f ca="1">+Input!J127</f>
        <v>6071.8111897837553</v>
      </c>
    </row>
    <row r="18" spans="3:14" ht="12.75" customHeight="1" x14ac:dyDescent="0.15">
      <c r="C18" s="37" t="s">
        <v>73</v>
      </c>
      <c r="D18" s="38">
        <f t="shared" ref="D18:G18" si="2">+D14+D17</f>
        <v>-1999</v>
      </c>
      <c r="E18" s="38">
        <f t="shared" si="2"/>
        <v>0</v>
      </c>
      <c r="F18" s="38">
        <f t="shared" si="2"/>
        <v>-58.099999999999994</v>
      </c>
      <c r="G18" s="38">
        <f t="shared" si="2"/>
        <v>700.06000000000017</v>
      </c>
      <c r="H18" s="9"/>
      <c r="I18" s="40" t="s">
        <v>274</v>
      </c>
      <c r="J18" s="41"/>
      <c r="K18" s="41">
        <f t="shared" ref="K18:N18" si="3">+SUM(K15:K17)</f>
        <v>0</v>
      </c>
      <c r="L18" s="41">
        <f t="shared" si="3"/>
        <v>0</v>
      </c>
      <c r="M18" s="41">
        <f t="shared" ca="1" si="3"/>
        <v>0</v>
      </c>
      <c r="N18" s="41">
        <f t="shared" ca="1" si="3"/>
        <v>0</v>
      </c>
    </row>
    <row r="19" spans="3:14" x14ac:dyDescent="0.15">
      <c r="C19" s="39" t="s">
        <v>270</v>
      </c>
      <c r="D19" s="49">
        <f t="shared" ref="D19:G19" si="4">D18/D11</f>
        <v>-1999</v>
      </c>
      <c r="E19" s="49">
        <f t="shared" si="4"/>
        <v>0</v>
      </c>
      <c r="F19" s="49">
        <f t="shared" si="4"/>
        <v>-0.24018189334435713</v>
      </c>
      <c r="G19" s="49">
        <f t="shared" si="4"/>
        <v>0.39108186317777066</v>
      </c>
      <c r="H19" s="9"/>
    </row>
    <row r="20" spans="3:14" x14ac:dyDescent="0.15">
      <c r="C20" s="108" t="s">
        <v>275</v>
      </c>
      <c r="D20" s="108">
        <f>+Input!G46</f>
        <v>0</v>
      </c>
      <c r="E20" s="108">
        <f>+Input!H46</f>
        <v>0</v>
      </c>
      <c r="F20" s="108">
        <f>+Input!I46</f>
        <v>0</v>
      </c>
      <c r="G20" s="108">
        <f>+Input!J46</f>
        <v>0</v>
      </c>
      <c r="H20" s="9"/>
    </row>
    <row r="21" spans="3:14" ht="19.5" customHeight="1" x14ac:dyDescent="0.15">
      <c r="C21" s="37" t="s">
        <v>75</v>
      </c>
      <c r="D21" s="38">
        <f t="shared" ref="D21:G21" si="5">+D18+D20</f>
        <v>-1999</v>
      </c>
      <c r="E21" s="38">
        <f t="shared" si="5"/>
        <v>0</v>
      </c>
      <c r="F21" s="38">
        <f t="shared" si="5"/>
        <v>-58.099999999999994</v>
      </c>
      <c r="G21" s="38">
        <f t="shared" si="5"/>
        <v>700.06000000000017</v>
      </c>
      <c r="H21" s="9"/>
      <c r="I21" s="589" t="s">
        <v>276</v>
      </c>
      <c r="J21" s="588"/>
      <c r="K21" s="588"/>
      <c r="L21" s="588"/>
      <c r="M21" s="588"/>
      <c r="N21" s="588"/>
    </row>
    <row r="22" spans="3:14" ht="12.75" customHeight="1" x14ac:dyDescent="0.15">
      <c r="C22" s="25" t="s">
        <v>76</v>
      </c>
      <c r="D22" s="31">
        <f>+Input!G49</f>
        <v>0</v>
      </c>
      <c r="E22" s="31">
        <f>+Input!H49</f>
        <v>0</v>
      </c>
      <c r="F22" s="31">
        <f ca="1">+Input!I49</f>
        <v>62.668204598710773</v>
      </c>
      <c r="G22" s="31">
        <f ca="1">+Input!J49</f>
        <v>15.182200868802363</v>
      </c>
      <c r="H22" s="9"/>
    </row>
    <row r="23" spans="3:14" ht="14" thickBot="1" x14ac:dyDescent="0.2">
      <c r="C23" s="108" t="s">
        <v>77</v>
      </c>
      <c r="D23" s="108">
        <f>+Input!G50</f>
        <v>0</v>
      </c>
      <c r="E23" s="108">
        <f>+Input!H50</f>
        <v>0</v>
      </c>
      <c r="F23" s="108">
        <f>+Input!I50</f>
        <v>0</v>
      </c>
      <c r="G23" s="108">
        <f>+Input!J50</f>
        <v>0</v>
      </c>
      <c r="H23" s="9"/>
      <c r="I23" s="227" t="str">
        <f>+I10</f>
        <v>tEUR</v>
      </c>
      <c r="J23" s="228"/>
      <c r="K23" s="228">
        <f>+K10</f>
        <v>2016</v>
      </c>
      <c r="L23" s="229">
        <f>+L10</f>
        <v>2017</v>
      </c>
      <c r="M23" s="229">
        <f>+M10</f>
        <v>2018</v>
      </c>
      <c r="N23" s="229">
        <f>+N10</f>
        <v>2019</v>
      </c>
    </row>
    <row r="24" spans="3:14" x14ac:dyDescent="0.15">
      <c r="C24" s="37" t="s">
        <v>78</v>
      </c>
      <c r="D24" s="38">
        <f t="shared" ref="D24:G24" si="6">+D21+D22+D23</f>
        <v>-1999</v>
      </c>
      <c r="E24" s="38">
        <f t="shared" si="6"/>
        <v>0</v>
      </c>
      <c r="F24" s="38">
        <f t="shared" ca="1" si="6"/>
        <v>-2937.3317954012891</v>
      </c>
      <c r="G24" s="38">
        <f t="shared" ca="1" si="6"/>
        <v>9415.1822008688105</v>
      </c>
      <c r="H24" s="9"/>
      <c r="I24" s="37" t="s">
        <v>70</v>
      </c>
      <c r="J24" s="44"/>
      <c r="K24" s="50">
        <f>+D14</f>
        <v>-1999</v>
      </c>
      <c r="L24" s="50">
        <f>+E14</f>
        <v>0</v>
      </c>
      <c r="M24" s="50">
        <f>+F14</f>
        <v>-58.099999999999994</v>
      </c>
      <c r="N24" s="50">
        <f>+G14</f>
        <v>700.06000000000017</v>
      </c>
    </row>
    <row r="25" spans="3:14" x14ac:dyDescent="0.15">
      <c r="C25" s="25" t="s">
        <v>79</v>
      </c>
      <c r="D25" s="38">
        <f>+Input!G52</f>
        <v>0</v>
      </c>
      <c r="E25" s="38">
        <f>+Input!H52</f>
        <v>0</v>
      </c>
      <c r="F25" s="38">
        <f>+Input!I52</f>
        <v>0</v>
      </c>
      <c r="G25" s="38" t="e">
        <f>+Input!J52</f>
        <v>#VALUE!</v>
      </c>
      <c r="H25" s="9"/>
      <c r="I25" s="25" t="s">
        <v>277</v>
      </c>
      <c r="J25" s="31"/>
      <c r="K25" s="47" t="e">
        <f>-D18*Input!G53</f>
        <v>#VALUE!</v>
      </c>
      <c r="L25" s="47" t="e">
        <f>-E18*Input!H53</f>
        <v>#VALUE!</v>
      </c>
      <c r="M25" s="47" t="e">
        <f>-F18*Input!I53</f>
        <v>#VALUE!</v>
      </c>
      <c r="N25" s="47" t="e">
        <f>-G18*Input!J53</f>
        <v>#VALUE!</v>
      </c>
    </row>
    <row r="26" spans="3:14" x14ac:dyDescent="0.15">
      <c r="C26" s="110" t="s">
        <v>278</v>
      </c>
      <c r="D26" s="111">
        <f t="shared" ref="D26:G26" si="7">-D25/D24</f>
        <v>0</v>
      </c>
      <c r="E26" s="111" t="e">
        <f t="shared" si="7"/>
        <v>#DIV/0!</v>
      </c>
      <c r="F26" s="111">
        <f t="shared" ca="1" si="7"/>
        <v>0</v>
      </c>
      <c r="G26" s="111">
        <f t="shared" ca="1" si="7"/>
        <v>3.2713121576296245E-2</v>
      </c>
      <c r="H26" s="9"/>
      <c r="I26" s="39" t="s">
        <v>31</v>
      </c>
      <c r="J26" s="42"/>
      <c r="K26" s="49" t="e">
        <f>-K25/D18</f>
        <v>#VALUE!</v>
      </c>
      <c r="L26" s="49" t="e">
        <f>-L25/E18</f>
        <v>#VALUE!</v>
      </c>
      <c r="M26" s="49" t="e">
        <f>-M25/F18</f>
        <v>#VALUE!</v>
      </c>
      <c r="N26" s="49" t="e">
        <f>-N25/G18</f>
        <v>#VALUE!</v>
      </c>
    </row>
    <row r="27" spans="3:14" x14ac:dyDescent="0.15">
      <c r="C27" s="37" t="s">
        <v>82</v>
      </c>
      <c r="D27" s="44">
        <f t="shared" ref="D27:G27" si="8">+D24+D25</f>
        <v>-1999</v>
      </c>
      <c r="E27" s="44">
        <f t="shared" si="8"/>
        <v>0</v>
      </c>
      <c r="F27" s="44">
        <f t="shared" ca="1" si="8"/>
        <v>-2937.3317954012891</v>
      </c>
      <c r="G27" s="44">
        <f t="shared" ca="1" si="8"/>
        <v>9107.1822008688086</v>
      </c>
      <c r="H27" s="9"/>
      <c r="I27" s="37" t="s">
        <v>107</v>
      </c>
      <c r="J27" s="44"/>
      <c r="K27" s="44">
        <f>+Input!G89</f>
        <v>0</v>
      </c>
      <c r="L27" s="44">
        <f>+Input!H89</f>
        <v>0</v>
      </c>
      <c r="M27" s="44">
        <f>+Input!I89</f>
        <v>0</v>
      </c>
      <c r="N27" s="44">
        <f>+Input!J89</f>
        <v>0</v>
      </c>
    </row>
    <row r="28" spans="3:14" x14ac:dyDescent="0.15">
      <c r="H28" s="9"/>
      <c r="I28" s="39" t="s">
        <v>237</v>
      </c>
      <c r="J28" s="45"/>
      <c r="K28" s="51"/>
      <c r="L28" s="51" t="e">
        <f>+L27/(E11-D11)</f>
        <v>#DIV/0!</v>
      </c>
      <c r="M28" s="51">
        <f>+M27/(F11-E11)</f>
        <v>0</v>
      </c>
      <c r="N28" s="51">
        <f>+N27/(G11-F11)</f>
        <v>0</v>
      </c>
    </row>
    <row r="29" spans="3:14" x14ac:dyDescent="0.15">
      <c r="H29" s="11"/>
      <c r="I29" s="37" t="s">
        <v>108</v>
      </c>
      <c r="J29" s="44"/>
      <c r="K29" s="44">
        <f>+Input!G90+Input!G67+Input!G74</f>
        <v>0</v>
      </c>
      <c r="L29" s="44">
        <f>+Input!H90+Input!H67+Input!H74</f>
        <v>0</v>
      </c>
      <c r="M29" s="44">
        <f>+Input!I90+Input!I67+Input!I74</f>
        <v>0</v>
      </c>
      <c r="N29" s="44">
        <f>+Input!J90+Input!J67+Input!J74</f>
        <v>0</v>
      </c>
    </row>
    <row r="30" spans="3:14" x14ac:dyDescent="0.15">
      <c r="H30" s="11"/>
      <c r="I30" s="39" t="s">
        <v>72</v>
      </c>
      <c r="J30" s="42"/>
      <c r="K30" s="49" t="e">
        <f>D17/K29</f>
        <v>#DIV/0!</v>
      </c>
      <c r="L30" s="49" t="e">
        <f>E17/L29</f>
        <v>#DIV/0!</v>
      </c>
      <c r="M30" s="49" t="e">
        <f>F17/M29</f>
        <v>#DIV/0!</v>
      </c>
      <c r="N30" s="49" t="e">
        <f>G17/N29</f>
        <v>#DIV/0!</v>
      </c>
    </row>
    <row r="31" spans="3:14" x14ac:dyDescent="0.15">
      <c r="H31" s="9"/>
      <c r="I31" s="40" t="s">
        <v>279</v>
      </c>
      <c r="J31" s="41"/>
      <c r="K31" s="41" t="e">
        <f>+K24+K25+K27+K29</f>
        <v>#VALUE!</v>
      </c>
      <c r="L31" s="41" t="e">
        <f t="shared" ref="L31:N31" si="9">+L24+L25+L27+L29</f>
        <v>#VALUE!</v>
      </c>
      <c r="M31" s="41" t="e">
        <f t="shared" si="9"/>
        <v>#VALUE!</v>
      </c>
      <c r="N31" s="41" t="e">
        <f t="shared" si="9"/>
        <v>#VALUE!</v>
      </c>
    </row>
    <row r="32" spans="3:14" x14ac:dyDescent="0.15">
      <c r="C32" s="25"/>
      <c r="D32" s="31"/>
      <c r="E32" s="31"/>
      <c r="F32" s="31"/>
      <c r="G32" s="31"/>
      <c r="H32" s="9"/>
      <c r="I32" s="39" t="s">
        <v>280</v>
      </c>
      <c r="J32" s="42"/>
      <c r="K32" s="42" t="e">
        <f>+K31/K24</f>
        <v>#VALUE!</v>
      </c>
      <c r="L32" s="42" t="e">
        <f t="shared" ref="L32:N32" si="10">+L31/L24</f>
        <v>#VALUE!</v>
      </c>
      <c r="M32" s="42" t="e">
        <f t="shared" si="10"/>
        <v>#VALUE!</v>
      </c>
      <c r="N32" s="42" t="e">
        <f t="shared" si="10"/>
        <v>#VALUE!</v>
      </c>
    </row>
    <row r="33" spans="3:17" s="145" customFormat="1" ht="13.5" customHeight="1" x14ac:dyDescent="0.15"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</row>
    <row r="34" spans="3:17" s="145" customFormat="1" ht="13.5" customHeight="1" x14ac:dyDescent="0.15"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</row>
    <row r="35" spans="3:17" s="145" customFormat="1" ht="13.5" customHeight="1" x14ac:dyDescent="0.15"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</row>
    <row r="36" spans="3:17" s="145" customFormat="1" ht="13.5" customHeight="1" x14ac:dyDescent="0.15"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</row>
    <row r="37" spans="3:17" s="145" customFormat="1" ht="13.5" customHeight="1" x14ac:dyDescent="0.15"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</row>
    <row r="38" spans="3:17" s="145" customFormat="1" ht="13.5" customHeight="1" x14ac:dyDescent="0.15"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</row>
    <row r="39" spans="3:17" s="145" customFormat="1" ht="13.5" customHeight="1" x14ac:dyDescent="0.15"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</row>
    <row r="40" spans="3:17" s="145" customFormat="1" ht="13.5" customHeight="1" x14ac:dyDescent="0.15"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</row>
    <row r="41" spans="3:17" s="145" customFormat="1" ht="13.5" customHeight="1" x14ac:dyDescent="0.15"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</row>
    <row r="42" spans="3:17" s="145" customFormat="1" ht="13.5" customHeight="1" x14ac:dyDescent="0.15"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</row>
    <row r="43" spans="3:17" s="145" customFormat="1" ht="13.5" customHeight="1" x14ac:dyDescent="0.15"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</row>
    <row r="44" spans="3:17" s="145" customFormat="1" ht="13.5" customHeight="1" x14ac:dyDescent="0.15"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</row>
    <row r="45" spans="3:17" s="145" customFormat="1" ht="13.5" customHeight="1" x14ac:dyDescent="0.15"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</row>
    <row r="46" spans="3:17" s="145" customFormat="1" ht="13.5" customHeight="1" x14ac:dyDescent="0.15"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</row>
    <row r="47" spans="3:17" s="145" customFormat="1" ht="13.5" customHeight="1" x14ac:dyDescent="0.15"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</row>
    <row r="48" spans="3:17" s="145" customFormat="1" ht="13.5" customHeight="1" x14ac:dyDescent="0.15"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</row>
  </sheetData>
  <mergeCells count="3">
    <mergeCell ref="C8:G8"/>
    <mergeCell ref="I8:N8"/>
    <mergeCell ref="I21:N21"/>
  </mergeCells>
  <pageMargins left="0.7" right="0.7" top="0.75" bottom="0.75" header="0.3" footer="0.3"/>
  <pageSetup paperSize="9" orientation="landscape" r:id="rId1"/>
  <colBreaks count="1" manualBreakCount="1">
    <brk id="15" max="54" man="1"/>
  </colBreaks>
  <ignoredErrors>
    <ignoredError sqref="K26:N27 D15:G26 K29:N32 L28:N28 L25:N25" evalError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1:V52"/>
  <sheetViews>
    <sheetView showGridLines="0" workbookViewId="0">
      <selection activeCell="D15" sqref="D15"/>
    </sheetView>
  </sheetViews>
  <sheetFormatPr baseColWidth="10" defaultColWidth="10.83203125" defaultRowHeight="14" customHeight="1" x14ac:dyDescent="0.15"/>
  <cols>
    <col min="1" max="1" width="5.5" style="53" customWidth="1"/>
    <col min="2" max="16384" width="10.83203125" style="53"/>
  </cols>
  <sheetData>
    <row r="1" spans="2:22" s="231" customFormat="1" ht="6" customHeight="1" x14ac:dyDescent="0.15">
      <c r="R1" s="232"/>
      <c r="S1" s="232"/>
      <c r="T1" s="232"/>
      <c r="U1" s="232"/>
      <c r="V1" s="232"/>
    </row>
    <row r="2" spans="2:22" s="231" customFormat="1" ht="40.5" customHeight="1" x14ac:dyDescent="0.15">
      <c r="B2" s="331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3"/>
    </row>
    <row r="4" spans="2:22" ht="14" customHeight="1" x14ac:dyDescent="0.15">
      <c r="B4" s="234"/>
      <c r="C4" s="234"/>
      <c r="D4" s="48"/>
      <c r="E4" s="599" t="s">
        <v>48</v>
      </c>
      <c r="F4" s="600"/>
      <c r="G4" s="601"/>
      <c r="H4" s="592" t="s">
        <v>49</v>
      </c>
      <c r="I4" s="593"/>
      <c r="J4" s="602"/>
      <c r="K4" s="592" t="s">
        <v>50</v>
      </c>
      <c r="L4" s="593"/>
      <c r="M4" s="593"/>
      <c r="N4" s="593"/>
      <c r="O4" s="593"/>
      <c r="P4" s="593"/>
      <c r="Q4" s="594"/>
      <c r="R4" s="371"/>
      <c r="S4" s="371"/>
      <c r="T4" s="371"/>
      <c r="U4" s="371"/>
      <c r="V4" s="371"/>
    </row>
    <row r="5" spans="2:22" ht="14" customHeight="1" thickBot="1" x14ac:dyDescent="0.2">
      <c r="B5" s="2" t="str">
        <f>Input!D11</f>
        <v>tEUR</v>
      </c>
      <c r="C5" s="233"/>
      <c r="D5" s="235"/>
      <c r="E5" s="237">
        <f>+F5-1</f>
        <v>2014</v>
      </c>
      <c r="F5" s="237">
        <f>+G5-1</f>
        <v>2015</v>
      </c>
      <c r="G5" s="238">
        <f>+H5-1</f>
        <v>2016</v>
      </c>
      <c r="H5" s="55">
        <f>Input!H21</f>
        <v>2017</v>
      </c>
      <c r="I5" s="55">
        <f>+H5+1</f>
        <v>2018</v>
      </c>
      <c r="J5" s="298">
        <f t="shared" ref="J5:Q5" si="0">+I5+1</f>
        <v>2019</v>
      </c>
      <c r="K5" s="219">
        <f t="shared" si="0"/>
        <v>2020</v>
      </c>
      <c r="L5" s="55">
        <f t="shared" si="0"/>
        <v>2021</v>
      </c>
      <c r="M5" s="55">
        <f t="shared" si="0"/>
        <v>2022</v>
      </c>
      <c r="N5" s="219">
        <f t="shared" si="0"/>
        <v>2023</v>
      </c>
      <c r="O5" s="55">
        <f t="shared" si="0"/>
        <v>2024</v>
      </c>
      <c r="P5" s="55">
        <f t="shared" si="0"/>
        <v>2025</v>
      </c>
      <c r="Q5" s="56">
        <f t="shared" si="0"/>
        <v>2026</v>
      </c>
      <c r="R5" s="371"/>
      <c r="S5" s="371"/>
      <c r="T5" s="371"/>
      <c r="U5" s="371"/>
      <c r="V5" s="371"/>
    </row>
    <row r="7" spans="2:22" ht="14" customHeight="1" x14ac:dyDescent="0.15">
      <c r="B7" s="595" t="s">
        <v>59</v>
      </c>
      <c r="C7" s="596"/>
      <c r="D7" s="597"/>
      <c r="E7" s="341">
        <f>Input!E28</f>
        <v>0</v>
      </c>
      <c r="F7" s="342">
        <f>Input!F28</f>
        <v>0</v>
      </c>
      <c r="G7" s="343">
        <f>Input!G28</f>
        <v>1</v>
      </c>
      <c r="H7" s="344">
        <f>Input!H28</f>
        <v>1</v>
      </c>
      <c r="I7" s="344">
        <f>Input!I28</f>
        <v>241.9</v>
      </c>
      <c r="J7" s="345">
        <f>Input!J28</f>
        <v>1790.0600000000002</v>
      </c>
      <c r="K7" s="344">
        <f>Input!K28</f>
        <v>6175.7070000000012</v>
      </c>
      <c r="L7" s="344">
        <f>Input!L28</f>
        <v>18527.121000000003</v>
      </c>
      <c r="M7" s="344">
        <f>Input!M28</f>
        <v>31496.105700000004</v>
      </c>
      <c r="N7" s="344">
        <f>Input!N28</f>
        <v>37795.326840000002</v>
      </c>
      <c r="O7" s="344">
        <f>Input!O28</f>
        <v>38551.233376800003</v>
      </c>
      <c r="P7" s="344">
        <f>Input!P28</f>
        <v>39322.258044336006</v>
      </c>
      <c r="Q7" s="346">
        <f>Input!Q28</f>
        <v>40108.70320522273</v>
      </c>
      <c r="R7" s="371"/>
      <c r="S7" s="371"/>
      <c r="T7" s="371"/>
      <c r="U7" s="371"/>
      <c r="V7" s="371"/>
    </row>
    <row r="9" spans="2:22" ht="14" customHeight="1" x14ac:dyDescent="0.15">
      <c r="B9" s="372" t="s">
        <v>281</v>
      </c>
      <c r="C9" s="99"/>
      <c r="D9" s="99"/>
      <c r="E9" s="371"/>
      <c r="F9" s="371"/>
      <c r="G9" s="371"/>
      <c r="H9" s="598" t="s">
        <v>282</v>
      </c>
      <c r="I9" s="598"/>
      <c r="J9" s="598"/>
      <c r="K9" s="339">
        <f t="shared" ref="K9:Q9" si="1">K5</f>
        <v>2020</v>
      </c>
      <c r="L9" s="339">
        <f t="shared" si="1"/>
        <v>2021</v>
      </c>
      <c r="M9" s="339">
        <f t="shared" si="1"/>
        <v>2022</v>
      </c>
      <c r="N9" s="339">
        <f t="shared" si="1"/>
        <v>2023</v>
      </c>
      <c r="O9" s="339">
        <f t="shared" si="1"/>
        <v>2024</v>
      </c>
      <c r="P9" s="339">
        <f t="shared" si="1"/>
        <v>2025</v>
      </c>
      <c r="Q9" s="339">
        <f t="shared" si="1"/>
        <v>2026</v>
      </c>
      <c r="R9" s="371"/>
      <c r="S9" s="371"/>
      <c r="T9" s="371"/>
      <c r="U9" s="371"/>
      <c r="V9" s="371"/>
    </row>
    <row r="10" spans="2:22" ht="14" customHeight="1" x14ac:dyDescent="0.15">
      <c r="B10" s="3" t="s">
        <v>283</v>
      </c>
      <c r="C10" s="3"/>
      <c r="D10" s="105">
        <f>Input!D9</f>
        <v>150000</v>
      </c>
      <c r="E10" s="5"/>
      <c r="F10" s="5"/>
      <c r="G10" s="5"/>
      <c r="H10" s="371" t="s">
        <v>284</v>
      </c>
      <c r="I10" s="371"/>
      <c r="J10" s="4">
        <v>5.7</v>
      </c>
      <c r="K10" s="338">
        <f t="shared" ref="K10:Q13" si="2">$J10*K$7</f>
        <v>35201.529900000009</v>
      </c>
      <c r="L10" s="338">
        <f t="shared" si="2"/>
        <v>105604.58970000003</v>
      </c>
      <c r="M10" s="338">
        <f t="shared" si="2"/>
        <v>179527.80249000003</v>
      </c>
      <c r="N10" s="338">
        <f t="shared" si="2"/>
        <v>215433.36298800001</v>
      </c>
      <c r="O10" s="338">
        <f t="shared" si="2"/>
        <v>219742.03024776003</v>
      </c>
      <c r="P10" s="338">
        <f t="shared" si="2"/>
        <v>224136.87085271525</v>
      </c>
      <c r="Q10" s="338">
        <f t="shared" si="2"/>
        <v>228619.60826976955</v>
      </c>
      <c r="R10" s="371"/>
      <c r="S10" s="371"/>
      <c r="T10" s="371"/>
      <c r="U10" s="371"/>
      <c r="V10" s="371"/>
    </row>
    <row r="11" spans="2:22" ht="14" customHeight="1" x14ac:dyDescent="0.15">
      <c r="B11" s="371" t="s">
        <v>285</v>
      </c>
      <c r="C11" s="371"/>
      <c r="D11" s="371">
        <f>Input!G127</f>
        <v>5000</v>
      </c>
      <c r="E11" s="371"/>
      <c r="F11" s="371"/>
      <c r="G11" s="371"/>
      <c r="H11" s="371" t="s">
        <v>286</v>
      </c>
      <c r="I11" s="371"/>
      <c r="J11" s="4">
        <v>4.5999999999999996</v>
      </c>
      <c r="K11" s="338">
        <f t="shared" si="2"/>
        <v>28408.252200000003</v>
      </c>
      <c r="L11" s="338">
        <f t="shared" si="2"/>
        <v>85224.756600000008</v>
      </c>
      <c r="M11" s="338">
        <f t="shared" si="2"/>
        <v>144882.08622</v>
      </c>
      <c r="N11" s="338">
        <f t="shared" si="2"/>
        <v>173858.50346399998</v>
      </c>
      <c r="O11" s="338">
        <f t="shared" si="2"/>
        <v>177335.67353328</v>
      </c>
      <c r="P11" s="338">
        <f t="shared" si="2"/>
        <v>180882.38700394562</v>
      </c>
      <c r="Q11" s="338">
        <f t="shared" si="2"/>
        <v>184500.03474402454</v>
      </c>
      <c r="R11" s="371"/>
      <c r="S11" s="371"/>
      <c r="T11" s="371"/>
      <c r="U11" s="371"/>
      <c r="V11" s="371"/>
    </row>
    <row r="12" spans="2:22" ht="14" customHeight="1" x14ac:dyDescent="0.15">
      <c r="B12" s="371" t="s">
        <v>287</v>
      </c>
      <c r="C12" s="371"/>
      <c r="D12" s="354">
        <f>D11/(D10+D11)</f>
        <v>3.2258064516129031E-2</v>
      </c>
      <c r="E12" s="371"/>
      <c r="F12" s="371"/>
      <c r="G12" s="371"/>
      <c r="H12" s="591" t="s">
        <v>288</v>
      </c>
      <c r="I12" s="591"/>
      <c r="J12" s="4">
        <v>2.1</v>
      </c>
      <c r="K12" s="338">
        <f t="shared" si="2"/>
        <v>12968.984700000003</v>
      </c>
      <c r="L12" s="338">
        <f t="shared" si="2"/>
        <v>38906.95410000001</v>
      </c>
      <c r="M12" s="338">
        <f t="shared" si="2"/>
        <v>66141.821970000005</v>
      </c>
      <c r="N12" s="338">
        <f t="shared" si="2"/>
        <v>79370.186364000008</v>
      </c>
      <c r="O12" s="338">
        <f t="shared" si="2"/>
        <v>80957.590091280013</v>
      </c>
      <c r="P12" s="338">
        <f t="shared" si="2"/>
        <v>82576.741893105616</v>
      </c>
      <c r="Q12" s="338">
        <f t="shared" si="2"/>
        <v>84228.276730967729</v>
      </c>
      <c r="R12" s="371"/>
      <c r="S12" s="371"/>
      <c r="T12" s="371"/>
      <c r="U12" s="371"/>
      <c r="V12" s="371"/>
    </row>
    <row r="13" spans="2:22" ht="14" customHeight="1" x14ac:dyDescent="0.15">
      <c r="B13" s="371" t="s">
        <v>289</v>
      </c>
      <c r="C13" s="371"/>
      <c r="D13" s="349">
        <v>0</v>
      </c>
      <c r="E13" s="371"/>
      <c r="F13" s="371"/>
      <c r="G13" s="371"/>
      <c r="H13" s="590" t="s">
        <v>290</v>
      </c>
      <c r="I13" s="590"/>
      <c r="J13" s="4">
        <v>1</v>
      </c>
      <c r="K13" s="338">
        <f t="shared" si="2"/>
        <v>6175.7070000000012</v>
      </c>
      <c r="L13" s="338">
        <f t="shared" si="2"/>
        <v>18527.121000000003</v>
      </c>
      <c r="M13" s="338">
        <f t="shared" si="2"/>
        <v>31496.105700000004</v>
      </c>
      <c r="N13" s="338">
        <f t="shared" si="2"/>
        <v>37795.326840000002</v>
      </c>
      <c r="O13" s="338">
        <f t="shared" si="2"/>
        <v>38551.233376800003</v>
      </c>
      <c r="P13" s="338">
        <f t="shared" si="2"/>
        <v>39322.258044336006</v>
      </c>
      <c r="Q13" s="338">
        <f t="shared" si="2"/>
        <v>40108.70320522273</v>
      </c>
      <c r="R13" s="371"/>
      <c r="S13" s="371"/>
      <c r="T13" s="371"/>
      <c r="U13" s="371"/>
      <c r="V13" s="371"/>
    </row>
    <row r="14" spans="2:22" ht="14" customHeight="1" x14ac:dyDescent="0.15">
      <c r="B14" s="371" t="s">
        <v>44</v>
      </c>
      <c r="C14" s="371"/>
      <c r="D14" s="100">
        <f>Input!K15</f>
        <v>0.25</v>
      </c>
      <c r="E14" s="371"/>
      <c r="F14" s="371"/>
      <c r="G14" s="371"/>
      <c r="H14" s="371"/>
      <c r="I14" s="371"/>
      <c r="J14" s="371"/>
      <c r="K14" s="371"/>
      <c r="L14" s="371"/>
      <c r="M14" s="371"/>
      <c r="N14" s="371"/>
      <c r="O14" s="371"/>
      <c r="P14" s="371"/>
      <c r="Q14" s="371"/>
      <c r="R14" s="371"/>
      <c r="S14" s="371"/>
      <c r="T14" s="371"/>
      <c r="U14" s="371"/>
      <c r="V14" s="371"/>
    </row>
    <row r="17" spans="2:17" ht="14" customHeight="1" x14ac:dyDescent="0.15">
      <c r="B17" s="595" t="str">
        <f>Input!B40</f>
        <v>EBITDA</v>
      </c>
      <c r="C17" s="596"/>
      <c r="D17" s="597"/>
      <c r="E17" s="347">
        <f>Input!E40</f>
        <v>0</v>
      </c>
      <c r="F17" s="344">
        <f>Input!F40</f>
        <v>-200</v>
      </c>
      <c r="G17" s="345">
        <f>Input!G40</f>
        <v>-1999</v>
      </c>
      <c r="H17" s="344">
        <f>Input!H40</f>
        <v>0</v>
      </c>
      <c r="I17" s="344">
        <f>Input!I40</f>
        <v>-58.099999999999994</v>
      </c>
      <c r="J17" s="345">
        <f>Input!J40</f>
        <v>700.06000000000017</v>
      </c>
      <c r="K17" s="344">
        <f>Input!K40</f>
        <v>3175.7070000000012</v>
      </c>
      <c r="L17" s="344">
        <f>Input!L40</f>
        <v>11761.696800000003</v>
      </c>
      <c r="M17" s="344">
        <f>Input!M40</f>
        <v>16341.468705000003</v>
      </c>
      <c r="N17" s="344">
        <f>Input!N40</f>
        <v>20022.862445999999</v>
      </c>
      <c r="O17" s="344">
        <f>Input!O40</f>
        <v>20423.319694920003</v>
      </c>
      <c r="P17" s="344">
        <f>Input!P40</f>
        <v>20831.7860888184</v>
      </c>
      <c r="Q17" s="346">
        <f>Input!Q40</f>
        <v>21248.421810594773</v>
      </c>
    </row>
    <row r="19" spans="2:17" ht="14" customHeight="1" x14ac:dyDescent="0.15">
      <c r="B19" s="372" t="s">
        <v>291</v>
      </c>
      <c r="C19" s="372"/>
      <c r="D19" s="372" t="s">
        <v>292</v>
      </c>
      <c r="E19" s="368" t="str">
        <f>IF(SUM(D20:D23)=1," ","Error: Check Probabilities")</f>
        <v xml:space="preserve"> </v>
      </c>
      <c r="F19" s="371"/>
      <c r="G19" s="371"/>
      <c r="H19" s="598" t="s">
        <v>293</v>
      </c>
      <c r="I19" s="598"/>
      <c r="J19" s="598"/>
      <c r="K19" s="339">
        <f>K5</f>
        <v>2020</v>
      </c>
      <c r="L19" s="339">
        <f t="shared" ref="L19:Q19" si="3">L5</f>
        <v>2021</v>
      </c>
      <c r="M19" s="339">
        <f t="shared" si="3"/>
        <v>2022</v>
      </c>
      <c r="N19" s="339">
        <f t="shared" si="3"/>
        <v>2023</v>
      </c>
      <c r="O19" s="339">
        <f t="shared" si="3"/>
        <v>2024</v>
      </c>
      <c r="P19" s="339">
        <f t="shared" si="3"/>
        <v>2025</v>
      </c>
      <c r="Q19" s="339">
        <f t="shared" si="3"/>
        <v>2026</v>
      </c>
    </row>
    <row r="20" spans="2:17" ht="14" customHeight="1" x14ac:dyDescent="0.15">
      <c r="B20" s="371" t="s">
        <v>294</v>
      </c>
      <c r="C20" s="371"/>
      <c r="D20" s="349">
        <v>0</v>
      </c>
      <c r="E20" s="371"/>
      <c r="F20" s="371"/>
      <c r="G20" s="371"/>
      <c r="H20" s="371" t="s">
        <v>284</v>
      </c>
      <c r="I20" s="371"/>
      <c r="J20" s="4">
        <v>21.7</v>
      </c>
      <c r="K20" s="338">
        <f t="shared" ref="K20:Q23" si="4">$J20*K$17</f>
        <v>68912.841900000029</v>
      </c>
      <c r="L20" s="338">
        <f t="shared" si="4"/>
        <v>255228.82056000005</v>
      </c>
      <c r="M20" s="338">
        <f t="shared" si="4"/>
        <v>354609.87089850003</v>
      </c>
      <c r="N20" s="338">
        <f t="shared" si="4"/>
        <v>434496.11507819995</v>
      </c>
      <c r="O20" s="338">
        <f t="shared" si="4"/>
        <v>443186.03737976402</v>
      </c>
      <c r="P20" s="338">
        <f t="shared" si="4"/>
        <v>452049.75812735927</v>
      </c>
      <c r="Q20" s="338">
        <f t="shared" si="4"/>
        <v>461090.75328990654</v>
      </c>
    </row>
    <row r="21" spans="2:17" ht="14" customHeight="1" x14ac:dyDescent="0.15">
      <c r="B21" s="371" t="s">
        <v>295</v>
      </c>
      <c r="C21" s="371"/>
      <c r="D21" s="349">
        <v>0.3</v>
      </c>
      <c r="E21" s="371"/>
      <c r="F21" s="371"/>
      <c r="G21" s="371"/>
      <c r="H21" s="591" t="s">
        <v>286</v>
      </c>
      <c r="I21" s="591"/>
      <c r="J21" s="4">
        <v>-5</v>
      </c>
      <c r="K21" s="338">
        <f t="shared" si="4"/>
        <v>-15878.535000000007</v>
      </c>
      <c r="L21" s="338">
        <f t="shared" si="4"/>
        <v>-58808.484000000019</v>
      </c>
      <c r="M21" s="338">
        <f t="shared" si="4"/>
        <v>-81707.343525000018</v>
      </c>
      <c r="N21" s="338">
        <f t="shared" si="4"/>
        <v>-100114.31223</v>
      </c>
      <c r="O21" s="338">
        <f t="shared" si="4"/>
        <v>-102116.59847460002</v>
      </c>
      <c r="P21" s="338">
        <f t="shared" si="4"/>
        <v>-104158.930444092</v>
      </c>
      <c r="Q21" s="338">
        <f t="shared" si="4"/>
        <v>-106242.10905297386</v>
      </c>
    </row>
    <row r="22" spans="2:17" ht="14" customHeight="1" x14ac:dyDescent="0.15">
      <c r="B22" s="371" t="s">
        <v>296</v>
      </c>
      <c r="C22" s="371"/>
      <c r="D22" s="349">
        <v>0.5</v>
      </c>
      <c r="E22" s="371"/>
      <c r="F22" s="371"/>
      <c r="G22" s="371"/>
      <c r="H22" s="591" t="s">
        <v>288</v>
      </c>
      <c r="I22" s="591"/>
      <c r="J22" s="4">
        <v>7.4</v>
      </c>
      <c r="K22" s="338">
        <f t="shared" si="4"/>
        <v>23500.231800000009</v>
      </c>
      <c r="L22" s="338">
        <f t="shared" si="4"/>
        <v>87036.556320000032</v>
      </c>
      <c r="M22" s="338">
        <f t="shared" si="4"/>
        <v>120926.86841700003</v>
      </c>
      <c r="N22" s="338">
        <f t="shared" si="4"/>
        <v>148169.18210040001</v>
      </c>
      <c r="O22" s="338">
        <f t="shared" si="4"/>
        <v>151132.56574240804</v>
      </c>
      <c r="P22" s="338">
        <f t="shared" si="4"/>
        <v>154155.21705725617</v>
      </c>
      <c r="Q22" s="338">
        <f t="shared" si="4"/>
        <v>157238.32139840134</v>
      </c>
    </row>
    <row r="23" spans="2:17" ht="14" customHeight="1" x14ac:dyDescent="0.15">
      <c r="B23" s="371" t="s">
        <v>297</v>
      </c>
      <c r="C23" s="371"/>
      <c r="D23" s="349">
        <v>0.2</v>
      </c>
      <c r="E23" s="371"/>
      <c r="F23" s="371"/>
      <c r="G23" s="371"/>
      <c r="H23" s="590" t="s">
        <v>290</v>
      </c>
      <c r="I23" s="590"/>
      <c r="J23" s="4">
        <v>-10.8</v>
      </c>
      <c r="K23" s="338">
        <f t="shared" si="4"/>
        <v>-34297.635600000016</v>
      </c>
      <c r="L23" s="338">
        <f t="shared" si="4"/>
        <v>-127026.32544000004</v>
      </c>
      <c r="M23" s="338">
        <f t="shared" si="4"/>
        <v>-176487.86201400004</v>
      </c>
      <c r="N23" s="338">
        <f t="shared" si="4"/>
        <v>-216246.91441679999</v>
      </c>
      <c r="O23" s="338">
        <f t="shared" si="4"/>
        <v>-220571.85270513606</v>
      </c>
      <c r="P23" s="338">
        <f t="shared" si="4"/>
        <v>-224983.28975923875</v>
      </c>
      <c r="Q23" s="338">
        <f t="shared" si="4"/>
        <v>-229482.95555442356</v>
      </c>
    </row>
    <row r="27" spans="2:17" ht="14" customHeight="1" x14ac:dyDescent="0.15">
      <c r="B27" s="83" t="s">
        <v>52</v>
      </c>
      <c r="C27" s="84"/>
      <c r="D27" s="84"/>
      <c r="E27" s="84"/>
      <c r="F27" s="371"/>
      <c r="G27" s="371"/>
      <c r="H27" s="352" t="s">
        <v>298</v>
      </c>
      <c r="I27" s="352"/>
      <c r="J27" s="340"/>
      <c r="K27" s="367">
        <f t="shared" ref="K27:L27" si="5">K5</f>
        <v>2020</v>
      </c>
      <c r="L27" s="367">
        <f t="shared" si="5"/>
        <v>2021</v>
      </c>
      <c r="M27" s="367">
        <f>M5</f>
        <v>2022</v>
      </c>
      <c r="N27" s="367">
        <f t="shared" ref="N27:Q27" si="6">N5</f>
        <v>2023</v>
      </c>
      <c r="O27" s="367">
        <f t="shared" si="6"/>
        <v>2024</v>
      </c>
      <c r="P27" s="367">
        <f t="shared" si="6"/>
        <v>2025</v>
      </c>
      <c r="Q27" s="367">
        <f t="shared" si="6"/>
        <v>2026</v>
      </c>
    </row>
    <row r="28" spans="2:17" ht="14" customHeight="1" x14ac:dyDescent="0.15">
      <c r="B28" s="85" t="s">
        <v>54</v>
      </c>
      <c r="C28" s="85"/>
      <c r="D28" s="86" t="e">
        <f>'DCF output'!D58</f>
        <v>#VALUE!</v>
      </c>
      <c r="E28" s="87" t="e">
        <f>'DCF output'!E58</f>
        <v>#VALUE!</v>
      </c>
      <c r="F28" s="371"/>
      <c r="G28" s="371"/>
      <c r="H28" s="85" t="str">
        <f>B20</f>
        <v>Superstar</v>
      </c>
      <c r="I28" s="353">
        <f>D20</f>
        <v>0</v>
      </c>
      <c r="J28" s="348"/>
      <c r="K28" s="355">
        <f>$I28*K10</f>
        <v>0</v>
      </c>
      <c r="L28" s="355">
        <f t="shared" ref="L28:Q28" si="7">$I28*L10</f>
        <v>0</v>
      </c>
      <c r="M28" s="355">
        <f t="shared" si="7"/>
        <v>0</v>
      </c>
      <c r="N28" s="355">
        <f t="shared" si="7"/>
        <v>0</v>
      </c>
      <c r="O28" s="355">
        <f t="shared" si="7"/>
        <v>0</v>
      </c>
      <c r="P28" s="355">
        <f t="shared" si="7"/>
        <v>0</v>
      </c>
      <c r="Q28" s="355">
        <f t="shared" si="7"/>
        <v>0</v>
      </c>
    </row>
    <row r="29" spans="2:17" ht="14" customHeight="1" x14ac:dyDescent="0.15">
      <c r="B29" s="89" t="s">
        <v>56</v>
      </c>
      <c r="C29" s="89"/>
      <c r="D29" s="90" t="e">
        <f>'DCF output'!D59</f>
        <v>#VALUE!</v>
      </c>
      <c r="E29" s="91" t="e">
        <f>'DCF output'!E59</f>
        <v>#VALUE!</v>
      </c>
      <c r="F29" s="371"/>
      <c r="G29" s="371"/>
      <c r="H29" s="85" t="str">
        <f>B21</f>
        <v>Success</v>
      </c>
      <c r="I29" s="353">
        <f>D21</f>
        <v>0.3</v>
      </c>
      <c r="J29" s="348"/>
      <c r="K29" s="355">
        <f>$I29*K11</f>
        <v>8522.4756600000001</v>
      </c>
      <c r="L29" s="355">
        <f t="shared" ref="L29:Q29" si="8">$I29*L11</f>
        <v>25567.42698</v>
      </c>
      <c r="M29" s="355">
        <f>$I29*M11</f>
        <v>43464.625865999995</v>
      </c>
      <c r="N29" s="355">
        <f t="shared" si="8"/>
        <v>52157.551039199992</v>
      </c>
      <c r="O29" s="355">
        <f t="shared" si="8"/>
        <v>53200.702059983996</v>
      </c>
      <c r="P29" s="355">
        <f t="shared" si="8"/>
        <v>54264.716101183687</v>
      </c>
      <c r="Q29" s="355">
        <f t="shared" si="8"/>
        <v>55350.010423207357</v>
      </c>
    </row>
    <row r="30" spans="2:17" ht="14" customHeight="1" x14ac:dyDescent="0.15">
      <c r="B30" s="93" t="s">
        <v>58</v>
      </c>
      <c r="C30" s="93"/>
      <c r="D30" s="94" t="e">
        <f>+D28+D29</f>
        <v>#VALUE!</v>
      </c>
      <c r="E30" s="95" t="e">
        <f>E28+E29</f>
        <v>#VALUE!</v>
      </c>
      <c r="F30" s="371"/>
      <c r="G30" s="371"/>
      <c r="H30" s="85" t="str">
        <f>B22</f>
        <v>Slow Growth</v>
      </c>
      <c r="I30" s="353">
        <f>D22</f>
        <v>0.5</v>
      </c>
      <c r="J30" s="348"/>
      <c r="K30" s="355">
        <f>$I30*K13</f>
        <v>3087.8535000000006</v>
      </c>
      <c r="L30" s="355">
        <f t="shared" ref="L30:Q30" si="9">$I30*L13</f>
        <v>9263.5605000000014</v>
      </c>
      <c r="M30" s="355">
        <f t="shared" si="9"/>
        <v>15748.052850000002</v>
      </c>
      <c r="N30" s="355">
        <f t="shared" si="9"/>
        <v>18897.663420000001</v>
      </c>
      <c r="O30" s="355">
        <f t="shared" si="9"/>
        <v>19275.616688400001</v>
      </c>
      <c r="P30" s="355">
        <f t="shared" si="9"/>
        <v>19661.129022168003</v>
      </c>
      <c r="Q30" s="355">
        <f t="shared" si="9"/>
        <v>20054.351602611365</v>
      </c>
    </row>
    <row r="31" spans="2:17" ht="14" customHeight="1" x14ac:dyDescent="0.15">
      <c r="B31" s="371"/>
      <c r="C31" s="371"/>
      <c r="D31" s="371"/>
      <c r="E31" s="371"/>
      <c r="F31" s="371"/>
      <c r="G31" s="371"/>
      <c r="H31" s="85" t="str">
        <f>B23</f>
        <v>Failure</v>
      </c>
      <c r="I31" s="353">
        <f>D23</f>
        <v>0.2</v>
      </c>
      <c r="J31" s="348"/>
      <c r="K31" s="355">
        <f t="shared" ref="K31:Q31" si="10">$I31*0.2*$D$11</f>
        <v>200.00000000000003</v>
      </c>
      <c r="L31" s="355">
        <f t="shared" si="10"/>
        <v>200.00000000000003</v>
      </c>
      <c r="M31" s="355">
        <f t="shared" si="10"/>
        <v>200.00000000000003</v>
      </c>
      <c r="N31" s="355">
        <f t="shared" si="10"/>
        <v>200.00000000000003</v>
      </c>
      <c r="O31" s="355">
        <f t="shared" si="10"/>
        <v>200.00000000000003</v>
      </c>
      <c r="P31" s="355">
        <f t="shared" si="10"/>
        <v>200.00000000000003</v>
      </c>
      <c r="Q31" s="355">
        <f t="shared" si="10"/>
        <v>200.00000000000003</v>
      </c>
    </row>
    <row r="32" spans="2:17" ht="14" customHeight="1" x14ac:dyDescent="0.15">
      <c r="B32" s="371"/>
      <c r="C32" s="371"/>
      <c r="D32" s="371"/>
      <c r="E32" s="371"/>
      <c r="F32" s="371"/>
      <c r="G32" s="371"/>
      <c r="H32" s="350" t="s">
        <v>299</v>
      </c>
      <c r="I32" s="350"/>
      <c r="J32" s="356"/>
      <c r="K32" s="360">
        <f>SUM(K28:K31)</f>
        <v>11810.329160000001</v>
      </c>
      <c r="L32" s="360">
        <f t="shared" ref="L32:Q32" si="11">SUM(L28:L31)</f>
        <v>35030.987480000003</v>
      </c>
      <c r="M32" s="360">
        <f t="shared" si="11"/>
        <v>59412.678715999995</v>
      </c>
      <c r="N32" s="360">
        <f t="shared" si="11"/>
        <v>71255.214459199997</v>
      </c>
      <c r="O32" s="360">
        <f t="shared" si="11"/>
        <v>72676.318748384001</v>
      </c>
      <c r="P32" s="360">
        <f t="shared" si="11"/>
        <v>74125.845123351697</v>
      </c>
      <c r="Q32" s="360">
        <f t="shared" si="11"/>
        <v>75604.362025818729</v>
      </c>
    </row>
    <row r="33" spans="8:17" ht="14" customHeight="1" x14ac:dyDescent="0.15">
      <c r="H33" s="351" t="s">
        <v>300</v>
      </c>
      <c r="I33" s="351"/>
      <c r="J33" s="348"/>
      <c r="K33" s="361">
        <f>SUM(K28:K31)/(1+$D$14)^3</f>
        <v>6046.888529920001</v>
      </c>
      <c r="L33" s="361">
        <f>SUM(L28:L31)/(1+$D$14)^4</f>
        <v>14348.692471808001</v>
      </c>
      <c r="M33" s="361">
        <f>SUM(M28:M31)/(1+$D$14)^5</f>
        <v>19468.34656165888</v>
      </c>
      <c r="N33" s="361">
        <f>SUM(N28:N31)/(1+$D$14)^6</f>
        <v>18679.126939192523</v>
      </c>
      <c r="O33" s="361">
        <f>SUM(O28:O31)/(1+$D$14)^7</f>
        <v>15241.3287215811</v>
      </c>
      <c r="P33" s="361">
        <f>SUM(P28:P31)/(1+$D$14)^8</f>
        <v>12436.253148170181</v>
      </c>
      <c r="Q33" s="361">
        <f>SUM(Q28:Q31)/(1+$D$14)^9</f>
        <v>10147.445697994866</v>
      </c>
    </row>
    <row r="34" spans="8:17" ht="14" customHeight="1" x14ac:dyDescent="0.15">
      <c r="H34" s="357"/>
      <c r="I34" s="357"/>
      <c r="J34" s="62"/>
      <c r="K34" s="62"/>
      <c r="L34" s="62"/>
      <c r="M34" s="358"/>
      <c r="N34" s="358"/>
      <c r="O34" s="359"/>
      <c r="P34" s="62"/>
      <c r="Q34" s="62"/>
    </row>
    <row r="36" spans="8:17" ht="14" customHeight="1" x14ac:dyDescent="0.15">
      <c r="H36" s="352" t="s">
        <v>301</v>
      </c>
      <c r="I36" s="352"/>
      <c r="J36" s="340"/>
      <c r="K36" s="367">
        <f>K5</f>
        <v>2020</v>
      </c>
      <c r="L36" s="367">
        <f t="shared" ref="L36:Q36" si="12">L5</f>
        <v>2021</v>
      </c>
      <c r="M36" s="367">
        <f t="shared" si="12"/>
        <v>2022</v>
      </c>
      <c r="N36" s="367">
        <f t="shared" si="12"/>
        <v>2023</v>
      </c>
      <c r="O36" s="367">
        <f t="shared" si="12"/>
        <v>2024</v>
      </c>
      <c r="P36" s="367">
        <f t="shared" si="12"/>
        <v>2025</v>
      </c>
      <c r="Q36" s="367">
        <f t="shared" si="12"/>
        <v>2026</v>
      </c>
    </row>
    <row r="37" spans="8:17" ht="14" customHeight="1" x14ac:dyDescent="0.15">
      <c r="H37" s="348" t="s">
        <v>302</v>
      </c>
      <c r="I37" s="348"/>
      <c r="J37" s="348"/>
      <c r="K37" s="355">
        <f t="shared" ref="K37:Q37" si="13">(1-$D$13)*$D$12*K32</f>
        <v>380.97836000000001</v>
      </c>
      <c r="L37" s="355">
        <f t="shared" si="13"/>
        <v>1130.0318541935485</v>
      </c>
      <c r="M37" s="355">
        <f>(1-$D$13)*$D$12*M32</f>
        <v>1916.5380230967739</v>
      </c>
      <c r="N37" s="355">
        <f t="shared" si="13"/>
        <v>2298.5553051354836</v>
      </c>
      <c r="O37" s="355">
        <f t="shared" si="13"/>
        <v>2344.3973789801289</v>
      </c>
      <c r="P37" s="355">
        <f t="shared" si="13"/>
        <v>2391.1562943016675</v>
      </c>
      <c r="Q37" s="355">
        <f t="shared" si="13"/>
        <v>2438.8503879296363</v>
      </c>
    </row>
    <row r="38" spans="8:17" ht="14" customHeight="1" x14ac:dyDescent="0.15">
      <c r="H38" s="348" t="s">
        <v>303</v>
      </c>
      <c r="I38" s="348"/>
      <c r="J38" s="348"/>
      <c r="K38" s="362">
        <f t="shared" ref="K38:Q38" si="14">K37/$D$11</f>
        <v>7.6195672000000006E-2</v>
      </c>
      <c r="L38" s="362">
        <f t="shared" si="14"/>
        <v>0.2260063708387097</v>
      </c>
      <c r="M38" s="362">
        <f t="shared" si="14"/>
        <v>0.38330760461935481</v>
      </c>
      <c r="N38" s="362">
        <f t="shared" si="14"/>
        <v>0.45971106102709675</v>
      </c>
      <c r="O38" s="362">
        <f t="shared" si="14"/>
        <v>0.46887947579602579</v>
      </c>
      <c r="P38" s="362">
        <f t="shared" si="14"/>
        <v>0.47823125886033352</v>
      </c>
      <c r="Q38" s="362">
        <f t="shared" si="14"/>
        <v>0.48777007758592728</v>
      </c>
    </row>
    <row r="41" spans="8:17" ht="14" customHeight="1" x14ac:dyDescent="0.15">
      <c r="H41" s="83" t="s">
        <v>304</v>
      </c>
      <c r="I41" s="363"/>
      <c r="J41" s="363"/>
      <c r="K41" s="367">
        <f>K5</f>
        <v>2020</v>
      </c>
      <c r="L41" s="367">
        <f t="shared" ref="L41:Q41" si="15">L5</f>
        <v>2021</v>
      </c>
      <c r="M41" s="367">
        <f t="shared" si="15"/>
        <v>2022</v>
      </c>
      <c r="N41" s="367">
        <f t="shared" si="15"/>
        <v>2023</v>
      </c>
      <c r="O41" s="367">
        <f t="shared" si="15"/>
        <v>2024</v>
      </c>
      <c r="P41" s="367">
        <f t="shared" si="15"/>
        <v>2025</v>
      </c>
      <c r="Q41" s="367">
        <f t="shared" si="15"/>
        <v>2026</v>
      </c>
    </row>
    <row r="42" spans="8:17" ht="14" customHeight="1" x14ac:dyDescent="0.15">
      <c r="H42" s="348" t="s">
        <v>305</v>
      </c>
      <c r="I42" s="348"/>
      <c r="J42" s="348"/>
      <c r="K42" s="355">
        <f>-$D$11</f>
        <v>-5000</v>
      </c>
      <c r="L42" s="355">
        <f t="shared" ref="L42:Q42" si="16">-$D$11</f>
        <v>-5000</v>
      </c>
      <c r="M42" s="355">
        <f t="shared" si="16"/>
        <v>-5000</v>
      </c>
      <c r="N42" s="355">
        <f t="shared" si="16"/>
        <v>-5000</v>
      </c>
      <c r="O42" s="355">
        <f t="shared" si="16"/>
        <v>-5000</v>
      </c>
      <c r="P42" s="355">
        <f t="shared" si="16"/>
        <v>-5000</v>
      </c>
      <c r="Q42" s="355">
        <f t="shared" si="16"/>
        <v>-5000</v>
      </c>
    </row>
    <row r="43" spans="8:17" ht="14" customHeight="1" x14ac:dyDescent="0.15">
      <c r="H43" s="348" t="s">
        <v>202</v>
      </c>
      <c r="I43" s="348"/>
      <c r="J43" s="348"/>
      <c r="K43" s="355">
        <v>0</v>
      </c>
      <c r="L43" s="355">
        <v>0</v>
      </c>
      <c r="M43" s="355">
        <v>0</v>
      </c>
      <c r="N43" s="355">
        <v>0</v>
      </c>
      <c r="O43" s="355">
        <v>0</v>
      </c>
      <c r="P43" s="355">
        <v>0</v>
      </c>
      <c r="Q43" s="355">
        <v>0</v>
      </c>
    </row>
    <row r="44" spans="8:17" ht="14" customHeight="1" x14ac:dyDescent="0.15">
      <c r="H44" s="348" t="s">
        <v>306</v>
      </c>
      <c r="I44" s="364"/>
      <c r="J44" s="364"/>
      <c r="K44" s="355">
        <v>0</v>
      </c>
      <c r="L44" s="355">
        <v>0</v>
      </c>
      <c r="M44" s="355">
        <v>0</v>
      </c>
      <c r="N44" s="355">
        <v>0</v>
      </c>
      <c r="O44" s="355">
        <v>0</v>
      </c>
      <c r="P44" s="355">
        <v>0</v>
      </c>
      <c r="Q44" s="355">
        <v>0</v>
      </c>
    </row>
    <row r="45" spans="8:17" ht="14" customHeight="1" x14ac:dyDescent="0.15">
      <c r="H45" s="348" t="s">
        <v>307</v>
      </c>
      <c r="I45" s="348"/>
      <c r="J45" s="348"/>
      <c r="K45" s="355">
        <f>$K$37</f>
        <v>380.97836000000001</v>
      </c>
      <c r="L45" s="355">
        <v>0</v>
      </c>
      <c r="M45" s="355">
        <v>0</v>
      </c>
      <c r="N45" s="355">
        <v>0</v>
      </c>
      <c r="O45" s="355">
        <v>0</v>
      </c>
      <c r="P45" s="355">
        <v>0</v>
      </c>
      <c r="Q45" s="355">
        <v>0</v>
      </c>
    </row>
    <row r="46" spans="8:17" ht="14" customHeight="1" x14ac:dyDescent="0.15">
      <c r="H46" s="348" t="s">
        <v>308</v>
      </c>
      <c r="I46" s="348"/>
      <c r="J46" s="348"/>
      <c r="K46" s="355"/>
      <c r="L46" s="355">
        <f>$L$37</f>
        <v>1130.0318541935485</v>
      </c>
      <c r="M46" s="355">
        <v>0</v>
      </c>
      <c r="N46" s="355">
        <v>0</v>
      </c>
      <c r="O46" s="355">
        <v>0</v>
      </c>
      <c r="P46" s="355">
        <v>0</v>
      </c>
      <c r="Q46" s="355">
        <v>0</v>
      </c>
    </row>
    <row r="47" spans="8:17" ht="14" customHeight="1" x14ac:dyDescent="0.15">
      <c r="H47" s="348" t="s">
        <v>203</v>
      </c>
      <c r="I47" s="348"/>
      <c r="J47" s="348"/>
      <c r="K47" s="355"/>
      <c r="L47" s="355"/>
      <c r="M47" s="355">
        <f>$M$37</f>
        <v>1916.5380230967739</v>
      </c>
      <c r="N47" s="355">
        <v>0</v>
      </c>
      <c r="O47" s="355">
        <v>0</v>
      </c>
      <c r="P47" s="355">
        <v>0</v>
      </c>
      <c r="Q47" s="355">
        <v>0</v>
      </c>
    </row>
    <row r="48" spans="8:17" ht="14" customHeight="1" x14ac:dyDescent="0.15">
      <c r="H48" s="348" t="s">
        <v>309</v>
      </c>
      <c r="I48" s="348"/>
      <c r="J48" s="348"/>
      <c r="K48" s="355"/>
      <c r="L48" s="355"/>
      <c r="M48" s="355"/>
      <c r="N48" s="355">
        <f>$N$37</f>
        <v>2298.5553051354836</v>
      </c>
      <c r="O48" s="355">
        <v>0</v>
      </c>
      <c r="P48" s="355">
        <v>0</v>
      </c>
      <c r="Q48" s="355">
        <v>0</v>
      </c>
    </row>
    <row r="49" spans="8:17" ht="14" customHeight="1" x14ac:dyDescent="0.15">
      <c r="H49" s="348" t="s">
        <v>310</v>
      </c>
      <c r="I49" s="348"/>
      <c r="J49" s="348"/>
      <c r="K49" s="355"/>
      <c r="L49" s="355"/>
      <c r="M49" s="355"/>
      <c r="N49" s="355"/>
      <c r="O49" s="355">
        <f>$O$37</f>
        <v>2344.3973789801289</v>
      </c>
      <c r="P49" s="355">
        <v>0</v>
      </c>
      <c r="Q49" s="355">
        <v>0</v>
      </c>
    </row>
    <row r="50" spans="8:17" ht="14" customHeight="1" x14ac:dyDescent="0.15">
      <c r="H50" s="348" t="s">
        <v>311</v>
      </c>
      <c r="I50" s="348"/>
      <c r="J50" s="348"/>
      <c r="K50" s="355"/>
      <c r="L50" s="355"/>
      <c r="M50" s="355"/>
      <c r="N50" s="355"/>
      <c r="O50" s="355"/>
      <c r="P50" s="355">
        <f>$P$37</f>
        <v>2391.1562943016675</v>
      </c>
      <c r="Q50" s="355">
        <v>0</v>
      </c>
    </row>
    <row r="51" spans="8:17" ht="14" customHeight="1" x14ac:dyDescent="0.15">
      <c r="H51" s="348" t="s">
        <v>312</v>
      </c>
      <c r="I51" s="348"/>
      <c r="J51" s="348"/>
      <c r="K51" s="355"/>
      <c r="L51" s="355"/>
      <c r="M51" s="355"/>
      <c r="N51" s="355"/>
      <c r="O51" s="355"/>
      <c r="P51" s="355"/>
      <c r="Q51" s="355">
        <f>$Q$37</f>
        <v>2438.8503879296363</v>
      </c>
    </row>
    <row r="52" spans="8:17" ht="14" customHeight="1" x14ac:dyDescent="0.15">
      <c r="H52" s="365" t="s">
        <v>313</v>
      </c>
      <c r="I52" s="365"/>
      <c r="J52" s="365"/>
      <c r="K52" s="366">
        <f>IRR(K42:K45)</f>
        <v>-0.5760544302693984</v>
      </c>
      <c r="L52" s="366">
        <f>IRR(L42:L46)</f>
        <v>-0.31050650946273439</v>
      </c>
      <c r="M52" s="366">
        <f>IRR(M42:M47)</f>
        <v>-0.17451442776657933</v>
      </c>
      <c r="N52" s="366">
        <f>IRR(N42:N48)</f>
        <v>-0.12148841645022634</v>
      </c>
      <c r="O52" s="366">
        <f>IRR(O42:O49)</f>
        <v>-0.10255313228227225</v>
      </c>
      <c r="P52" s="366">
        <f>IRR(P42:P50)</f>
        <v>-8.8084190480434588E-2</v>
      </c>
      <c r="Q52" s="366">
        <f>IRR(Q42:Q51)</f>
        <v>-7.6669377202513544E-2</v>
      </c>
    </row>
  </sheetData>
  <mergeCells count="12">
    <mergeCell ref="H23:I23"/>
    <mergeCell ref="H22:I22"/>
    <mergeCell ref="K4:Q4"/>
    <mergeCell ref="B7:D7"/>
    <mergeCell ref="B17:D17"/>
    <mergeCell ref="H19:J19"/>
    <mergeCell ref="H9:J9"/>
    <mergeCell ref="H21:I21"/>
    <mergeCell ref="H13:I13"/>
    <mergeCell ref="H12:I12"/>
    <mergeCell ref="E4:G4"/>
    <mergeCell ref="H4:J4"/>
  </mergeCells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73377311C70048AD990F336DCA242E" ma:contentTypeVersion="6" ma:contentTypeDescription="Create a new document." ma:contentTypeScope="" ma:versionID="b3fbc9bb80e9ffd699bd67523cfc07b0">
  <xsd:schema xmlns:xsd="http://www.w3.org/2001/XMLSchema" xmlns:xs="http://www.w3.org/2001/XMLSchema" xmlns:p="http://schemas.microsoft.com/office/2006/metadata/properties" xmlns:ns2="09c6e5b1-0698-4b2f-946a-950177a98c90" xmlns:ns3="16fef076-2ac1-4a9e-9438-4fbf7bdd790b" targetNamespace="http://schemas.microsoft.com/office/2006/metadata/properties" ma:root="true" ma:fieldsID="2ba5b7de3de3e0688cfa0838067416c5" ns2:_="" ns3:_="">
    <xsd:import namespace="09c6e5b1-0698-4b2f-946a-950177a98c90"/>
    <xsd:import namespace="16fef076-2ac1-4a9e-9438-4fbf7bdd79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6e5b1-0698-4b2f-946a-950177a98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ef076-2ac1-4a9e-9438-4fbf7bdd7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C15AF1-78D7-419F-9961-AAADAF3458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c6e5b1-0698-4b2f-946a-950177a98c90"/>
    <ds:schemaRef ds:uri="16fef076-2ac1-4a9e-9438-4fbf7bdd7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03E7B2-3738-45FF-B9E2-253875F018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3145C2-EA55-4ECC-B5E5-178226CDBCF0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6fef076-2ac1-4a9e-9438-4fbf7bdd790b"/>
    <ds:schemaRef ds:uri="09c6e5b1-0698-4b2f-946a-950177a98c9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User guide</vt:lpstr>
      <vt:lpstr>Input</vt:lpstr>
      <vt:lpstr>Summary output</vt:lpstr>
      <vt:lpstr>DCF output</vt:lpstr>
      <vt:lpstr>Business case output</vt:lpstr>
      <vt:lpstr>Multiples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Johansson, Tomas (Bonnier AB)</dc:creator>
  <cp:keywords/>
  <dc:description/>
  <cp:lastModifiedBy>Microsoft Office-användare</cp:lastModifiedBy>
  <cp:revision/>
  <dcterms:created xsi:type="dcterms:W3CDTF">2013-04-08T15:22:28Z</dcterms:created>
  <dcterms:modified xsi:type="dcterms:W3CDTF">2018-01-26T19:12:42Z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0x0101009673377311C70048AD990F336DCA242E</vt:lpwstr>
  </property>
</Properties>
</file>