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iele\OneDrive\Área de Trabalho\Excel\"/>
    </mc:Choice>
  </mc:AlternateContent>
  <xr:revisionPtr revIDLastSave="0" documentId="13_ncr:1_{51E5F60B-20BB-4443-8318-633F2C1B44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Exercício - Toy Co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I28" i="1"/>
  <c r="I29" i="1" s="1"/>
  <c r="J28" i="1"/>
  <c r="K28" i="1" s="1"/>
  <c r="C17" i="2"/>
  <c r="C18" i="2" s="1"/>
  <c r="E17" i="2"/>
  <c r="E18" i="2" s="1"/>
  <c r="E19" i="2" s="1"/>
  <c r="E20" i="2" s="1"/>
  <c r="E21" i="2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4" i="1"/>
  <c r="L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J29" i="1" l="1"/>
  <c r="K29" i="1" s="1"/>
  <c r="D23" i="1"/>
  <c r="L24" i="1"/>
  <c r="D17" i="2"/>
  <c r="C19" i="2"/>
  <c r="D18" i="2"/>
  <c r="G17" i="2" l="1"/>
  <c r="H17" i="2" s="1"/>
  <c r="I17" i="2"/>
  <c r="F17" i="2"/>
  <c r="G18" i="2"/>
  <c r="F18" i="2"/>
  <c r="C20" i="2"/>
  <c r="D19" i="2"/>
  <c r="H18" i="2" l="1"/>
  <c r="I18" i="2" s="1"/>
  <c r="F19" i="2"/>
  <c r="G19" i="2"/>
  <c r="C21" i="2"/>
  <c r="D21" i="2" s="1"/>
  <c r="D20" i="2"/>
  <c r="H19" i="2" l="1"/>
  <c r="I19" i="2" s="1"/>
  <c r="G20" i="2"/>
  <c r="F20" i="2"/>
  <c r="F21" i="2"/>
  <c r="G21" i="2"/>
  <c r="H21" i="2" l="1"/>
  <c r="I21" i="2" s="1"/>
  <c r="H20" i="2"/>
  <c r="I20" i="2" s="1"/>
  <c r="C25" i="2" s="1"/>
  <c r="C26" i="2" s="1"/>
  <c r="I22" i="2" l="1"/>
</calcChain>
</file>

<file path=xl/sharedStrings.xml><?xml version="1.0" encoding="utf-8"?>
<sst xmlns="http://schemas.openxmlformats.org/spreadsheetml/2006/main" count="66" uniqueCount="60">
  <si>
    <t>Average of Seasonally Adjusted Sales</t>
  </si>
  <si>
    <t>Year</t>
  </si>
  <si>
    <t>Year N</t>
  </si>
  <si>
    <t>Modeling</t>
  </si>
  <si>
    <t>Exponential (y=ae^(bx))</t>
  </si>
  <si>
    <t>a</t>
  </si>
  <si>
    <t>b</t>
  </si>
  <si>
    <t>Percent Growth</t>
  </si>
  <si>
    <t>Average Percent Growth:</t>
  </si>
  <si>
    <t>Actual Data</t>
  </si>
  <si>
    <t>Model Data</t>
  </si>
  <si>
    <t>Sales</t>
  </si>
  <si>
    <t>Error</t>
  </si>
  <si>
    <t>Average Error:</t>
  </si>
  <si>
    <t>Toy Company</t>
  </si>
  <si>
    <t>Preço de venda</t>
  </si>
  <si>
    <t>por kit</t>
  </si>
  <si>
    <t>Até o ano:</t>
  </si>
  <si>
    <t>g</t>
  </si>
  <si>
    <t>Custos:</t>
  </si>
  <si>
    <t>Investimento inicial</t>
  </si>
  <si>
    <t>Custos variáveis</t>
  </si>
  <si>
    <t>cada ano</t>
  </si>
  <si>
    <t>por ano</t>
  </si>
  <si>
    <t>Fixos ano 1</t>
  </si>
  <si>
    <t>receita</t>
  </si>
  <si>
    <t>receita p ano</t>
  </si>
  <si>
    <t>Receita:</t>
  </si>
  <si>
    <t>Kits vendidos ano 1</t>
  </si>
  <si>
    <t>Taxa de crescimento vendas</t>
  </si>
  <si>
    <t>Receita</t>
  </si>
  <si>
    <t>Lucro</t>
  </si>
  <si>
    <t>Ano</t>
  </si>
  <si>
    <t>Custo fixo</t>
  </si>
  <si>
    <t>Taxa de desconto</t>
  </si>
  <si>
    <t>Valor presente</t>
  </si>
  <si>
    <t>NPV:</t>
  </si>
  <si>
    <t>Vendas</t>
  </si>
  <si>
    <t>Custo variável</t>
  </si>
  <si>
    <t>Custo total</t>
  </si>
  <si>
    <t>Lucro total</t>
  </si>
  <si>
    <t>RESPOSTAS CERTAS:</t>
  </si>
  <si>
    <t>TAXA DE CRESCIMENTO</t>
  </si>
  <si>
    <t>NPV</t>
  </si>
  <si>
    <t>&lt;- não consegui esses valores. Continuar tentando</t>
  </si>
  <si>
    <t>Taxa de decaimento C. Fixos</t>
  </si>
  <si>
    <t>(= 4000000)</t>
  </si>
  <si>
    <t>Taxa custo fixo</t>
  </si>
  <si>
    <t>Cálculo do NPV</t>
  </si>
  <si>
    <t>Company</t>
  </si>
  <si>
    <t>Extendendo para --&gt;</t>
  </si>
  <si>
    <t>Year Number</t>
  </si>
  <si>
    <t>Sales (exponential)</t>
  </si>
  <si>
    <t>&lt;-- Maior que a taxa de crescimento, portanto não é um bom modelo.</t>
  </si>
  <si>
    <t>Polinomial</t>
  </si>
  <si>
    <t>grau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</si>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</sst>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_(&quot;$&quot;* #,##0.00_);_(&quot;$&quot;* \(#,##0.00\);_(&quot;$&quot;* &quot;-&quot;??_);_(@_)"/>
    <numFmt numFmtId="165" formatCode="&quot;$&quot;#,##0.00"/>
    <numFmt numFmtId="167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8" borderId="0" applyNumberFormat="0" applyBorder="0" applyAlignment="0" applyProtection="0"/>
  </cellStyleXfs>
  <cellXfs count="77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9" fontId="0" fillId="0" borderId="0" xfId="2" applyFont="1"/>
    <xf numFmtId="10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 applyAlignment="1">
      <alignment horizontal="center"/>
    </xf>
    <xf numFmtId="0" fontId="0" fillId="0" borderId="4" xfId="0" applyBorder="1"/>
    <xf numFmtId="10" fontId="0" fillId="0" borderId="4" xfId="2" applyNumberFormat="1" applyFont="1" applyBorder="1"/>
    <xf numFmtId="165" fontId="0" fillId="0" borderId="6" xfId="1" applyNumberFormat="1" applyFont="1" applyBorder="1" applyAlignment="1">
      <alignment horizontal="center"/>
    </xf>
    <xf numFmtId="10" fontId="0" fillId="0" borderId="7" xfId="2" applyNumberFormat="1" applyFont="1" applyBorder="1"/>
    <xf numFmtId="167" fontId="0" fillId="0" borderId="0" xfId="0" applyNumberFormat="1"/>
    <xf numFmtId="167" fontId="0" fillId="0" borderId="8" xfId="0" applyNumberFormat="1" applyBorder="1"/>
    <xf numFmtId="0" fontId="0" fillId="0" borderId="3" xfId="0" applyBorder="1" applyAlignment="1">
      <alignment horizontal="left" indent="1"/>
    </xf>
    <xf numFmtId="167" fontId="0" fillId="0" borderId="4" xfId="0" applyNumberFormat="1" applyBorder="1"/>
    <xf numFmtId="9" fontId="0" fillId="0" borderId="4" xfId="2" applyFont="1" applyBorder="1"/>
    <xf numFmtId="0" fontId="0" fillId="0" borderId="3" xfId="0" applyBorder="1" applyAlignment="1">
      <alignment horizontal="left" wrapText="1" indent="1"/>
    </xf>
    <xf numFmtId="0" fontId="0" fillId="0" borderId="4" xfId="2" applyNumberFormat="1" applyFont="1" applyBorder="1"/>
    <xf numFmtId="167" fontId="0" fillId="0" borderId="7" xfId="0" applyNumberFormat="1" applyBorder="1"/>
    <xf numFmtId="0" fontId="0" fillId="0" borderId="5" xfId="0" applyBorder="1" applyAlignment="1">
      <alignment horizontal="left" indent="1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7" fontId="0" fillId="0" borderId="0" xfId="0" applyNumberFormat="1" applyBorder="1"/>
    <xf numFmtId="10" fontId="1" fillId="7" borderId="4" xfId="2" applyNumberFormat="1" applyFill="1" applyBorder="1"/>
    <xf numFmtId="0" fontId="2" fillId="0" borderId="0" xfId="0" applyFont="1" applyBorder="1" applyAlignment="1">
      <alignment horizontal="center"/>
    </xf>
    <xf numFmtId="9" fontId="0" fillId="0" borderId="0" xfId="2" applyFont="1" applyBorder="1"/>
    <xf numFmtId="0" fontId="0" fillId="0" borderId="8" xfId="0" applyNumberFormat="1" applyBorder="1"/>
    <xf numFmtId="9" fontId="0" fillId="0" borderId="8" xfId="0" applyNumberFormat="1" applyBorder="1"/>
    <xf numFmtId="2" fontId="0" fillId="0" borderId="8" xfId="0" applyNumberFormat="1" applyBorder="1"/>
    <xf numFmtId="0" fontId="6" fillId="0" borderId="0" xfId="0" applyFont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3" xfId="0" applyFont="1" applyBorder="1" applyAlignment="1"/>
    <xf numFmtId="0" fontId="7" fillId="0" borderId="0" xfId="0" applyFont="1" applyAlignment="1"/>
    <xf numFmtId="0" fontId="0" fillId="0" borderId="0" xfId="0" applyBorder="1" applyAlignme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3" borderId="1" xfId="3" applyAlignment="1">
      <alignment horizontal="center"/>
    </xf>
    <xf numFmtId="167" fontId="1" fillId="6" borderId="8" xfId="6" applyNumberFormat="1" applyBorder="1"/>
    <xf numFmtId="9" fontId="0" fillId="0" borderId="8" xfId="2" applyFont="1" applyBorder="1"/>
    <xf numFmtId="8" fontId="0" fillId="0" borderId="8" xfId="0" applyNumberFormat="1" applyBorder="1"/>
    <xf numFmtId="0" fontId="3" fillId="3" borderId="1" xfId="3" applyAlignment="1">
      <alignment horizontal="center"/>
    </xf>
    <xf numFmtId="0" fontId="4" fillId="5" borderId="8" xfId="5" applyFont="1" applyBorder="1"/>
    <xf numFmtId="165" fontId="2" fillId="2" borderId="2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2" xfId="0" applyNumberFormat="1" applyBorder="1"/>
    <xf numFmtId="165" fontId="4" fillId="8" borderId="12" xfId="7" applyNumberFormat="1" applyFont="1" applyBorder="1" applyAlignment="1">
      <alignment horizontal="right"/>
    </xf>
    <xf numFmtId="167" fontId="0" fillId="0" borderId="6" xfId="0" applyNumberFormat="1" applyBorder="1"/>
    <xf numFmtId="10" fontId="0" fillId="0" borderId="13" xfId="0" applyNumberFormat="1" applyBorder="1" applyAlignment="1">
      <alignment vertical="center"/>
    </xf>
    <xf numFmtId="0" fontId="4" fillId="8" borderId="2" xfId="7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4" fillId="4" borderId="12" xfId="4" applyFont="1" applyBorder="1" applyAlignment="1">
      <alignment horizontal="center"/>
    </xf>
    <xf numFmtId="0" fontId="4" fillId="4" borderId="14" xfId="4" applyFont="1" applyBorder="1" applyAlignment="1">
      <alignment horizontal="center"/>
    </xf>
    <xf numFmtId="0" fontId="4" fillId="4" borderId="13" xfId="4" applyFont="1" applyBorder="1" applyAlignment="1">
      <alignment horizontal="center"/>
    </xf>
    <xf numFmtId="0" fontId="4" fillId="4" borderId="9" xfId="4" applyFont="1" applyBorder="1" applyAlignment="1">
      <alignment horizontal="center"/>
    </xf>
    <xf numFmtId="0" fontId="4" fillId="4" borderId="10" xfId="4" applyFont="1" applyBorder="1" applyAlignment="1">
      <alignment horizontal="center"/>
    </xf>
    <xf numFmtId="0" fontId="4" fillId="4" borderId="11" xfId="4" applyFont="1" applyBorder="1" applyAlignment="1">
      <alignment horizontal="center"/>
    </xf>
  </cellXfs>
  <cellStyles count="8">
    <cellStyle name="20% - Accent2" xfId="6" builtinId="34"/>
    <cellStyle name="Accent1" xfId="4" builtinId="29"/>
    <cellStyle name="Accent2" xfId="5" builtinId="33"/>
    <cellStyle name="Accent5" xfId="7" builtinId="45"/>
    <cellStyle name="Calculation" xfId="3" builtinId="22"/>
    <cellStyle name="Currency" xfId="1" builtinId="4"/>
    <cellStyle name="Normal" xfId="0" builtinId="0"/>
    <cellStyle name="Percent" xfId="2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Up">
          <fgColor theme="8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8"/>
          <bgColor theme="0"/>
        </patternFill>
      </fill>
    </dxf>
    <dxf>
      <fill>
        <patternFill patternType="lightUp">
          <fgColor theme="8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Sales</a:t>
            </a:r>
            <a:r>
              <a:rPr lang="pt-BR" baseline="0"/>
              <a:t> per year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62392825896763"/>
                  <c:y val="-0.11615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30592036844451048"/>
                  <c:y val="0.67510924015384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Sheet1!$C$3:$C$22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F-4C07-AE4F-C7ECFD8D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957391"/>
        <c:axId val="1221164111"/>
      </c:scatterChart>
      <c:valAx>
        <c:axId val="10829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1164111"/>
        <c:crosses val="autoZero"/>
        <c:crossBetween val="midCat"/>
      </c:valAx>
      <c:valAx>
        <c:axId val="12211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Sales (Mi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9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1615440</xdr:colOff>
      <xdr:row>32</xdr:row>
      <xdr:rowOff>179070</xdr:rowOff>
    </xdr:from>
    <xdr:to>
      <xdr:col>9</xdr:col>
      <xdr:colOff>1722120</xdr:colOff>
      <xdr:row>48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343AC-BE30-FC89-F23A-C4B332B0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F1" workbookViewId="0">
      <selection activeCell="M10" sqref="M10"/>
    </sheetView>
  </sheetViews>
  <sheetFormatPr defaultRowHeight="14.4" x14ac:dyDescent="0.3"/>
  <cols>
    <col min="2" max="2" width="10.109375" style="2" bestFit="1" customWidth="1"/>
    <col min="3" max="3" width="32" style="1" bestFit="1" customWidth="1"/>
    <col min="4" max="4" width="14.21875" bestFit="1" customWidth="1"/>
    <col min="6" max="6" width="11.77734375" customWidth="1"/>
    <col min="8" max="8" width="11.6640625" bestFit="1" customWidth="1"/>
    <col min="9" max="9" width="17" bestFit="1" customWidth="1"/>
    <col min="10" max="10" width="32.6640625" bestFit="1" customWidth="1"/>
    <col min="11" max="11" width="17" bestFit="1" customWidth="1"/>
    <col min="12" max="12" width="14.21875" bestFit="1" customWidth="1"/>
    <col min="13" max="13" width="17.109375" customWidth="1"/>
    <col min="14" max="14" width="13.77734375" customWidth="1"/>
  </cols>
  <sheetData>
    <row r="1" spans="1:12" ht="15" thickBot="1" x14ac:dyDescent="0.35">
      <c r="A1" s="71" t="s">
        <v>49</v>
      </c>
      <c r="B1" s="72"/>
      <c r="C1" s="72"/>
      <c r="D1" s="73"/>
    </row>
    <row r="2" spans="1:12" ht="15" thickBot="1" x14ac:dyDescent="0.35">
      <c r="A2" s="61" t="s">
        <v>2</v>
      </c>
      <c r="B2" s="61" t="s">
        <v>1</v>
      </c>
      <c r="C2" s="60" t="s">
        <v>0</v>
      </c>
      <c r="D2" s="61" t="s">
        <v>7</v>
      </c>
      <c r="F2" s="9" t="s">
        <v>3</v>
      </c>
      <c r="G2" s="9"/>
      <c r="I2" s="74" t="s">
        <v>9</v>
      </c>
      <c r="J2" s="75"/>
      <c r="K2" s="75" t="s">
        <v>10</v>
      </c>
      <c r="L2" s="76"/>
    </row>
    <row r="3" spans="1:12" ht="15" thickBot="1" x14ac:dyDescent="0.35">
      <c r="A3" s="3">
        <v>1</v>
      </c>
      <c r="B3" s="4">
        <v>1992</v>
      </c>
      <c r="C3" s="15">
        <v>150781.16666666666</v>
      </c>
      <c r="D3" s="16"/>
      <c r="F3" s="9" t="s">
        <v>4</v>
      </c>
      <c r="G3" s="9"/>
      <c r="I3" s="67" t="s">
        <v>2</v>
      </c>
      <c r="J3" s="68" t="s">
        <v>0</v>
      </c>
      <c r="K3" s="67" t="s">
        <v>11</v>
      </c>
      <c r="L3" s="61" t="s">
        <v>12</v>
      </c>
    </row>
    <row r="4" spans="1:12" x14ac:dyDescent="0.3">
      <c r="A4" s="3">
        <v>2</v>
      </c>
      <c r="B4" s="5">
        <v>1993</v>
      </c>
      <c r="C4" s="15">
        <v>161696.25</v>
      </c>
      <c r="D4" s="17">
        <f>(C4-C3)/C3</f>
        <v>7.2390229991146179E-2</v>
      </c>
      <c r="F4" s="10" t="s">
        <v>5</v>
      </c>
      <c r="G4" s="10">
        <v>158193</v>
      </c>
      <c r="I4" s="3">
        <v>1</v>
      </c>
      <c r="J4" s="15">
        <v>150781.16666666666</v>
      </c>
      <c r="K4" s="33">
        <f>$G$4*EXP($G$5*I4)</f>
        <v>165143.66740010298</v>
      </c>
      <c r="L4" s="17">
        <f>ABS(K4-J4)/J4</f>
        <v>9.5253943519270107E-2</v>
      </c>
    </row>
    <row r="5" spans="1:12" x14ac:dyDescent="0.3">
      <c r="A5" s="3">
        <v>3</v>
      </c>
      <c r="B5" s="5">
        <v>1994</v>
      </c>
      <c r="C5" s="15">
        <v>175688.83333333334</v>
      </c>
      <c r="D5" s="17">
        <f t="shared" ref="D5:D22" si="0">(C5-C4)/C4</f>
        <v>8.6536226618325052E-2</v>
      </c>
      <c r="F5" s="10" t="s">
        <v>6</v>
      </c>
      <c r="G5" s="10">
        <v>4.2999999999999997E-2</v>
      </c>
      <c r="I5" s="3">
        <v>2</v>
      </c>
      <c r="J5" s="15">
        <v>161696.25</v>
      </c>
      <c r="K5" s="33">
        <f t="shared" ref="K5:K23" si="1">$G$4*EXP($G$5*I5)</f>
        <v>172399.73249357322</v>
      </c>
      <c r="L5" s="17">
        <f t="shared" ref="L5:L23" si="2">ABS(K5-J5)/J5</f>
        <v>6.6194995205969331E-2</v>
      </c>
    </row>
    <row r="6" spans="1:12" x14ac:dyDescent="0.3">
      <c r="A6" s="3">
        <v>4</v>
      </c>
      <c r="B6" s="5">
        <v>1995</v>
      </c>
      <c r="C6" s="15">
        <v>185437.25</v>
      </c>
      <c r="D6" s="17">
        <f t="shared" si="0"/>
        <v>5.5486831358092327E-2</v>
      </c>
      <c r="F6" s="9" t="s">
        <v>54</v>
      </c>
      <c r="G6" s="9"/>
      <c r="I6" s="3">
        <v>3</v>
      </c>
      <c r="J6" s="15">
        <v>175688.83333333334</v>
      </c>
      <c r="K6" s="33">
        <f t="shared" si="1"/>
        <v>179974.61381214956</v>
      </c>
      <c r="L6" s="17">
        <f t="shared" si="2"/>
        <v>2.4394154127512661E-2</v>
      </c>
    </row>
    <row r="7" spans="1:12" x14ac:dyDescent="0.3">
      <c r="A7" s="3">
        <v>5</v>
      </c>
      <c r="B7" s="5">
        <v>1996</v>
      </c>
      <c r="C7" s="15">
        <v>196728.16666666666</v>
      </c>
      <c r="D7" s="17">
        <f t="shared" si="0"/>
        <v>6.0888072200524203E-2</v>
      </c>
      <c r="F7" s="10" t="s">
        <v>55</v>
      </c>
      <c r="G7" s="10">
        <v>6</v>
      </c>
      <c r="I7" s="3">
        <v>4</v>
      </c>
      <c r="J7" s="15">
        <v>185437.25</v>
      </c>
      <c r="K7" s="33">
        <f t="shared" si="1"/>
        <v>187882.31946960744</v>
      </c>
      <c r="L7" s="17">
        <f t="shared" si="2"/>
        <v>1.3185427790842644E-2</v>
      </c>
    </row>
    <row r="8" spans="1:12" x14ac:dyDescent="0.3">
      <c r="A8" s="3">
        <v>6</v>
      </c>
      <c r="B8" s="5">
        <v>1997</v>
      </c>
      <c r="C8" s="15">
        <v>206334.08333333334</v>
      </c>
      <c r="D8" s="17">
        <f t="shared" si="0"/>
        <v>4.8828374855659648E-2</v>
      </c>
      <c r="F8" s="10" t="s">
        <v>5</v>
      </c>
      <c r="G8" s="10"/>
      <c r="I8" s="3">
        <v>5</v>
      </c>
      <c r="J8" s="15">
        <v>196728.16666666666</v>
      </c>
      <c r="K8" s="33">
        <f t="shared" si="1"/>
        <v>196137.47306675219</v>
      </c>
      <c r="L8" s="17">
        <f t="shared" si="2"/>
        <v>3.0025878343863449E-3</v>
      </c>
    </row>
    <row r="9" spans="1:12" x14ac:dyDescent="0.3">
      <c r="A9" s="3">
        <v>7</v>
      </c>
      <c r="B9" s="5">
        <v>1998</v>
      </c>
      <c r="C9" s="15">
        <v>215657.66666666666</v>
      </c>
      <c r="D9" s="17">
        <f t="shared" si="0"/>
        <v>4.5186830904087892E-2</v>
      </c>
      <c r="F9" s="10" t="s">
        <v>6</v>
      </c>
      <c r="G9" s="10"/>
      <c r="I9" s="3">
        <v>6</v>
      </c>
      <c r="J9" s="15">
        <v>206334.08333333334</v>
      </c>
      <c r="K9" s="33">
        <f t="shared" si="1"/>
        <v>204755.34073462404</v>
      </c>
      <c r="L9" s="17">
        <f t="shared" si="2"/>
        <v>7.6513902754439152E-3</v>
      </c>
    </row>
    <row r="10" spans="1:12" x14ac:dyDescent="0.3">
      <c r="A10" s="3">
        <v>8</v>
      </c>
      <c r="B10" s="5">
        <v>1999</v>
      </c>
      <c r="C10" s="15">
        <v>233872</v>
      </c>
      <c r="D10" s="17">
        <f t="shared" si="0"/>
        <v>8.4459475124927977E-2</v>
      </c>
      <c r="F10" s="10" t="s">
        <v>56</v>
      </c>
      <c r="G10" s="10"/>
      <c r="I10" s="3">
        <v>7</v>
      </c>
      <c r="J10" s="15">
        <v>215657.66666666666</v>
      </c>
      <c r="K10" s="33">
        <f t="shared" si="1"/>
        <v>213751.8593659233</v>
      </c>
      <c r="L10" s="17">
        <f t="shared" si="2"/>
        <v>8.8371877995373337E-3</v>
      </c>
    </row>
    <row r="11" spans="1:12" x14ac:dyDescent="0.3">
      <c r="A11" s="3">
        <v>9</v>
      </c>
      <c r="B11" s="5">
        <v>2000</v>
      </c>
      <c r="C11" s="15">
        <v>248748.25</v>
      </c>
      <c r="D11" s="17">
        <f t="shared" si="0"/>
        <v>6.3608512348635154E-2</v>
      </c>
      <c r="F11" s="10" t="s">
        <v>57</v>
      </c>
      <c r="G11" s="10"/>
      <c r="I11" s="3">
        <v>8</v>
      </c>
      <c r="J11" s="15">
        <v>233872</v>
      </c>
      <c r="K11" s="33">
        <f t="shared" si="1"/>
        <v>223143.66608686617</v>
      </c>
      <c r="L11" s="17">
        <f t="shared" si="2"/>
        <v>4.5872673569875101E-2</v>
      </c>
    </row>
    <row r="12" spans="1:12" x14ac:dyDescent="0.3">
      <c r="A12" s="3">
        <v>10</v>
      </c>
      <c r="B12" s="5">
        <v>2001</v>
      </c>
      <c r="C12" s="15">
        <v>255663.75</v>
      </c>
      <c r="D12" s="17">
        <f t="shared" si="0"/>
        <v>2.7801200611461588E-2</v>
      </c>
      <c r="F12" s="10" t="s">
        <v>58</v>
      </c>
      <c r="G12" s="10"/>
      <c r="I12" s="3">
        <v>9</v>
      </c>
      <c r="J12" s="15">
        <v>248748.25</v>
      </c>
      <c r="K12" s="33">
        <f t="shared" si="1"/>
        <v>232948.12902397109</v>
      </c>
      <c r="L12" s="17">
        <f t="shared" si="2"/>
        <v>6.3518521139460909E-2</v>
      </c>
    </row>
    <row r="13" spans="1:12" x14ac:dyDescent="0.3">
      <c r="A13" s="3">
        <v>11</v>
      </c>
      <c r="B13" s="5">
        <v>2002</v>
      </c>
      <c r="C13" s="15">
        <v>261272.41666666666</v>
      </c>
      <c r="D13" s="17">
        <f t="shared" si="0"/>
        <v>2.1937668780445632E-2</v>
      </c>
      <c r="F13" s="10" t="s">
        <v>59</v>
      </c>
      <c r="G13" s="10"/>
      <c r="I13" s="3">
        <v>10</v>
      </c>
      <c r="J13" s="15">
        <v>255663.75</v>
      </c>
      <c r="K13" s="33">
        <f t="shared" si="1"/>
        <v>243183.37942267326</v>
      </c>
      <c r="L13" s="17">
        <f t="shared" si="2"/>
        <v>4.88155656690741E-2</v>
      </c>
    </row>
    <row r="14" spans="1:12" x14ac:dyDescent="0.3">
      <c r="A14" s="3">
        <v>12</v>
      </c>
      <c r="B14" s="5">
        <v>2003</v>
      </c>
      <c r="C14" s="15">
        <v>272232.5</v>
      </c>
      <c r="D14" s="17">
        <f t="shared" si="0"/>
        <v>4.1948872648567039E-2</v>
      </c>
      <c r="F14" s="10" t="s">
        <v>18</v>
      </c>
      <c r="G14" s="10"/>
      <c r="I14" s="3">
        <v>11</v>
      </c>
      <c r="J14" s="15">
        <v>261272.41666666666</v>
      </c>
      <c r="K14" s="33">
        <f t="shared" si="1"/>
        <v>253868.34517716331</v>
      </c>
      <c r="L14" s="17">
        <f t="shared" si="2"/>
        <v>2.833851190250028E-2</v>
      </c>
    </row>
    <row r="15" spans="1:12" x14ac:dyDescent="0.3">
      <c r="A15" s="3">
        <v>13</v>
      </c>
      <c r="B15" s="5">
        <v>2004</v>
      </c>
      <c r="C15" s="15">
        <v>288987.5</v>
      </c>
      <c r="D15" s="17">
        <f t="shared" si="0"/>
        <v>6.154665589156328E-2</v>
      </c>
      <c r="I15" s="3">
        <v>12</v>
      </c>
      <c r="J15" s="15">
        <v>272232.5</v>
      </c>
      <c r="K15" s="33">
        <f t="shared" si="1"/>
        <v>265022.78583345655</v>
      </c>
      <c r="L15" s="17">
        <f t="shared" si="2"/>
        <v>2.6483664391810113E-2</v>
      </c>
    </row>
    <row r="16" spans="1:12" x14ac:dyDescent="0.3">
      <c r="A16" s="3">
        <v>14</v>
      </c>
      <c r="B16" s="5">
        <v>2005</v>
      </c>
      <c r="C16" s="15">
        <v>307826.08333333331</v>
      </c>
      <c r="D16" s="17">
        <f t="shared" si="0"/>
        <v>6.5188229017979368E-2</v>
      </c>
      <c r="I16" s="3">
        <v>13</v>
      </c>
      <c r="J16" s="15">
        <v>288987.5</v>
      </c>
      <c r="K16" s="33">
        <f t="shared" si="1"/>
        <v>276667.32913042337</v>
      </c>
      <c r="L16" s="17">
        <f t="shared" si="2"/>
        <v>4.2632192982660591E-2</v>
      </c>
    </row>
    <row r="17" spans="1:14" x14ac:dyDescent="0.3">
      <c r="A17" s="3">
        <v>15</v>
      </c>
      <c r="B17" s="5">
        <v>2006</v>
      </c>
      <c r="C17" s="15">
        <v>323823.08333333331</v>
      </c>
      <c r="D17" s="17">
        <f t="shared" si="0"/>
        <v>5.1967655978903675E-2</v>
      </c>
      <c r="I17" s="3">
        <v>14</v>
      </c>
      <c r="J17" s="15">
        <v>307826.08333333331</v>
      </c>
      <c r="K17" s="33">
        <f t="shared" si="1"/>
        <v>288823.50914635573</v>
      </c>
      <c r="L17" s="17">
        <f t="shared" si="2"/>
        <v>6.1731527040222924E-2</v>
      </c>
    </row>
    <row r="18" spans="1:14" x14ac:dyDescent="0.3">
      <c r="A18" s="3">
        <v>16</v>
      </c>
      <c r="B18" s="5">
        <v>2007</v>
      </c>
      <c r="C18" s="15">
        <v>334008</v>
      </c>
      <c r="D18" s="17">
        <f t="shared" si="0"/>
        <v>3.1452102060873323E-2</v>
      </c>
      <c r="I18" s="3">
        <v>15</v>
      </c>
      <c r="J18" s="15">
        <v>323823.08333333331</v>
      </c>
      <c r="K18" s="33">
        <f t="shared" si="1"/>
        <v>301513.80612161325</v>
      </c>
      <c r="L18" s="17">
        <f t="shared" si="2"/>
        <v>6.8893412359845876E-2</v>
      </c>
    </row>
    <row r="19" spans="1:14" x14ac:dyDescent="0.3">
      <c r="A19" s="3">
        <v>17</v>
      </c>
      <c r="B19" s="5">
        <v>2008</v>
      </c>
      <c r="C19" s="15">
        <v>328780.33333333331</v>
      </c>
      <c r="D19" s="17">
        <f t="shared" si="0"/>
        <v>-1.5651321724829005E-2</v>
      </c>
      <c r="I19" s="3">
        <v>16</v>
      </c>
      <c r="J19" s="15">
        <v>334008</v>
      </c>
      <c r="K19" s="33">
        <f t="shared" si="1"/>
        <v>314761.68803099269</v>
      </c>
      <c r="L19" s="17">
        <f t="shared" si="2"/>
        <v>5.7622308354911583E-2</v>
      </c>
    </row>
    <row r="20" spans="1:14" x14ac:dyDescent="0.3">
      <c r="A20" s="3">
        <v>18</v>
      </c>
      <c r="B20" s="5">
        <v>2009</v>
      </c>
      <c r="C20" s="15">
        <v>303288.91666666669</v>
      </c>
      <c r="D20" s="17">
        <f t="shared" si="0"/>
        <v>-7.7533277030965853E-2</v>
      </c>
      <c r="I20" s="3">
        <v>17</v>
      </c>
      <c r="J20" s="15">
        <v>328780.33333333331</v>
      </c>
      <c r="K20" s="33">
        <f t="shared" si="1"/>
        <v>328591.65398269973</v>
      </c>
      <c r="L20" s="17">
        <f t="shared" si="2"/>
        <v>5.7387663282855005E-4</v>
      </c>
    </row>
    <row r="21" spans="1:14" x14ac:dyDescent="0.3">
      <c r="A21" s="3">
        <v>19</v>
      </c>
      <c r="B21" s="5">
        <v>2010</v>
      </c>
      <c r="C21" s="15">
        <v>323964.16666666669</v>
      </c>
      <c r="D21" s="17">
        <f t="shared" si="0"/>
        <v>6.8170146892388359E-2</v>
      </c>
      <c r="I21" s="3">
        <v>18</v>
      </c>
      <c r="J21" s="15">
        <v>303288.91666666669</v>
      </c>
      <c r="K21" s="33">
        <f t="shared" si="1"/>
        <v>343029.27952418046</v>
      </c>
      <c r="L21" s="17">
        <f t="shared" si="2"/>
        <v>0.13103137198116241</v>
      </c>
    </row>
    <row r="22" spans="1:14" ht="15" thickBot="1" x14ac:dyDescent="0.35">
      <c r="A22" s="6">
        <v>20</v>
      </c>
      <c r="B22" s="7">
        <v>2011</v>
      </c>
      <c r="C22" s="18">
        <v>349717.75</v>
      </c>
      <c r="D22" s="19">
        <f t="shared" si="0"/>
        <v>7.949516021576454E-2</v>
      </c>
      <c r="I22" s="3">
        <v>19</v>
      </c>
      <c r="J22" s="15">
        <v>323964.16666666669</v>
      </c>
      <c r="K22" s="33">
        <f t="shared" si="1"/>
        <v>358101.26393859531</v>
      </c>
      <c r="L22" s="17">
        <f t="shared" si="2"/>
        <v>0.10537306524722216</v>
      </c>
    </row>
    <row r="23" spans="1:14" ht="15" thickBot="1" x14ac:dyDescent="0.35">
      <c r="A23" s="14"/>
      <c r="B23" s="5"/>
      <c r="C23" s="63" t="s">
        <v>8</v>
      </c>
      <c r="D23" s="62">
        <f>AVERAGE(D4:D22)</f>
        <v>4.5984612986502658E-2</v>
      </c>
      <c r="I23" s="6">
        <v>20</v>
      </c>
      <c r="J23" s="18">
        <v>349717.75</v>
      </c>
      <c r="K23" s="64">
        <f t="shared" si="1"/>
        <v>373835.47961940081</v>
      </c>
      <c r="L23" s="19">
        <f t="shared" si="2"/>
        <v>6.8963412979183375E-2</v>
      </c>
    </row>
    <row r="24" spans="1:14" ht="27" customHeight="1" thickBot="1" x14ac:dyDescent="0.35">
      <c r="K24" s="66" t="s">
        <v>13</v>
      </c>
      <c r="L24" s="65">
        <f>AVERAGE(L4:L23)</f>
        <v>4.8418489540186016E-2</v>
      </c>
      <c r="M24" s="70" t="s">
        <v>53</v>
      </c>
      <c r="N24" s="69"/>
    </row>
    <row r="25" spans="1:14" x14ac:dyDescent="0.3">
      <c r="K25" s="20"/>
      <c r="L25" s="12"/>
    </row>
    <row r="26" spans="1:14" x14ac:dyDescent="0.3">
      <c r="A26" s="14"/>
      <c r="B26" s="5"/>
      <c r="L26" s="14"/>
    </row>
    <row r="27" spans="1:14" x14ac:dyDescent="0.3">
      <c r="A27" s="14"/>
      <c r="B27" s="5"/>
      <c r="I27" s="53" t="s">
        <v>1</v>
      </c>
      <c r="J27" s="53" t="s">
        <v>51</v>
      </c>
      <c r="K27" s="53" t="s">
        <v>52</v>
      </c>
      <c r="L27" s="35"/>
    </row>
    <row r="28" spans="1:14" x14ac:dyDescent="0.3">
      <c r="A28" s="14"/>
      <c r="B28" s="5"/>
      <c r="G28" s="8" t="s">
        <v>50</v>
      </c>
      <c r="H28" s="8"/>
      <c r="I28" s="13">
        <f>B22+14</f>
        <v>2025</v>
      </c>
      <c r="J28" s="13">
        <f>A22+14</f>
        <v>34</v>
      </c>
      <c r="K28" s="21">
        <f>$G$4*EXP($G$5*J28)</f>
        <v>682536.36423284397</v>
      </c>
      <c r="L28" s="36"/>
    </row>
    <row r="29" spans="1:14" x14ac:dyDescent="0.3">
      <c r="A29" s="14"/>
      <c r="B29" s="5"/>
      <c r="I29" s="13">
        <f>I28+25</f>
        <v>2050</v>
      </c>
      <c r="J29" s="13">
        <f>J28+25</f>
        <v>59</v>
      </c>
      <c r="K29" s="21">
        <f>$G$4*EXP($G$5*J29)</f>
        <v>1999826.7015583178</v>
      </c>
      <c r="L29" s="36"/>
    </row>
    <row r="30" spans="1:14" x14ac:dyDescent="0.3">
      <c r="A30" s="14"/>
      <c r="B30" s="5"/>
      <c r="L30" s="11"/>
    </row>
    <row r="31" spans="1:14" x14ac:dyDescent="0.3">
      <c r="A31" s="14"/>
      <c r="B31" s="5"/>
    </row>
    <row r="36" spans="1:2" x14ac:dyDescent="0.3">
      <c r="A36" s="14"/>
      <c r="B36" s="5"/>
    </row>
  </sheetData>
  <mergeCells count="8">
    <mergeCell ref="G28:H28"/>
    <mergeCell ref="M24:N24"/>
    <mergeCell ref="F6:G6"/>
    <mergeCell ref="F3:G3"/>
    <mergeCell ref="F2:G2"/>
    <mergeCell ref="I2:J2"/>
    <mergeCell ref="K2:L2"/>
    <mergeCell ref="A1:D1"/>
  </mergeCells>
  <conditionalFormatting sqref="D23">
    <cfRule type="cellIs" dxfId="7" priority="3" operator="equal">
      <formula>$D$23</formula>
    </cfRule>
  </conditionalFormatting>
  <conditionalFormatting sqref="L24">
    <cfRule type="cellIs" dxfId="6" priority="1" operator="lessThan">
      <formula>$D$23</formula>
    </cfRule>
    <cfRule type="cellIs" dxfId="5" priority="2" operator="greaterThan">
      <formula>$D$23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30A-68F3-4B72-8225-A688B07F71C1}">
  <dimension ref="A1:I26"/>
  <sheetViews>
    <sheetView workbookViewId="0">
      <selection activeCell="I9" sqref="I9"/>
    </sheetView>
  </sheetViews>
  <sheetFormatPr defaultRowHeight="14.4" x14ac:dyDescent="0.3"/>
  <cols>
    <col min="1" max="1" width="27.33203125" customWidth="1"/>
    <col min="2" max="2" width="15.44140625" bestFit="1" customWidth="1"/>
    <col min="3" max="4" width="15.21875" bestFit="1" customWidth="1"/>
    <col min="5" max="5" width="14.44140625" bestFit="1" customWidth="1"/>
    <col min="6" max="6" width="26.33203125" customWidth="1"/>
    <col min="7" max="7" width="15.44140625" bestFit="1" customWidth="1"/>
    <col min="8" max="9" width="14.77734375" bestFit="1" customWidth="1"/>
    <col min="10" max="10" width="13.109375" bestFit="1" customWidth="1"/>
    <col min="11" max="11" width="13.77734375" bestFit="1" customWidth="1"/>
    <col min="12" max="13" width="14.77734375" bestFit="1" customWidth="1"/>
    <col min="14" max="14" width="14.44140625" bestFit="1" customWidth="1"/>
  </cols>
  <sheetData>
    <row r="1" spans="1:9" x14ac:dyDescent="0.3">
      <c r="A1" s="31" t="s">
        <v>14</v>
      </c>
      <c r="B1" s="32"/>
      <c r="G1" s="51"/>
      <c r="H1" s="51"/>
      <c r="I1" s="51"/>
    </row>
    <row r="2" spans="1:9" x14ac:dyDescent="0.3">
      <c r="A2" s="3" t="s">
        <v>17</v>
      </c>
      <c r="B2" s="16">
        <v>5</v>
      </c>
      <c r="G2" s="14"/>
      <c r="H2" s="14"/>
      <c r="I2" s="14"/>
    </row>
    <row r="3" spans="1:9" x14ac:dyDescent="0.3">
      <c r="A3" s="29" t="s">
        <v>19</v>
      </c>
      <c r="B3" s="16"/>
      <c r="G3" s="33"/>
      <c r="H3" s="33"/>
      <c r="I3" s="33"/>
    </row>
    <row r="4" spans="1:9" x14ac:dyDescent="0.3">
      <c r="A4" s="22" t="s">
        <v>20</v>
      </c>
      <c r="B4" s="23">
        <v>4000000</v>
      </c>
    </row>
    <row r="5" spans="1:9" ht="15" thickBot="1" x14ac:dyDescent="0.35">
      <c r="A5" s="22" t="s">
        <v>21</v>
      </c>
      <c r="B5" s="26">
        <v>0.5</v>
      </c>
      <c r="C5" t="s">
        <v>26</v>
      </c>
    </row>
    <row r="6" spans="1:9" x14ac:dyDescent="0.3">
      <c r="A6" s="22" t="s">
        <v>24</v>
      </c>
      <c r="B6" s="24">
        <v>0.4</v>
      </c>
      <c r="C6" t="s">
        <v>25</v>
      </c>
      <c r="D6" s="41" t="s">
        <v>41</v>
      </c>
      <c r="E6" s="42"/>
    </row>
    <row r="7" spans="1:9" ht="15" customHeight="1" x14ac:dyDescent="0.3">
      <c r="A7" s="25" t="s">
        <v>45</v>
      </c>
      <c r="B7" s="24">
        <v>0.02</v>
      </c>
      <c r="C7" t="s">
        <v>23</v>
      </c>
      <c r="D7" s="43" t="s">
        <v>42</v>
      </c>
      <c r="E7" s="44"/>
    </row>
    <row r="8" spans="1:9" ht="14.4" customHeight="1" x14ac:dyDescent="0.3">
      <c r="A8" s="3"/>
      <c r="B8" s="16"/>
      <c r="D8" s="45" t="s">
        <v>40</v>
      </c>
      <c r="E8" s="46" t="s">
        <v>43</v>
      </c>
      <c r="F8" s="40" t="s">
        <v>46</v>
      </c>
    </row>
    <row r="9" spans="1:9" ht="15" thickBot="1" x14ac:dyDescent="0.35">
      <c r="A9" s="30" t="s">
        <v>27</v>
      </c>
      <c r="B9" s="16"/>
      <c r="D9" s="47">
        <v>48.8</v>
      </c>
      <c r="E9" s="48">
        <v>58.9</v>
      </c>
      <c r="F9" s="49" t="s">
        <v>44</v>
      </c>
      <c r="G9" s="50"/>
      <c r="H9" s="50"/>
    </row>
    <row r="10" spans="1:9" x14ac:dyDescent="0.3">
      <c r="A10" s="22" t="s">
        <v>28</v>
      </c>
      <c r="B10" s="26">
        <v>80000</v>
      </c>
    </row>
    <row r="11" spans="1:9" x14ac:dyDescent="0.3">
      <c r="A11" s="22" t="s">
        <v>29</v>
      </c>
      <c r="B11" s="34">
        <v>0.98393607837323271</v>
      </c>
      <c r="C11" t="s">
        <v>22</v>
      </c>
    </row>
    <row r="12" spans="1:9" ht="15" thickBot="1" x14ac:dyDescent="0.35">
      <c r="A12" s="28" t="s">
        <v>15</v>
      </c>
      <c r="B12" s="27">
        <v>25</v>
      </c>
      <c r="C12" t="s">
        <v>16</v>
      </c>
    </row>
    <row r="16" spans="1:9" x14ac:dyDescent="0.3">
      <c r="A16" s="20"/>
      <c r="B16" s="54" t="s">
        <v>32</v>
      </c>
      <c r="C16" s="54" t="s">
        <v>37</v>
      </c>
      <c r="D16" s="54" t="s">
        <v>30</v>
      </c>
      <c r="E16" s="54" t="s">
        <v>47</v>
      </c>
      <c r="F16" s="54" t="s">
        <v>33</v>
      </c>
      <c r="G16" s="54" t="s">
        <v>38</v>
      </c>
      <c r="H16" s="54" t="s">
        <v>39</v>
      </c>
      <c r="I16" s="54" t="s">
        <v>31</v>
      </c>
    </row>
    <row r="17" spans="2:9" x14ac:dyDescent="0.3">
      <c r="B17" s="10">
        <v>1</v>
      </c>
      <c r="C17" s="37">
        <f>B10</f>
        <v>80000</v>
      </c>
      <c r="D17" s="55">
        <f>C17*$B$12</f>
        <v>2000000</v>
      </c>
      <c r="E17" s="38">
        <f>B6</f>
        <v>0.4</v>
      </c>
      <c r="F17" s="21">
        <f>E17*D17</f>
        <v>800000</v>
      </c>
      <c r="G17" s="21">
        <f>$B$5*D17</f>
        <v>1000000</v>
      </c>
      <c r="H17" s="55">
        <f>G17+F17</f>
        <v>1800000</v>
      </c>
      <c r="I17" s="55">
        <f>D17-H17</f>
        <v>200000</v>
      </c>
    </row>
    <row r="18" spans="2:9" x14ac:dyDescent="0.3">
      <c r="B18" s="10">
        <v>2</v>
      </c>
      <c r="C18" s="39">
        <f>C17*(1+$B$11)</f>
        <v>158714.88626985863</v>
      </c>
      <c r="D18" s="55">
        <f>C18*$B$12</f>
        <v>3967872.1567464657</v>
      </c>
      <c r="E18" s="38">
        <f>E17-$B$7</f>
        <v>0.38</v>
      </c>
      <c r="F18" s="21">
        <f t="shared" ref="F18:F21" si="0">E18*D18</f>
        <v>1507791.4195636569</v>
      </c>
      <c r="G18" s="21">
        <f>$B$5*D18</f>
        <v>1983936.0783732329</v>
      </c>
      <c r="H18" s="55">
        <f t="shared" ref="H18:H21" si="1">G18+F18</f>
        <v>3491727.4979368895</v>
      </c>
      <c r="I18" s="55">
        <f t="shared" ref="I18:I21" si="2">D18-H18</f>
        <v>476144.65880957618</v>
      </c>
    </row>
    <row r="19" spans="2:9" x14ac:dyDescent="0.3">
      <c r="B19" s="10">
        <v>3</v>
      </c>
      <c r="C19" s="39">
        <f>C18*(1+$B$11)</f>
        <v>314880.18904567696</v>
      </c>
      <c r="D19" s="55">
        <f>C19*$B$12</f>
        <v>7872004.726141924</v>
      </c>
      <c r="E19" s="38">
        <f>E18-$B$7</f>
        <v>0.36</v>
      </c>
      <c r="F19" s="21">
        <f t="shared" si="0"/>
        <v>2833921.7014110927</v>
      </c>
      <c r="G19" s="21">
        <f>$B$5*D19</f>
        <v>3936002.363070962</v>
      </c>
      <c r="H19" s="55">
        <f t="shared" si="1"/>
        <v>6769924.0644820547</v>
      </c>
      <c r="I19" s="55">
        <f t="shared" si="2"/>
        <v>1102080.6616598694</v>
      </c>
    </row>
    <row r="20" spans="2:9" x14ac:dyDescent="0.3">
      <c r="B20" s="10">
        <v>4</v>
      </c>
      <c r="C20" s="39">
        <f>C19*(1+$B$11)</f>
        <v>624702.16741270246</v>
      </c>
      <c r="D20" s="55">
        <f>C20*$B$12</f>
        <v>15617554.185317561</v>
      </c>
      <c r="E20" s="38">
        <f>E19-$B$7</f>
        <v>0.33999999999999997</v>
      </c>
      <c r="F20" s="21">
        <f t="shared" si="0"/>
        <v>5309968.4230079707</v>
      </c>
      <c r="G20" s="21">
        <f>$B$5*D20</f>
        <v>7808777.0926587805</v>
      </c>
      <c r="H20" s="55">
        <f t="shared" si="1"/>
        <v>13118745.515666751</v>
      </c>
      <c r="I20" s="55">
        <f t="shared" si="2"/>
        <v>2498808.6696508098</v>
      </c>
    </row>
    <row r="21" spans="2:9" x14ac:dyDescent="0.3">
      <c r="B21" s="10">
        <v>5</v>
      </c>
      <c r="C21" s="39">
        <f>C20*(1+$B$11)</f>
        <v>1239369.1681680155</v>
      </c>
      <c r="D21" s="55">
        <f>C21*$B$12</f>
        <v>30984229.204200387</v>
      </c>
      <c r="E21" s="38">
        <f>E20-$B$7</f>
        <v>0.31999999999999995</v>
      </c>
      <c r="F21" s="21">
        <f t="shared" si="0"/>
        <v>9914953.3453441225</v>
      </c>
      <c r="G21" s="21">
        <f>$B$5*D21</f>
        <v>15492114.602100194</v>
      </c>
      <c r="H21" s="55">
        <f t="shared" si="1"/>
        <v>25407067.947444316</v>
      </c>
      <c r="I21" s="55">
        <f t="shared" si="2"/>
        <v>5577161.256756071</v>
      </c>
    </row>
    <row r="22" spans="2:9" x14ac:dyDescent="0.3">
      <c r="H22" s="59" t="s">
        <v>40</v>
      </c>
      <c r="I22" s="21">
        <f>SUM(I17:I21)-B4</f>
        <v>5854195.2468763255</v>
      </c>
    </row>
    <row r="23" spans="2:9" x14ac:dyDescent="0.3">
      <c r="B23" s="58" t="s">
        <v>48</v>
      </c>
      <c r="C23" s="58"/>
    </row>
    <row r="24" spans="2:9" x14ac:dyDescent="0.3">
      <c r="B24" s="52" t="s">
        <v>34</v>
      </c>
      <c r="C24" s="56">
        <v>0.05</v>
      </c>
    </row>
    <row r="25" spans="2:9" x14ac:dyDescent="0.3">
      <c r="B25" s="52" t="s">
        <v>35</v>
      </c>
      <c r="C25" s="57">
        <f>NPV(C24,I17:I21)</f>
        <v>8000000.0000186954</v>
      </c>
    </row>
    <row r="26" spans="2:9" x14ac:dyDescent="0.3">
      <c r="B26" s="59" t="s">
        <v>36</v>
      </c>
      <c r="C26" s="57">
        <f>C25-B4</f>
        <v>4000000.0000186954</v>
      </c>
    </row>
  </sheetData>
  <mergeCells count="4">
    <mergeCell ref="B23:C23"/>
    <mergeCell ref="A1:B1"/>
    <mergeCell ref="D6:E6"/>
    <mergeCell ref="D7:E7"/>
  </mergeCells>
  <conditionalFormatting sqref="I22">
    <cfRule type="cellIs" dxfId="4" priority="3" operator="equal">
      <formula>$B$4</formula>
    </cfRule>
    <cfRule type="cellIs" dxfId="3" priority="4" operator="lessThan">
      <formula>$B$4</formula>
    </cfRule>
    <cfRule type="cellIs" dxfId="2" priority="5" operator="greaterThan">
      <formula>$B$4</formula>
    </cfRule>
  </conditionalFormatting>
  <conditionalFormatting sqref="C26">
    <cfRule type="cellIs" dxfId="1" priority="1" operator="lessThan">
      <formula>$B$4</formula>
    </cfRule>
    <cfRule type="cellIs" dxfId="0" priority="2" operator="greaterThan">
      <formula>4000000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Exercício - Toy Co.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Andriele Mendonça</cp:lastModifiedBy>
  <dcterms:created xsi:type="dcterms:W3CDTF">2022-03-03T21:21:57Z</dcterms:created>
  <dcterms:modified xsi:type="dcterms:W3CDTF">2024-01-27T22:11:58Z</dcterms:modified>
</cp:coreProperties>
</file>