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iele\OneDrive\Área de Trabalho\Excel-spreadsheets\"/>
    </mc:Choice>
  </mc:AlternateContent>
  <xr:revisionPtr revIDLastSave="0" documentId="13_ncr:1_{722AA7B1-FF19-40B9-BB9C-15271C1EA4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del" sheetId="1" r:id="rId1"/>
    <sheet name="Visualiz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0" i="1" l="1"/>
  <c r="T21" i="1"/>
  <c r="T22" i="1"/>
  <c r="T20" i="1"/>
  <c r="W5" i="1"/>
  <c r="W6" i="1"/>
  <c r="W7" i="1"/>
  <c r="W8" i="1"/>
  <c r="W9" i="1"/>
  <c r="W10" i="1"/>
  <c r="W11" i="1"/>
  <c r="W12" i="1"/>
  <c r="W13" i="1"/>
  <c r="W14" i="1"/>
  <c r="W15" i="1"/>
  <c r="W4" i="1"/>
  <c r="X4" i="1" s="1"/>
  <c r="P10" i="1" l="1"/>
  <c r="R10" i="1" s="1"/>
  <c r="Y16" i="1"/>
  <c r="N5" i="1"/>
  <c r="N6" i="1"/>
  <c r="N7" i="1"/>
  <c r="N8" i="1"/>
  <c r="N9" i="1"/>
  <c r="N10" i="1"/>
  <c r="N11" i="1"/>
  <c r="N12" i="1"/>
  <c r="N13" i="1"/>
  <c r="N14" i="1"/>
  <c r="N15" i="1"/>
  <c r="N4" i="1"/>
  <c r="O5" i="1"/>
  <c r="O6" i="1"/>
  <c r="O7" i="1"/>
  <c r="O8" i="1"/>
  <c r="O9" i="1"/>
  <c r="O10" i="1"/>
  <c r="O11" i="1"/>
  <c r="O12" i="1"/>
  <c r="O13" i="1"/>
  <c r="O14" i="1"/>
  <c r="O15" i="1"/>
  <c r="O4" i="1"/>
  <c r="P5" i="1"/>
  <c r="R5" i="1" s="1"/>
  <c r="P6" i="1"/>
  <c r="R6" i="1" s="1"/>
  <c r="P7" i="1"/>
  <c r="R7" i="1" s="1"/>
  <c r="P8" i="1"/>
  <c r="R8" i="1" s="1"/>
  <c r="P9" i="1"/>
  <c r="R9" i="1" s="1"/>
  <c r="P11" i="1"/>
  <c r="R11" i="1" s="1"/>
  <c r="P12" i="1"/>
  <c r="R12" i="1" s="1"/>
  <c r="P13" i="1"/>
  <c r="R13" i="1" s="1"/>
  <c r="P14" i="1"/>
  <c r="R14" i="1" s="1"/>
  <c r="P15" i="1"/>
  <c r="R15" i="1" s="1"/>
  <c r="P4" i="1"/>
  <c r="U4" i="1" s="1"/>
  <c r="S22" i="1" l="1"/>
  <c r="U20" i="1"/>
  <c r="U21" i="1"/>
  <c r="U22" i="1"/>
  <c r="S21" i="1"/>
  <c r="S20" i="1"/>
  <c r="O23" i="1" s="1"/>
  <c r="R4" i="1"/>
  <c r="Q15" i="1"/>
  <c r="S15" i="1"/>
  <c r="V22" i="1" s="1"/>
  <c r="U15" i="1"/>
  <c r="X22" i="1" s="1"/>
  <c r="Q14" i="1"/>
  <c r="S14" i="1"/>
  <c r="U14" i="1"/>
  <c r="Q13" i="1"/>
  <c r="S13" i="1"/>
  <c r="U13" i="1"/>
  <c r="Q12" i="1"/>
  <c r="S12" i="1"/>
  <c r="U12" i="1"/>
  <c r="Q11" i="1"/>
  <c r="S11" i="1"/>
  <c r="U11" i="1"/>
  <c r="Q10" i="1"/>
  <c r="S10" i="1"/>
  <c r="U10" i="1"/>
  <c r="Q9" i="1"/>
  <c r="S9" i="1"/>
  <c r="U9" i="1"/>
  <c r="Q8" i="1"/>
  <c r="S8" i="1"/>
  <c r="U8" i="1"/>
  <c r="Q7" i="1"/>
  <c r="S7" i="1"/>
  <c r="U7" i="1"/>
  <c r="Q6" i="1"/>
  <c r="S6" i="1"/>
  <c r="U6" i="1"/>
  <c r="Q5" i="1"/>
  <c r="S5" i="1"/>
  <c r="U5" i="1"/>
  <c r="Q4" i="1"/>
  <c r="S4" i="1"/>
  <c r="V20" i="1" l="1"/>
  <c r="X20" i="1"/>
  <c r="X21" i="1"/>
  <c r="U23" i="1"/>
  <c r="V21" i="1"/>
  <c r="O21" i="1"/>
  <c r="T4" i="1"/>
  <c r="V4" i="1" s="1"/>
  <c r="X23" i="1" l="1"/>
  <c r="V23" i="1"/>
  <c r="T6" i="1"/>
  <c r="V6" i="1" s="1"/>
  <c r="T5" i="1"/>
  <c r="X6" i="1" l="1"/>
  <c r="X5" i="1"/>
  <c r="V5" i="1"/>
  <c r="T7" i="1" l="1"/>
  <c r="W20" i="1" s="1"/>
  <c r="T8" i="1"/>
  <c r="T9" i="1"/>
  <c r="T10" i="1"/>
  <c r="T11" i="1"/>
  <c r="T12" i="1"/>
  <c r="X12" i="1" s="1"/>
  <c r="T13" i="1"/>
  <c r="T14" i="1"/>
  <c r="T15" i="1"/>
  <c r="W22" i="1" s="1"/>
  <c r="W21" i="1" l="1"/>
  <c r="W23" i="1" s="1"/>
  <c r="O22" i="1" s="1"/>
  <c r="X15" i="1"/>
  <c r="X10" i="1"/>
  <c r="X7" i="1"/>
  <c r="V13" i="1"/>
  <c r="X13" i="1"/>
  <c r="V11" i="1"/>
  <c r="X11" i="1"/>
  <c r="V9" i="1"/>
  <c r="X9" i="1"/>
  <c r="V14" i="1"/>
  <c r="X14" i="1"/>
  <c r="V8" i="1"/>
  <c r="X8" i="1"/>
  <c r="V15" i="1"/>
  <c r="V12" i="1"/>
  <c r="V10" i="1"/>
  <c r="V7" i="1"/>
  <c r="L11" i="1" l="1"/>
  <c r="J11" i="1"/>
  <c r="K11" i="1"/>
  <c r="T23" i="1"/>
  <c r="O19" i="1"/>
</calcChain>
</file>

<file path=xl/sharedStrings.xml><?xml version="1.0" encoding="utf-8"?>
<sst xmlns="http://schemas.openxmlformats.org/spreadsheetml/2006/main" count="65" uniqueCount="45">
  <si>
    <t>Financial Estimates for Potential Projects (in $millions)</t>
  </si>
  <si>
    <t>Project Index</t>
  </si>
  <si>
    <t>Functional Area (FA)</t>
  </si>
  <si>
    <t>Partnership Percentage</t>
  </si>
  <si>
    <t>Capex Year 1</t>
  </si>
  <si>
    <t>FA1</t>
  </si>
  <si>
    <t>FA2</t>
  </si>
  <si>
    <t>FA3</t>
  </si>
  <si>
    <t>Capex Year 2</t>
  </si>
  <si>
    <t>Capex Year 3</t>
  </si>
  <si>
    <t>NPV</t>
  </si>
  <si>
    <t>Capex Total</t>
  </si>
  <si>
    <t>Result</t>
  </si>
  <si>
    <t>Functional Area</t>
  </si>
  <si>
    <t>NPV reduced</t>
  </si>
  <si>
    <t>ROI</t>
  </si>
  <si>
    <t>ROI reduced</t>
  </si>
  <si>
    <t>ROI min</t>
  </si>
  <si>
    <t>ROI max</t>
  </si>
  <si>
    <t>ROI average</t>
  </si>
  <si>
    <t>Data Tabel</t>
  </si>
  <si>
    <t>FA ID</t>
  </si>
  <si>
    <t>Given:</t>
  </si>
  <si>
    <t>Financial Estimates based on partnership %</t>
  </si>
  <si>
    <t>Aproved projects</t>
  </si>
  <si>
    <t>Annual Revenue (mi)</t>
  </si>
  <si>
    <t>Expenditure (mi)</t>
  </si>
  <si>
    <t>Expenditure per year (mi)</t>
  </si>
  <si>
    <t>NPV Discount Rate decrease:</t>
  </si>
  <si>
    <t>Capex 2 &lt; $ 4 bi</t>
  </si>
  <si>
    <t>Capex 1 &lt; $ 4 bi</t>
  </si>
  <si>
    <t>Capex 3 &lt; $ 4 bi</t>
  </si>
  <si>
    <t>Capex Total &lt; $ 10 bi</t>
  </si>
  <si>
    <t>Requeriments</t>
  </si>
  <si>
    <t>At least 1 approved project per FA</t>
  </si>
  <si>
    <t>Partnership %</t>
  </si>
  <si>
    <t>Project ID</t>
  </si>
  <si>
    <t>Approved Projects per Functional Area</t>
  </si>
  <si>
    <t>Totals:</t>
  </si>
  <si>
    <t>NPV Rate:</t>
  </si>
  <si>
    <t>NPV Reduction %</t>
  </si>
  <si>
    <t>Inputs</t>
  </si>
  <si>
    <t>Total Capex</t>
  </si>
  <si>
    <t>Total Ap. P.</t>
  </si>
  <si>
    <t xml:space="preserve"> Total 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</si>
</sst>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$-409]* #,##0_ ;_-[$$-409]* \-#,##0\ ;_-[$$-409]* &quot;-&quot;??_ ;_-@_ "/>
    <numFmt numFmtId="165" formatCode="0.0%"/>
    <numFmt numFmtId="166" formatCode="_-[$$-409]* #,##0.0_ ;_-[$$-409]* \-#,##0.0\ ;_-[$$-409]* &quot;-&quot;??_ ;_-@_ 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/>
      <right style="medium">
        <color indexed="64"/>
      </right>
      <top style="medium">
        <color indexed="64"/>
      </top>
      <bottom style="thick">
        <color theme="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9" fontId="2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0" borderId="18" applyNumberFormat="0" applyFill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4" fillId="5" borderId="0" applyNumberFormat="0" applyBorder="0" applyAlignment="0" applyProtection="0"/>
    <xf numFmtId="0" fontId="2" fillId="6" borderId="0" applyNumberFormat="0" applyBorder="0" applyAlignment="0" applyProtection="0"/>
    <xf numFmtId="0" fontId="8" fillId="7" borderId="35" applyNumberFormat="0" applyAlignment="0" applyProtection="0"/>
  </cellStyleXfs>
  <cellXfs count="9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9" fontId="0" fillId="0" borderId="0" xfId="1" applyFont="1" applyBorder="1"/>
    <xf numFmtId="0" fontId="1" fillId="0" borderId="0" xfId="0" applyFont="1" applyAlignment="1">
      <alignment horizontal="center"/>
    </xf>
    <xf numFmtId="0" fontId="0" fillId="0" borderId="2" xfId="0" applyBorder="1"/>
    <xf numFmtId="0" fontId="2" fillId="3" borderId="10" xfId="4" applyBorder="1" applyAlignment="1">
      <alignment horizontal="center"/>
    </xf>
    <xf numFmtId="0" fontId="2" fillId="3" borderId="11" xfId="4" applyBorder="1" applyAlignment="1">
      <alignment horizontal="center"/>
    </xf>
    <xf numFmtId="9" fontId="2" fillId="3" borderId="11" xfId="4" applyNumberFormat="1" applyBorder="1" applyAlignment="1">
      <alignment horizontal="center"/>
    </xf>
    <xf numFmtId="0" fontId="2" fillId="3" borderId="12" xfId="4" applyBorder="1" applyAlignment="1">
      <alignment horizontal="center"/>
    </xf>
    <xf numFmtId="0" fontId="2" fillId="3" borderId="2" xfId="4" applyBorder="1" applyAlignment="1">
      <alignment horizontal="center"/>
    </xf>
    <xf numFmtId="0" fontId="2" fillId="3" borderId="1" xfId="4" applyBorder="1" applyAlignment="1">
      <alignment horizontal="center"/>
    </xf>
    <xf numFmtId="9" fontId="2" fillId="3" borderId="1" xfId="4" applyNumberFormat="1" applyBorder="1" applyAlignment="1">
      <alignment horizontal="center"/>
    </xf>
    <xf numFmtId="0" fontId="2" fillId="3" borderId="3" xfId="4" applyBorder="1" applyAlignment="1">
      <alignment horizontal="center"/>
    </xf>
    <xf numFmtId="0" fontId="2" fillId="4" borderId="2" xfId="5" applyBorder="1" applyAlignment="1">
      <alignment horizontal="center"/>
    </xf>
    <xf numFmtId="0" fontId="2" fillId="4" borderId="1" xfId="5" applyBorder="1" applyAlignment="1">
      <alignment horizontal="center"/>
    </xf>
    <xf numFmtId="9" fontId="2" fillId="4" borderId="1" xfId="5" applyNumberFormat="1" applyBorder="1" applyAlignment="1">
      <alignment horizontal="center"/>
    </xf>
    <xf numFmtId="0" fontId="2" fillId="4" borderId="3" xfId="5" applyBorder="1" applyAlignment="1">
      <alignment horizontal="center"/>
    </xf>
    <xf numFmtId="0" fontId="2" fillId="6" borderId="2" xfId="7" applyBorder="1" applyAlignment="1">
      <alignment horizontal="center"/>
    </xf>
    <xf numFmtId="0" fontId="2" fillId="6" borderId="1" xfId="7" applyBorder="1" applyAlignment="1">
      <alignment horizontal="center"/>
    </xf>
    <xf numFmtId="9" fontId="2" fillId="6" borderId="1" xfId="7" applyNumberFormat="1" applyBorder="1" applyAlignment="1">
      <alignment horizontal="center"/>
    </xf>
    <xf numFmtId="0" fontId="2" fillId="6" borderId="3" xfId="7" applyBorder="1" applyAlignment="1">
      <alignment horizontal="center"/>
    </xf>
    <xf numFmtId="0" fontId="2" fillId="6" borderId="4" xfId="7" applyBorder="1" applyAlignment="1">
      <alignment horizontal="center"/>
    </xf>
    <xf numFmtId="0" fontId="2" fillId="6" borderId="5" xfId="7" applyBorder="1" applyAlignment="1">
      <alignment horizontal="center"/>
    </xf>
    <xf numFmtId="9" fontId="2" fillId="6" borderId="5" xfId="7" applyNumberFormat="1" applyBorder="1" applyAlignment="1">
      <alignment horizontal="center"/>
    </xf>
    <xf numFmtId="0" fontId="2" fillId="6" borderId="6" xfId="7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0" fontId="2" fillId="6" borderId="11" xfId="7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9" fontId="0" fillId="0" borderId="1" xfId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2" fillId="6" borderId="23" xfId="7" applyBorder="1" applyAlignment="1">
      <alignment horizontal="center"/>
    </xf>
    <xf numFmtId="9" fontId="0" fillId="0" borderId="5" xfId="1" applyFon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5" fontId="0" fillId="0" borderId="5" xfId="1" applyNumberFormat="1" applyFont="1" applyBorder="1" applyAlignment="1">
      <alignment horizontal="center"/>
    </xf>
    <xf numFmtId="0" fontId="6" fillId="0" borderId="2" xfId="0" applyFont="1" applyBorder="1"/>
    <xf numFmtId="0" fontId="6" fillId="0" borderId="4" xfId="0" applyFont="1" applyBorder="1"/>
    <xf numFmtId="0" fontId="1" fillId="0" borderId="26" xfId="0" applyFont="1" applyBorder="1" applyAlignment="1">
      <alignment horizontal="left"/>
    </xf>
    <xf numFmtId="164" fontId="0" fillId="0" borderId="22" xfId="0" applyNumberFormat="1" applyBorder="1"/>
    <xf numFmtId="0" fontId="1" fillId="0" borderId="2" xfId="0" applyFont="1" applyBorder="1"/>
    <xf numFmtId="164" fontId="0" fillId="0" borderId="3" xfId="0" applyNumberFormat="1" applyBorder="1"/>
    <xf numFmtId="9" fontId="0" fillId="0" borderId="3" xfId="1" applyFont="1" applyBorder="1"/>
    <xf numFmtId="9" fontId="0" fillId="2" borderId="6" xfId="2" applyNumberFormat="1" applyFont="1" applyBorder="1"/>
    <xf numFmtId="0" fontId="3" fillId="0" borderId="0" xfId="3" applyBorder="1" applyAlignment="1"/>
    <xf numFmtId="166" fontId="0" fillId="0" borderId="0" xfId="0" applyNumberFormat="1"/>
    <xf numFmtId="0" fontId="0" fillId="0" borderId="5" xfId="0" applyBorder="1" applyAlignment="1">
      <alignment horizontal="center"/>
    </xf>
    <xf numFmtId="0" fontId="7" fillId="5" borderId="24" xfId="6" applyFont="1" applyBorder="1"/>
    <xf numFmtId="0" fontId="7" fillId="5" borderId="25" xfId="6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164" fontId="0" fillId="0" borderId="32" xfId="0" applyNumberFormat="1" applyBorder="1" applyAlignment="1">
      <alignment horizontal="center"/>
    </xf>
    <xf numFmtId="164" fontId="0" fillId="0" borderId="33" xfId="0" applyNumberFormat="1" applyBorder="1" applyAlignment="1">
      <alignment horizontal="center"/>
    </xf>
    <xf numFmtId="166" fontId="7" fillId="5" borderId="24" xfId="6" applyNumberFormat="1" applyFont="1" applyBorder="1" applyAlignment="1">
      <alignment horizontal="center"/>
    </xf>
    <xf numFmtId="164" fontId="0" fillId="0" borderId="34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166" fontId="0" fillId="0" borderId="10" xfId="0" applyNumberFormat="1" applyBorder="1"/>
    <xf numFmtId="166" fontId="0" fillId="0" borderId="2" xfId="0" applyNumberFormat="1" applyBorder="1"/>
    <xf numFmtId="0" fontId="0" fillId="0" borderId="4" xfId="0" applyBorder="1"/>
    <xf numFmtId="0" fontId="9" fillId="7" borderId="36" xfId="8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7" fillId="5" borderId="7" xfId="6" applyFont="1" applyBorder="1" applyAlignment="1">
      <alignment horizontal="center"/>
    </xf>
    <xf numFmtId="0" fontId="7" fillId="5" borderId="8" xfId="6" applyFont="1" applyBorder="1" applyAlignment="1">
      <alignment horizontal="center"/>
    </xf>
    <xf numFmtId="0" fontId="7" fillId="5" borderId="9" xfId="6" applyFont="1" applyBorder="1" applyAlignment="1">
      <alignment horizontal="center"/>
    </xf>
    <xf numFmtId="0" fontId="3" fillId="0" borderId="19" xfId="3" applyBorder="1" applyAlignment="1">
      <alignment horizontal="center"/>
    </xf>
    <xf numFmtId="0" fontId="3" fillId="0" borderId="20" xfId="3" applyBorder="1" applyAlignment="1">
      <alignment horizontal="center"/>
    </xf>
    <xf numFmtId="0" fontId="3" fillId="0" borderId="21" xfId="3" applyBorder="1" applyAlignment="1">
      <alignment horizontal="center"/>
    </xf>
    <xf numFmtId="0" fontId="3" fillId="0" borderId="16" xfId="3" applyBorder="1" applyAlignment="1">
      <alignment horizontal="center"/>
    </xf>
    <xf numFmtId="0" fontId="3" fillId="0" borderId="37" xfId="3" applyBorder="1" applyAlignment="1">
      <alignment horizontal="center"/>
    </xf>
    <xf numFmtId="0" fontId="3" fillId="0" borderId="17" xfId="3" applyBorder="1" applyAlignment="1">
      <alignment horizontal="center"/>
    </xf>
    <xf numFmtId="0" fontId="7" fillId="5" borderId="16" xfId="6" applyFont="1" applyBorder="1" applyAlignment="1">
      <alignment horizontal="center"/>
    </xf>
    <xf numFmtId="0" fontId="7" fillId="5" borderId="37" xfId="6" applyFont="1" applyBorder="1" applyAlignment="1">
      <alignment horizontal="center"/>
    </xf>
    <xf numFmtId="0" fontId="7" fillId="5" borderId="17" xfId="6" applyFont="1" applyBorder="1" applyAlignment="1">
      <alignment horizontal="center"/>
    </xf>
    <xf numFmtId="9" fontId="0" fillId="0" borderId="2" xfId="1" applyFont="1" applyBorder="1" applyAlignment="1">
      <alignment horizontal="center"/>
    </xf>
    <xf numFmtId="165" fontId="0" fillId="0" borderId="3" xfId="1" applyNumberFormat="1" applyFont="1" applyBorder="1" applyAlignment="1">
      <alignment horizontal="center"/>
    </xf>
    <xf numFmtId="9" fontId="0" fillId="0" borderId="4" xfId="1" applyFont="1" applyBorder="1" applyAlignment="1">
      <alignment horizontal="center"/>
    </xf>
    <xf numFmtId="165" fontId="0" fillId="0" borderId="6" xfId="1" applyNumberFormat="1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9">
    <cellStyle name="20% - Accent2" xfId="2" builtinId="34"/>
    <cellStyle name="40% - Accent1" xfId="4" builtinId="31"/>
    <cellStyle name="40% - Accent4" xfId="5" builtinId="43"/>
    <cellStyle name="60% - Accent6" xfId="7" builtinId="52"/>
    <cellStyle name="Accent5" xfId="6" builtinId="45"/>
    <cellStyle name="Heading 1" xfId="3" builtinId="16"/>
    <cellStyle name="Input" xfId="8" builtinId="20"/>
    <cellStyle name="Normal" xfId="0" builtinId="0"/>
    <cellStyle name="Percent" xfId="1" builtinId="5"/>
  </cellStyles>
  <dxfs count="1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Capex per Year - Functional Area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Model!$T$22:$V$22</c:f>
              <c:numCache>
                <c:formatCode>_-[$$-409]* #,##0_ ;_-[$$-409]* \-#,##0\ ;_-[$$-409]* "-"??_ ;_-@_ </c:formatCode>
                <c:ptCount val="3"/>
                <c:pt idx="0">
                  <c:v>1500</c:v>
                </c:pt>
                <c:pt idx="1">
                  <c:v>400</c:v>
                </c:pt>
                <c:pt idx="2">
                  <c:v>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2EE-4F36-A372-02D3AE1CF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8412576"/>
        <c:axId val="1389023712"/>
      </c:scatterChart>
      <c:valAx>
        <c:axId val="1318412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Year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89023712"/>
        <c:crosses val="autoZero"/>
        <c:crossBetween val="midCat"/>
      </c:valAx>
      <c:valAx>
        <c:axId val="138902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Capex (million US$)</a:t>
                </a:r>
              </a:p>
              <a:p>
                <a:pPr>
                  <a:defRPr/>
                </a:pP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18412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Capex per Year - Functional Area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Model!$T$21:$V$21</c:f>
              <c:numCache>
                <c:formatCode>_-[$$-409]* #,##0_ ;_-[$$-409]* \-#,##0\ ;_-[$$-409]* "-"??_ ;_-@_ </c:formatCode>
                <c:ptCount val="3"/>
                <c:pt idx="0">
                  <c:v>1018</c:v>
                </c:pt>
                <c:pt idx="1">
                  <c:v>1152</c:v>
                </c:pt>
                <c:pt idx="2">
                  <c:v>836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C70-4931-8BAE-766957C1E1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889760"/>
        <c:axId val="1388379792"/>
      </c:scatterChart>
      <c:valAx>
        <c:axId val="1364889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Year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88379792"/>
        <c:crosses val="autoZero"/>
        <c:crossBetween val="midCat"/>
      </c:valAx>
      <c:valAx>
        <c:axId val="138837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Capex (million US$)</a:t>
                </a:r>
              </a:p>
              <a:p>
                <a:pPr>
                  <a:defRPr/>
                </a:pP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64889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Capex per Year - Functional Area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Model!$T$20:$V$20</c:f>
              <c:numCache>
                <c:formatCode>_-[$$-409]* #,##0_ ;_-[$$-409]* \-#,##0\ ;_-[$$-409]* "-"??_ ;_-@_ </c:formatCode>
                <c:ptCount val="3"/>
                <c:pt idx="0">
                  <c:v>915</c:v>
                </c:pt>
                <c:pt idx="1">
                  <c:v>599</c:v>
                </c:pt>
                <c:pt idx="2">
                  <c:v>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ED-4A13-BE4C-B6B511E715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7807216"/>
        <c:axId val="1389088160"/>
      </c:scatterChart>
      <c:valAx>
        <c:axId val="1387807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Year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89088160"/>
        <c:crosses val="autoZero"/>
        <c:crossBetween val="midCat"/>
      </c:valAx>
      <c:valAx>
        <c:axId val="138908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Capex (million US$)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87807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Capex of Aproveted Projects per Year</a:t>
            </a:r>
          </a:p>
        </c:rich>
      </c:tx>
      <c:layout>
        <c:manualLayout>
          <c:xMode val="edge"/>
          <c:yMode val="edge"/>
          <c:x val="0.19939566929133856"/>
          <c:y val="2.77008310249307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FA1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Model!$Q$20:$Q$22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Model!$T$20:$V$20</c:f>
              <c:numCache>
                <c:formatCode>_-[$$-409]* #,##0_ ;_-[$$-409]* \-#,##0\ ;_-[$$-409]* "-"??_ ;_-@_ </c:formatCode>
                <c:ptCount val="3"/>
                <c:pt idx="0">
                  <c:v>915</c:v>
                </c:pt>
                <c:pt idx="1">
                  <c:v>599</c:v>
                </c:pt>
                <c:pt idx="2">
                  <c:v>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145-4408-9FC6-E8A38BFF7AC8}"/>
            </c:ext>
          </c:extLst>
        </c:ser>
        <c:ser>
          <c:idx val="1"/>
          <c:order val="1"/>
          <c:tx>
            <c:v>FA2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Model!$Q$20:$Q$22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Model!$T$21:$V$21</c:f>
              <c:numCache>
                <c:formatCode>_-[$$-409]* #,##0_ ;_-[$$-409]* \-#,##0\ ;_-[$$-409]* "-"??_ ;_-@_ </c:formatCode>
                <c:ptCount val="3"/>
                <c:pt idx="0">
                  <c:v>1018</c:v>
                </c:pt>
                <c:pt idx="1">
                  <c:v>1152</c:v>
                </c:pt>
                <c:pt idx="2">
                  <c:v>836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145-4408-9FC6-E8A38BFF7AC8}"/>
            </c:ext>
          </c:extLst>
        </c:ser>
        <c:ser>
          <c:idx val="2"/>
          <c:order val="2"/>
          <c:tx>
            <c:v>FA3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Model!$Q$20:$Q$22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Model!$T$22:$V$22</c:f>
              <c:numCache>
                <c:formatCode>_-[$$-409]* #,##0_ ;_-[$$-409]* \-#,##0\ ;_-[$$-409]* "-"??_ ;_-@_ </c:formatCode>
                <c:ptCount val="3"/>
                <c:pt idx="0">
                  <c:v>1500</c:v>
                </c:pt>
                <c:pt idx="1">
                  <c:v>400</c:v>
                </c:pt>
                <c:pt idx="2">
                  <c:v>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145-4408-9FC6-E8A38BFF7A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6433391"/>
        <c:axId val="1389099568"/>
      </c:scatterChart>
      <c:valAx>
        <c:axId val="1446433391"/>
        <c:scaling>
          <c:orientation val="minMax"/>
          <c:max val="4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Year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89099568"/>
        <c:crosses val="autoZero"/>
        <c:crossBetween val="midCat"/>
        <c:majorUnit val="1"/>
      </c:valAx>
      <c:valAx>
        <c:axId val="138909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Capex (million US$)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46433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457200</xdr:colOff>
      <xdr:row>16</xdr:row>
      <xdr:rowOff>60960</xdr:rowOff>
    </xdr:from>
    <xdr:to>
      <xdr:col>17</xdr:col>
      <xdr:colOff>457200</xdr:colOff>
      <xdr:row>33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81B510-FF6D-40B1-B59C-DDE94B19DF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22860</xdr:colOff>
      <xdr:row>16</xdr:row>
      <xdr:rowOff>114300</xdr:rowOff>
    </xdr:from>
    <xdr:to>
      <xdr:col>8</xdr:col>
      <xdr:colOff>518160</xdr:colOff>
      <xdr:row>33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D20321-018B-4590-AF5C-D91FC47369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434340</xdr:colOff>
      <xdr:row>0</xdr:row>
      <xdr:rowOff>0</xdr:rowOff>
    </xdr:from>
    <xdr:to>
      <xdr:col>17</xdr:col>
      <xdr:colOff>480060</xdr:colOff>
      <xdr:row>15</xdr:row>
      <xdr:rowOff>167640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CC7CFC6-7FC8-4C4A-B63F-D8FB8EB4F4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15240</xdr:colOff>
      <xdr:row>0</xdr:row>
      <xdr:rowOff>7620</xdr:rowOff>
    </xdr:from>
    <xdr:to>
      <xdr:col>8</xdr:col>
      <xdr:colOff>533400</xdr:colOff>
      <xdr:row>15</xdr:row>
      <xdr:rowOff>99060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BFFE5A4-22A4-4B3D-8391-3CAB7B7C03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tabSelected="1" topLeftCell="H1" zoomScale="80" zoomScaleNormal="80" workbookViewId="0">
      <selection activeCell="Q30" sqref="Q30"/>
    </sheetView>
  </sheetViews>
  <sheetFormatPr defaultRowHeight="14.4" x14ac:dyDescent="0.3"/>
  <cols>
    <col min="1" max="1" width="22.21875" bestFit="1" customWidth="1"/>
    <col min="2" max="2" width="17.88671875" bestFit="1" customWidth="1"/>
    <col min="3" max="3" width="20.5546875" bestFit="1" customWidth="1"/>
    <col min="4" max="4" width="13.109375" customWidth="1"/>
    <col min="5" max="6" width="11.5546875" bestFit="1" customWidth="1"/>
    <col min="9" max="9" width="15.88671875" bestFit="1" customWidth="1"/>
    <col min="10" max="10" width="26.21875" bestFit="1" customWidth="1"/>
    <col min="11" max="11" width="12.88671875" customWidth="1"/>
    <col min="12" max="12" width="8" bestFit="1" customWidth="1"/>
    <col min="13" max="13" width="12.109375" bestFit="1" customWidth="1"/>
    <col min="14" max="14" width="30.5546875" customWidth="1"/>
    <col min="15" max="15" width="18.21875" bestFit="1" customWidth="1"/>
    <col min="16" max="16" width="12.5546875" bestFit="1" customWidth="1"/>
    <col min="17" max="17" width="11.6640625" bestFit="1" customWidth="1"/>
    <col min="18" max="18" width="14.5546875" bestFit="1" customWidth="1"/>
    <col min="19" max="19" width="11.6640625" bestFit="1" customWidth="1"/>
    <col min="20" max="20" width="11.6640625" customWidth="1"/>
    <col min="21" max="21" width="14.21875" bestFit="1" customWidth="1"/>
    <col min="22" max="22" width="11" bestFit="1" customWidth="1"/>
    <col min="23" max="23" width="12.5546875" customWidth="1"/>
    <col min="24" max="24" width="15.77734375" customWidth="1"/>
    <col min="25" max="25" width="11.6640625" bestFit="1" customWidth="1"/>
    <col min="26" max="26" width="10.77734375" bestFit="1" customWidth="1"/>
  </cols>
  <sheetData>
    <row r="1" spans="1:25" ht="15" thickBot="1" x14ac:dyDescent="0.35">
      <c r="A1" s="9" t="s">
        <v>22</v>
      </c>
    </row>
    <row r="2" spans="1:25" ht="20.399999999999999" thickBot="1" x14ac:dyDescent="0.45">
      <c r="A2" s="77" t="s">
        <v>0</v>
      </c>
      <c r="B2" s="78"/>
      <c r="C2" s="78"/>
      <c r="D2" s="78"/>
      <c r="E2" s="78"/>
      <c r="F2" s="78"/>
      <c r="G2" s="79"/>
      <c r="H2" s="12"/>
      <c r="J2" s="72" t="s">
        <v>41</v>
      </c>
      <c r="N2" s="80" t="s">
        <v>23</v>
      </c>
      <c r="O2" s="81"/>
      <c r="P2" s="81"/>
      <c r="Q2" s="81"/>
      <c r="R2" s="81"/>
      <c r="S2" s="81"/>
      <c r="T2" s="81"/>
      <c r="U2" s="81"/>
      <c r="V2" s="81"/>
      <c r="W2" s="81"/>
      <c r="X2" s="81"/>
      <c r="Y2" s="82"/>
    </row>
    <row r="3" spans="1:25" ht="15" thickBot="1" x14ac:dyDescent="0.35">
      <c r="A3" s="6" t="s">
        <v>1</v>
      </c>
      <c r="B3" s="7" t="s">
        <v>2</v>
      </c>
      <c r="C3" s="7" t="s">
        <v>3</v>
      </c>
      <c r="D3" s="7" t="s">
        <v>4</v>
      </c>
      <c r="E3" s="7" t="s">
        <v>8</v>
      </c>
      <c r="F3" s="7" t="s">
        <v>9</v>
      </c>
      <c r="G3" s="8" t="s">
        <v>10</v>
      </c>
      <c r="H3" s="12"/>
      <c r="J3" s="49" t="s">
        <v>25</v>
      </c>
      <c r="K3" s="50">
        <v>50000</v>
      </c>
      <c r="N3" s="39" t="s">
        <v>36</v>
      </c>
      <c r="O3" s="7" t="s">
        <v>2</v>
      </c>
      <c r="P3" s="36" t="s">
        <v>35</v>
      </c>
      <c r="Q3" s="36" t="s">
        <v>4</v>
      </c>
      <c r="R3" s="36" t="s">
        <v>8</v>
      </c>
      <c r="S3" s="36" t="s">
        <v>9</v>
      </c>
      <c r="T3" s="37" t="s">
        <v>42</v>
      </c>
      <c r="U3" s="37" t="s">
        <v>10</v>
      </c>
      <c r="V3" s="38" t="s">
        <v>15</v>
      </c>
      <c r="W3" s="39" t="s">
        <v>14</v>
      </c>
      <c r="X3" s="36" t="s">
        <v>16</v>
      </c>
      <c r="Y3" s="40" t="s">
        <v>12</v>
      </c>
    </row>
    <row r="4" spans="1:25" ht="15" thickTop="1" x14ac:dyDescent="0.3">
      <c r="A4" s="14">
        <v>1</v>
      </c>
      <c r="B4" s="15" t="s">
        <v>5</v>
      </c>
      <c r="C4" s="16">
        <v>1</v>
      </c>
      <c r="D4" s="15">
        <v>250</v>
      </c>
      <c r="E4" s="15">
        <v>100</v>
      </c>
      <c r="F4" s="15">
        <v>100</v>
      </c>
      <c r="G4" s="17">
        <v>60</v>
      </c>
      <c r="J4" s="51" t="s">
        <v>26</v>
      </c>
      <c r="K4" s="52">
        <v>10000</v>
      </c>
      <c r="N4" s="2">
        <f t="shared" ref="N4:N15" si="0">A4</f>
        <v>1</v>
      </c>
      <c r="O4" s="15" t="str">
        <f t="shared" ref="O4:O15" si="1">B4</f>
        <v>FA1</v>
      </c>
      <c r="P4" s="41">
        <f t="shared" ref="P4:P15" si="2">C4</f>
        <v>1</v>
      </c>
      <c r="Q4" s="42">
        <f t="shared" ref="Q4:Q15" si="3">D4*$P4</f>
        <v>250</v>
      </c>
      <c r="R4" s="42">
        <f t="shared" ref="R4:R15" si="4">E4*$P4</f>
        <v>100</v>
      </c>
      <c r="S4" s="42">
        <f t="shared" ref="S4:S15" si="5">F4*$P4</f>
        <v>100</v>
      </c>
      <c r="T4" s="42">
        <f>SUM(Q4:S4)</f>
        <v>450</v>
      </c>
      <c r="U4" s="42">
        <f>G4*P4</f>
        <v>60</v>
      </c>
      <c r="V4" s="34">
        <f>U4/T4</f>
        <v>0.13333333333333333</v>
      </c>
      <c r="W4" s="42">
        <f>U4*(1-$K$7)</f>
        <v>51</v>
      </c>
      <c r="X4" s="34">
        <f>W4/T4</f>
        <v>0.11333333333333333</v>
      </c>
      <c r="Y4" s="3">
        <v>0</v>
      </c>
    </row>
    <row r="5" spans="1:25" x14ac:dyDescent="0.3">
      <c r="A5" s="18">
        <v>2</v>
      </c>
      <c r="B5" s="19" t="s">
        <v>5</v>
      </c>
      <c r="C5" s="20">
        <v>0.33</v>
      </c>
      <c r="D5" s="19">
        <v>500</v>
      </c>
      <c r="E5" s="19">
        <v>300</v>
      </c>
      <c r="F5" s="19">
        <v>300</v>
      </c>
      <c r="G5" s="21">
        <v>180</v>
      </c>
      <c r="J5" s="51" t="s">
        <v>27</v>
      </c>
      <c r="K5" s="52">
        <v>4000</v>
      </c>
      <c r="N5" s="2">
        <f t="shared" si="0"/>
        <v>2</v>
      </c>
      <c r="O5" s="15" t="str">
        <f t="shared" si="1"/>
        <v>FA1</v>
      </c>
      <c r="P5" s="41">
        <f t="shared" si="2"/>
        <v>0.33</v>
      </c>
      <c r="Q5" s="42">
        <f t="shared" si="3"/>
        <v>165</v>
      </c>
      <c r="R5" s="42">
        <f t="shared" si="4"/>
        <v>99</v>
      </c>
      <c r="S5" s="42">
        <f t="shared" si="5"/>
        <v>99</v>
      </c>
      <c r="T5" s="42">
        <f>SUM(Q5:S5)</f>
        <v>363</v>
      </c>
      <c r="U5" s="42">
        <f t="shared" ref="U5:U8" si="6">G5*P5</f>
        <v>59.400000000000006</v>
      </c>
      <c r="V5" s="34">
        <f t="shared" ref="V5:V8" si="7">U5/T5</f>
        <v>0.16363636363636366</v>
      </c>
      <c r="W5" s="42">
        <f t="shared" ref="W5:W15" si="8">U5*(1-$K$7)</f>
        <v>50.49</v>
      </c>
      <c r="X5" s="34">
        <f>W5/T5</f>
        <v>0.1390909090909091</v>
      </c>
      <c r="Y5" s="3">
        <v>1</v>
      </c>
    </row>
    <row r="6" spans="1:25" x14ac:dyDescent="0.3">
      <c r="A6" s="18">
        <v>3</v>
      </c>
      <c r="B6" s="19" t="s">
        <v>5</v>
      </c>
      <c r="C6" s="20">
        <v>0.5</v>
      </c>
      <c r="D6" s="19">
        <v>100</v>
      </c>
      <c r="E6" s="19">
        <v>200</v>
      </c>
      <c r="F6" s="19">
        <v>400</v>
      </c>
      <c r="G6" s="21">
        <v>80</v>
      </c>
      <c r="J6" s="47" t="s">
        <v>39</v>
      </c>
      <c r="K6" s="53">
        <v>0.12</v>
      </c>
      <c r="N6" s="2">
        <f t="shared" si="0"/>
        <v>3</v>
      </c>
      <c r="O6" s="15" t="str">
        <f t="shared" si="1"/>
        <v>FA1</v>
      </c>
      <c r="P6" s="41">
        <f t="shared" si="2"/>
        <v>0.5</v>
      </c>
      <c r="Q6" s="42">
        <f t="shared" si="3"/>
        <v>50</v>
      </c>
      <c r="R6" s="42">
        <f t="shared" si="4"/>
        <v>100</v>
      </c>
      <c r="S6" s="42">
        <f t="shared" si="5"/>
        <v>200</v>
      </c>
      <c r="T6" s="42">
        <f>SUM(Q6:S6)</f>
        <v>350</v>
      </c>
      <c r="U6" s="42">
        <f t="shared" si="6"/>
        <v>40</v>
      </c>
      <c r="V6" s="34">
        <f t="shared" si="7"/>
        <v>0.11428571428571428</v>
      </c>
      <c r="W6" s="42">
        <f t="shared" si="8"/>
        <v>34</v>
      </c>
      <c r="X6" s="34">
        <f t="shared" ref="X6:X8" si="9">W6/T6</f>
        <v>9.7142857142857142E-2</v>
      </c>
      <c r="Y6" s="3">
        <v>0</v>
      </c>
    </row>
    <row r="7" spans="1:25" ht="15" thickBot="1" x14ac:dyDescent="0.35">
      <c r="A7" s="18">
        <v>4</v>
      </c>
      <c r="B7" s="19" t="s">
        <v>5</v>
      </c>
      <c r="C7" s="20">
        <v>1</v>
      </c>
      <c r="D7" s="19">
        <v>750</v>
      </c>
      <c r="E7" s="19">
        <v>500</v>
      </c>
      <c r="F7" s="19">
        <v>300</v>
      </c>
      <c r="G7" s="21">
        <v>310</v>
      </c>
      <c r="J7" s="48" t="s">
        <v>28</v>
      </c>
      <c r="K7" s="54">
        <v>0.15</v>
      </c>
      <c r="N7" s="2">
        <f t="shared" si="0"/>
        <v>4</v>
      </c>
      <c r="O7" s="15" t="str">
        <f t="shared" si="1"/>
        <v>FA1</v>
      </c>
      <c r="P7" s="41">
        <f t="shared" si="2"/>
        <v>1</v>
      </c>
      <c r="Q7" s="42">
        <f t="shared" si="3"/>
        <v>750</v>
      </c>
      <c r="R7" s="42">
        <f t="shared" si="4"/>
        <v>500</v>
      </c>
      <c r="S7" s="42">
        <f t="shared" si="5"/>
        <v>300</v>
      </c>
      <c r="T7" s="42">
        <f t="shared" ref="T7:T8" si="10">SUM(Q7:S7)</f>
        <v>1550</v>
      </c>
      <c r="U7" s="42">
        <f t="shared" si="6"/>
        <v>310</v>
      </c>
      <c r="V7" s="34">
        <f t="shared" si="7"/>
        <v>0.2</v>
      </c>
      <c r="W7" s="42">
        <f t="shared" si="8"/>
        <v>263.5</v>
      </c>
      <c r="X7" s="34">
        <f t="shared" si="9"/>
        <v>0.17</v>
      </c>
      <c r="Y7" s="3">
        <v>1</v>
      </c>
    </row>
    <row r="8" spans="1:25" ht="15" thickBot="1" x14ac:dyDescent="0.35">
      <c r="A8" s="18">
        <v>5</v>
      </c>
      <c r="B8" s="19" t="s">
        <v>5</v>
      </c>
      <c r="C8" s="20">
        <v>0.75</v>
      </c>
      <c r="D8" s="19">
        <v>200</v>
      </c>
      <c r="E8" s="19">
        <v>400</v>
      </c>
      <c r="F8" s="19">
        <v>800</v>
      </c>
      <c r="G8" s="21">
        <v>220</v>
      </c>
      <c r="N8" s="2">
        <f t="shared" si="0"/>
        <v>5</v>
      </c>
      <c r="O8" s="15" t="str">
        <f t="shared" si="1"/>
        <v>FA1</v>
      </c>
      <c r="P8" s="41">
        <f t="shared" si="2"/>
        <v>0.75</v>
      </c>
      <c r="Q8" s="42">
        <f t="shared" si="3"/>
        <v>150</v>
      </c>
      <c r="R8" s="42">
        <f t="shared" si="4"/>
        <v>300</v>
      </c>
      <c r="S8" s="42">
        <f t="shared" si="5"/>
        <v>600</v>
      </c>
      <c r="T8" s="42">
        <f t="shared" si="10"/>
        <v>1050</v>
      </c>
      <c r="U8" s="42">
        <f t="shared" si="6"/>
        <v>165</v>
      </c>
      <c r="V8" s="34">
        <f t="shared" si="7"/>
        <v>0.15714285714285714</v>
      </c>
      <c r="W8" s="42">
        <f t="shared" si="8"/>
        <v>140.25</v>
      </c>
      <c r="X8" s="34">
        <f t="shared" si="9"/>
        <v>0.13357142857142856</v>
      </c>
      <c r="Y8" s="3">
        <v>0</v>
      </c>
    </row>
    <row r="9" spans="1:25" ht="15" thickBot="1" x14ac:dyDescent="0.35">
      <c r="A9" s="22">
        <v>6</v>
      </c>
      <c r="B9" s="23" t="s">
        <v>6</v>
      </c>
      <c r="C9" s="24">
        <v>0.5</v>
      </c>
      <c r="D9" s="23">
        <v>1000</v>
      </c>
      <c r="E9" s="23">
        <v>300</v>
      </c>
      <c r="F9" s="23">
        <v>300</v>
      </c>
      <c r="G9" s="25">
        <v>180</v>
      </c>
      <c r="I9" s="86" t="s">
        <v>20</v>
      </c>
      <c r="J9" s="87"/>
      <c r="K9" s="87"/>
      <c r="L9" s="88"/>
      <c r="N9" s="2">
        <f t="shared" si="0"/>
        <v>6</v>
      </c>
      <c r="O9" s="23" t="str">
        <f t="shared" si="1"/>
        <v>FA2</v>
      </c>
      <c r="P9" s="41">
        <f t="shared" si="2"/>
        <v>0.5</v>
      </c>
      <c r="Q9" s="42">
        <f t="shared" si="3"/>
        <v>500</v>
      </c>
      <c r="R9" s="42">
        <f t="shared" si="4"/>
        <v>150</v>
      </c>
      <c r="S9" s="42">
        <f t="shared" si="5"/>
        <v>150</v>
      </c>
      <c r="T9" s="42">
        <f t="shared" ref="T9:T15" si="11">SUM(Q9:S9)</f>
        <v>800</v>
      </c>
      <c r="U9" s="42">
        <f t="shared" ref="U9:U15" si="12">G9*P9</f>
        <v>90</v>
      </c>
      <c r="V9" s="34">
        <f t="shared" ref="V9:V15" si="13">U9/T9</f>
        <v>0.1125</v>
      </c>
      <c r="W9" s="42">
        <f t="shared" si="8"/>
        <v>76.5</v>
      </c>
      <c r="X9" s="34">
        <f t="shared" ref="X9:X15" si="14">W9/T9</f>
        <v>9.5625000000000002E-2</v>
      </c>
      <c r="Y9" s="3">
        <v>0</v>
      </c>
    </row>
    <row r="10" spans="1:25" x14ac:dyDescent="0.3">
      <c r="A10" s="22">
        <v>7</v>
      </c>
      <c r="B10" s="23" t="s">
        <v>6</v>
      </c>
      <c r="C10" s="24">
        <v>1</v>
      </c>
      <c r="D10" s="23">
        <v>750</v>
      </c>
      <c r="E10" s="23">
        <v>750</v>
      </c>
      <c r="F10" s="23">
        <v>300</v>
      </c>
      <c r="G10" s="25">
        <v>410</v>
      </c>
      <c r="I10" s="76" t="s">
        <v>40</v>
      </c>
      <c r="J10" s="75" t="s">
        <v>17</v>
      </c>
      <c r="K10" s="75" t="s">
        <v>19</v>
      </c>
      <c r="L10" s="95" t="s">
        <v>18</v>
      </c>
      <c r="N10" s="2">
        <f t="shared" si="0"/>
        <v>7</v>
      </c>
      <c r="O10" s="23" t="str">
        <f t="shared" si="1"/>
        <v>FA2</v>
      </c>
      <c r="P10" s="41">
        <f t="shared" si="2"/>
        <v>1</v>
      </c>
      <c r="Q10" s="42">
        <f t="shared" si="3"/>
        <v>750</v>
      </c>
      <c r="R10" s="42">
        <f t="shared" si="4"/>
        <v>750</v>
      </c>
      <c r="S10" s="42">
        <f t="shared" si="5"/>
        <v>300</v>
      </c>
      <c r="T10" s="42">
        <f t="shared" si="11"/>
        <v>1800</v>
      </c>
      <c r="U10" s="42">
        <f t="shared" si="12"/>
        <v>410</v>
      </c>
      <c r="V10" s="34">
        <f t="shared" si="13"/>
        <v>0.22777777777777777</v>
      </c>
      <c r="W10" s="42">
        <f t="shared" si="8"/>
        <v>348.5</v>
      </c>
      <c r="X10" s="34">
        <f t="shared" si="14"/>
        <v>0.19361111111111112</v>
      </c>
      <c r="Y10" s="3">
        <v>1</v>
      </c>
    </row>
    <row r="11" spans="1:25" x14ac:dyDescent="0.3">
      <c r="A11" s="22">
        <v>8</v>
      </c>
      <c r="B11" s="23" t="s">
        <v>6</v>
      </c>
      <c r="C11" s="24">
        <v>1</v>
      </c>
      <c r="D11" s="23">
        <v>800</v>
      </c>
      <c r="E11" s="23">
        <v>700</v>
      </c>
      <c r="F11" s="23">
        <v>600</v>
      </c>
      <c r="G11" s="25">
        <v>280</v>
      </c>
      <c r="I11" s="13"/>
      <c r="J11" s="93">
        <f>_xlfn.MINIFS(X4:X15,Y4:Y15,1)</f>
        <v>0.12565217391304348</v>
      </c>
      <c r="K11" s="93">
        <f>AVERAGEIF(Y4:Y15,1,X4:X15)</f>
        <v>0.16155972771190166</v>
      </c>
      <c r="L11" s="94">
        <f>_xlfn.MAXIFS(X4:X15,Y4:Y15,1)</f>
        <v>0.19361111111111112</v>
      </c>
      <c r="N11" s="2">
        <f t="shared" si="0"/>
        <v>8</v>
      </c>
      <c r="O11" s="23" t="str">
        <f t="shared" si="1"/>
        <v>FA2</v>
      </c>
      <c r="P11" s="41">
        <f t="shared" si="2"/>
        <v>1</v>
      </c>
      <c r="Q11" s="42">
        <f t="shared" si="3"/>
        <v>800</v>
      </c>
      <c r="R11" s="42">
        <f t="shared" si="4"/>
        <v>700</v>
      </c>
      <c r="S11" s="42">
        <f t="shared" si="5"/>
        <v>600</v>
      </c>
      <c r="T11" s="42">
        <f t="shared" si="11"/>
        <v>2100</v>
      </c>
      <c r="U11" s="42">
        <f t="shared" si="12"/>
        <v>280</v>
      </c>
      <c r="V11" s="34">
        <f t="shared" si="13"/>
        <v>0.13333333333333333</v>
      </c>
      <c r="W11" s="42">
        <f t="shared" si="8"/>
        <v>238</v>
      </c>
      <c r="X11" s="34">
        <f t="shared" si="14"/>
        <v>0.11333333333333333</v>
      </c>
      <c r="Y11" s="3">
        <v>0</v>
      </c>
    </row>
    <row r="12" spans="1:25" x14ac:dyDescent="0.3">
      <c r="A12" s="22">
        <v>9</v>
      </c>
      <c r="B12" s="23" t="s">
        <v>6</v>
      </c>
      <c r="C12" s="24">
        <v>0.67</v>
      </c>
      <c r="D12" s="23">
        <v>400</v>
      </c>
      <c r="E12" s="23">
        <v>600</v>
      </c>
      <c r="F12" s="23">
        <v>800</v>
      </c>
      <c r="G12" s="25">
        <v>380</v>
      </c>
      <c r="I12" s="89">
        <v>0</v>
      </c>
      <c r="J12" s="34">
        <f t="dataTable" ref="J12:L18" dt2D="0" dtr="0" r1="K7"/>
        <v>0.14782608695652175</v>
      </c>
      <c r="K12" s="34">
        <v>0.19007026789635487</v>
      </c>
      <c r="L12" s="90">
        <v>0.22777777777777777</v>
      </c>
      <c r="N12" s="2">
        <f t="shared" si="0"/>
        <v>9</v>
      </c>
      <c r="O12" s="23" t="str">
        <f t="shared" si="1"/>
        <v>FA2</v>
      </c>
      <c r="P12" s="41">
        <f t="shared" si="2"/>
        <v>0.67</v>
      </c>
      <c r="Q12" s="42">
        <f t="shared" si="3"/>
        <v>268</v>
      </c>
      <c r="R12" s="42">
        <f t="shared" si="4"/>
        <v>402</v>
      </c>
      <c r="S12" s="42">
        <f t="shared" si="5"/>
        <v>536</v>
      </c>
      <c r="T12" s="42">
        <f t="shared" si="11"/>
        <v>1206</v>
      </c>
      <c r="U12" s="42">
        <f t="shared" si="12"/>
        <v>254.60000000000002</v>
      </c>
      <c r="V12" s="34">
        <f t="shared" si="13"/>
        <v>0.21111111111111114</v>
      </c>
      <c r="W12" s="42">
        <f t="shared" si="8"/>
        <v>216.41000000000003</v>
      </c>
      <c r="X12" s="34">
        <f t="shared" si="14"/>
        <v>0.17944444444444446</v>
      </c>
      <c r="Y12" s="3">
        <v>1</v>
      </c>
    </row>
    <row r="13" spans="1:25" x14ac:dyDescent="0.3">
      <c r="A13" s="26">
        <v>10</v>
      </c>
      <c r="B13" s="27" t="s">
        <v>7</v>
      </c>
      <c r="C13" s="28">
        <v>1</v>
      </c>
      <c r="D13" s="27">
        <v>100</v>
      </c>
      <c r="E13" s="27">
        <v>200</v>
      </c>
      <c r="F13" s="27">
        <v>400</v>
      </c>
      <c r="G13" s="29">
        <v>100</v>
      </c>
      <c r="I13" s="89">
        <v>0.05</v>
      </c>
      <c r="J13" s="34">
        <v>0.14043478260869566</v>
      </c>
      <c r="K13" s="34">
        <v>0.18056675450153711</v>
      </c>
      <c r="L13" s="90">
        <v>0.21638888888888888</v>
      </c>
      <c r="N13" s="2">
        <f t="shared" si="0"/>
        <v>10</v>
      </c>
      <c r="O13" s="35" t="str">
        <f t="shared" si="1"/>
        <v>FA3</v>
      </c>
      <c r="P13" s="41">
        <f t="shared" si="2"/>
        <v>1</v>
      </c>
      <c r="Q13" s="42">
        <f t="shared" si="3"/>
        <v>100</v>
      </c>
      <c r="R13" s="42">
        <f t="shared" si="4"/>
        <v>200</v>
      </c>
      <c r="S13" s="42">
        <f t="shared" si="5"/>
        <v>400</v>
      </c>
      <c r="T13" s="42">
        <f t="shared" si="11"/>
        <v>700</v>
      </c>
      <c r="U13" s="42">
        <f t="shared" si="12"/>
        <v>100</v>
      </c>
      <c r="V13" s="34">
        <f t="shared" si="13"/>
        <v>0.14285714285714285</v>
      </c>
      <c r="W13" s="42">
        <f t="shared" si="8"/>
        <v>85</v>
      </c>
      <c r="X13" s="34">
        <f t="shared" si="14"/>
        <v>0.12142857142857143</v>
      </c>
      <c r="Y13" s="3">
        <v>0</v>
      </c>
    </row>
    <row r="14" spans="1:25" x14ac:dyDescent="0.3">
      <c r="A14" s="26">
        <v>11</v>
      </c>
      <c r="B14" s="27" t="s">
        <v>7</v>
      </c>
      <c r="C14" s="28">
        <v>0.5</v>
      </c>
      <c r="D14" s="27">
        <v>700</v>
      </c>
      <c r="E14" s="27">
        <v>500</v>
      </c>
      <c r="F14" s="27">
        <v>300</v>
      </c>
      <c r="G14" s="29">
        <v>260</v>
      </c>
      <c r="I14" s="89">
        <v>0.1</v>
      </c>
      <c r="J14" s="34">
        <v>0.13304347826086957</v>
      </c>
      <c r="K14" s="34">
        <v>0.17106324110671936</v>
      </c>
      <c r="L14" s="90">
        <v>0.20499999999999999</v>
      </c>
      <c r="N14" s="2">
        <f t="shared" si="0"/>
        <v>11</v>
      </c>
      <c r="O14" s="35" t="str">
        <f t="shared" si="1"/>
        <v>FA3</v>
      </c>
      <c r="P14" s="41">
        <f t="shared" si="2"/>
        <v>0.5</v>
      </c>
      <c r="Q14" s="42">
        <f t="shared" si="3"/>
        <v>350</v>
      </c>
      <c r="R14" s="42">
        <f t="shared" si="4"/>
        <v>250</v>
      </c>
      <c r="S14" s="42">
        <f t="shared" si="5"/>
        <v>150</v>
      </c>
      <c r="T14" s="42">
        <f t="shared" si="11"/>
        <v>750</v>
      </c>
      <c r="U14" s="42">
        <f t="shared" si="12"/>
        <v>130</v>
      </c>
      <c r="V14" s="34">
        <f t="shared" si="13"/>
        <v>0.17333333333333334</v>
      </c>
      <c r="W14" s="42">
        <f t="shared" si="8"/>
        <v>110.5</v>
      </c>
      <c r="X14" s="34">
        <f t="shared" si="14"/>
        <v>0.14733333333333334</v>
      </c>
      <c r="Y14" s="3">
        <v>0</v>
      </c>
    </row>
    <row r="15" spans="1:25" ht="15" thickBot="1" x14ac:dyDescent="0.35">
      <c r="A15" s="30">
        <v>12</v>
      </c>
      <c r="B15" s="31" t="s">
        <v>7</v>
      </c>
      <c r="C15" s="32">
        <v>1</v>
      </c>
      <c r="D15" s="31">
        <v>1500</v>
      </c>
      <c r="E15" s="31">
        <v>400</v>
      </c>
      <c r="F15" s="31">
        <v>400</v>
      </c>
      <c r="G15" s="33">
        <v>340</v>
      </c>
      <c r="I15" s="89">
        <v>0.15</v>
      </c>
      <c r="J15" s="34">
        <v>0.12565217391304348</v>
      </c>
      <c r="K15" s="34">
        <v>0.16155972771190166</v>
      </c>
      <c r="L15" s="90">
        <v>0.19361111111111112</v>
      </c>
      <c r="N15" s="4">
        <f t="shared" si="0"/>
        <v>12</v>
      </c>
      <c r="O15" s="43" t="str">
        <f t="shared" si="1"/>
        <v>FA3</v>
      </c>
      <c r="P15" s="44">
        <f t="shared" si="2"/>
        <v>1</v>
      </c>
      <c r="Q15" s="45">
        <f t="shared" si="3"/>
        <v>1500</v>
      </c>
      <c r="R15" s="45">
        <f t="shared" si="4"/>
        <v>400</v>
      </c>
      <c r="S15" s="45">
        <f t="shared" si="5"/>
        <v>400</v>
      </c>
      <c r="T15" s="45">
        <f t="shared" si="11"/>
        <v>2300</v>
      </c>
      <c r="U15" s="45">
        <f t="shared" si="12"/>
        <v>340</v>
      </c>
      <c r="V15" s="46">
        <f t="shared" si="13"/>
        <v>0.14782608695652175</v>
      </c>
      <c r="W15" s="42">
        <f t="shared" si="8"/>
        <v>289</v>
      </c>
      <c r="X15" s="46">
        <f t="shared" si="14"/>
        <v>0.12565217391304348</v>
      </c>
      <c r="Y15" s="5">
        <v>1</v>
      </c>
    </row>
    <row r="16" spans="1:25" ht="15" thickBot="1" x14ac:dyDescent="0.35">
      <c r="I16" s="89">
        <v>0.2</v>
      </c>
      <c r="J16" s="34">
        <v>0.11826086956521739</v>
      </c>
      <c r="K16" s="34">
        <v>0.15205621431708391</v>
      </c>
      <c r="L16" s="90">
        <v>0.18222222222222223</v>
      </c>
      <c r="X16" s="58" t="s">
        <v>24</v>
      </c>
      <c r="Y16" s="59">
        <f>SUM(Y4:Y15)</f>
        <v>5</v>
      </c>
    </row>
    <row r="17" spans="1:24" ht="15" thickBot="1" x14ac:dyDescent="0.35">
      <c r="I17" s="89">
        <v>0.25</v>
      </c>
      <c r="J17" s="34">
        <v>0.1108695652173913</v>
      </c>
      <c r="K17" s="34">
        <v>0.14255270092226616</v>
      </c>
      <c r="L17" s="90">
        <v>0.17083333333333334</v>
      </c>
    </row>
    <row r="18" spans="1:24" ht="20.399999999999999" thickBot="1" x14ac:dyDescent="0.45">
      <c r="I18" s="91">
        <v>0.3</v>
      </c>
      <c r="J18" s="46">
        <v>0.1034782608695652</v>
      </c>
      <c r="K18" s="46">
        <v>0.1330491875274484</v>
      </c>
      <c r="L18" s="92">
        <v>0.15944444444444444</v>
      </c>
      <c r="N18" s="83" t="s">
        <v>33</v>
      </c>
      <c r="O18" s="85"/>
      <c r="Q18" s="83" t="s">
        <v>37</v>
      </c>
      <c r="R18" s="84"/>
      <c r="S18" s="84"/>
      <c r="T18" s="84"/>
      <c r="U18" s="84"/>
      <c r="V18" s="84"/>
      <c r="W18" s="84"/>
      <c r="X18" s="85"/>
    </row>
    <row r="19" spans="1:24" x14ac:dyDescent="0.3">
      <c r="N19" s="69" t="s">
        <v>30</v>
      </c>
      <c r="O19" s="68">
        <f>IF(T23&gt;K5,0,1)</f>
        <v>1</v>
      </c>
      <c r="Q19" s="73" t="s">
        <v>21</v>
      </c>
      <c r="R19" s="74" t="s">
        <v>13</v>
      </c>
      <c r="S19" s="74" t="s">
        <v>43</v>
      </c>
      <c r="T19" s="74" t="s">
        <v>4</v>
      </c>
      <c r="U19" s="74" t="s">
        <v>8</v>
      </c>
      <c r="V19" s="37" t="s">
        <v>42</v>
      </c>
      <c r="W19" s="74" t="s">
        <v>11</v>
      </c>
      <c r="X19" s="75" t="s">
        <v>44</v>
      </c>
    </row>
    <row r="20" spans="1:24" ht="16.2" customHeight="1" x14ac:dyDescent="0.4">
      <c r="N20" s="70" t="s">
        <v>29</v>
      </c>
      <c r="O20" s="3">
        <f>IF(U23&gt;K5,0,1)</f>
        <v>1</v>
      </c>
      <c r="P20" s="55"/>
      <c r="Q20" s="2">
        <v>1</v>
      </c>
      <c r="R20" s="1" t="s">
        <v>5</v>
      </c>
      <c r="S20" s="1">
        <f>SUMIFS($Y$4:$Y$15,$O$4:$O$15,R20,$Y$4:$Y$15,1)</f>
        <v>2</v>
      </c>
      <c r="T20" s="60">
        <f>SUMIFS(Q$4:Q$15,$O$4:$O$15,$R20,$Y$4:$Y$15,1)</f>
        <v>915</v>
      </c>
      <c r="U20" s="60">
        <f>SUMIFS(R$4:R$15,$O$4:$O$15,$R20,$Y$4:$Y$15,1)</f>
        <v>599</v>
      </c>
      <c r="V20" s="60">
        <f>SUMIFS(S$4:S$15,$O$4:$O$15,$R20,$Y$4:$Y$15,1)</f>
        <v>399</v>
      </c>
      <c r="W20" s="60">
        <f>SUMIFS(T$4:T$15,$O$4:$O$15,$R20,$Y$4:$Y$15,1)</f>
        <v>1913</v>
      </c>
      <c r="X20" s="61">
        <f>SUMIFS(U$4:U$15,$O$4:$O$15,$R20,$Y$4:$Y$15,1)</f>
        <v>369.4</v>
      </c>
    </row>
    <row r="21" spans="1:24" x14ac:dyDescent="0.3">
      <c r="N21" s="70" t="s">
        <v>31</v>
      </c>
      <c r="O21" s="3">
        <f>IF(M20&gt;K5,0,1)</f>
        <v>1</v>
      </c>
      <c r="P21" s="12"/>
      <c r="Q21" s="2">
        <v>2</v>
      </c>
      <c r="R21" s="1" t="s">
        <v>6</v>
      </c>
      <c r="S21" s="1">
        <f t="shared" ref="S21:S22" si="15">SUMIFS($Y$4:$Y$15,$O$4:$O$15,R21,$Y$4:$Y$15,1)</f>
        <v>2</v>
      </c>
      <c r="T21" s="60">
        <f t="shared" ref="T21:T22" si="16">SUMIFS(Q$4:Q$15,$O$4:$O$15,$R21,$Y$4:$Y$15,1)</f>
        <v>1018</v>
      </c>
      <c r="U21" s="60">
        <f t="shared" ref="U21:X22" si="17">SUMIFS(R$4:R$15,$O$4:$O$15,$R21,$Y$4:$Y$15,1)</f>
        <v>1152</v>
      </c>
      <c r="V21" s="60">
        <f t="shared" si="17"/>
        <v>836</v>
      </c>
      <c r="W21" s="60">
        <f t="shared" si="17"/>
        <v>3006</v>
      </c>
      <c r="X21" s="61">
        <f t="shared" si="17"/>
        <v>664.6</v>
      </c>
    </row>
    <row r="22" spans="1:24" ht="15" thickBot="1" x14ac:dyDescent="0.35">
      <c r="N22" s="70" t="s">
        <v>32</v>
      </c>
      <c r="O22" s="3">
        <f>IF(W23&gt;K4,0,1)</f>
        <v>1</v>
      </c>
      <c r="P22" s="56"/>
      <c r="Q22" s="4">
        <v>3</v>
      </c>
      <c r="R22" s="57" t="s">
        <v>7</v>
      </c>
      <c r="S22" s="62">
        <f t="shared" si="15"/>
        <v>1</v>
      </c>
      <c r="T22" s="60">
        <f t="shared" si="16"/>
        <v>1500</v>
      </c>
      <c r="U22" s="63">
        <f t="shared" si="17"/>
        <v>400</v>
      </c>
      <c r="V22" s="63">
        <f t="shared" si="17"/>
        <v>400</v>
      </c>
      <c r="W22" s="63">
        <f t="shared" si="17"/>
        <v>2300</v>
      </c>
      <c r="X22" s="64">
        <f t="shared" si="17"/>
        <v>340</v>
      </c>
    </row>
    <row r="23" spans="1:24" ht="15" thickBot="1" x14ac:dyDescent="0.35">
      <c r="N23" s="71" t="s">
        <v>34</v>
      </c>
      <c r="O23" s="5">
        <f>IF(AND(S20&gt;=1,S21&gt;=1,S22&gt;=1),1,0)</f>
        <v>1</v>
      </c>
      <c r="P23" s="56"/>
      <c r="S23" s="65" t="s">
        <v>38</v>
      </c>
      <c r="T23" s="66">
        <f>SUM(T20:T22)</f>
        <v>3433</v>
      </c>
      <c r="U23" s="66">
        <f t="shared" ref="U23:W23" si="18">SUM(U20:U22)</f>
        <v>2151</v>
      </c>
      <c r="V23" s="66">
        <f t="shared" si="18"/>
        <v>1635</v>
      </c>
      <c r="W23" s="66">
        <f t="shared" si="18"/>
        <v>7219</v>
      </c>
      <c r="X23" s="67">
        <f>SUM(X20:X22)</f>
        <v>1374</v>
      </c>
    </row>
    <row r="24" spans="1:24" x14ac:dyDescent="0.3">
      <c r="P24" s="56"/>
      <c r="S24" s="56"/>
    </row>
    <row r="25" spans="1:24" x14ac:dyDescent="0.3">
      <c r="P25" s="56"/>
      <c r="S25" s="56"/>
    </row>
    <row r="26" spans="1:24" x14ac:dyDescent="0.3">
      <c r="A26" s="9"/>
      <c r="P26" s="56"/>
      <c r="S26" s="56"/>
    </row>
    <row r="27" spans="1:24" x14ac:dyDescent="0.3">
      <c r="I27" s="10"/>
      <c r="P27" s="56"/>
      <c r="S27" s="56"/>
    </row>
    <row r="28" spans="1:24" x14ac:dyDescent="0.3">
      <c r="N28" s="10"/>
    </row>
    <row r="29" spans="1:24" x14ac:dyDescent="0.3">
      <c r="S29" s="11"/>
    </row>
    <row r="30" spans="1:24" x14ac:dyDescent="0.3">
      <c r="S30" s="11"/>
    </row>
    <row r="31" spans="1:24" x14ac:dyDescent="0.3">
      <c r="S31" s="11"/>
    </row>
  </sheetData>
  <mergeCells count="5">
    <mergeCell ref="A2:G2"/>
    <mergeCell ref="N2:Y2"/>
    <mergeCell ref="Q18:X18"/>
    <mergeCell ref="I9:L9"/>
    <mergeCell ref="N18:O18"/>
  </mergeCells>
  <conditionalFormatting sqref="O19:O23">
    <cfRule type="cellIs" dxfId="13" priority="7" operator="equal">
      <formula>0</formula>
    </cfRule>
    <cfRule type="cellIs" dxfId="12" priority="8" operator="equal">
      <formula>1</formula>
    </cfRule>
  </conditionalFormatting>
  <conditionalFormatting sqref="T23:V23">
    <cfRule type="cellIs" dxfId="11" priority="5" operator="lessThan">
      <formula>$K$5</formula>
    </cfRule>
    <cfRule type="cellIs" dxfId="10" priority="6" operator="greaterThan">
      <formula>$K$5</formula>
    </cfRule>
  </conditionalFormatting>
  <conditionalFormatting sqref="U4:U15">
    <cfRule type="cellIs" dxfId="9" priority="15" operator="lessThan">
      <formula>0</formula>
    </cfRule>
    <cfRule type="cellIs" dxfId="8" priority="16" operator="greaterThan">
      <formula>0</formula>
    </cfRule>
  </conditionalFormatting>
  <conditionalFormatting sqref="W4:W15">
    <cfRule type="cellIs" dxfId="7" priority="13" operator="lessThan">
      <formula>0</formula>
    </cfRule>
    <cfRule type="cellIs" dxfId="6" priority="14" operator="greaterThan">
      <formula>0</formula>
    </cfRule>
  </conditionalFormatting>
  <conditionalFormatting sqref="W23">
    <cfRule type="cellIs" dxfId="5" priority="3" operator="lessThan">
      <formula>$K$4</formula>
    </cfRule>
    <cfRule type="cellIs" dxfId="4" priority="4" operator="greaterThan">
      <formula>$K$4</formula>
    </cfRule>
  </conditionalFormatting>
  <conditionalFormatting sqref="X23">
    <cfRule type="cellIs" dxfId="3" priority="1" operator="lessThan">
      <formula>0</formula>
    </cfRule>
    <cfRule type="cellIs" dxfId="2" priority="2" operator="greaterThan">
      <formula>0</formula>
    </cfRule>
  </conditionalFormatting>
  <conditionalFormatting sqref="Y4:Y15">
    <cfRule type="cellIs" dxfId="1" priority="17" operator="equal">
      <formula>1</formula>
    </cfRule>
    <cfRule type="cellIs" dxfId="0" priority="18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DB87-9BB4-4314-B293-27265CAF31AA}">
  <dimension ref="A1"/>
  <sheetViews>
    <sheetView zoomScale="80" zoomScaleNormal="80" workbookViewId="0">
      <selection activeCell="U16" sqref="U16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Visualization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Cutrone, Joseph</dc:creator>
  <cp:lastModifiedBy>Andriele Mendonça</cp:lastModifiedBy>
  <dcterms:created xsi:type="dcterms:W3CDTF">2022-03-03T17:30:05Z</dcterms:created>
  <dcterms:modified xsi:type="dcterms:W3CDTF">2024-01-29T19:10:22Z</dcterms:modified>
</cp:coreProperties>
</file>