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le\OneDrive\Área de Trabalho\Excel-spreadsheets\"/>
    </mc:Choice>
  </mc:AlternateContent>
  <xr:revisionPtr revIDLastSave="0" documentId="13_ncr:1_{37BAC88A-9287-4640-B517-FCE3F8C41BB9}" xr6:coauthVersionLast="47" xr6:coauthVersionMax="47" xr10:uidLastSave="{00000000-0000-0000-0000-000000000000}"/>
  <bookViews>
    <workbookView xWindow="-108" yWindow="-108" windowWidth="23256" windowHeight="12456" firstSheet="4" activeTab="8" xr2:uid="{2C1BE655-6EA8-4AD0-8B3E-6E77B6D1DBEB}"/>
  </bookViews>
  <sheets>
    <sheet name="Orçamento" sheetId="1" r:id="rId1"/>
    <sheet name="NCAA T-SHIRTS" sheetId="2" r:id="rId2"/>
    <sheet name="Woodworks" sheetId="3" r:id="rId3"/>
    <sheet name="Quality Sweater co." sheetId="5" r:id="rId4"/>
    <sheet name="Exercício - hot dog" sheetId="7" r:id="rId5"/>
    <sheet name="B&amp;N Bookstore" sheetId="6" r:id="rId6"/>
    <sheet name="Exercício - copiadora" sheetId="8" r:id="rId7"/>
    <sheet name="Exercício - banda" sheetId="9" r:id="rId8"/>
    <sheet name="Golfe" sheetId="10" r:id="rId9"/>
    <sheet name="Drogaria" sheetId="12" r:id="rId10"/>
    <sheet name="Exercício - NPV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6" l="1"/>
  <c r="B9" i="6"/>
  <c r="E4" i="13"/>
  <c r="F4" i="12"/>
  <c r="F5" i="12" s="1"/>
  <c r="F3" i="12"/>
  <c r="M18" i="10"/>
  <c r="O18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B34" i="10"/>
  <c r="B35" i="10" s="1"/>
  <c r="B38" i="10" s="1"/>
  <c r="K19" i="10"/>
  <c r="O19" i="10" s="1"/>
  <c r="K20" i="10"/>
  <c r="O20" i="10" s="1"/>
  <c r="K21" i="10"/>
  <c r="O21" i="10" s="1"/>
  <c r="K22" i="10"/>
  <c r="O22" i="10" s="1"/>
  <c r="K23" i="10"/>
  <c r="O23" i="10" s="1"/>
  <c r="K24" i="10"/>
  <c r="O24" i="10" s="1"/>
  <c r="K25" i="10"/>
  <c r="O25" i="10" s="1"/>
  <c r="K26" i="10"/>
  <c r="O26" i="10" s="1"/>
  <c r="K27" i="10"/>
  <c r="O27" i="10" s="1"/>
  <c r="K28" i="10"/>
  <c r="O28" i="10" s="1"/>
  <c r="K29" i="10"/>
  <c r="O29" i="10" s="1"/>
  <c r="K18" i="10"/>
  <c r="J19" i="10"/>
  <c r="N19" i="10" s="1"/>
  <c r="J20" i="10"/>
  <c r="N20" i="10" s="1"/>
  <c r="J21" i="10"/>
  <c r="N21" i="10" s="1"/>
  <c r="J22" i="10"/>
  <c r="N22" i="10" s="1"/>
  <c r="J23" i="10"/>
  <c r="N23" i="10" s="1"/>
  <c r="J24" i="10"/>
  <c r="N24" i="10" s="1"/>
  <c r="J25" i="10"/>
  <c r="N25" i="10" s="1"/>
  <c r="J26" i="10"/>
  <c r="N26" i="10" s="1"/>
  <c r="J27" i="10"/>
  <c r="N27" i="10" s="1"/>
  <c r="J28" i="10"/>
  <c r="N28" i="10" s="1"/>
  <c r="J29" i="10"/>
  <c r="N29" i="10" s="1"/>
  <c r="J18" i="10"/>
  <c r="N18" i="10" s="1"/>
  <c r="I19" i="10"/>
  <c r="M19" i="10" s="1"/>
  <c r="I20" i="10"/>
  <c r="M20" i="10" s="1"/>
  <c r="I21" i="10"/>
  <c r="M21" i="10" s="1"/>
  <c r="I22" i="10"/>
  <c r="M22" i="10" s="1"/>
  <c r="I23" i="10"/>
  <c r="M23" i="10" s="1"/>
  <c r="I24" i="10"/>
  <c r="M24" i="10" s="1"/>
  <c r="I25" i="10"/>
  <c r="M25" i="10" s="1"/>
  <c r="I26" i="10"/>
  <c r="M26" i="10" s="1"/>
  <c r="I27" i="10"/>
  <c r="M27" i="10" s="1"/>
  <c r="I28" i="10"/>
  <c r="M28" i="10" s="1"/>
  <c r="I29" i="10"/>
  <c r="M29" i="10" s="1"/>
  <c r="I18" i="10"/>
  <c r="B18" i="5"/>
  <c r="B10" i="9"/>
  <c r="B5" i="9"/>
  <c r="B15" i="9" s="1"/>
  <c r="B6" i="8"/>
  <c r="B3" i="8"/>
  <c r="B7" i="6"/>
  <c r="B11" i="6" s="1"/>
  <c r="B10" i="7"/>
  <c r="B14" i="7"/>
  <c r="B9" i="5"/>
  <c r="B16" i="5"/>
  <c r="B17" i="5" s="1"/>
  <c r="B8" i="5"/>
  <c r="B6" i="3"/>
  <c r="F8" i="3"/>
  <c r="I8" i="3" s="1"/>
  <c r="G11" i="3"/>
  <c r="H11" i="3"/>
  <c r="J11" i="3"/>
  <c r="G12" i="3"/>
  <c r="H12" i="3"/>
  <c r="H13" i="3" s="1"/>
  <c r="J12" i="3"/>
  <c r="G13" i="3"/>
  <c r="J13" i="3" s="1"/>
  <c r="J10" i="3"/>
  <c r="H10" i="3"/>
  <c r="G10" i="3"/>
  <c r="J8" i="3"/>
  <c r="H9" i="3"/>
  <c r="G9" i="3"/>
  <c r="F9" i="3"/>
  <c r="F10" i="3" s="1"/>
  <c r="J9" i="3"/>
  <c r="H3" i="3"/>
  <c r="G3" i="3"/>
  <c r="F3" i="3"/>
  <c r="C10" i="3"/>
  <c r="B10" i="3"/>
  <c r="C6" i="3"/>
  <c r="G8" i="3" s="1"/>
  <c r="B5" i="2"/>
  <c r="B14" i="2"/>
  <c r="B15" i="2" s="1"/>
  <c r="B11" i="1"/>
  <c r="B20" i="1" s="1"/>
  <c r="B4" i="1"/>
  <c r="B8" i="1" s="1"/>
  <c r="C39" i="10"/>
  <c r="C9" i="6"/>
  <c r="C10" i="7"/>
  <c r="C22" i="1"/>
  <c r="C10" i="5"/>
  <c r="C9" i="5"/>
  <c r="C4" i="1"/>
  <c r="C11" i="1"/>
  <c r="C14" i="2"/>
  <c r="C16" i="7"/>
  <c r="C11" i="6"/>
  <c r="C10" i="9"/>
  <c r="C22" i="9"/>
  <c r="C16" i="5"/>
  <c r="C17" i="5"/>
  <c r="C5" i="2"/>
  <c r="C10" i="2"/>
  <c r="C38" i="10"/>
  <c r="C13" i="6"/>
  <c r="C17" i="2"/>
  <c r="C15" i="2"/>
  <c r="C18" i="5"/>
  <c r="P18" i="10"/>
  <c r="C14" i="7"/>
  <c r="C20" i="1"/>
  <c r="C37" i="10"/>
  <c r="C20" i="9"/>
  <c r="C34" i="10"/>
  <c r="C8" i="8"/>
  <c r="C5" i="9"/>
  <c r="C7" i="6"/>
  <c r="C35" i="10"/>
  <c r="C11" i="5"/>
  <c r="C15" i="9"/>
  <c r="G4" i="12"/>
  <c r="C8" i="5"/>
  <c r="C8" i="1"/>
  <c r="F6" i="12" l="1"/>
  <c r="F7" i="12" s="1"/>
  <c r="F8" i="12" s="1"/>
  <c r="F9" i="12" s="1"/>
  <c r="F10" i="12" s="1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B37" i="10"/>
  <c r="B39" i="10" s="1"/>
  <c r="I33" i="10" s="1"/>
  <c r="O30" i="10"/>
  <c r="N30" i="10"/>
  <c r="M30" i="10"/>
  <c r="B22" i="1"/>
  <c r="B20" i="9"/>
  <c r="B22" i="9" s="1"/>
  <c r="B8" i="8"/>
  <c r="B21" i="8" s="1"/>
  <c r="F2" i="6"/>
  <c r="B16" i="7"/>
  <c r="F3" i="7" s="1"/>
  <c r="B10" i="5"/>
  <c r="B11" i="5" s="1"/>
  <c r="F3" i="5" s="1"/>
  <c r="I10" i="3"/>
  <c r="F11" i="3"/>
  <c r="I9" i="3"/>
  <c r="B11" i="3"/>
  <c r="C11" i="3"/>
  <c r="H8" i="3"/>
  <c r="B10" i="2"/>
  <c r="B17" i="2" s="1"/>
  <c r="B23" i="12" l="1"/>
  <c r="B24" i="12" s="1"/>
  <c r="F34" i="10"/>
  <c r="B16" i="8"/>
  <c r="B23" i="8" s="1"/>
  <c r="H2" i="8" s="1"/>
  <c r="F12" i="3"/>
  <c r="I11" i="3"/>
  <c r="F13" i="3" l="1"/>
  <c r="I13" i="3" s="1"/>
  <c r="I12" i="3"/>
</calcChain>
</file>

<file path=xl/sharedStrings.xml><?xml version="1.0" encoding="utf-8"?>
<sst xmlns="http://schemas.openxmlformats.org/spreadsheetml/2006/main" count="276" uniqueCount="222">
  <si>
    <t>Budget</t>
  </si>
  <si>
    <t>Income (renda):</t>
  </si>
  <si>
    <t>Salary:</t>
  </si>
  <si>
    <t>Taxes(impostos):</t>
  </si>
  <si>
    <t>Medical</t>
  </si>
  <si>
    <t>Retirement (aposentadoria):</t>
  </si>
  <si>
    <t>Dental</t>
  </si>
  <si>
    <t>Net Income (salário líquido):</t>
  </si>
  <si>
    <t>Expenses (despesas) :</t>
  </si>
  <si>
    <t>Rent:</t>
  </si>
  <si>
    <t>Pet:</t>
  </si>
  <si>
    <t>Apt. Items:</t>
  </si>
  <si>
    <t>Travel:</t>
  </si>
  <si>
    <t>Gifts:</t>
  </si>
  <si>
    <t>Loans:</t>
  </si>
  <si>
    <t>Car/transportation:</t>
  </si>
  <si>
    <t>Food:</t>
  </si>
  <si>
    <t>Savings:</t>
  </si>
  <si>
    <t>Total Expenses:</t>
  </si>
  <si>
    <t>Net savings:</t>
  </si>
  <si>
    <t xml:space="preserve">Randy é um vendedor de camisetas que planeja encomendar camisetas com os nomes das quatro equipes finalistas da NCAA </t>
  </si>
  <si>
    <t>de um fabricante e depois vendê-las aos torcedores.</t>
  </si>
  <si>
    <t xml:space="preserve"> O custo fixo de qualquer pedido é de US$ 750, o custo variável por camiseta para Randy é de US$ 8 e o preço de veda é de US$ 18. </t>
  </si>
  <si>
    <t xml:space="preserve">Sua melhor estimativa é que a demanda pelas camisetas durante o período de preço cheio será de 1.500. </t>
  </si>
  <si>
    <t>Ele está pensando em encomendar 1.450 camisetas, mas quer criar um modelo de planilha que lhe permita fazer experiências</t>
  </si>
  <si>
    <t xml:space="preserve"> com a demanda incerta e a quantidade do pedido. Como ele deve proceder?</t>
  </si>
  <si>
    <t xml:space="preserve">Entretanto, esse preço será cobrado somente até uma semana após o torneio. Após esse período, Randy acha que o interesse </t>
  </si>
  <si>
    <t xml:space="preserve">  pelas camisetas será baixoe, por isso, planeja vender todas as camisetas restantes, se houver, a US$ 6 cada. </t>
  </si>
  <si>
    <t>NCAA T-SHIRT VENDOR</t>
  </si>
  <si>
    <t>Custos:</t>
  </si>
  <si>
    <t>Fixos</t>
  </si>
  <si>
    <t>Variáveis</t>
  </si>
  <si>
    <t>por camisa</t>
  </si>
  <si>
    <t>Receira:</t>
  </si>
  <si>
    <t>Preço reduzido:</t>
  </si>
  <si>
    <t>Preço:</t>
  </si>
  <si>
    <t>Lucro total:</t>
  </si>
  <si>
    <t>Receita total:</t>
  </si>
  <si>
    <t>Custo total:</t>
  </si>
  <si>
    <t>Nº de camisas vendidas (desconto):</t>
  </si>
  <si>
    <t>Nº de camisas vendidas (PT):</t>
  </si>
  <si>
    <t>Nº de camisas:</t>
  </si>
  <si>
    <t>Demanda:</t>
  </si>
  <si>
    <t xml:space="preserve">A Woodworks Company produz uma variedade de móveis de madeira personalizados, </t>
  </si>
  <si>
    <t>de mão de obra provavelmente aumentarão no futuro.</t>
  </si>
  <si>
    <t xml:space="preserve">eitos de cerejeira ou carvalho. A empresa sabe que os preços da madeira  e os custos </t>
  </si>
  <si>
    <t xml:space="preserve">Crie um modelo de planilha que permita à empresa experimentar  próximos anos as taxas </t>
  </si>
  <si>
    <t>de crescimento dos custos de madeira e mão de obra para que um gerente possa ver,</t>
  </si>
  <si>
    <t xml:space="preserve"> numérica e graficamente, como os custos das estantes variam nos próximos anos.</t>
  </si>
  <si>
    <t>Cerejeira</t>
  </si>
  <si>
    <t>Carvalho</t>
  </si>
  <si>
    <t>Mão de obra</t>
  </si>
  <si>
    <t>Qtd por estante</t>
  </si>
  <si>
    <t>Custo unitário atual</t>
  </si>
  <si>
    <t>Custo por estante</t>
  </si>
  <si>
    <t>Material:</t>
  </si>
  <si>
    <t>Custos :</t>
  </si>
  <si>
    <t>Mão de obra:</t>
  </si>
  <si>
    <t>Custo Total:</t>
  </si>
  <si>
    <t>Aumento anual previsto</t>
  </si>
  <si>
    <t>Atual</t>
  </si>
  <si>
    <t>Aumento</t>
  </si>
  <si>
    <t>Woodworks Co.</t>
  </si>
  <si>
    <t>Qtd. Horas</t>
  </si>
  <si>
    <t>Custo atual por hora</t>
  </si>
  <si>
    <t>Ano</t>
  </si>
  <si>
    <t>Projeção de aumento de custos</t>
  </si>
  <si>
    <t>Custo T. Cerejeira</t>
  </si>
  <si>
    <t>Custo T. Carvalho</t>
  </si>
  <si>
    <t>Fixo:</t>
  </si>
  <si>
    <t>Variável:</t>
  </si>
  <si>
    <t>por un.</t>
  </si>
  <si>
    <t>Custos impressão:</t>
  </si>
  <si>
    <t>Quality Sweater co. - Catálogo</t>
  </si>
  <si>
    <t>Custos de envio:</t>
  </si>
  <si>
    <t>Catálogo:</t>
  </si>
  <si>
    <t>Envelope de mala direta:</t>
  </si>
  <si>
    <t>por pedido</t>
  </si>
  <si>
    <t>Custo médio por pedido:</t>
  </si>
  <si>
    <t>Qtd. de catálogos:</t>
  </si>
  <si>
    <t>Taxa de resposta:</t>
  </si>
  <si>
    <t>Custo dos pedidos:</t>
  </si>
  <si>
    <t>Faturamento:</t>
  </si>
  <si>
    <t>Custo (impressão + envio):</t>
  </si>
  <si>
    <t>Custo Total</t>
  </si>
  <si>
    <t>Lucro:</t>
  </si>
  <si>
    <t>Qtd. Pedidos:</t>
  </si>
  <si>
    <t>Tabela de dados</t>
  </si>
  <si>
    <t>Taxa de resposta</t>
  </si>
  <si>
    <t>Lucro</t>
  </si>
  <si>
    <t>valor fantasma</t>
  </si>
  <si>
    <t>Para encontrar o ponto de equilíbrio (zero) foi usada em Data, a ferramenta Goal Seek.</t>
  </si>
  <si>
    <t>Para fazer a tabela de dados, em Data, Data table.</t>
  </si>
  <si>
    <t xml:space="preserve"> ponto de equilíbrio</t>
  </si>
  <si>
    <t>por hotdog</t>
  </si>
  <si>
    <t>Custo total por semana</t>
  </si>
  <si>
    <t>Receita:</t>
  </si>
  <si>
    <t>Preço</t>
  </si>
  <si>
    <t>Receita por semana:</t>
  </si>
  <si>
    <t>por semana</t>
  </si>
  <si>
    <t>Lucro semanal:</t>
  </si>
  <si>
    <t>Cachorro quente - vendas</t>
  </si>
  <si>
    <t>Vendas diárias</t>
  </si>
  <si>
    <t>Lucro semanal</t>
  </si>
  <si>
    <t>Data Table</t>
  </si>
  <si>
    <t>Vendas</t>
  </si>
  <si>
    <t>Dias abertos</t>
  </si>
  <si>
    <t>Vendas por dia</t>
  </si>
  <si>
    <t>Fixo</t>
  </si>
  <si>
    <t>Variável</t>
  </si>
  <si>
    <t>Mudança</t>
  </si>
  <si>
    <t>B&amp;N Bookstore</t>
  </si>
  <si>
    <t>por livro</t>
  </si>
  <si>
    <t>Demanda</t>
  </si>
  <si>
    <t>Faturamento Total:</t>
  </si>
  <si>
    <t>Lucro Total:</t>
  </si>
  <si>
    <t>Custo</t>
  </si>
  <si>
    <t>Pedidos</t>
  </si>
  <si>
    <t>Qtd. Pedida na gráfica:</t>
  </si>
  <si>
    <t>Preço regular:</t>
  </si>
  <si>
    <t>Preço do excedente:</t>
  </si>
  <si>
    <t>Excedentes:</t>
  </si>
  <si>
    <t>Copiadora</t>
  </si>
  <si>
    <t>Qtd. Copiadoras</t>
  </si>
  <si>
    <t>Máximo de cópias</t>
  </si>
  <si>
    <t>Demanda diária</t>
  </si>
  <si>
    <t>Demanda anual</t>
  </si>
  <si>
    <t>por ano</t>
  </si>
  <si>
    <t>Cópias feitas por ano</t>
  </si>
  <si>
    <t>Fixos:</t>
  </si>
  <si>
    <t>Variáveis:</t>
  </si>
  <si>
    <t>Custo de operação</t>
  </si>
  <si>
    <t>Custo Total anual:</t>
  </si>
  <si>
    <t>por mês</t>
  </si>
  <si>
    <t>Aluguel por copiadora</t>
  </si>
  <si>
    <t>por cópia</t>
  </si>
  <si>
    <t>Valor de venda</t>
  </si>
  <si>
    <t>Faturamento anual:</t>
  </si>
  <si>
    <t>Copiadoras</t>
  </si>
  <si>
    <t>Lucro anual</t>
  </si>
  <si>
    <t>Turnê</t>
  </si>
  <si>
    <t>Concertos:</t>
  </si>
  <si>
    <t>Qtd. Por semana</t>
  </si>
  <si>
    <t>Semanas da turnê</t>
  </si>
  <si>
    <t>Total de concertos:</t>
  </si>
  <si>
    <t>Público:</t>
  </si>
  <si>
    <t>Capacidade máxima:</t>
  </si>
  <si>
    <t>Ingressos vendidos:</t>
  </si>
  <si>
    <t>Expectativa(%):</t>
  </si>
  <si>
    <t>Aluguel do local:</t>
  </si>
  <si>
    <t>por show</t>
  </si>
  <si>
    <t>Preço do ingresso:</t>
  </si>
  <si>
    <t>Vendas de concessão:</t>
  </si>
  <si>
    <t>Faturamento médio/pedido:</t>
  </si>
  <si>
    <t xml:space="preserve">A 19th Hole vende tacos de golfe em suas lojas de outlet de golfe nos EUA. </t>
  </si>
  <si>
    <t xml:space="preserve">A empresa sabe que a demanda por seus tacos varia consideravelmente com o preço. </t>
  </si>
  <si>
    <t>No último ano, a demanda em cada nível de preço foi registrada na tabela abaixo.</t>
  </si>
  <si>
    <t>MÊS</t>
  </si>
  <si>
    <t>PREÇO</t>
  </si>
  <si>
    <t>19th buraco</t>
  </si>
  <si>
    <t>Custo:</t>
  </si>
  <si>
    <t xml:space="preserve">A empresa deseja estimar a relação entre demanda e preço e, em seguida, usar essa 
</t>
  </si>
  <si>
    <t>relação estimada para responder às seguintes perguntas:</t>
  </si>
  <si>
    <t xml:space="preserve">1. Supondo que o custo unitário de produção de um conjunto de tacos seja de US$ 250 e </t>
  </si>
  <si>
    <t xml:space="preserve">que o preço deva ser um múltiplo de US$ 10, que preço a empresa deve cobrar </t>
  </si>
  <si>
    <t>DEMANDA (00s)</t>
  </si>
  <si>
    <t>Linear:</t>
  </si>
  <si>
    <t>m</t>
  </si>
  <si>
    <t>b</t>
  </si>
  <si>
    <t>Exponencial</t>
  </si>
  <si>
    <t>a</t>
  </si>
  <si>
    <t>Potência</t>
  </si>
  <si>
    <t>Predições baseadas nos modelos</t>
  </si>
  <si>
    <t>Linar</t>
  </si>
  <si>
    <t>Demanda (00s)</t>
  </si>
  <si>
    <t>Erro absoluto (%)</t>
  </si>
  <si>
    <t>Linear</t>
  </si>
  <si>
    <t>Erro médio (%)</t>
  </si>
  <si>
    <t>Preço de venda</t>
  </si>
  <si>
    <t>Demanda total</t>
  </si>
  <si>
    <t>Modelo do negócio</t>
  </si>
  <si>
    <t>Modelos</t>
  </si>
  <si>
    <r>
      <t xml:space="preserve">para maximizar seu lucro? </t>
    </r>
    <r>
      <rPr>
        <sz val="11"/>
        <color rgb="FFFF0000"/>
        <rFont val="Aptos Narrow"/>
        <family val="2"/>
        <scheme val="minor"/>
      </rPr>
      <t>R: $ 530</t>
    </r>
  </si>
  <si>
    <t>Previsão de aumento de custo</t>
  </si>
  <si>
    <r>
      <t xml:space="preserve">2. Como o preço ideal depende do custo unitário de produção de um conjunto de tacos? </t>
    </r>
    <r>
      <rPr>
        <sz val="11"/>
        <color rgb="FFFF0000"/>
        <rFont val="Aptos Narrow"/>
        <family val="2"/>
        <scheme val="minor"/>
      </rPr>
      <t>R: Ver tabela de dados 2D</t>
    </r>
  </si>
  <si>
    <t>VISUALIZAÇÃO</t>
  </si>
  <si>
    <t>MODELAGEM</t>
  </si>
  <si>
    <t>y=ae^(bx)</t>
  </si>
  <si>
    <t>y=ax^b</t>
  </si>
  <si>
    <t>y=mx+b</t>
  </si>
  <si>
    <t>milhões USD</t>
  </si>
  <si>
    <t>yr</t>
  </si>
  <si>
    <t>Gopher Drugs</t>
  </si>
  <si>
    <t>Custo de desenv.</t>
  </si>
  <si>
    <t>Vida útil</t>
  </si>
  <si>
    <t>Margem bruta ano 1:</t>
  </si>
  <si>
    <t>Crescimento:</t>
  </si>
  <si>
    <t>Taxa</t>
  </si>
  <si>
    <t>Decréscimo:</t>
  </si>
  <si>
    <t>até o ano</t>
  </si>
  <si>
    <t>Taxa de desconto :</t>
  </si>
  <si>
    <t>Margem bruta (Mi)</t>
  </si>
  <si>
    <t>Fluxo de Caixa</t>
  </si>
  <si>
    <t>Utilzado para saber se um projeto valerá a pena.</t>
  </si>
  <si>
    <t>VPL &gt; 0 -&gt; Bom  negócio|VPL &lt;0 -&gt; Mau negócio</t>
  </si>
  <si>
    <t>VPL1 &gt; VPL2 --&gt; VPL1 é a melhor escolha.</t>
  </si>
  <si>
    <t>NPV - Valor Presente Líquido (VPL)</t>
  </si>
  <si>
    <t>Valor presente:</t>
  </si>
  <si>
    <t>Valor presente líquido (NPV):</t>
  </si>
  <si>
    <t>Para o cálculo, é preciso que os valores do fluxo de caixa</t>
  </si>
  <si>
    <t xml:space="preserve">sejam descontados no final de cada período. </t>
  </si>
  <si>
    <t>Pode ser entrada ou saída de caixa.</t>
  </si>
  <si>
    <r>
      <t>(não é líquido, é preciso subtrair o</t>
    </r>
    <r>
      <rPr>
        <b/>
        <sz val="11"/>
        <color theme="1"/>
        <rFont val="Aptos Narrow"/>
        <family val="2"/>
        <scheme val="minor"/>
      </rPr>
      <t xml:space="preserve"> investimento</t>
    </r>
    <r>
      <rPr>
        <sz val="11"/>
        <color theme="1"/>
        <rFont val="Aptos Narrow"/>
        <family val="2"/>
        <scheme val="minor"/>
      </rPr>
      <t xml:space="preserve"> depois)</t>
    </r>
  </si>
  <si>
    <t>&lt;- menos o valor do investimento inicial</t>
  </si>
  <si>
    <t>XNPV</t>
  </si>
  <si>
    <t>Calcula o valor presente quando os fluxos de caixa ocorrem em momentos irregulares.</t>
  </si>
  <si>
    <t xml:space="preserve"> Assim como a função NPV, as primeiras entradas são a taxa de desconto e os valores dos fluxos de caixa.</t>
  </si>
  <si>
    <t xml:space="preserve"> Em seguida, as datas dos fluxos de caixa também são usadas como inputs.</t>
  </si>
  <si>
    <t>Taxa de desconto</t>
  </si>
  <si>
    <t>Investimento inicial</t>
  </si>
  <si>
    <t>NPV:</t>
  </si>
  <si>
    <t>Entrada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</si>
</sst>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  <numFmt numFmtId="167" formatCode="_-[$$-409]* #,##0.0_ ;_-[$$-409]* \-#,##0.0\ ;_-[$$-409]* &quot;-&quot;??_ ;_-@_ "/>
    <numFmt numFmtId="168" formatCode="0.0%"/>
  </numFmts>
  <fonts count="3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5"/>
      <color theme="8"/>
      <name val="Aptos Narrow"/>
      <family val="2"/>
      <scheme val="minor"/>
    </font>
    <font>
      <b/>
      <sz val="13"/>
      <color theme="8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0"/>
      <color rgb="FF1F1F1F"/>
      <name val="Source Sans Pro"/>
      <family val="2"/>
    </font>
    <font>
      <b/>
      <sz val="11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b/>
      <sz val="11"/>
      <color rgb="FF1F1F1F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1F1F1F"/>
      <name val="Source Sans Pro"/>
      <family val="2"/>
    </font>
    <font>
      <b/>
      <sz val="10"/>
      <color rgb="FF1F1F1F"/>
      <name val="Aptos Narrow"/>
      <family val="2"/>
      <scheme val="minor"/>
    </font>
    <font>
      <sz val="10"/>
      <color rgb="FF1F1F1F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FFFF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  <xf numFmtId="0" fontId="5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15" applyNumberFormat="0" applyFill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11" fillId="6" borderId="54" applyNumberFormat="0" applyAlignment="0" applyProtection="0"/>
    <xf numFmtId="0" fontId="12" fillId="0" borderId="55" applyNumberFormat="0" applyFill="0" applyAlignment="0" applyProtection="0"/>
    <xf numFmtId="0" fontId="3" fillId="0" borderId="56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14" fillId="12" borderId="0" applyNumberFormat="0" applyBorder="0" applyAlignment="0" applyProtection="0"/>
  </cellStyleXfs>
  <cellXfs count="281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left" indent="1"/>
    </xf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/>
    <xf numFmtId="164" fontId="0" fillId="0" borderId="0" xfId="1" applyNumberFormat="1" applyFont="1"/>
    <xf numFmtId="0" fontId="0" fillId="0" borderId="0" xfId="1" applyNumberFormat="1" applyFont="1"/>
    <xf numFmtId="10" fontId="0" fillId="0" borderId="0" xfId="3" applyNumberFormat="1" applyFont="1"/>
    <xf numFmtId="0" fontId="3" fillId="0" borderId="0" xfId="0" applyFont="1" applyAlignment="1">
      <alignment horizontal="left" indent="2"/>
    </xf>
    <xf numFmtId="0" fontId="0" fillId="0" borderId="0" xfId="0" applyAlignment="1">
      <alignment horizontal="right" indent="2"/>
    </xf>
    <xf numFmtId="0" fontId="0" fillId="0" borderId="7" xfId="0" applyBorder="1"/>
    <xf numFmtId="164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6" xfId="0" applyFont="1" applyBorder="1"/>
    <xf numFmtId="0" fontId="3" fillId="0" borderId="7" xfId="0" applyFont="1" applyBorder="1"/>
    <xf numFmtId="0" fontId="0" fillId="0" borderId="6" xfId="0" applyBorder="1" applyAlignment="1">
      <alignment horizontal="right" indent="2"/>
    </xf>
    <xf numFmtId="0" fontId="3" fillId="0" borderId="6" xfId="0" applyFont="1" applyBorder="1" applyAlignment="1">
      <alignment horizontal="left" indent="2"/>
    </xf>
    <xf numFmtId="164" fontId="0" fillId="0" borderId="9" xfId="0" applyNumberFormat="1" applyBorder="1"/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5" fontId="0" fillId="0" borderId="11" xfId="0" applyNumberFormat="1" applyBorder="1"/>
    <xf numFmtId="164" fontId="0" fillId="0" borderId="11" xfId="0" applyNumberFormat="1" applyBorder="1"/>
    <xf numFmtId="0" fontId="5" fillId="0" borderId="0" xfId="4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3" fillId="0" borderId="6" xfId="0" applyFont="1" applyBorder="1" applyAlignment="1">
      <alignment horizontal="left"/>
    </xf>
    <xf numFmtId="10" fontId="1" fillId="4" borderId="0" xfId="3" applyNumberFormat="1" applyFill="1" applyBorder="1"/>
    <xf numFmtId="0" fontId="3" fillId="0" borderId="6" xfId="0" applyFont="1" applyBorder="1" applyAlignment="1">
      <alignment horizontal="left" indent="1"/>
    </xf>
    <xf numFmtId="0" fontId="1" fillId="5" borderId="0" xfId="8" applyBorder="1"/>
    <xf numFmtId="0" fontId="3" fillId="0" borderId="11" xfId="0" applyFont="1" applyBorder="1"/>
    <xf numFmtId="0" fontId="9" fillId="0" borderId="0" xfId="0" applyFont="1" applyAlignment="1">
      <alignment vertical="center" textRotation="90"/>
    </xf>
    <xf numFmtId="164" fontId="8" fillId="0" borderId="20" xfId="0" applyNumberFormat="1" applyFont="1" applyBorder="1"/>
    <xf numFmtId="165" fontId="10" fillId="0" borderId="11" xfId="0" applyNumberFormat="1" applyFont="1" applyBorder="1"/>
    <xf numFmtId="1" fontId="1" fillId="5" borderId="0" xfId="8" applyNumberFormat="1" applyBorder="1"/>
    <xf numFmtId="9" fontId="0" fillId="0" borderId="0" xfId="3" applyFont="1" applyBorder="1"/>
    <xf numFmtId="164" fontId="1" fillId="5" borderId="0" xfId="8" applyNumberFormat="1" applyBorder="1"/>
    <xf numFmtId="165" fontId="0" fillId="0" borderId="25" xfId="0" applyNumberFormat="1" applyBorder="1"/>
    <xf numFmtId="0" fontId="0" fillId="0" borderId="32" xfId="0" applyBorder="1"/>
    <xf numFmtId="0" fontId="0" fillId="0" borderId="31" xfId="0" applyBorder="1" applyAlignment="1">
      <alignment horizontal="left" indent="1"/>
    </xf>
    <xf numFmtId="0" fontId="0" fillId="0" borderId="31" xfId="0" applyBorder="1"/>
    <xf numFmtId="0" fontId="3" fillId="0" borderId="31" xfId="0" applyFont="1" applyBorder="1" applyAlignment="1">
      <alignment horizontal="left" indent="1"/>
    </xf>
    <xf numFmtId="165" fontId="0" fillId="0" borderId="34" xfId="0" applyNumberFormat="1" applyBorder="1"/>
    <xf numFmtId="0" fontId="0" fillId="0" borderId="35" xfId="0" applyBorder="1"/>
    <xf numFmtId="0" fontId="3" fillId="0" borderId="36" xfId="0" applyFont="1" applyBorder="1" applyAlignment="1">
      <alignment horizontal="left" indent="1"/>
    </xf>
    <xf numFmtId="0" fontId="0" fillId="0" borderId="37" xfId="0" applyBorder="1"/>
    <xf numFmtId="0" fontId="3" fillId="0" borderId="36" xfId="0" applyFont="1" applyBorder="1" applyAlignment="1">
      <alignment horizontal="left"/>
    </xf>
    <xf numFmtId="0" fontId="0" fillId="0" borderId="36" xfId="0" applyBorder="1" applyAlignment="1">
      <alignment horizontal="left" indent="1"/>
    </xf>
    <xf numFmtId="165" fontId="0" fillId="0" borderId="0" xfId="1" applyNumberFormat="1" applyFont="1" applyBorder="1"/>
    <xf numFmtId="165" fontId="3" fillId="0" borderId="0" xfId="0" applyNumberFormat="1" applyFont="1"/>
    <xf numFmtId="0" fontId="3" fillId="0" borderId="38" xfId="0" applyFont="1" applyBorder="1" applyAlignment="1">
      <alignment horizontal="left"/>
    </xf>
    <xf numFmtId="164" fontId="0" fillId="0" borderId="26" xfId="0" applyNumberFormat="1" applyBorder="1"/>
    <xf numFmtId="0" fontId="0" fillId="0" borderId="39" xfId="0" applyBorder="1"/>
    <xf numFmtId="0" fontId="3" fillId="0" borderId="31" xfId="0" applyFont="1" applyBorder="1"/>
    <xf numFmtId="0" fontId="3" fillId="0" borderId="0" xfId="0" applyFont="1" applyAlignment="1">
      <alignment horizontal="right"/>
    </xf>
    <xf numFmtId="165" fontId="0" fillId="0" borderId="34" xfId="0" applyNumberForma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right"/>
    </xf>
    <xf numFmtId="164" fontId="0" fillId="0" borderId="34" xfId="0" applyNumberFormat="1" applyBorder="1"/>
    <xf numFmtId="165" fontId="0" fillId="0" borderId="40" xfId="0" applyNumberFormat="1" applyBorder="1"/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165" fontId="0" fillId="0" borderId="39" xfId="0" applyNumberFormat="1" applyBorder="1"/>
    <xf numFmtId="165" fontId="0" fillId="0" borderId="44" xfId="0" applyNumberFormat="1" applyBorder="1"/>
    <xf numFmtId="0" fontId="3" fillId="0" borderId="51" xfId="0" applyFont="1" applyBorder="1"/>
    <xf numFmtId="0" fontId="3" fillId="0" borderId="52" xfId="0" applyFont="1" applyBorder="1"/>
    <xf numFmtId="0" fontId="3" fillId="0" borderId="53" xfId="0" applyFont="1" applyBorder="1"/>
    <xf numFmtId="0" fontId="7" fillId="0" borderId="15" xfId="7"/>
    <xf numFmtId="0" fontId="14" fillId="7" borderId="33" xfId="13" applyBorder="1" applyAlignment="1">
      <alignment horizontal="right"/>
    </xf>
    <xf numFmtId="0" fontId="7" fillId="0" borderId="6" xfId="9" applyBorder="1"/>
    <xf numFmtId="0" fontId="3" fillId="0" borderId="56" xfId="12" applyAlignment="1">
      <alignment horizontal="left" indent="2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0" xfId="0" applyFont="1"/>
    <xf numFmtId="0" fontId="3" fillId="0" borderId="56" xfId="12" applyAlignment="1">
      <alignment horizontal="left"/>
    </xf>
    <xf numFmtId="0" fontId="14" fillId="9" borderId="56" xfId="15" applyBorder="1" applyAlignment="1">
      <alignment horizontal="left"/>
    </xf>
    <xf numFmtId="165" fontId="6" fillId="0" borderId="11" xfId="0" applyNumberFormat="1" applyFont="1" applyBorder="1"/>
    <xf numFmtId="9" fontId="0" fillId="0" borderId="11" xfId="3" applyFont="1" applyBorder="1"/>
    <xf numFmtId="10" fontId="0" fillId="0" borderId="11" xfId="3" applyNumberFormat="1" applyFont="1" applyBorder="1"/>
    <xf numFmtId="0" fontId="14" fillId="9" borderId="8" xfId="15" applyBorder="1" applyAlignment="1">
      <alignment horizontal="left" indent="1"/>
    </xf>
    <xf numFmtId="166" fontId="0" fillId="0" borderId="0" xfId="0" applyNumberFormat="1"/>
    <xf numFmtId="0" fontId="17" fillId="0" borderId="6" xfId="11" applyFont="1" applyBorder="1"/>
    <xf numFmtId="0" fontId="17" fillId="6" borderId="6" xfId="10" applyFont="1" applyBorder="1" applyAlignment="1">
      <alignment horizontal="left" indent="1"/>
    </xf>
    <xf numFmtId="0" fontId="17" fillId="0" borderId="6" xfId="11" applyFont="1" applyBorder="1" applyAlignment="1">
      <alignment horizontal="left"/>
    </xf>
    <xf numFmtId="0" fontId="17" fillId="0" borderId="0" xfId="0" applyFont="1"/>
    <xf numFmtId="0" fontId="3" fillId="0" borderId="11" xfId="0" applyFont="1" applyBorder="1" applyAlignment="1">
      <alignment horizontal="center" vertical="center"/>
    </xf>
    <xf numFmtId="164" fontId="8" fillId="0" borderId="11" xfId="0" applyNumberFormat="1" applyFont="1" applyBorder="1"/>
    <xf numFmtId="0" fontId="3" fillId="0" borderId="6" xfId="0" applyFont="1" applyBorder="1" applyAlignment="1">
      <alignment horizontal="left" wrapText="1" indent="1"/>
    </xf>
    <xf numFmtId="0" fontId="0" fillId="0" borderId="7" xfId="0" applyBorder="1" applyAlignment="1">
      <alignment wrapText="1"/>
    </xf>
    <xf numFmtId="0" fontId="3" fillId="0" borderId="16" xfId="0" applyFont="1" applyBorder="1"/>
    <xf numFmtId="0" fontId="3" fillId="0" borderId="21" xfId="0" applyFont="1" applyBorder="1"/>
    <xf numFmtId="0" fontId="3" fillId="0" borderId="6" xfId="0" applyFont="1" applyBorder="1" applyAlignment="1">
      <alignment horizontal="left" vertical="center" indent="1"/>
    </xf>
    <xf numFmtId="0" fontId="17" fillId="6" borderId="54" xfId="10" applyFont="1" applyAlignment="1">
      <alignment horizontal="left" vertical="center" indent="1"/>
    </xf>
    <xf numFmtId="0" fontId="17" fillId="6" borderId="54" xfId="10" applyFont="1" applyAlignment="1">
      <alignment horizontal="left" wrapText="1" indent="1"/>
    </xf>
    <xf numFmtId="0" fontId="14" fillId="7" borderId="33" xfId="13" applyBorder="1" applyAlignment="1">
      <alignment horizontal="left"/>
    </xf>
    <xf numFmtId="0" fontId="3" fillId="8" borderId="31" xfId="14" applyFont="1" applyBorder="1" applyAlignment="1">
      <alignment horizontal="left" indent="1"/>
    </xf>
    <xf numFmtId="1" fontId="0" fillId="0" borderId="0" xfId="0" applyNumberFormat="1"/>
    <xf numFmtId="164" fontId="18" fillId="0" borderId="27" xfId="0" applyNumberFormat="1" applyFont="1" applyBorder="1"/>
    <xf numFmtId="0" fontId="14" fillId="10" borderId="33" xfId="16" applyBorder="1" applyAlignment="1">
      <alignment horizontal="left" indent="1"/>
    </xf>
    <xf numFmtId="0" fontId="3" fillId="11" borderId="31" xfId="17" applyFont="1" applyBorder="1" applyAlignment="1">
      <alignment horizontal="left" indent="1"/>
    </xf>
    <xf numFmtId="0" fontId="20" fillId="0" borderId="31" xfId="4" applyFont="1" applyBorder="1"/>
    <xf numFmtId="0" fontId="20" fillId="0" borderId="31" xfId="4" applyFont="1" applyBorder="1" applyAlignment="1">
      <alignment horizontal="left"/>
    </xf>
    <xf numFmtId="0" fontId="21" fillId="0" borderId="0" xfId="0" applyFont="1" applyAlignment="1">
      <alignment horizontal="left" vertical="center" indent="2"/>
    </xf>
    <xf numFmtId="0" fontId="0" fillId="0" borderId="11" xfId="3" applyNumberFormat="1" applyFont="1" applyBorder="1"/>
    <xf numFmtId="2" fontId="0" fillId="0" borderId="11" xfId="3" applyNumberFormat="1" applyFont="1" applyBorder="1"/>
    <xf numFmtId="0" fontId="23" fillId="0" borderId="11" xfId="0" applyFont="1" applyBorder="1" applyAlignment="1">
      <alignment horizontal="center" vertical="center"/>
    </xf>
    <xf numFmtId="165" fontId="24" fillId="0" borderId="11" xfId="0" applyNumberFormat="1" applyFont="1" applyBorder="1"/>
    <xf numFmtId="0" fontId="3" fillId="0" borderId="57" xfId="0" applyFont="1" applyBorder="1" applyAlignment="1">
      <alignment horizontal="center"/>
    </xf>
    <xf numFmtId="2" fontId="0" fillId="0" borderId="57" xfId="3" applyNumberFormat="1" applyFont="1" applyBorder="1"/>
    <xf numFmtId="0" fontId="24" fillId="0" borderId="11" xfId="0" applyFont="1" applyBorder="1"/>
    <xf numFmtId="168" fontId="0" fillId="0" borderId="11" xfId="3" applyNumberFormat="1" applyFont="1" applyBorder="1"/>
    <xf numFmtId="168" fontId="0" fillId="0" borderId="11" xfId="0" applyNumberFormat="1" applyBorder="1"/>
    <xf numFmtId="167" fontId="0" fillId="0" borderId="14" xfId="0" applyNumberFormat="1" applyBorder="1"/>
    <xf numFmtId="167" fontId="0" fillId="0" borderId="7" xfId="0" applyNumberFormat="1" applyBorder="1"/>
    <xf numFmtId="167" fontId="0" fillId="0" borderId="10" xfId="0" applyNumberFormat="1" applyBorder="1"/>
    <xf numFmtId="167" fontId="3" fillId="0" borderId="14" xfId="0" applyNumberFormat="1" applyFont="1" applyBorder="1"/>
    <xf numFmtId="167" fontId="3" fillId="0" borderId="7" xfId="0" applyNumberFormat="1" applyFont="1" applyBorder="1"/>
    <xf numFmtId="167" fontId="3" fillId="0" borderId="10" xfId="0" applyNumberFormat="1" applyFont="1" applyBorder="1"/>
    <xf numFmtId="167" fontId="0" fillId="0" borderId="8" xfId="0" applyNumberFormat="1" applyBorder="1"/>
    <xf numFmtId="167" fontId="0" fillId="0" borderId="9" xfId="0" applyNumberFormat="1" applyBorder="1"/>
    <xf numFmtId="167" fontId="3" fillId="0" borderId="8" xfId="0" applyNumberFormat="1" applyFont="1" applyBorder="1"/>
    <xf numFmtId="167" fontId="3" fillId="0" borderId="9" xfId="0" applyNumberFormat="1" applyFont="1" applyBorder="1"/>
    <xf numFmtId="167" fontId="0" fillId="0" borderId="12" xfId="0" applyNumberFormat="1" applyBorder="1"/>
    <xf numFmtId="167" fontId="0" fillId="0" borderId="13" xfId="0" applyNumberFormat="1" applyBorder="1"/>
    <xf numFmtId="167" fontId="0" fillId="0" borderId="6" xfId="0" applyNumberFormat="1" applyBorder="1"/>
    <xf numFmtId="0" fontId="21" fillId="0" borderId="6" xfId="0" applyFont="1" applyBorder="1" applyAlignment="1">
      <alignment horizontal="left" vertical="center" indent="2"/>
    </xf>
    <xf numFmtId="165" fontId="8" fillId="0" borderId="11" xfId="0" applyNumberFormat="1" applyFont="1" applyBorder="1"/>
    <xf numFmtId="167" fontId="27" fillId="0" borderId="11" xfId="0" applyNumberFormat="1" applyFont="1" applyBorder="1"/>
    <xf numFmtId="0" fontId="28" fillId="0" borderId="2" xfId="4" applyFont="1" applyAlignment="1">
      <alignment horizontal="center" vertical="center"/>
    </xf>
    <xf numFmtId="168" fontId="0" fillId="0" borderId="0" xfId="3" applyNumberFormat="1" applyFont="1" applyBorder="1"/>
    <xf numFmtId="168" fontId="0" fillId="0" borderId="0" xfId="0" applyNumberFormat="1"/>
    <xf numFmtId="0" fontId="21" fillId="0" borderId="12" xfId="0" applyFont="1" applyBorder="1" applyAlignment="1">
      <alignment horizontal="left" vertical="center" indent="2"/>
    </xf>
    <xf numFmtId="0" fontId="21" fillId="0" borderId="13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center"/>
    </xf>
    <xf numFmtId="0" fontId="3" fillId="0" borderId="59" xfId="0" applyFont="1" applyBorder="1" applyAlignment="1">
      <alignment horizontal="center" vertical="center"/>
    </xf>
    <xf numFmtId="0" fontId="0" fillId="0" borderId="59" xfId="0" applyBorder="1"/>
    <xf numFmtId="168" fontId="0" fillId="0" borderId="7" xfId="3" applyNumberFormat="1" applyFont="1" applyBorder="1"/>
    <xf numFmtId="168" fontId="0" fillId="0" borderId="7" xfId="0" applyNumberFormat="1" applyBorder="1"/>
    <xf numFmtId="165" fontId="1" fillId="5" borderId="0" xfId="8" applyNumberFormat="1" applyBorder="1"/>
    <xf numFmtId="167" fontId="8" fillId="0" borderId="0" xfId="0" applyNumberFormat="1" applyFont="1"/>
    <xf numFmtId="167" fontId="0" fillId="0" borderId="0" xfId="0" applyNumberFormat="1"/>
    <xf numFmtId="0" fontId="25" fillId="0" borderId="7" xfId="18" applyBorder="1" applyAlignment="1">
      <alignment horizontal="center" vertical="center"/>
    </xf>
    <xf numFmtId="0" fontId="14" fillId="7" borderId="11" xfId="13" applyBorder="1" applyAlignment="1">
      <alignment horizontal="right"/>
    </xf>
    <xf numFmtId="0" fontId="31" fillId="7" borderId="8" xfId="13" applyFont="1" applyBorder="1" applyAlignment="1">
      <alignment horizontal="left"/>
    </xf>
    <xf numFmtId="167" fontId="26" fillId="0" borderId="11" xfId="0" applyNumberFormat="1" applyFont="1" applyBorder="1"/>
    <xf numFmtId="9" fontId="0" fillId="0" borderId="0" xfId="3" applyFont="1"/>
    <xf numFmtId="0" fontId="0" fillId="0" borderId="6" xfId="0" applyBorder="1" applyAlignment="1">
      <alignment horizontal="right"/>
    </xf>
    <xf numFmtId="9" fontId="0" fillId="0" borderId="7" xfId="3" applyFont="1" applyBorder="1"/>
    <xf numFmtId="0" fontId="0" fillId="0" borderId="8" xfId="0" applyBorder="1" applyAlignment="1">
      <alignment horizontal="left" indent="1"/>
    </xf>
    <xf numFmtId="9" fontId="0" fillId="0" borderId="10" xfId="3" applyFont="1" applyBorder="1"/>
    <xf numFmtId="0" fontId="0" fillId="0" borderId="21" xfId="0" applyBorder="1"/>
    <xf numFmtId="0" fontId="3" fillId="0" borderId="60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164" fontId="10" fillId="0" borderId="21" xfId="0" applyNumberFormat="1" applyFont="1" applyBorder="1"/>
    <xf numFmtId="164" fontId="10" fillId="0" borderId="11" xfId="0" applyNumberFormat="1" applyFont="1" applyBorder="1"/>
    <xf numFmtId="0" fontId="32" fillId="7" borderId="22" xfId="13" applyFont="1" applyBorder="1"/>
    <xf numFmtId="167" fontId="0" fillId="0" borderId="24" xfId="0" applyNumberFormat="1" applyBorder="1"/>
    <xf numFmtId="0" fontId="34" fillId="13" borderId="66" xfId="0" applyFont="1" applyFill="1" applyBorder="1" applyAlignment="1">
      <alignment horizontal="left" vertical="center" wrapText="1"/>
    </xf>
    <xf numFmtId="0" fontId="34" fillId="13" borderId="67" xfId="0" applyFont="1" applyFill="1" applyBorder="1" applyAlignment="1">
      <alignment horizontal="left" vertical="center" wrapText="1"/>
    </xf>
    <xf numFmtId="0" fontId="35" fillId="13" borderId="59" xfId="0" applyFont="1" applyFill="1" applyBorder="1" applyAlignment="1">
      <alignment horizontal="left" vertical="center" wrapText="1"/>
    </xf>
    <xf numFmtId="164" fontId="35" fillId="13" borderId="68" xfId="0" applyNumberFormat="1" applyFont="1" applyFill="1" applyBorder="1" applyAlignment="1">
      <alignment horizontal="left" vertical="center" wrapText="1"/>
    </xf>
    <xf numFmtId="0" fontId="14" fillId="12" borderId="0" xfId="19" applyAlignment="1">
      <alignment horizontal="right"/>
    </xf>
    <xf numFmtId="0" fontId="3" fillId="0" borderId="69" xfId="0" applyFont="1" applyBorder="1"/>
    <xf numFmtId="165" fontId="0" fillId="0" borderId="70" xfId="0" applyNumberFormat="1" applyBorder="1"/>
    <xf numFmtId="0" fontId="3" fillId="0" borderId="71" xfId="0" applyFont="1" applyBorder="1"/>
    <xf numFmtId="9" fontId="0" fillId="0" borderId="20" xfId="3" applyFont="1" applyBorder="1"/>
    <xf numFmtId="0" fontId="2" fillId="0" borderId="1" xfId="2" applyAlignment="1">
      <alignment horizontal="center"/>
    </xf>
    <xf numFmtId="0" fontId="1" fillId="3" borderId="0" xfId="6" applyAlignment="1">
      <alignment vertical="top"/>
    </xf>
    <xf numFmtId="0" fontId="0" fillId="0" borderId="0" xfId="0" applyAlignment="1">
      <alignment vertical="top"/>
    </xf>
    <xf numFmtId="0" fontId="5" fillId="0" borderId="3" xfId="4" applyBorder="1" applyAlignment="1">
      <alignment horizontal="center"/>
    </xf>
    <xf numFmtId="0" fontId="5" fillId="0" borderId="4" xfId="4" applyBorder="1" applyAlignment="1">
      <alignment horizontal="center"/>
    </xf>
    <xf numFmtId="0" fontId="5" fillId="0" borderId="5" xfId="4" applyBorder="1" applyAlignment="1">
      <alignment horizontal="center"/>
    </xf>
    <xf numFmtId="0" fontId="5" fillId="0" borderId="11" xfId="4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5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5" fillId="0" borderId="2" xfId="4" applyAlignment="1">
      <alignment horizontal="center"/>
    </xf>
    <xf numFmtId="0" fontId="3" fillId="0" borderId="41" xfId="0" applyFont="1" applyBorder="1" applyAlignment="1">
      <alignment horizontal="center" vertical="center" textRotation="90"/>
    </xf>
    <xf numFmtId="0" fontId="3" fillId="0" borderId="42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/>
    </xf>
    <xf numFmtId="0" fontId="19" fillId="0" borderId="28" xfId="2" applyFont="1" applyBorder="1" applyAlignment="1">
      <alignment horizontal="center"/>
    </xf>
    <xf numFmtId="0" fontId="2" fillId="0" borderId="29" xfId="2" applyBorder="1" applyAlignment="1">
      <alignment horizontal="center"/>
    </xf>
    <xf numFmtId="0" fontId="2" fillId="0" borderId="30" xfId="2" applyBorder="1" applyAlignment="1">
      <alignment horizontal="center"/>
    </xf>
    <xf numFmtId="0" fontId="25" fillId="0" borderId="57" xfId="18" applyBorder="1" applyAlignment="1">
      <alignment horizontal="center"/>
    </xf>
    <xf numFmtId="0" fontId="25" fillId="0" borderId="16" xfId="18" applyBorder="1" applyAlignment="1">
      <alignment horizontal="center"/>
    </xf>
    <xf numFmtId="0" fontId="25" fillId="0" borderId="60" xfId="18" applyBorder="1" applyAlignment="1">
      <alignment horizontal="center" vertical="center"/>
    </xf>
    <xf numFmtId="0" fontId="25" fillId="0" borderId="61" xfId="18" applyBorder="1" applyAlignment="1">
      <alignment horizontal="center" vertical="center"/>
    </xf>
    <xf numFmtId="0" fontId="25" fillId="0" borderId="62" xfId="18" applyBorder="1" applyAlignment="1">
      <alignment horizontal="center" vertical="center"/>
    </xf>
    <xf numFmtId="0" fontId="25" fillId="0" borderId="17" xfId="18" applyBorder="1" applyAlignment="1">
      <alignment horizontal="center" vertical="center" textRotation="90"/>
    </xf>
    <xf numFmtId="0" fontId="25" fillId="0" borderId="18" xfId="18" applyBorder="1" applyAlignment="1">
      <alignment horizontal="center" vertical="center" textRotation="90"/>
    </xf>
    <xf numFmtId="0" fontId="25" fillId="0" borderId="19" xfId="18" applyBorder="1" applyAlignment="1">
      <alignment horizontal="center" vertical="center" textRotation="90"/>
    </xf>
    <xf numFmtId="0" fontId="26" fillId="0" borderId="1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2" fillId="0" borderId="63" xfId="2" applyBorder="1" applyAlignment="1">
      <alignment horizontal="center"/>
    </xf>
    <xf numFmtId="0" fontId="2" fillId="0" borderId="64" xfId="2" applyBorder="1" applyAlignment="1">
      <alignment horizontal="center"/>
    </xf>
    <xf numFmtId="0" fontId="2" fillId="0" borderId="65" xfId="2" applyBorder="1" applyAlignment="1">
      <alignment horizontal="center"/>
    </xf>
    <xf numFmtId="0" fontId="29" fillId="0" borderId="1" xfId="2" applyFont="1" applyAlignment="1">
      <alignment horizontal="center"/>
    </xf>
    <xf numFmtId="0" fontId="21" fillId="0" borderId="8" xfId="0" applyFont="1" applyBorder="1" applyAlignment="1">
      <alignment horizontal="left" vertical="center" indent="2"/>
    </xf>
    <xf numFmtId="0" fontId="21" fillId="0" borderId="9" xfId="0" applyFont="1" applyBorder="1" applyAlignment="1">
      <alignment horizontal="left" vertical="center" indent="2"/>
    </xf>
    <xf numFmtId="0" fontId="21" fillId="0" borderId="10" xfId="0" applyFont="1" applyBorder="1" applyAlignment="1">
      <alignment horizontal="left" vertical="center" indent="2"/>
    </xf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21" fillId="0" borderId="6" xfId="0" applyFont="1" applyBorder="1" applyAlignment="1">
      <alignment horizontal="left" vertical="center" indent="2"/>
    </xf>
    <xf numFmtId="0" fontId="21" fillId="0" borderId="0" xfId="0" applyFont="1" applyAlignment="1">
      <alignment horizontal="left" vertical="center" indent="2"/>
    </xf>
    <xf numFmtId="0" fontId="21" fillId="0" borderId="7" xfId="0" applyFont="1" applyBorder="1" applyAlignment="1">
      <alignment horizontal="left" vertical="center" indent="2"/>
    </xf>
    <xf numFmtId="0" fontId="2" fillId="0" borderId="59" xfId="2" applyBorder="1" applyAlignment="1">
      <alignment horizontal="center"/>
    </xf>
    <xf numFmtId="0" fontId="2" fillId="0" borderId="11" xfId="2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2" xfId="2" applyBorder="1" applyAlignment="1">
      <alignment horizontal="center"/>
    </xf>
    <xf numFmtId="0" fontId="2" fillId="0" borderId="24" xfId="2" applyBorder="1" applyAlignment="1">
      <alignment horizontal="center"/>
    </xf>
    <xf numFmtId="0" fontId="2" fillId="0" borderId="0" xfId="2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7" xfId="0" applyNumberFormat="1" applyBorder="1" applyAlignment="1">
      <alignment horizontal="right"/>
    </xf>
    <xf numFmtId="10" fontId="1" fillId="2" borderId="9" xfId="5" applyNumberFormat="1" applyBorder="1" applyAlignment="1">
      <alignment horizontal="right"/>
    </xf>
    <xf numFmtId="10" fontId="1" fillId="2" borderId="10" xfId="5" applyNumberForma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164" fontId="0" fillId="0" borderId="7" xfId="1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7" xfId="1" applyNumberFormat="1" applyFont="1" applyBorder="1" applyAlignment="1">
      <alignment horizontal="right"/>
    </xf>
    <xf numFmtId="0" fontId="0" fillId="0" borderId="7" xfId="1" applyNumberFormat="1" applyFon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1" applyNumberFormat="1" applyFont="1" applyBorder="1" applyAlignment="1">
      <alignment horizontal="right"/>
    </xf>
  </cellXfs>
  <cellStyles count="20">
    <cellStyle name="20% - Accent2" xfId="8" builtinId="34"/>
    <cellStyle name="20% - Accent4" xfId="5" builtinId="42"/>
    <cellStyle name="20% - Accent5" xfId="6" builtinId="46"/>
    <cellStyle name="40% - Accent1" xfId="14" builtinId="31"/>
    <cellStyle name="40% - Accent5" xfId="17" builtinId="47"/>
    <cellStyle name="Accent1" xfId="13" builtinId="29"/>
    <cellStyle name="Accent2" xfId="15" builtinId="33"/>
    <cellStyle name="Accent3" xfId="19" builtinId="37"/>
    <cellStyle name="Accent5" xfId="16" builtinId="45"/>
    <cellStyle name="Calculation" xfId="10" builtinId="22"/>
    <cellStyle name="Currency" xfId="1" builtinId="4"/>
    <cellStyle name="Heading 1" xfId="2" builtinId="16"/>
    <cellStyle name="Heading 2" xfId="4" builtinId="17"/>
    <cellStyle name="Heading 3" xfId="7" builtinId="18"/>
    <cellStyle name="Heading 4" xfId="9" builtinId="19"/>
    <cellStyle name="Linked Cell" xfId="11" builtinId="24"/>
    <cellStyle name="Normal" xfId="0" builtinId="0"/>
    <cellStyle name="Percent" xfId="3" builtinId="5"/>
    <cellStyle name="Title" xfId="18" builtinId="15"/>
    <cellStyle name="Total" xfId="12" builtinId="25"/>
  </cellStyles>
  <dxfs count="5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Up">
          <f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/>
      </font>
    </dxf>
    <dxf>
      <font>
        <color rgb="FF9C0006"/>
      </font>
    </dxf>
    <dxf>
      <font>
        <color rgb="FFFFC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/>
      </font>
      <fill>
        <patternFill patternType="lightUp">
          <fgColor theme="9" tint="0.39994506668294322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theme="5"/>
      </font>
      <fill>
        <patternFill patternType="lightUp">
          <fgColor rgb="FFFFC000"/>
        </patternFill>
      </fill>
    </dxf>
    <dxf>
      <font>
        <color theme="9"/>
      </font>
      <fill>
        <patternFill patternType="lightUp">
          <fgColor theme="9" tint="0.39994506668294322"/>
          <bgColor theme="0"/>
        </patternFill>
      </fill>
    </dxf>
    <dxf>
      <font>
        <color rgb="FFC00000"/>
      </font>
      <fill>
        <patternFill patternType="lightUp">
          <fgColor rgb="FFFF0000"/>
        </patternFill>
      </fill>
    </dxf>
    <dxf>
      <font>
        <color rgb="FFFFCC00"/>
      </font>
      <fill>
        <patternFill patternType="lightUp">
          <fgColor rgb="FFFFCC00"/>
          <bgColor theme="0"/>
        </patternFill>
      </fill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</dxf>
    <dxf>
      <font>
        <b/>
        <i val="0"/>
        <strike val="0"/>
      </font>
      <fill>
        <patternFill patternType="lightUp">
          <f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C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Up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 patternType="lightUp">
          <fgColor theme="9" tint="0.39994506668294322"/>
          <bgColor theme="0"/>
        </patternFill>
      </fill>
    </dxf>
    <dxf>
      <font>
        <color rgb="FF9C0006"/>
      </font>
      <fill>
        <patternFill patternType="lightDown">
          <fgColor rgb="FFFF0000"/>
          <bgColor theme="0"/>
        </patternFill>
      </fill>
    </dxf>
    <dxf>
      <font>
        <color rgb="FF9C5700"/>
      </font>
      <fill>
        <patternFill patternType="lightUp">
          <fgColor rgb="FFFFC00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Woodworks - Projeção de custos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Cerejeira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Woodworks!$I$8:$I$13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F-4CA0-8B73-7E022A89EB17}"/>
            </c:ext>
          </c:extLst>
        </c:ser>
        <c:ser>
          <c:idx val="4"/>
          <c:order val="1"/>
          <c:tx>
            <c:v>Carvalho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6830588630689458E-2"/>
                  <c:y val="2.31481481481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FCF-4CA0-8B73-7E022A89EB17}"/>
                </c:ext>
              </c:extLst>
            </c:dLbl>
            <c:dLbl>
              <c:idx val="1"/>
              <c:layout>
                <c:manualLayout>
                  <c:x val="-6.1464734972152921E-2"/>
                  <c:y val="2.77777777777776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FCF-4CA0-8B73-7E022A89EB17}"/>
                </c:ext>
              </c:extLst>
            </c:dLbl>
            <c:dLbl>
              <c:idx val="2"/>
              <c:layout>
                <c:manualLayout>
                  <c:x val="-6.1464734972152872E-2"/>
                  <c:y val="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CF-4CA0-8B73-7E022A89EB17}"/>
                </c:ext>
              </c:extLst>
            </c:dLbl>
            <c:dLbl>
              <c:idx val="3"/>
              <c:layout>
                <c:manualLayout>
                  <c:x val="-5.8924084565648897E-2"/>
                  <c:y val="3.24074074074073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FCF-4CA0-8B73-7E022A89EB17}"/>
                </c:ext>
              </c:extLst>
            </c:dLbl>
            <c:dLbl>
              <c:idx val="4"/>
              <c:layout>
                <c:manualLayout>
                  <c:x val="-6.146473497215296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CF-4CA0-8B73-7E022A89EB17}"/>
                </c:ext>
              </c:extLst>
            </c:dLbl>
            <c:dLbl>
              <c:idx val="5"/>
              <c:layout>
                <c:manualLayout>
                  <c:x val="-4.951867678125600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CF-4CA0-8B73-7E022A89EB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Woodworks!$E$8:$E$13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Woodworks!$J$8:$J$13</c:f>
              <c:numCache>
                <c:formatCode>_-[$$-409]* #,##0.00_ ;_-[$$-409]* \-#,##0.00\ ;_-[$$-409]* "-"??_ ;_-@_ </c:formatCode>
                <c:ptCount val="6"/>
                <c:pt idx="0" formatCode="_-[$$-409]* #,##0_ ;_-[$$-409]* \-#,##0\ ;_-[$$-409]* &quot;-&quot;??_ ;_-@_ 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CF-4CA0-8B73-7E022A89EB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7795039"/>
        <c:axId val="610659023"/>
      </c:lineChart>
      <c:catAx>
        <c:axId val="127779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659023"/>
        <c:crosses val="autoZero"/>
        <c:auto val="1"/>
        <c:lblAlgn val="ctr"/>
        <c:lblOffset val="100"/>
        <c:noMultiLvlLbl val="0"/>
      </c:catAx>
      <c:valAx>
        <c:axId val="61065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 Total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779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Quality Sweater co. </a:t>
            </a:r>
          </a:p>
          <a:p>
            <a:pPr>
              <a:defRPr/>
            </a:pPr>
            <a:r>
              <a:rPr lang="pt-BR"/>
              <a:t>Taxa de resposta vs.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'Quality Sweater co.'!$E$4:$E$18</c:f>
              <c:numCache>
                <c:formatCode>0.00%</c:formatCode>
                <c:ptCount val="15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  <c:pt idx="11">
                  <c:v>8.5000000000000006E-2</c:v>
                </c:pt>
                <c:pt idx="12" formatCode="0%">
                  <c:v>9.0000000000000094E-2</c:v>
                </c:pt>
                <c:pt idx="13">
                  <c:v>9.5000000000000098E-2</c:v>
                </c:pt>
                <c:pt idx="14" formatCode="0%">
                  <c:v>0.1</c:v>
                </c:pt>
              </c:numCache>
            </c:numRef>
          </c:cat>
          <c:val>
            <c:numRef>
              <c:f>'Quality Sweater co.'!$F$4:$F$18</c:f>
              <c:numCache>
                <c:formatCode>_-[$$-409]* #,##0_ ;_-[$$-409]* \-#,##0\ ;_-[$$-409]* "-"??_ ;_-@_ </c:formatCode>
                <c:ptCount val="15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C61-B1EC-2AF65238A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1711679"/>
        <c:axId val="889974271"/>
      </c:barChart>
      <c:catAx>
        <c:axId val="79171167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9974271"/>
        <c:crosses val="autoZero"/>
        <c:auto val="1"/>
        <c:lblAlgn val="ctr"/>
        <c:lblOffset val="100"/>
        <c:noMultiLvlLbl val="0"/>
      </c:catAx>
      <c:valAx>
        <c:axId val="88997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171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accent2"/>
                </a:solidFill>
              </a:rPr>
              <a:t>Lucro vs Vendas diárias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'Exercício - hot dog'!$E$4:$E$18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'Exercício - hot dog'!$F$4:$F$18</c:f>
              <c:numCache>
                <c:formatCode>_-[$$-409]* #,##0_ ;_-[$$-409]* \-#,##0\ ;_-[$$-409]* "-"??_ ;_-@_ </c:formatCode>
                <c:ptCount val="15"/>
                <c:pt idx="0">
                  <c:v>-490</c:v>
                </c:pt>
                <c:pt idx="1">
                  <c:v>-280</c:v>
                </c:pt>
                <c:pt idx="2">
                  <c:v>-70</c:v>
                </c:pt>
                <c:pt idx="3">
                  <c:v>140</c:v>
                </c:pt>
                <c:pt idx="4">
                  <c:v>350</c:v>
                </c:pt>
                <c:pt idx="5">
                  <c:v>560</c:v>
                </c:pt>
                <c:pt idx="6">
                  <c:v>770</c:v>
                </c:pt>
                <c:pt idx="7">
                  <c:v>980</c:v>
                </c:pt>
                <c:pt idx="8">
                  <c:v>1190</c:v>
                </c:pt>
                <c:pt idx="9">
                  <c:v>1400</c:v>
                </c:pt>
                <c:pt idx="10">
                  <c:v>1610</c:v>
                </c:pt>
                <c:pt idx="11">
                  <c:v>1820</c:v>
                </c:pt>
                <c:pt idx="12">
                  <c:v>2030</c:v>
                </c:pt>
                <c:pt idx="13">
                  <c:v>2240</c:v>
                </c:pt>
                <c:pt idx="14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8-4CEE-8553-BCBBB1A49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18149455"/>
        <c:axId val="322711023"/>
      </c:barChart>
      <c:catAx>
        <c:axId val="31814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Vendas diárias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2711023"/>
        <c:crosses val="autoZero"/>
        <c:auto val="1"/>
        <c:lblAlgn val="ctr"/>
        <c:lblOffset val="100"/>
        <c:noMultiLvlLbl val="0"/>
      </c:catAx>
      <c:valAx>
        <c:axId val="322711023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/>
                  <a:t>Lucro semanal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anual vs. Nº de copiadoras</a:t>
            </a:r>
          </a:p>
        </c:rich>
      </c:tx>
      <c:layout>
        <c:manualLayout>
          <c:xMode val="edge"/>
          <c:yMode val="edge"/>
          <c:x val="0.2492222222222222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Demanda: 500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'Exercício - copiadora'!$I$3:$I$7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B-4306-A3F2-9BFE369446F3}"/>
            </c:ext>
          </c:extLst>
        </c:ser>
        <c:ser>
          <c:idx val="1"/>
          <c:order val="1"/>
          <c:tx>
            <c:v>1000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'Exercício - copiadora'!$J$3:$J$7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B-4306-A3F2-9BFE369446F3}"/>
            </c:ext>
          </c:extLst>
        </c:ser>
        <c:ser>
          <c:idx val="2"/>
          <c:order val="2"/>
          <c:tx>
            <c:v>1500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'Exercício - copiadora'!$K$3:$K$7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B-4306-A3F2-9BFE369446F3}"/>
            </c:ext>
          </c:extLst>
        </c:ser>
        <c:ser>
          <c:idx val="3"/>
          <c:order val="3"/>
          <c:tx>
            <c:v>2000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'Exercício - copiadora'!$L$3:$L$7</c:f>
              <c:numCache>
                <c:formatCode>_-[$$-409]* #,##0_ ;_-[$$-409]* \-#,##0\ ;_-[$$-409]* "-"??_ ;_-@_ 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72B-4306-A3F2-9BFE3694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598960"/>
        <c:axId val="1585238719"/>
      </c:scatterChart>
      <c:valAx>
        <c:axId val="18705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Nº de copiadoras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5238719"/>
        <c:crosses val="autoZero"/>
        <c:crossBetween val="midCat"/>
      </c:valAx>
      <c:valAx>
        <c:axId val="158523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Lucroa anual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59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Preço vs.</a:t>
            </a:r>
            <a:r>
              <a:rPr lang="pt-BR" sz="1800" baseline="0"/>
              <a:t> Demanda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Golfe!$C$16:$C$17</c:f>
              <c:strCache>
                <c:ptCount val="2"/>
                <c:pt idx="1">
                  <c:v>DEMANDA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Golfe!$B$18:$B$29</c:f>
              <c:numCache>
                <c:formatCode>_-[$$-409]* #,##0_ ;_-[$$-409]* \-#,##0\ ;_-[$$-409]* "-"??_ ;_-@_ 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Golfe!$C$18:$C$29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2-4AF7-BD62-EAC66E027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535471"/>
        <c:axId val="1655117871"/>
      </c:scatterChart>
      <c:valAx>
        <c:axId val="165153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Preço</a:t>
                </a:r>
                <a:r>
                  <a:rPr lang="pt-BR" sz="1400" baseline="0"/>
                  <a:t> (US$)</a:t>
                </a:r>
                <a:endParaRPr lang="pt-B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5117871"/>
        <c:crosses val="autoZero"/>
        <c:crossBetween val="midCat"/>
      </c:valAx>
      <c:valAx>
        <c:axId val="16551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/>
                  <a:t>Demanda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153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/>
              <a:t>Preço</a:t>
            </a:r>
            <a:r>
              <a:rPr lang="pt-BR" sz="1800" baseline="0"/>
              <a:t> vs. Lucro</a:t>
            </a:r>
            <a:endParaRPr lang="pt-BR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Golfe!$E$35:$E$99</c:f>
              <c:numCache>
                <c:formatCode>_-[$$-409]* #,##0.00_ ;_-[$$-409]* \-#,##0.00\ ;_-[$$-409]* "-"??_ ;_-@_ </c:formatCode>
                <c:ptCount val="6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  <c:pt idx="58">
                  <c:v>840</c:v>
                </c:pt>
                <c:pt idx="59">
                  <c:v>850</c:v>
                </c:pt>
                <c:pt idx="60">
                  <c:v>860</c:v>
                </c:pt>
                <c:pt idx="61">
                  <c:v>870</c:v>
                </c:pt>
                <c:pt idx="62">
                  <c:v>880</c:v>
                </c:pt>
                <c:pt idx="63">
                  <c:v>890</c:v>
                </c:pt>
                <c:pt idx="64">
                  <c:v>900</c:v>
                </c:pt>
              </c:numCache>
            </c:numRef>
          </c:xVal>
          <c:yVal>
            <c:numRef>
              <c:f>Golfe!$F$35:$F$99</c:f>
              <c:numCache>
                <c:formatCode>_-[$$-409]* #,##0.00_ ;_-[$$-409]* \-#,##0.00\ ;_-[$$-409]* "-"??_ ;_-@_ </c:formatCode>
                <c:ptCount val="6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1024731.2726827315</c:v>
                </c:pt>
                <c:pt idx="36">
                  <c:v>1021022.2237432048</c:v>
                </c:pt>
                <c:pt idx="37">
                  <c:v>1017088.2634793159</c:v>
                </c:pt>
                <c:pt idx="38">
                  <c:v>1012954.7173026291</c:v>
                </c:pt>
                <c:pt idx="39">
                  <c:v>1008644.4924491229</c:v>
                </c:pt>
                <c:pt idx="40">
                  <c:v>1004178.3234829371</c:v>
                </c:pt>
                <c:pt idx="41">
                  <c:v>999574.99043870345</c:v>
                </c:pt>
                <c:pt idx="42">
                  <c:v>994851.51295467373</c:v>
                </c:pt>
                <c:pt idx="43">
                  <c:v>990023.32329994719</c:v>
                </c:pt>
                <c:pt idx="44">
                  <c:v>985104.42081539321</c:v>
                </c:pt>
                <c:pt idx="45">
                  <c:v>980107.50995916908</c:v>
                </c:pt>
                <c:pt idx="46">
                  <c:v>975044.1238656675</c:v>
                </c:pt>
                <c:pt idx="47">
                  <c:v>969924.73508398188</c:v>
                </c:pt>
                <c:pt idx="48">
                  <c:v>964758.8549528002</c:v>
                </c:pt>
                <c:pt idx="49">
                  <c:v>959555.12288789009</c:v>
                </c:pt>
                <c:pt idx="50">
                  <c:v>954321.38670201262</c:v>
                </c:pt>
                <c:pt idx="51">
                  <c:v>949064.7749414182</c:v>
                </c:pt>
                <c:pt idx="52">
                  <c:v>943791.76210536808</c:v>
                </c:pt>
                <c:pt idx="53">
                  <c:v>938508.22751260083</c:v>
                </c:pt>
                <c:pt idx="54">
                  <c:v>933219.50848926988</c:v>
                </c:pt>
                <c:pt idx="55">
                  <c:v>927930.44847494666</c:v>
                </c:pt>
                <c:pt idx="56">
                  <c:v>922645.44057495799</c:v>
                </c:pt>
                <c:pt idx="57">
                  <c:v>917368.46702761366</c:v>
                </c:pt>
                <c:pt idx="58">
                  <c:v>912103.13500239153</c:v>
                </c:pt>
                <c:pt idx="59">
                  <c:v>906852.70909909625</c:v>
                </c:pt>
                <c:pt idx="60">
                  <c:v>901620.14087741717</c:v>
                </c:pt>
                <c:pt idx="61">
                  <c:v>896408.09571059258</c:v>
                </c:pt>
                <c:pt idx="62">
                  <c:v>891218.97722535138</c:v>
                </c:pt>
                <c:pt idx="63">
                  <c:v>886054.94956237264</c:v>
                </c:pt>
                <c:pt idx="64">
                  <c:v>880917.95766693447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AE-4107-BB42-894C7F9F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604720"/>
        <c:axId val="718780560"/>
      </c:scatterChart>
      <c:valAx>
        <c:axId val="187060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/>
                  <a:t>Preço</a:t>
                </a:r>
                <a:r>
                  <a:rPr lang="pt-BR" sz="1600" baseline="0"/>
                  <a:t> de venda (US$)</a:t>
                </a:r>
                <a:endParaRPr lang="pt-BR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8780560"/>
        <c:crosses val="autoZero"/>
        <c:crossBetween val="midCat"/>
      </c:valAx>
      <c:valAx>
        <c:axId val="7187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/>
                  <a:t>Lucro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060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13</xdr:row>
      <xdr:rowOff>95250</xdr:rowOff>
    </xdr:from>
    <xdr:to>
      <xdr:col>8</xdr:col>
      <xdr:colOff>655320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889CFB-421D-8953-C9F6-F452241B5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0</xdr:row>
      <xdr:rowOff>163830</xdr:rowOff>
    </xdr:from>
    <xdr:to>
      <xdr:col>14</xdr:col>
      <xdr:colOff>53340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504D6-D0CB-BBFA-29A0-4A7194A82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1</xdr:row>
      <xdr:rowOff>26670</xdr:rowOff>
    </xdr:from>
    <xdr:to>
      <xdr:col>13</xdr:col>
      <xdr:colOff>160020</xdr:colOff>
      <xdr:row>16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785C3-3FCD-D497-8451-F8327EF6D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550334</xdr:colOff>
      <xdr:row>8</xdr:row>
      <xdr:rowOff>152400</xdr:rowOff>
    </xdr:from>
    <xdr:to>
      <xdr:col>12</xdr:col>
      <xdr:colOff>101601</xdr:colOff>
      <xdr:row>26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9A071-7C4E-255D-530D-5206CCE1A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88900</xdr:colOff>
      <xdr:row>14</xdr:row>
      <xdr:rowOff>165100</xdr:rowOff>
    </xdr:from>
    <xdr:to>
      <xdr:col>26</xdr:col>
      <xdr:colOff>12700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AE2C2-5D59-83A7-80AC-C425D3062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215900</xdr:colOff>
      <xdr:row>14</xdr:row>
      <xdr:rowOff>160338</xdr:rowOff>
    </xdr:from>
    <xdr:to>
      <xdr:col>36</xdr:col>
      <xdr:colOff>469900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92AD6E-AE63-C062-2787-DFCDB6DE4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E075-87FB-41A3-A599-E6F055A2B1EC}">
  <dimension ref="A1:F24"/>
  <sheetViews>
    <sheetView workbookViewId="0">
      <selection activeCell="A22" sqref="A22"/>
    </sheetView>
  </sheetViews>
  <sheetFormatPr defaultRowHeight="14.4" x14ac:dyDescent="0.3"/>
  <cols>
    <col min="1" max="1" width="24.44140625" style="2" bestFit="1" customWidth="1"/>
    <col min="2" max="2" width="12.88671875" style="4" bestFit="1" customWidth="1"/>
    <col min="3" max="3" width="15.33203125" bestFit="1" customWidth="1"/>
  </cols>
  <sheetData>
    <row r="1" spans="1:3" ht="20.399999999999999" thickBot="1" x14ac:dyDescent="0.45">
      <c r="A1" s="178" t="s">
        <v>0</v>
      </c>
      <c r="B1" s="178"/>
      <c r="C1" s="178"/>
    </row>
    <row r="2" spans="1:3" ht="15" thickTop="1" x14ac:dyDescent="0.3">
      <c r="A2" s="54" t="s">
        <v>1</v>
      </c>
      <c r="C2" s="53"/>
    </row>
    <row r="3" spans="1:3" x14ac:dyDescent="0.3">
      <c r="A3" s="55" t="s">
        <v>2</v>
      </c>
      <c r="B3" s="4">
        <v>50000</v>
      </c>
      <c r="C3" s="53"/>
    </row>
    <row r="4" spans="1:3" x14ac:dyDescent="0.3">
      <c r="A4" s="55" t="s">
        <v>3</v>
      </c>
      <c r="B4" s="4">
        <f>22% * B3</f>
        <v>11000</v>
      </c>
      <c r="C4" s="53" t="str">
        <f ca="1">_xlfn.FORMULATEXT(B4)</f>
        <v>=22% * B3</v>
      </c>
    </row>
    <row r="5" spans="1:3" x14ac:dyDescent="0.3">
      <c r="A5" s="55" t="s">
        <v>4</v>
      </c>
      <c r="B5" s="56">
        <v>5000</v>
      </c>
      <c r="C5" s="53"/>
    </row>
    <row r="6" spans="1:3" x14ac:dyDescent="0.3">
      <c r="A6" s="55" t="s">
        <v>6</v>
      </c>
      <c r="B6" s="56">
        <v>500</v>
      </c>
      <c r="C6" s="53"/>
    </row>
    <row r="7" spans="1:3" x14ac:dyDescent="0.3">
      <c r="A7" s="55" t="s">
        <v>5</v>
      </c>
      <c r="B7" s="56">
        <v>4000</v>
      </c>
      <c r="C7" s="53"/>
    </row>
    <row r="8" spans="1:3" x14ac:dyDescent="0.3">
      <c r="A8" s="54" t="s">
        <v>7</v>
      </c>
      <c r="B8" s="57">
        <f>B3-B4-B5-B6-B7</f>
        <v>29500</v>
      </c>
      <c r="C8" s="53" t="str">
        <f ca="1">_xlfn.FORMULATEXT(B8)</f>
        <v>=B3-B4-B5-B6-B7</v>
      </c>
    </row>
    <row r="9" spans="1:3" x14ac:dyDescent="0.3">
      <c r="A9" s="52"/>
      <c r="C9" s="53"/>
    </row>
    <row r="10" spans="1:3" x14ac:dyDescent="0.3">
      <c r="A10" s="54" t="s">
        <v>8</v>
      </c>
      <c r="C10" s="53"/>
    </row>
    <row r="11" spans="1:3" x14ac:dyDescent="0.3">
      <c r="A11" s="55" t="s">
        <v>9</v>
      </c>
      <c r="B11" s="4">
        <f>500*12</f>
        <v>6000</v>
      </c>
      <c r="C11" s="53" t="str">
        <f ca="1">_xlfn.FORMULATEXT(B11)</f>
        <v>=500*12</v>
      </c>
    </row>
    <row r="12" spans="1:3" x14ac:dyDescent="0.3">
      <c r="A12" s="55" t="s">
        <v>16</v>
      </c>
      <c r="B12" s="4">
        <v>5000</v>
      </c>
      <c r="C12" s="53"/>
    </row>
    <row r="13" spans="1:3" x14ac:dyDescent="0.3">
      <c r="A13" s="55" t="s">
        <v>15</v>
      </c>
      <c r="B13" s="4">
        <v>5000</v>
      </c>
      <c r="C13" s="53"/>
    </row>
    <row r="14" spans="1:3" x14ac:dyDescent="0.3">
      <c r="A14" s="55" t="s">
        <v>12</v>
      </c>
      <c r="B14" s="4">
        <v>1000</v>
      </c>
      <c r="C14" s="53"/>
    </row>
    <row r="15" spans="1:3" x14ac:dyDescent="0.3">
      <c r="A15" s="55" t="s">
        <v>11</v>
      </c>
      <c r="B15" s="4">
        <v>1000</v>
      </c>
      <c r="C15" s="53"/>
    </row>
    <row r="16" spans="1:3" x14ac:dyDescent="0.3">
      <c r="A16" s="55" t="s">
        <v>10</v>
      </c>
      <c r="B16" s="4">
        <v>0</v>
      </c>
      <c r="C16" s="53"/>
    </row>
    <row r="17" spans="1:6" x14ac:dyDescent="0.3">
      <c r="A17" s="55" t="s">
        <v>13</v>
      </c>
      <c r="B17" s="4">
        <v>500</v>
      </c>
      <c r="C17" s="53"/>
      <c r="F17" s="6"/>
    </row>
    <row r="18" spans="1:6" x14ac:dyDescent="0.3">
      <c r="A18" s="55" t="s">
        <v>14</v>
      </c>
      <c r="B18" s="4">
        <v>10000</v>
      </c>
      <c r="C18" s="53"/>
    </row>
    <row r="19" spans="1:6" x14ac:dyDescent="0.3">
      <c r="A19" s="55" t="s">
        <v>17</v>
      </c>
      <c r="B19" s="4">
        <v>1000</v>
      </c>
      <c r="C19" s="53"/>
    </row>
    <row r="20" spans="1:6" x14ac:dyDescent="0.3">
      <c r="A20" s="54" t="s">
        <v>18</v>
      </c>
      <c r="B20" s="57">
        <f>SUM(B11:B19)</f>
        <v>29500</v>
      </c>
      <c r="C20" s="53" t="str">
        <f ca="1">_xlfn.FORMULATEXT(B20)</f>
        <v>=SUM(B11:B19)</v>
      </c>
    </row>
    <row r="21" spans="1:6" x14ac:dyDescent="0.3">
      <c r="A21" s="54"/>
      <c r="B21" s="57"/>
      <c r="C21" s="53"/>
    </row>
    <row r="22" spans="1:6" x14ac:dyDescent="0.3">
      <c r="A22" s="58" t="s">
        <v>19</v>
      </c>
      <c r="B22" s="59">
        <f>B8-B20</f>
        <v>0</v>
      </c>
      <c r="C22" s="60" t="str">
        <f ca="1">_xlfn.FORMULATEXT(B22)</f>
        <v>=B8-B20</v>
      </c>
    </row>
    <row r="24" spans="1:6" x14ac:dyDescent="0.3">
      <c r="A24" s="5"/>
    </row>
  </sheetData>
  <mergeCells count="1">
    <mergeCell ref="A1:C1"/>
  </mergeCells>
  <conditionalFormatting sqref="B22">
    <cfRule type="cellIs" dxfId="51" priority="1" operator="equal">
      <formula>0</formula>
    </cfRule>
    <cfRule type="cellIs" dxfId="50" priority="2" operator="lessThan">
      <formula>0</formula>
    </cfRule>
    <cfRule type="cellIs" dxfId="49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6334-C063-4AD0-9C1A-DA92C46BB8C7}">
  <dimension ref="A1:W21"/>
  <sheetViews>
    <sheetView workbookViewId="0">
      <selection activeCell="B17" sqref="B17"/>
    </sheetView>
  </sheetViews>
  <sheetFormatPr defaultRowHeight="14.4" x14ac:dyDescent="0.3"/>
  <cols>
    <col min="1" max="1" width="29.44140625" customWidth="1"/>
    <col min="2" max="2" width="12.88671875" bestFit="1" customWidth="1"/>
    <col min="3" max="3" width="19.88671875" bestFit="1" customWidth="1"/>
  </cols>
  <sheetData>
    <row r="1" spans="1:23" ht="20.399999999999999" thickBot="1" x14ac:dyDescent="0.45">
      <c r="A1" s="178" t="s">
        <v>28</v>
      </c>
      <c r="B1" s="178"/>
      <c r="C1" s="178"/>
      <c r="L1" s="179" t="s">
        <v>20</v>
      </c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</row>
    <row r="2" spans="1:23" ht="15.6" thickTop="1" thickBot="1" x14ac:dyDescent="0.35">
      <c r="A2" s="76" t="s">
        <v>29</v>
      </c>
      <c r="C2" s="46"/>
      <c r="L2" s="179" t="s">
        <v>21</v>
      </c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</row>
    <row r="3" spans="1:23" x14ac:dyDescent="0.3">
      <c r="A3" s="47" t="s">
        <v>30</v>
      </c>
      <c r="B3" s="4">
        <v>750</v>
      </c>
      <c r="C3" s="46"/>
      <c r="L3" s="179" t="s">
        <v>22</v>
      </c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</row>
    <row r="4" spans="1:23" x14ac:dyDescent="0.3">
      <c r="A4" s="47" t="s">
        <v>31</v>
      </c>
      <c r="B4" s="1">
        <v>8</v>
      </c>
      <c r="C4" s="46" t="s">
        <v>32</v>
      </c>
      <c r="L4" s="179" t="s">
        <v>26</v>
      </c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</row>
    <row r="5" spans="1:23" x14ac:dyDescent="0.3">
      <c r="A5" s="49" t="s">
        <v>38</v>
      </c>
      <c r="B5" s="56">
        <f>B3+(B4*B12)</f>
        <v>12750</v>
      </c>
      <c r="C5" s="46" t="str">
        <f ca="1">_xlfn.FORMULATEXT(B5)</f>
        <v>=B3+(B4*B12)</v>
      </c>
      <c r="L5" s="179" t="s">
        <v>27</v>
      </c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</row>
    <row r="6" spans="1:23" x14ac:dyDescent="0.3">
      <c r="A6" s="48"/>
      <c r="C6" s="46"/>
      <c r="L6" s="179" t="s">
        <v>23</v>
      </c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</row>
    <row r="7" spans="1:23" ht="15" thickBot="1" x14ac:dyDescent="0.35">
      <c r="A7" s="76" t="s">
        <v>33</v>
      </c>
      <c r="C7" s="46"/>
      <c r="L7" s="179" t="s">
        <v>24</v>
      </c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</row>
    <row r="8" spans="1:23" x14ac:dyDescent="0.3">
      <c r="A8" s="47" t="s">
        <v>35</v>
      </c>
      <c r="B8" s="1">
        <v>18</v>
      </c>
      <c r="C8" s="46" t="s">
        <v>32</v>
      </c>
      <c r="L8" s="179" t="s">
        <v>25</v>
      </c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</row>
    <row r="9" spans="1:23" x14ac:dyDescent="0.3">
      <c r="A9" s="47" t="s">
        <v>34</v>
      </c>
      <c r="B9" s="1">
        <v>6</v>
      </c>
      <c r="C9" s="46" t="s">
        <v>32</v>
      </c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</row>
    <row r="10" spans="1:23" x14ac:dyDescent="0.3">
      <c r="A10" s="49" t="s">
        <v>37</v>
      </c>
      <c r="B10" s="4">
        <f>(B8*B14)+(B9*B15)</f>
        <v>27000</v>
      </c>
      <c r="C10" s="46" t="str">
        <f ca="1">_xlfn.FORMULATEXT(B10)</f>
        <v>=(B8*B14)+(B9*B15)</v>
      </c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</row>
    <row r="11" spans="1:23" x14ac:dyDescent="0.3">
      <c r="A11" s="48"/>
      <c r="C11" s="46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</row>
    <row r="12" spans="1:23" x14ac:dyDescent="0.3">
      <c r="A12" s="48" t="s">
        <v>41</v>
      </c>
      <c r="B12" s="37">
        <v>1500</v>
      </c>
      <c r="C12" s="46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</row>
    <row r="13" spans="1:23" x14ac:dyDescent="0.3">
      <c r="A13" s="48" t="s">
        <v>42</v>
      </c>
      <c r="B13" s="37">
        <v>1500</v>
      </c>
      <c r="C13" s="46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</row>
    <row r="14" spans="1:23" x14ac:dyDescent="0.3">
      <c r="A14" s="48" t="s">
        <v>40</v>
      </c>
      <c r="B14">
        <f>MIN(B12,B13)</f>
        <v>1500</v>
      </c>
      <c r="C14" s="46" t="str">
        <f ca="1">_xlfn.FORMULATEXT(B14)</f>
        <v>=MIN(B12;B13)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48" t="s">
        <v>39</v>
      </c>
      <c r="B15">
        <f xml:space="preserve"> MAX(0,B12-B14)</f>
        <v>0</v>
      </c>
      <c r="C15" s="46" t="str">
        <f ca="1">_xlfn.FORMULATEXT(B15)</f>
        <v>= MAX(0;B12-B14)</v>
      </c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</row>
    <row r="16" spans="1:23" x14ac:dyDescent="0.3">
      <c r="A16" s="48"/>
      <c r="C16" s="46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</row>
    <row r="17" spans="1:23" ht="15" thickBot="1" x14ac:dyDescent="0.35">
      <c r="A17" s="77" t="s">
        <v>36</v>
      </c>
      <c r="B17" s="63">
        <f>B10-B5</f>
        <v>14250</v>
      </c>
      <c r="C17" s="64" t="str">
        <f ca="1">_xlfn.FORMULATEXT(B17)</f>
        <v>=B10-B5</v>
      </c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</row>
    <row r="18" spans="1:23" x14ac:dyDescent="0.3"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</row>
    <row r="19" spans="1:23" x14ac:dyDescent="0.3">
      <c r="A19" s="62"/>
      <c r="B19" s="4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</row>
    <row r="20" spans="1:23" x14ac:dyDescent="0.3"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</row>
    <row r="21" spans="1:23" x14ac:dyDescent="0.3"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</row>
  </sheetData>
  <mergeCells count="21">
    <mergeCell ref="L21:W21"/>
    <mergeCell ref="A1:C1"/>
    <mergeCell ref="L15:W15"/>
    <mergeCell ref="L16:W16"/>
    <mergeCell ref="L17:W17"/>
    <mergeCell ref="L18:W18"/>
    <mergeCell ref="L19:W19"/>
    <mergeCell ref="L20:W20"/>
    <mergeCell ref="L9:W9"/>
    <mergeCell ref="L10:W10"/>
    <mergeCell ref="L11:W11"/>
    <mergeCell ref="L12:W12"/>
    <mergeCell ref="L13:W13"/>
    <mergeCell ref="L1:W1"/>
    <mergeCell ref="L2:W2"/>
    <mergeCell ref="L3:W3"/>
    <mergeCell ref="L4:W4"/>
    <mergeCell ref="L5:W5"/>
    <mergeCell ref="L6:W6"/>
    <mergeCell ref="L7:W7"/>
    <mergeCell ref="L8:W8"/>
  </mergeCells>
  <conditionalFormatting sqref="B17">
    <cfRule type="cellIs" dxfId="48" priority="36" operator="equal">
      <formula>0</formula>
    </cfRule>
    <cfRule type="cellIs" dxfId="47" priority="37" operator="lessThan">
      <formula>0</formula>
    </cfRule>
    <cfRule type="cellIs" dxfId="46" priority="38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95CD-71FB-4B67-95FE-F11AA4BC568E}">
  <dimension ref="A1:R13"/>
  <sheetViews>
    <sheetView zoomScale="90" zoomScaleNormal="90" workbookViewId="0">
      <selection activeCell="C7" sqref="C7"/>
    </sheetView>
  </sheetViews>
  <sheetFormatPr defaultRowHeight="14.4" x14ac:dyDescent="0.3"/>
  <cols>
    <col min="1" max="1" width="20.109375" customWidth="1"/>
    <col min="2" max="3" width="9.21875" bestFit="1" customWidth="1"/>
    <col min="5" max="5" width="9.109375" customWidth="1"/>
    <col min="6" max="6" width="11.77734375" customWidth="1"/>
    <col min="7" max="7" width="9.21875" bestFit="1" customWidth="1"/>
    <col min="8" max="8" width="11" bestFit="1" customWidth="1"/>
    <col min="9" max="9" width="15.44140625" customWidth="1"/>
    <col min="10" max="10" width="16.44140625" customWidth="1"/>
    <col min="18" max="18" width="24.109375" customWidth="1"/>
  </cols>
  <sheetData>
    <row r="1" spans="1:18" ht="18" thickBot="1" x14ac:dyDescent="0.4">
      <c r="A1" s="181" t="s">
        <v>62</v>
      </c>
      <c r="B1" s="182"/>
      <c r="C1" s="183"/>
      <c r="E1" s="181" t="s">
        <v>59</v>
      </c>
      <c r="F1" s="182"/>
      <c r="G1" s="182"/>
      <c r="H1" s="183"/>
      <c r="L1" s="82" t="s">
        <v>43</v>
      </c>
      <c r="M1" s="83"/>
      <c r="N1" s="83"/>
      <c r="O1" s="83"/>
      <c r="P1" s="83"/>
      <c r="Q1" s="83"/>
      <c r="R1" s="84"/>
    </row>
    <row r="2" spans="1:18" ht="15" thickTop="1" x14ac:dyDescent="0.3">
      <c r="A2" s="78" t="s">
        <v>56</v>
      </c>
      <c r="B2" s="29" t="s">
        <v>49</v>
      </c>
      <c r="C2" s="145" t="s">
        <v>50</v>
      </c>
      <c r="D2" s="8"/>
      <c r="E2" s="19"/>
      <c r="F2" s="8" t="s">
        <v>49</v>
      </c>
      <c r="G2" s="8" t="s">
        <v>50</v>
      </c>
      <c r="H2" s="20" t="s">
        <v>51</v>
      </c>
      <c r="L2" s="30" t="s">
        <v>45</v>
      </c>
      <c r="R2" s="14"/>
    </row>
    <row r="3" spans="1:18" x14ac:dyDescent="0.3">
      <c r="A3" s="22" t="s">
        <v>55</v>
      </c>
      <c r="B3" s="62"/>
      <c r="C3" s="272"/>
      <c r="D3" s="8"/>
      <c r="E3" s="24" t="s">
        <v>60</v>
      </c>
      <c r="F3" s="268">
        <f>B5</f>
        <v>5.5</v>
      </c>
      <c r="G3" s="268">
        <f>C5</f>
        <v>4.3</v>
      </c>
      <c r="H3" s="269">
        <f>B9</f>
        <v>18.5</v>
      </c>
      <c r="L3" s="30" t="s">
        <v>44</v>
      </c>
      <c r="R3" s="14"/>
    </row>
    <row r="4" spans="1:18" ht="15" thickBot="1" x14ac:dyDescent="0.35">
      <c r="A4" s="21" t="s">
        <v>52</v>
      </c>
      <c r="B4" s="273">
        <v>30</v>
      </c>
      <c r="C4" s="274">
        <v>30</v>
      </c>
      <c r="E4" s="25" t="s">
        <v>61</v>
      </c>
      <c r="F4" s="270">
        <v>2.4E-2</v>
      </c>
      <c r="G4" s="270">
        <v>1.7000000000000001E-2</v>
      </c>
      <c r="H4" s="271">
        <v>1.4999999999999999E-2</v>
      </c>
      <c r="I4" s="1"/>
      <c r="L4" s="30"/>
      <c r="R4" s="14"/>
    </row>
    <row r="5" spans="1:18" x14ac:dyDescent="0.3">
      <c r="A5" s="21" t="s">
        <v>53</v>
      </c>
      <c r="B5" s="268">
        <v>5.5</v>
      </c>
      <c r="C5" s="275">
        <v>4.3</v>
      </c>
      <c r="D5" s="9"/>
      <c r="L5" s="30" t="s">
        <v>46</v>
      </c>
      <c r="R5" s="14"/>
    </row>
    <row r="6" spans="1:18" ht="17.399999999999999" x14ac:dyDescent="0.35">
      <c r="A6" s="21" t="s">
        <v>54</v>
      </c>
      <c r="B6" s="276">
        <f>B5*B4</f>
        <v>165</v>
      </c>
      <c r="C6" s="277">
        <f>C5*C4</f>
        <v>129</v>
      </c>
      <c r="D6" s="3"/>
      <c r="E6" s="184" t="s">
        <v>66</v>
      </c>
      <c r="F6" s="184"/>
      <c r="G6" s="184"/>
      <c r="H6" s="184"/>
      <c r="I6" s="184"/>
      <c r="J6" s="184"/>
      <c r="K6" s="28"/>
      <c r="L6" s="30" t="s">
        <v>47</v>
      </c>
      <c r="R6" s="14"/>
    </row>
    <row r="7" spans="1:18" ht="15" thickBot="1" x14ac:dyDescent="0.35">
      <c r="A7" s="22" t="s">
        <v>57</v>
      </c>
      <c r="B7" s="276"/>
      <c r="C7" s="277"/>
      <c r="D7" s="3"/>
      <c r="E7" s="15" t="s">
        <v>65</v>
      </c>
      <c r="F7" s="16" t="s">
        <v>49</v>
      </c>
      <c r="G7" s="16" t="s">
        <v>50</v>
      </c>
      <c r="H7" s="16" t="s">
        <v>51</v>
      </c>
      <c r="I7" s="16" t="s">
        <v>67</v>
      </c>
      <c r="J7" s="16" t="s">
        <v>68</v>
      </c>
      <c r="K7" s="29"/>
      <c r="L7" s="80" t="s">
        <v>48</v>
      </c>
      <c r="M7" s="81"/>
      <c r="N7" s="81"/>
      <c r="O7" s="81"/>
      <c r="P7" s="81"/>
      <c r="Q7" s="81"/>
      <c r="R7" s="31"/>
    </row>
    <row r="8" spans="1:18" x14ac:dyDescent="0.3">
      <c r="A8" s="21" t="s">
        <v>63</v>
      </c>
      <c r="B8" s="273">
        <v>16</v>
      </c>
      <c r="C8" s="278">
        <v>16</v>
      </c>
      <c r="D8" s="10"/>
      <c r="E8" s="17">
        <v>0</v>
      </c>
      <c r="F8" s="26">
        <f>B6</f>
        <v>165</v>
      </c>
      <c r="G8" s="26">
        <f>C6</f>
        <v>129</v>
      </c>
      <c r="H8" s="26">
        <f>B10</f>
        <v>296</v>
      </c>
      <c r="I8" s="26">
        <f t="shared" ref="I8:I13" si="0">F8+H8</f>
        <v>461</v>
      </c>
      <c r="J8" s="26">
        <f t="shared" ref="J8:J13" si="1">G8+H8</f>
        <v>425</v>
      </c>
    </row>
    <row r="9" spans="1:18" x14ac:dyDescent="0.3">
      <c r="A9" s="21" t="s">
        <v>64</v>
      </c>
      <c r="B9" s="268">
        <v>18.5</v>
      </c>
      <c r="C9" s="269">
        <v>18.5</v>
      </c>
      <c r="D9" s="1"/>
      <c r="E9" s="17">
        <v>1</v>
      </c>
      <c r="F9" s="27">
        <f>F8*(1+$F$4)</f>
        <v>168.96</v>
      </c>
      <c r="G9" s="27">
        <f>G8*(1+$G$4)</f>
        <v>131.19299999999998</v>
      </c>
      <c r="H9" s="27">
        <f>H8*(1+$H$4)</f>
        <v>300.44</v>
      </c>
      <c r="I9" s="27">
        <f t="shared" si="0"/>
        <v>469.4</v>
      </c>
      <c r="J9" s="27">
        <f t="shared" si="1"/>
        <v>431.63299999999998</v>
      </c>
    </row>
    <row r="10" spans="1:18" x14ac:dyDescent="0.3">
      <c r="A10" s="21" t="s">
        <v>54</v>
      </c>
      <c r="B10" s="268">
        <f>B9*B8</f>
        <v>296</v>
      </c>
      <c r="C10" s="275">
        <f>C9*C8</f>
        <v>296</v>
      </c>
      <c r="D10" s="9"/>
      <c r="E10" s="17">
        <v>2</v>
      </c>
      <c r="F10" s="27">
        <f>F9*(1+$F$4)</f>
        <v>173.01504</v>
      </c>
      <c r="G10" s="27">
        <f>G9*(1+$G$4)</f>
        <v>133.42328099999997</v>
      </c>
      <c r="H10" s="27">
        <f>H9*(1+$H$4)</f>
        <v>304.94659999999999</v>
      </c>
      <c r="I10" s="27">
        <f t="shared" si="0"/>
        <v>477.96163999999999</v>
      </c>
      <c r="J10" s="27">
        <f t="shared" si="1"/>
        <v>438.36988099999996</v>
      </c>
    </row>
    <row r="11" spans="1:18" ht="15" thickBot="1" x14ac:dyDescent="0.35">
      <c r="A11" s="79" t="s">
        <v>58</v>
      </c>
      <c r="B11" s="279">
        <f>B10+B6</f>
        <v>461</v>
      </c>
      <c r="C11" s="280">
        <f>C10+C6</f>
        <v>425</v>
      </c>
      <c r="D11" s="9"/>
      <c r="E11" s="17">
        <v>3</v>
      </c>
      <c r="F11" s="27">
        <f>F10*(1+$F$4)</f>
        <v>177.16740096000001</v>
      </c>
      <c r="G11" s="27">
        <f>G10*(1+$G$4)</f>
        <v>135.69147677699996</v>
      </c>
      <c r="H11" s="27">
        <f>H10*(1+$H$4)</f>
        <v>309.52079899999995</v>
      </c>
      <c r="I11" s="27">
        <f t="shared" si="0"/>
        <v>486.68819995999996</v>
      </c>
      <c r="J11" s="27">
        <f t="shared" si="1"/>
        <v>445.21227577699995</v>
      </c>
    </row>
    <row r="12" spans="1:18" ht="15" thickTop="1" x14ac:dyDescent="0.3">
      <c r="A12" s="13"/>
      <c r="B12" s="1"/>
      <c r="C12" s="9"/>
      <c r="D12" s="9"/>
      <c r="E12" s="17">
        <v>4</v>
      </c>
      <c r="F12" s="27">
        <f>F11*(1+$F$4)</f>
        <v>181.41941858304003</v>
      </c>
      <c r="G12" s="27">
        <f>G11*(1+$G$4)</f>
        <v>137.99823188220896</v>
      </c>
      <c r="H12" s="27">
        <f>H11*(1+$H$4)</f>
        <v>314.16361098499993</v>
      </c>
      <c r="I12" s="27">
        <f t="shared" si="0"/>
        <v>495.58302956803993</v>
      </c>
      <c r="J12" s="27">
        <f t="shared" si="1"/>
        <v>452.16184286720886</v>
      </c>
    </row>
    <row r="13" spans="1:18" x14ac:dyDescent="0.3">
      <c r="A13" s="12"/>
      <c r="C13" s="11"/>
      <c r="D13" s="11"/>
      <c r="E13" s="18">
        <v>5</v>
      </c>
      <c r="F13" s="27">
        <f>F12*(1+$F$4)</f>
        <v>185.77348462903299</v>
      </c>
      <c r="G13" s="27">
        <f>G12*(1+$G$4)</f>
        <v>140.34420182420649</v>
      </c>
      <c r="H13" s="27">
        <f>H12*(1+$H$4)</f>
        <v>318.87606514977489</v>
      </c>
      <c r="I13" s="27">
        <f t="shared" si="0"/>
        <v>504.64954977880791</v>
      </c>
      <c r="J13" s="27">
        <f t="shared" si="1"/>
        <v>459.22026697398138</v>
      </c>
    </row>
  </sheetData>
  <mergeCells count="3">
    <mergeCell ref="E1:H1"/>
    <mergeCell ref="A1:C1"/>
    <mergeCell ref="E6:J6"/>
  </mergeCells>
  <conditionalFormatting sqref="C13:D13 F4:H4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13:D1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H4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273-C005-4DE9-9078-6728E07C304F}">
  <dimension ref="A1:H23"/>
  <sheetViews>
    <sheetView workbookViewId="0">
      <selection activeCell="B15" sqref="B15"/>
    </sheetView>
  </sheetViews>
  <sheetFormatPr defaultRowHeight="14.4" x14ac:dyDescent="0.3"/>
  <cols>
    <col min="1" max="1" width="24" customWidth="1"/>
    <col min="2" max="2" width="14" bestFit="1" customWidth="1"/>
    <col min="3" max="3" width="18.6640625" customWidth="1"/>
    <col min="5" max="5" width="15" bestFit="1" customWidth="1"/>
    <col min="6" max="6" width="14.44140625" bestFit="1" customWidth="1"/>
    <col min="7" max="7" width="11.77734375" bestFit="1" customWidth="1"/>
    <col min="8" max="8" width="12.77734375" bestFit="1" customWidth="1"/>
  </cols>
  <sheetData>
    <row r="1" spans="1:8" ht="19.8" x14ac:dyDescent="0.4">
      <c r="A1" s="185" t="s">
        <v>73</v>
      </c>
      <c r="B1" s="186"/>
      <c r="C1" s="187"/>
      <c r="E1" s="188" t="s">
        <v>87</v>
      </c>
      <c r="F1" s="188"/>
    </row>
    <row r="2" spans="1:8" x14ac:dyDescent="0.3">
      <c r="A2" s="19" t="s">
        <v>72</v>
      </c>
      <c r="C2" s="14"/>
      <c r="E2" s="16" t="s">
        <v>88</v>
      </c>
      <c r="F2" s="16" t="s">
        <v>89</v>
      </c>
    </row>
    <row r="3" spans="1:8" x14ac:dyDescent="0.3">
      <c r="A3" s="33" t="s">
        <v>69</v>
      </c>
      <c r="B3" s="4">
        <v>20000</v>
      </c>
      <c r="C3" s="14"/>
      <c r="E3" s="18"/>
      <c r="F3" s="88">
        <f>B18</f>
        <v>0</v>
      </c>
      <c r="H3" s="85" t="s">
        <v>90</v>
      </c>
    </row>
    <row r="4" spans="1:8" x14ac:dyDescent="0.3">
      <c r="A4" s="33" t="s">
        <v>70</v>
      </c>
      <c r="B4" s="1">
        <v>0.1</v>
      </c>
      <c r="C4" s="14" t="s">
        <v>71</v>
      </c>
      <c r="E4" s="89">
        <v>0.03</v>
      </c>
      <c r="F4" s="26">
        <f t="dataTable" ref="F4:F18" dt2D="0" dtr="0" r1="B15"/>
        <v>-21600</v>
      </c>
    </row>
    <row r="5" spans="1:8" x14ac:dyDescent="0.3">
      <c r="A5" s="19" t="s">
        <v>74</v>
      </c>
      <c r="C5" s="14"/>
      <c r="E5" s="90">
        <v>3.5000000000000003E-2</v>
      </c>
      <c r="F5" s="26">
        <v>-17700</v>
      </c>
    </row>
    <row r="6" spans="1:8" x14ac:dyDescent="0.3">
      <c r="A6" s="32" t="s">
        <v>75</v>
      </c>
      <c r="B6" s="1">
        <v>0.15</v>
      </c>
      <c r="C6" s="14" t="s">
        <v>71</v>
      </c>
      <c r="E6" s="89">
        <v>0.04</v>
      </c>
      <c r="F6" s="26">
        <v>-13800</v>
      </c>
    </row>
    <row r="7" spans="1:8" x14ac:dyDescent="0.3">
      <c r="A7" s="32" t="s">
        <v>76</v>
      </c>
      <c r="B7" s="1">
        <v>0.2</v>
      </c>
      <c r="C7" s="14" t="s">
        <v>77</v>
      </c>
      <c r="E7" s="90">
        <v>4.4999999999999998E-2</v>
      </c>
      <c r="F7" s="26">
        <v>-9900</v>
      </c>
    </row>
    <row r="8" spans="1:8" x14ac:dyDescent="0.3">
      <c r="A8" s="34" t="s">
        <v>78</v>
      </c>
      <c r="B8" s="1">
        <f>B13*0.8</f>
        <v>32</v>
      </c>
      <c r="C8" s="14" t="str">
        <f ca="1">_xlfn.FORMULATEXT(B8)</f>
        <v>=B13*0,8</v>
      </c>
      <c r="E8" s="89">
        <v>0.05</v>
      </c>
      <c r="F8" s="26">
        <v>-6000</v>
      </c>
    </row>
    <row r="9" spans="1:8" x14ac:dyDescent="0.3">
      <c r="A9" s="34" t="s">
        <v>83</v>
      </c>
      <c r="B9" s="4">
        <f>B3+((B4+B6)*B14)</f>
        <v>45000</v>
      </c>
      <c r="C9" s="14" t="str">
        <f ca="1">_xlfn.FORMULATEXT(B9)</f>
        <v>=B3+((B4+B6)*B14)</v>
      </c>
      <c r="E9" s="90">
        <v>5.5E-2</v>
      </c>
      <c r="F9" s="26">
        <v>-2100.0000000000291</v>
      </c>
    </row>
    <row r="10" spans="1:8" x14ac:dyDescent="0.3">
      <c r="A10" s="34" t="s">
        <v>81</v>
      </c>
      <c r="B10" s="4">
        <f>B16*(B8+B7)</f>
        <v>185769.23076923078</v>
      </c>
      <c r="C10" s="14" t="str">
        <f ca="1">_xlfn.FORMULATEXT(B10)</f>
        <v>=B16*(B8+B7)</v>
      </c>
      <c r="E10" s="89">
        <v>0.06</v>
      </c>
      <c r="F10" s="26">
        <v>1799.9999999999709</v>
      </c>
    </row>
    <row r="11" spans="1:8" ht="15" thickBot="1" x14ac:dyDescent="0.35">
      <c r="A11" s="86" t="s">
        <v>84</v>
      </c>
      <c r="B11" s="4">
        <f>B10+B9</f>
        <v>230769.23076923078</v>
      </c>
      <c r="C11" s="14" t="str">
        <f ca="1">_xlfn.FORMULATEXT(B11)</f>
        <v>=B10+B9</v>
      </c>
      <c r="E11" s="90">
        <v>6.5000000000000002E-2</v>
      </c>
      <c r="F11" s="26">
        <v>5699.9999999999709</v>
      </c>
    </row>
    <row r="12" spans="1:8" ht="15" thickTop="1" x14ac:dyDescent="0.3">
      <c r="A12" s="30"/>
      <c r="C12" s="14"/>
      <c r="E12" s="89">
        <v>7.0000000000000007E-2</v>
      </c>
      <c r="F12" s="26">
        <v>9600</v>
      </c>
    </row>
    <row r="13" spans="1:8" x14ac:dyDescent="0.3">
      <c r="A13" s="34" t="s">
        <v>153</v>
      </c>
      <c r="B13">
        <v>40</v>
      </c>
      <c r="C13" s="14"/>
      <c r="E13" s="90">
        <v>7.4999999999999997E-2</v>
      </c>
      <c r="F13" s="26">
        <v>13500</v>
      </c>
    </row>
    <row r="14" spans="1:8" x14ac:dyDescent="0.3">
      <c r="A14" s="34" t="s">
        <v>79</v>
      </c>
      <c r="B14">
        <v>100000</v>
      </c>
      <c r="C14" s="14"/>
      <c r="E14" s="89">
        <v>0.08</v>
      </c>
      <c r="F14" s="26">
        <v>17400</v>
      </c>
    </row>
    <row r="15" spans="1:8" x14ac:dyDescent="0.3">
      <c r="A15" s="34" t="s">
        <v>80</v>
      </c>
      <c r="B15" s="35">
        <v>5.7692307692307696E-2</v>
      </c>
      <c r="C15" s="14" t="s">
        <v>93</v>
      </c>
      <c r="E15" s="90">
        <v>8.5000000000000006E-2</v>
      </c>
      <c r="F15" s="26">
        <v>21300</v>
      </c>
    </row>
    <row r="16" spans="1:8" x14ac:dyDescent="0.3">
      <c r="A16" s="34" t="s">
        <v>86</v>
      </c>
      <c r="B16">
        <f>B15*B14</f>
        <v>5769.2307692307695</v>
      </c>
      <c r="C16" s="14" t="str">
        <f ca="1">_xlfn.FORMULATEXT(B16)</f>
        <v>=B15*B14</v>
      </c>
      <c r="E16" s="89">
        <v>9.0000000000000094E-2</v>
      </c>
      <c r="F16" s="26">
        <v>25200.000000000058</v>
      </c>
    </row>
    <row r="17" spans="1:6" ht="15" thickBot="1" x14ac:dyDescent="0.35">
      <c r="A17" s="86" t="s">
        <v>82</v>
      </c>
      <c r="B17" s="4">
        <f>B16*B13</f>
        <v>230769.23076923078</v>
      </c>
      <c r="C17" s="14" t="str">
        <f ca="1">_xlfn.FORMULATEXT(B17)</f>
        <v>=B16*B13</v>
      </c>
      <c r="E17" s="90">
        <v>9.5000000000000098E-2</v>
      </c>
      <c r="F17" s="26">
        <v>29100.000000000058</v>
      </c>
    </row>
    <row r="18" spans="1:6" ht="15.6" thickTop="1" thickBot="1" x14ac:dyDescent="0.35">
      <c r="A18" s="87" t="s">
        <v>85</v>
      </c>
      <c r="B18" s="23">
        <f>B17-B11</f>
        <v>0</v>
      </c>
      <c r="C18" s="31" t="str">
        <f ca="1">_xlfn.FORMULATEXT(B18)</f>
        <v>=B17-B11</v>
      </c>
      <c r="E18" s="89">
        <v>0.1</v>
      </c>
      <c r="F18" s="26">
        <v>33000</v>
      </c>
    </row>
    <row r="19" spans="1:6" ht="15" thickTop="1" x14ac:dyDescent="0.3"/>
    <row r="22" spans="1:6" x14ac:dyDescent="0.3">
      <c r="A22" s="8" t="s">
        <v>91</v>
      </c>
      <c r="B22" s="8"/>
      <c r="C22" s="8"/>
      <c r="D22" s="8"/>
      <c r="E22" s="8"/>
    </row>
    <row r="23" spans="1:6" x14ac:dyDescent="0.3">
      <c r="A23" s="189" t="s">
        <v>92</v>
      </c>
      <c r="B23" s="189"/>
      <c r="C23" s="189"/>
      <c r="D23" s="189"/>
      <c r="E23" s="189"/>
    </row>
  </sheetData>
  <mergeCells count="3">
    <mergeCell ref="A1:C1"/>
    <mergeCell ref="E1:F1"/>
    <mergeCell ref="A23:E23"/>
  </mergeCells>
  <conditionalFormatting sqref="B18">
    <cfRule type="cellIs" dxfId="45" priority="4" operator="equal">
      <formula>0</formula>
    </cfRule>
    <cfRule type="cellIs" dxfId="44" priority="5" operator="lessThan">
      <formula>0</formula>
    </cfRule>
    <cfRule type="cellIs" dxfId="43" priority="6" operator="greaterThan">
      <formula>0</formula>
    </cfRule>
  </conditionalFormatting>
  <conditionalFormatting sqref="F4: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960-526F-4A5C-B77D-43630AB5BF20}">
  <dimension ref="A1:F18"/>
  <sheetViews>
    <sheetView workbookViewId="0">
      <selection activeCell="D15" sqref="D15"/>
    </sheetView>
  </sheetViews>
  <sheetFormatPr defaultRowHeight="14.4" x14ac:dyDescent="0.3"/>
  <cols>
    <col min="1" max="1" width="20.33203125" customWidth="1"/>
    <col min="2" max="2" width="12.5546875" bestFit="1" customWidth="1"/>
    <col min="3" max="3" width="17.6640625" customWidth="1"/>
    <col min="5" max="5" width="13.33203125" bestFit="1" customWidth="1"/>
    <col min="6" max="6" width="13" customWidth="1"/>
    <col min="7" max="8" width="12.77734375" bestFit="1" customWidth="1"/>
  </cols>
  <sheetData>
    <row r="1" spans="1:6" ht="18" x14ac:dyDescent="0.3">
      <c r="A1" s="190" t="s">
        <v>101</v>
      </c>
      <c r="B1" s="191"/>
      <c r="C1" s="191"/>
      <c r="E1" s="192" t="s">
        <v>104</v>
      </c>
      <c r="F1" s="192"/>
    </row>
    <row r="2" spans="1:6" x14ac:dyDescent="0.3">
      <c r="A2" s="93" t="s">
        <v>105</v>
      </c>
      <c r="C2" s="14"/>
      <c r="E2" s="38" t="s">
        <v>102</v>
      </c>
      <c r="F2" s="38" t="s">
        <v>103</v>
      </c>
    </row>
    <row r="3" spans="1:6" x14ac:dyDescent="0.3">
      <c r="A3" s="32" t="s">
        <v>106</v>
      </c>
      <c r="B3">
        <v>6</v>
      </c>
      <c r="C3" s="14" t="s">
        <v>99</v>
      </c>
      <c r="E3" s="18"/>
      <c r="F3" s="98">
        <f>B16</f>
        <v>350</v>
      </c>
    </row>
    <row r="4" spans="1:6" x14ac:dyDescent="0.3">
      <c r="A4" s="32" t="s">
        <v>107</v>
      </c>
      <c r="B4" s="92">
        <v>50</v>
      </c>
      <c r="C4" s="14"/>
      <c r="E4" s="18">
        <v>10</v>
      </c>
      <c r="F4" s="26">
        <f t="dataTable" ref="F4:F18" dt2D="0" dtr="0" r1="B4"/>
        <v>-490</v>
      </c>
    </row>
    <row r="5" spans="1:6" x14ac:dyDescent="0.3">
      <c r="A5" s="30"/>
      <c r="C5" s="14"/>
      <c r="E5" s="18">
        <v>20</v>
      </c>
      <c r="F5" s="26">
        <v>-280</v>
      </c>
    </row>
    <row r="6" spans="1:6" x14ac:dyDescent="0.3">
      <c r="A6" s="96" t="s">
        <v>29</v>
      </c>
      <c r="C6" s="14"/>
      <c r="E6" s="18">
        <v>30</v>
      </c>
      <c r="F6" s="26">
        <v>-70</v>
      </c>
    </row>
    <row r="7" spans="1:6" x14ac:dyDescent="0.3">
      <c r="A7" s="32" t="s">
        <v>108</v>
      </c>
      <c r="B7" s="1">
        <v>500</v>
      </c>
      <c r="C7" s="14"/>
      <c r="E7" s="18">
        <v>40</v>
      </c>
      <c r="F7" s="41">
        <v>140</v>
      </c>
    </row>
    <row r="8" spans="1:6" x14ac:dyDescent="0.3">
      <c r="A8" s="32" t="s">
        <v>109</v>
      </c>
      <c r="B8" s="1">
        <v>0.5</v>
      </c>
      <c r="C8" s="14" t="s">
        <v>94</v>
      </c>
      <c r="E8" s="18">
        <v>50</v>
      </c>
      <c r="F8" s="41">
        <v>350</v>
      </c>
    </row>
    <row r="9" spans="1:6" x14ac:dyDescent="0.3">
      <c r="A9" s="32" t="s">
        <v>110</v>
      </c>
      <c r="B9" s="1">
        <v>200</v>
      </c>
      <c r="C9" s="14"/>
      <c r="E9" s="18">
        <v>60</v>
      </c>
      <c r="F9" s="41">
        <v>560</v>
      </c>
    </row>
    <row r="10" spans="1:6" x14ac:dyDescent="0.3">
      <c r="A10" s="94" t="s">
        <v>95</v>
      </c>
      <c r="B10" s="1">
        <f>B7+B9+(B8*B4*B3)</f>
        <v>850</v>
      </c>
      <c r="C10" s="14" t="str">
        <f ca="1">_xlfn.FORMULATEXT(B10)</f>
        <v>=B7+B9+(B8*B4*B3)</v>
      </c>
      <c r="E10" s="18">
        <v>70</v>
      </c>
      <c r="F10" s="41">
        <v>770</v>
      </c>
    </row>
    <row r="11" spans="1:6" x14ac:dyDescent="0.3">
      <c r="A11" s="30"/>
      <c r="C11" s="14"/>
      <c r="E11" s="18">
        <v>80</v>
      </c>
      <c r="F11" s="26">
        <v>980</v>
      </c>
    </row>
    <row r="12" spans="1:6" x14ac:dyDescent="0.3">
      <c r="A12" s="95" t="s">
        <v>96</v>
      </c>
      <c r="C12" s="14"/>
      <c r="E12" s="18">
        <v>90</v>
      </c>
      <c r="F12" s="26">
        <v>1190</v>
      </c>
    </row>
    <row r="13" spans="1:6" x14ac:dyDescent="0.3">
      <c r="A13" s="32" t="s">
        <v>97</v>
      </c>
      <c r="B13" s="1">
        <v>4</v>
      </c>
      <c r="C13" s="14" t="s">
        <v>94</v>
      </c>
      <c r="E13" s="18">
        <v>100</v>
      </c>
      <c r="F13" s="26">
        <v>1400</v>
      </c>
    </row>
    <row r="14" spans="1:6" x14ac:dyDescent="0.3">
      <c r="A14" s="94" t="s">
        <v>98</v>
      </c>
      <c r="B14" s="1">
        <f>B13*B4*B3</f>
        <v>1200</v>
      </c>
      <c r="C14" s="14" t="str">
        <f ca="1">_xlfn.FORMULATEXT(B14)</f>
        <v>=B13*B4*B3</v>
      </c>
      <c r="E14" s="18">
        <v>110</v>
      </c>
      <c r="F14" s="26">
        <v>1610</v>
      </c>
    </row>
    <row r="15" spans="1:6" x14ac:dyDescent="0.3">
      <c r="A15" s="30"/>
      <c r="C15" s="14"/>
      <c r="E15" s="18">
        <v>120</v>
      </c>
      <c r="F15" s="26">
        <v>1820</v>
      </c>
    </row>
    <row r="16" spans="1:6" ht="15" thickBot="1" x14ac:dyDescent="0.35">
      <c r="A16" s="91" t="s">
        <v>100</v>
      </c>
      <c r="B16" s="23">
        <f>B14-B10</f>
        <v>350</v>
      </c>
      <c r="C16" s="31" t="str">
        <f ca="1">_xlfn.FORMULATEXT(B16)</f>
        <v>=B14-B10</v>
      </c>
      <c r="E16" s="18">
        <v>130</v>
      </c>
      <c r="F16" s="26">
        <v>2030</v>
      </c>
    </row>
    <row r="17" spans="5:6" x14ac:dyDescent="0.3">
      <c r="E17" s="18">
        <v>140</v>
      </c>
      <c r="F17" s="26">
        <v>2240</v>
      </c>
    </row>
    <row r="18" spans="5:6" x14ac:dyDescent="0.3">
      <c r="E18" s="18">
        <v>150</v>
      </c>
      <c r="F18" s="26">
        <v>2450</v>
      </c>
    </row>
  </sheetData>
  <mergeCells count="2">
    <mergeCell ref="A1:C1"/>
    <mergeCell ref="E1:F1"/>
  </mergeCells>
  <conditionalFormatting sqref="B16">
    <cfRule type="cellIs" dxfId="42" priority="1" operator="equal">
      <formula>0</formula>
    </cfRule>
    <cfRule type="cellIs" dxfId="41" priority="2" operator="lessThan">
      <formula>0</formula>
    </cfRule>
    <cfRule type="cellIs" dxfId="40" priority="3" operator="greaterThan">
      <formula>0</formula>
    </cfRule>
  </conditionalFormatting>
  <conditionalFormatting sqref="F4:F7">
    <cfRule type="colorScale" priority="4">
      <colorScale>
        <cfvo type="min"/>
        <cfvo type="max"/>
        <color rgb="FFF8696B"/>
        <color rgb="FFFCFCFF"/>
      </colorScale>
    </cfRule>
  </conditionalFormatting>
  <conditionalFormatting sqref="F7:F18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D9F-F733-49EA-AEFB-16AC0C554766}">
  <dimension ref="A1:S1048576"/>
  <sheetViews>
    <sheetView zoomScale="90" zoomScaleNormal="90" workbookViewId="0">
      <selection activeCell="B13" sqref="B13"/>
    </sheetView>
  </sheetViews>
  <sheetFormatPr defaultRowHeight="14.4" x14ac:dyDescent="0.3"/>
  <cols>
    <col min="1" max="1" width="18.5546875" customWidth="1"/>
    <col min="2" max="2" width="12" bestFit="1" customWidth="1"/>
    <col min="3" max="3" width="23.6640625" customWidth="1"/>
    <col min="4" max="5" width="9.21875" bestFit="1" customWidth="1"/>
    <col min="6" max="6" width="12.33203125" customWidth="1"/>
    <col min="7" max="7" width="11.109375" bestFit="1" customWidth="1"/>
    <col min="8" max="9" width="9.88671875" bestFit="1" customWidth="1"/>
    <col min="10" max="10" width="11.109375" bestFit="1" customWidth="1"/>
    <col min="11" max="14" width="11.77734375" bestFit="1" customWidth="1"/>
    <col min="15" max="19" width="11.109375" bestFit="1" customWidth="1"/>
  </cols>
  <sheetData>
    <row r="1" spans="1:15" ht="20.399999999999999" thickBot="1" x14ac:dyDescent="0.45">
      <c r="A1" s="185" t="s">
        <v>111</v>
      </c>
      <c r="B1" s="186"/>
      <c r="C1" s="187"/>
      <c r="F1" s="196" t="s">
        <v>113</v>
      </c>
      <c r="G1" s="197"/>
      <c r="H1" s="197"/>
      <c r="I1" s="197"/>
      <c r="J1" s="197"/>
      <c r="K1" s="197"/>
      <c r="L1" s="197"/>
      <c r="M1" s="197"/>
      <c r="N1" s="197"/>
      <c r="O1" s="198"/>
    </row>
    <row r="2" spans="1:15" x14ac:dyDescent="0.3">
      <c r="A2" s="36" t="s">
        <v>119</v>
      </c>
      <c r="B2" s="4">
        <v>30</v>
      </c>
      <c r="C2" s="14"/>
      <c r="E2" s="193" t="s">
        <v>117</v>
      </c>
      <c r="F2" s="40">
        <f>B13</f>
        <v>18875</v>
      </c>
      <c r="G2" s="102">
        <v>500</v>
      </c>
      <c r="H2" s="102">
        <v>1000</v>
      </c>
      <c r="I2" s="102">
        <v>1500</v>
      </c>
      <c r="J2" s="102">
        <v>2000</v>
      </c>
      <c r="K2" s="102">
        <v>2500</v>
      </c>
      <c r="L2" s="102">
        <v>3000</v>
      </c>
      <c r="M2" s="102">
        <v>3500</v>
      </c>
      <c r="N2" s="102">
        <v>4000</v>
      </c>
      <c r="O2" s="102">
        <v>4500</v>
      </c>
    </row>
    <row r="3" spans="1:15" ht="28.8" x14ac:dyDescent="0.3">
      <c r="A3" s="99" t="s">
        <v>120</v>
      </c>
      <c r="B3" s="4">
        <v>10</v>
      </c>
      <c r="C3" s="14"/>
      <c r="E3" s="194"/>
      <c r="F3" s="101">
        <v>500</v>
      </c>
      <c r="G3" s="41">
        <f t="dataTable" ref="G3:O11" dt2D="1" dtr="1" r1="B5" r2="B6"/>
        <v>3000</v>
      </c>
      <c r="H3" s="26">
        <v>3000</v>
      </c>
      <c r="I3" s="26">
        <v>3000</v>
      </c>
      <c r="J3" s="26">
        <v>3000</v>
      </c>
      <c r="K3" s="26">
        <v>3000</v>
      </c>
      <c r="L3" s="26">
        <v>3000</v>
      </c>
      <c r="M3" s="26">
        <v>3000</v>
      </c>
      <c r="N3" s="26">
        <v>3000</v>
      </c>
      <c r="O3" s="26">
        <v>3000</v>
      </c>
    </row>
    <row r="4" spans="1:15" x14ac:dyDescent="0.3">
      <c r="A4" s="30"/>
      <c r="C4" s="14"/>
      <c r="E4" s="194"/>
      <c r="F4" s="101">
        <v>1000</v>
      </c>
      <c r="G4" s="26">
        <v>-3000</v>
      </c>
      <c r="H4" s="26">
        <v>7000</v>
      </c>
      <c r="I4" s="26">
        <v>7000</v>
      </c>
      <c r="J4" s="26">
        <v>7000</v>
      </c>
      <c r="K4" s="26">
        <v>7000</v>
      </c>
      <c r="L4" s="26">
        <v>7000</v>
      </c>
      <c r="M4" s="26">
        <v>7000</v>
      </c>
      <c r="N4" s="26">
        <v>7000</v>
      </c>
      <c r="O4" s="26">
        <v>7000</v>
      </c>
    </row>
    <row r="5" spans="1:15" x14ac:dyDescent="0.3">
      <c r="A5" s="36" t="s">
        <v>42</v>
      </c>
      <c r="B5" s="37">
        <v>3000</v>
      </c>
      <c r="C5" s="14"/>
      <c r="E5" s="194"/>
      <c r="F5" s="101">
        <v>1500</v>
      </c>
      <c r="G5" s="26">
        <v>-9500</v>
      </c>
      <c r="H5" s="26">
        <v>500</v>
      </c>
      <c r="I5" s="26">
        <v>10500</v>
      </c>
      <c r="J5" s="26">
        <v>10500</v>
      </c>
      <c r="K5" s="26">
        <v>10500</v>
      </c>
      <c r="L5" s="26">
        <v>10500</v>
      </c>
      <c r="M5" s="26">
        <v>10500</v>
      </c>
      <c r="N5" s="26">
        <v>10500</v>
      </c>
      <c r="O5" s="26">
        <v>10500</v>
      </c>
    </row>
    <row r="6" spans="1:15" ht="28.8" x14ac:dyDescent="0.3">
      <c r="A6" s="99" t="s">
        <v>118</v>
      </c>
      <c r="B6" s="37">
        <v>3500</v>
      </c>
      <c r="C6" s="14"/>
      <c r="E6" s="194"/>
      <c r="F6" s="101">
        <v>2000</v>
      </c>
      <c r="G6" s="26">
        <v>-14500</v>
      </c>
      <c r="H6" s="26">
        <v>-4500</v>
      </c>
      <c r="I6" s="26">
        <v>5500</v>
      </c>
      <c r="J6" s="26">
        <v>15500</v>
      </c>
      <c r="K6" s="26">
        <v>15500</v>
      </c>
      <c r="L6" s="26">
        <v>15500</v>
      </c>
      <c r="M6" s="26">
        <v>15500</v>
      </c>
      <c r="N6" s="26">
        <v>15500</v>
      </c>
      <c r="O6" s="26">
        <v>15500</v>
      </c>
    </row>
    <row r="7" spans="1:15" x14ac:dyDescent="0.3">
      <c r="A7" s="103" t="s">
        <v>121</v>
      </c>
      <c r="B7">
        <f>IF(B5&gt;B6,0,B6-B5)</f>
        <v>500</v>
      </c>
      <c r="C7" s="100" t="str">
        <f ca="1">_xlfn.FORMULATEXT(B7)</f>
        <v>=IF(B5&gt;B6;0;B6-B5)</v>
      </c>
      <c r="E7" s="194"/>
      <c r="F7" s="101">
        <v>2500</v>
      </c>
      <c r="G7" s="26">
        <v>-20625</v>
      </c>
      <c r="H7" s="26">
        <v>-10625</v>
      </c>
      <c r="I7" s="26">
        <v>-625</v>
      </c>
      <c r="J7" s="26">
        <v>9375</v>
      </c>
      <c r="K7" s="26">
        <v>19375</v>
      </c>
      <c r="L7" s="26">
        <v>19375</v>
      </c>
      <c r="M7" s="26">
        <v>19375</v>
      </c>
      <c r="N7" s="26">
        <v>19375</v>
      </c>
      <c r="O7" s="26">
        <v>19375</v>
      </c>
    </row>
    <row r="8" spans="1:15" x14ac:dyDescent="0.3">
      <c r="A8" s="30"/>
      <c r="C8" s="14"/>
      <c r="E8" s="194"/>
      <c r="F8" s="101">
        <v>3000</v>
      </c>
      <c r="G8" s="26">
        <v>-25250</v>
      </c>
      <c r="H8" s="26">
        <v>-15250</v>
      </c>
      <c r="I8" s="26">
        <v>-5250</v>
      </c>
      <c r="J8" s="26">
        <v>4750</v>
      </c>
      <c r="K8" s="26">
        <v>14750</v>
      </c>
      <c r="L8" s="26">
        <v>24750</v>
      </c>
      <c r="M8" s="26">
        <v>24750</v>
      </c>
      <c r="N8" s="26">
        <v>24750</v>
      </c>
      <c r="O8" s="26">
        <v>24750</v>
      </c>
    </row>
    <row r="9" spans="1:15" ht="28.8" x14ac:dyDescent="0.3">
      <c r="A9" s="104" t="s">
        <v>58</v>
      </c>
      <c r="B9" s="4">
        <f>B6*VLOOKUP(B6,A16:B21,2,TRUE)</f>
        <v>76125</v>
      </c>
      <c r="C9" s="100" t="str">
        <f ca="1">_xlfn.FORMULATEXT(B9)</f>
        <v>=B6*VLOOKUP(B6;A16:B21;2;TRUE)</v>
      </c>
      <c r="E9" s="194"/>
      <c r="F9" s="101">
        <v>3500</v>
      </c>
      <c r="G9" s="26">
        <v>-31125</v>
      </c>
      <c r="H9" s="26">
        <v>-21125</v>
      </c>
      <c r="I9" s="26">
        <v>-11125</v>
      </c>
      <c r="J9" s="26">
        <v>-1125</v>
      </c>
      <c r="K9" s="26">
        <v>8875</v>
      </c>
      <c r="L9" s="26">
        <v>18875</v>
      </c>
      <c r="M9" s="26">
        <v>28875</v>
      </c>
      <c r="N9" s="26">
        <v>28875</v>
      </c>
      <c r="O9" s="26">
        <v>28875</v>
      </c>
    </row>
    <row r="10" spans="1:15" x14ac:dyDescent="0.3">
      <c r="A10" s="30"/>
      <c r="C10" s="14"/>
      <c r="E10" s="194"/>
      <c r="F10" s="101">
        <v>4000</v>
      </c>
      <c r="G10" s="26">
        <v>-35200</v>
      </c>
      <c r="H10" s="26">
        <v>-25200</v>
      </c>
      <c r="I10" s="26">
        <v>-15200</v>
      </c>
      <c r="J10" s="26">
        <v>-5200</v>
      </c>
      <c r="K10" s="26">
        <v>4800</v>
      </c>
      <c r="L10" s="26">
        <v>14800</v>
      </c>
      <c r="M10" s="26">
        <v>24800</v>
      </c>
      <c r="N10" s="26">
        <v>34800</v>
      </c>
      <c r="O10" s="26">
        <v>34800</v>
      </c>
    </row>
    <row r="11" spans="1:15" ht="15" thickBot="1" x14ac:dyDescent="0.35">
      <c r="A11" s="105" t="s">
        <v>114</v>
      </c>
      <c r="B11" s="4">
        <f>(MIN(B5,B6)*B2)+(B7*B3)</f>
        <v>95000</v>
      </c>
      <c r="C11" s="100" t="str">
        <f ca="1">_xlfn.FORMULATEXT(B11)</f>
        <v>=(MIN(B5;B6)*B2)+(B7*B3)</v>
      </c>
      <c r="E11" s="195"/>
      <c r="F11" s="101">
        <v>4500</v>
      </c>
      <c r="G11" s="26">
        <v>-40850</v>
      </c>
      <c r="H11" s="26">
        <v>-30850</v>
      </c>
      <c r="I11" s="26">
        <v>-20850</v>
      </c>
      <c r="J11" s="26">
        <v>-10850</v>
      </c>
      <c r="K11" s="26">
        <v>-850</v>
      </c>
      <c r="L11" s="26">
        <v>9150</v>
      </c>
      <c r="M11" s="26">
        <v>19150</v>
      </c>
      <c r="N11" s="26">
        <v>29150</v>
      </c>
      <c r="O11" s="26">
        <v>39150</v>
      </c>
    </row>
    <row r="12" spans="1:15" x14ac:dyDescent="0.3">
      <c r="A12" s="30"/>
      <c r="C12" s="14"/>
    </row>
    <row r="13" spans="1:15" ht="15" thickBot="1" x14ac:dyDescent="0.35">
      <c r="A13" s="91" t="s">
        <v>115</v>
      </c>
      <c r="B13" s="23">
        <f>B11-B9</f>
        <v>18875</v>
      </c>
      <c r="C13" s="31" t="str">
        <f ca="1">_xlfn.FORMULATEXT(B13)</f>
        <v>=B11-B9</v>
      </c>
    </row>
    <row r="16" spans="1:15" x14ac:dyDescent="0.3">
      <c r="A16" s="38" t="s">
        <v>117</v>
      </c>
      <c r="B16" s="38" t="s">
        <v>116</v>
      </c>
    </row>
    <row r="17" spans="1:19" x14ac:dyDescent="0.3">
      <c r="A17" s="18">
        <v>1</v>
      </c>
      <c r="B17" s="27">
        <v>24</v>
      </c>
      <c r="C17" t="s">
        <v>112</v>
      </c>
    </row>
    <row r="18" spans="1:19" x14ac:dyDescent="0.3">
      <c r="A18" s="18">
        <v>1000</v>
      </c>
      <c r="B18" s="27">
        <v>23</v>
      </c>
      <c r="P18" s="1"/>
      <c r="Q18" s="1"/>
      <c r="R18" s="1"/>
      <c r="S18" s="1"/>
    </row>
    <row r="19" spans="1:19" x14ac:dyDescent="0.3">
      <c r="A19" s="18">
        <v>2000</v>
      </c>
      <c r="B19" s="27">
        <v>22.25</v>
      </c>
      <c r="P19" s="39"/>
      <c r="Q19" s="39"/>
      <c r="R19" s="39"/>
      <c r="S19" s="39"/>
    </row>
    <row r="20" spans="1:19" x14ac:dyDescent="0.3">
      <c r="A20" s="18">
        <v>3000</v>
      </c>
      <c r="B20" s="27">
        <v>21.75</v>
      </c>
      <c r="P20" s="39"/>
      <c r="Q20" s="39"/>
      <c r="R20" s="39"/>
      <c r="S20" s="39"/>
    </row>
    <row r="21" spans="1:19" x14ac:dyDescent="0.3">
      <c r="A21" s="18">
        <v>4000</v>
      </c>
      <c r="B21" s="27">
        <v>21.3</v>
      </c>
      <c r="P21" s="39"/>
      <c r="Q21" s="39"/>
      <c r="R21" s="39"/>
      <c r="S21" s="39"/>
    </row>
    <row r="22" spans="1:19" x14ac:dyDescent="0.3">
      <c r="A22" s="39"/>
      <c r="P22" s="39"/>
      <c r="Q22" s="39"/>
      <c r="R22" s="39"/>
      <c r="S22" s="39"/>
    </row>
    <row r="23" spans="1:19" x14ac:dyDescent="0.3">
      <c r="A23" s="39"/>
      <c r="M23" s="39"/>
      <c r="N23" s="39"/>
      <c r="O23" s="39"/>
      <c r="P23" s="39"/>
      <c r="Q23" s="39"/>
      <c r="R23" s="39"/>
      <c r="S23" s="39"/>
    </row>
    <row r="24" spans="1:19" x14ac:dyDescent="0.3">
      <c r="A24" s="39"/>
      <c r="M24" s="39"/>
      <c r="N24" s="39"/>
      <c r="O24" s="39"/>
      <c r="P24" s="39"/>
      <c r="Q24" s="39"/>
      <c r="R24" s="39"/>
      <c r="S24" s="39"/>
    </row>
    <row r="25" spans="1:19" x14ac:dyDescent="0.3">
      <c r="A25" s="39"/>
      <c r="M25" s="39"/>
      <c r="N25" s="39"/>
      <c r="O25" s="39"/>
      <c r="P25" s="39"/>
      <c r="Q25" s="39"/>
      <c r="R25" s="39"/>
      <c r="S25" s="39"/>
    </row>
    <row r="26" spans="1:19" x14ac:dyDescent="0.3">
      <c r="A26" s="39"/>
      <c r="M26" s="39"/>
      <c r="N26" s="39"/>
      <c r="O26" s="39"/>
      <c r="P26" s="39"/>
      <c r="Q26" s="39"/>
      <c r="R26" s="39"/>
      <c r="S26" s="39"/>
    </row>
    <row r="27" spans="1:19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1:19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 spans="1:19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19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</row>
    <row r="31" spans="1:19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 spans="1:19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</row>
    <row r="33" spans="1:19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</row>
    <row r="34" spans="1:19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</row>
    <row r="35" spans="1:19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</row>
    <row r="1048576" spans="3:3" x14ac:dyDescent="0.3">
      <c r="C1048576" t="s">
        <v>112</v>
      </c>
    </row>
  </sheetData>
  <mergeCells count="3">
    <mergeCell ref="E2:E11"/>
    <mergeCell ref="A1:C1"/>
    <mergeCell ref="F1:O1"/>
  </mergeCells>
  <conditionalFormatting sqref="B13">
    <cfRule type="cellIs" dxfId="39" priority="34" operator="lessThan">
      <formula>0</formula>
    </cfRule>
    <cfRule type="cellIs" dxfId="38" priority="35" operator="greaterThan">
      <formula>0</formula>
    </cfRule>
  </conditionalFormatting>
  <conditionalFormatting sqref="G3:G4">
    <cfRule type="colorScale" priority="1">
      <colorScale>
        <cfvo type="min"/>
        <cfvo type="max"/>
        <color theme="0"/>
        <color theme="9" tint="0.39997558519241921"/>
      </colorScale>
    </cfRule>
  </conditionalFormatting>
  <conditionalFormatting sqref="G3:G11">
    <cfRule type="top10" dxfId="37" priority="8" rank="1"/>
  </conditionalFormatting>
  <conditionalFormatting sqref="G3:O11">
    <cfRule type="cellIs" dxfId="36" priority="32" operator="lessThan">
      <formula>0</formula>
    </cfRule>
  </conditionalFormatting>
  <conditionalFormatting sqref="H3:H6">
    <cfRule type="colorScale" priority="12">
      <colorScale>
        <cfvo type="min"/>
        <cfvo type="max"/>
        <color theme="0"/>
        <color theme="9" tint="0.39997558519241921"/>
      </colorScale>
    </cfRule>
  </conditionalFormatting>
  <conditionalFormatting sqref="H3:H11">
    <cfRule type="top10" dxfId="35" priority="9" rank="1"/>
  </conditionalFormatting>
  <conditionalFormatting sqref="I3:I7">
    <cfRule type="colorScale" priority="13">
      <colorScale>
        <cfvo type="min"/>
        <cfvo type="max"/>
        <color theme="0"/>
        <color theme="9" tint="0.39997558519241921"/>
      </colorScale>
    </cfRule>
  </conditionalFormatting>
  <conditionalFormatting sqref="I3:I11">
    <cfRule type="top10" dxfId="34" priority="10" rank="1"/>
  </conditionalFormatting>
  <conditionalFormatting sqref="J3:J9">
    <cfRule type="colorScale" priority="14">
      <colorScale>
        <cfvo type="min"/>
        <cfvo type="max"/>
        <color theme="0"/>
        <color theme="9" tint="0.39997558519241921"/>
      </colorScale>
    </cfRule>
  </conditionalFormatting>
  <conditionalFormatting sqref="J3:J11">
    <cfRule type="top10" dxfId="33" priority="7" rank="1"/>
    <cfRule type="top10" dxfId="32" priority="11" rank="1"/>
  </conditionalFormatting>
  <conditionalFormatting sqref="K3:K11">
    <cfRule type="top10" dxfId="31" priority="4" rank="1"/>
    <cfRule type="colorScale" priority="15">
      <colorScale>
        <cfvo type="min"/>
        <cfvo type="max"/>
        <color theme="0"/>
        <color theme="9" tint="0.39997558519241921"/>
      </colorScale>
    </cfRule>
  </conditionalFormatting>
  <conditionalFormatting sqref="L3:L11">
    <cfRule type="top10" dxfId="30" priority="5" rank="1"/>
    <cfRule type="colorScale" priority="16">
      <colorScale>
        <cfvo type="min"/>
        <cfvo type="max"/>
        <color theme="0"/>
        <color theme="9" tint="0.39997558519241921"/>
      </colorScale>
    </cfRule>
  </conditionalFormatting>
  <conditionalFormatting sqref="M3:M11">
    <cfRule type="top10" dxfId="29" priority="6" rank="1"/>
    <cfRule type="colorScale" priority="17">
      <colorScale>
        <cfvo type="min"/>
        <cfvo type="max"/>
        <color theme="0"/>
        <color theme="9" tint="0.39997558519241921"/>
      </colorScale>
    </cfRule>
  </conditionalFormatting>
  <conditionalFormatting sqref="N3:N11">
    <cfRule type="top10" dxfId="28" priority="2" rank="1"/>
    <cfRule type="colorScale" priority="18">
      <colorScale>
        <cfvo type="min"/>
        <cfvo type="max"/>
        <color theme="0"/>
        <color theme="9" tint="0.39997558519241921"/>
      </colorScale>
    </cfRule>
  </conditionalFormatting>
  <conditionalFormatting sqref="O3:O11">
    <cfRule type="top10" dxfId="27" priority="3" rank="1"/>
    <cfRule type="colorScale" priority="19">
      <colorScale>
        <cfvo type="min"/>
        <cfvo type="max"/>
        <color theme="0"/>
        <color theme="9" tint="0.39997558519241921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A9E5-4732-461B-B568-A97209B6797F}">
  <dimension ref="A1:L23"/>
  <sheetViews>
    <sheetView zoomScale="90" zoomScaleNormal="90" workbookViewId="0">
      <selection activeCell="B2" sqref="B2"/>
    </sheetView>
  </sheetViews>
  <sheetFormatPr defaultRowHeight="14.4" x14ac:dyDescent="0.3"/>
  <cols>
    <col min="1" max="1" width="20.21875" customWidth="1"/>
    <col min="2" max="2" width="17.109375" customWidth="1"/>
    <col min="3" max="3" width="12.21875" customWidth="1"/>
    <col min="8" max="8" width="10.77734375" bestFit="1" customWidth="1"/>
    <col min="9" max="9" width="11.77734375" bestFit="1" customWidth="1"/>
    <col min="10" max="12" width="10.77734375" bestFit="1" customWidth="1"/>
  </cols>
  <sheetData>
    <row r="1" spans="1:12" ht="18" thickBot="1" x14ac:dyDescent="0.4">
      <c r="A1" s="202" t="s">
        <v>122</v>
      </c>
      <c r="B1" s="202"/>
      <c r="C1" s="202"/>
      <c r="H1" s="199" t="s">
        <v>125</v>
      </c>
      <c r="I1" s="200"/>
      <c r="J1" s="200"/>
      <c r="K1" s="200"/>
      <c r="L1" s="201"/>
    </row>
    <row r="2" spans="1:12" ht="15.6" thickTop="1" thickBot="1" x14ac:dyDescent="0.35">
      <c r="A2" s="61" t="s">
        <v>123</v>
      </c>
      <c r="B2" s="37">
        <v>3</v>
      </c>
      <c r="C2" s="46"/>
      <c r="G2" s="203" t="s">
        <v>138</v>
      </c>
      <c r="H2" s="109">
        <f>B23</f>
        <v>640</v>
      </c>
      <c r="I2" s="73">
        <v>500</v>
      </c>
      <c r="J2" s="74">
        <v>1000</v>
      </c>
      <c r="K2" s="74">
        <v>1500</v>
      </c>
      <c r="L2" s="75">
        <v>2000</v>
      </c>
    </row>
    <row r="3" spans="1:12" ht="14.4" customHeight="1" x14ac:dyDescent="0.3">
      <c r="A3" s="61" t="s">
        <v>124</v>
      </c>
      <c r="B3">
        <f>100000*B2</f>
        <v>300000</v>
      </c>
      <c r="C3" s="46" t="s">
        <v>127</v>
      </c>
      <c r="G3" s="204"/>
      <c r="H3" s="70">
        <v>1</v>
      </c>
      <c r="I3" s="71">
        <f t="dataTable" ref="I3:L7" dt2D="1" dtr="1" r1="B5" r2="B2"/>
        <v>-2800</v>
      </c>
      <c r="J3" s="72">
        <v>-2800</v>
      </c>
      <c r="K3" s="72">
        <v>-2800</v>
      </c>
      <c r="L3" s="72">
        <v>-2800</v>
      </c>
    </row>
    <row r="4" spans="1:12" x14ac:dyDescent="0.3">
      <c r="A4" s="48"/>
      <c r="C4" s="46"/>
      <c r="G4" s="204"/>
      <c r="H4" s="68">
        <v>2</v>
      </c>
      <c r="I4" s="67">
        <v>-2025</v>
      </c>
      <c r="J4" s="45">
        <v>-800</v>
      </c>
      <c r="K4" s="45">
        <v>-800</v>
      </c>
      <c r="L4" s="45">
        <v>-800</v>
      </c>
    </row>
    <row r="5" spans="1:12" x14ac:dyDescent="0.3">
      <c r="A5" s="61" t="s">
        <v>125</v>
      </c>
      <c r="B5" s="42">
        <v>800</v>
      </c>
      <c r="C5" s="46"/>
      <c r="G5" s="204"/>
      <c r="H5" s="68">
        <v>3</v>
      </c>
      <c r="I5" s="67">
        <v>-7025</v>
      </c>
      <c r="J5" s="45">
        <v>1200</v>
      </c>
      <c r="K5" s="45">
        <v>1200</v>
      </c>
      <c r="L5" s="45">
        <v>1200</v>
      </c>
    </row>
    <row r="6" spans="1:12" x14ac:dyDescent="0.3">
      <c r="A6" s="61" t="s">
        <v>126</v>
      </c>
      <c r="B6" s="108">
        <f>B5*365</f>
        <v>292000</v>
      </c>
      <c r="C6" s="46"/>
      <c r="G6" s="204"/>
      <c r="H6" s="68">
        <v>4</v>
      </c>
      <c r="I6" s="67">
        <v>-12025</v>
      </c>
      <c r="J6" s="45">
        <v>750</v>
      </c>
      <c r="K6" s="45">
        <v>3200</v>
      </c>
      <c r="L6" s="45">
        <v>3200</v>
      </c>
    </row>
    <row r="7" spans="1:12" ht="15" thickBot="1" x14ac:dyDescent="0.35">
      <c r="A7" s="48"/>
      <c r="C7" s="46"/>
      <c r="G7" s="205"/>
      <c r="H7" s="69">
        <v>5</v>
      </c>
      <c r="I7" s="67">
        <v>-17025</v>
      </c>
      <c r="J7" s="45">
        <v>-4250</v>
      </c>
      <c r="K7" s="45">
        <v>5200</v>
      </c>
      <c r="L7" s="45">
        <v>5200</v>
      </c>
    </row>
    <row r="8" spans="1:12" x14ac:dyDescent="0.3">
      <c r="A8" s="61" t="s">
        <v>128</v>
      </c>
      <c r="B8" s="108">
        <f xml:space="preserve"> MIN(B6,B3)</f>
        <v>292000</v>
      </c>
      <c r="C8" s="46" t="str">
        <f ca="1">_xlfn.FORMULATEXT(B8)</f>
        <v>= MIN(B6;B3)</v>
      </c>
    </row>
    <row r="9" spans="1:12" x14ac:dyDescent="0.3">
      <c r="A9" s="48"/>
      <c r="C9" s="46"/>
    </row>
    <row r="10" spans="1:12" ht="15" thickBot="1" x14ac:dyDescent="0.35">
      <c r="A10" s="76" t="s">
        <v>29</v>
      </c>
      <c r="C10" s="46"/>
    </row>
    <row r="11" spans="1:12" x14ac:dyDescent="0.3">
      <c r="A11" s="47" t="s">
        <v>30</v>
      </c>
      <c r="B11" s="4">
        <v>400</v>
      </c>
      <c r="C11" s="46" t="s">
        <v>133</v>
      </c>
    </row>
    <row r="12" spans="1:12" x14ac:dyDescent="0.3">
      <c r="A12" s="47" t="s">
        <v>130</v>
      </c>
      <c r="C12" s="46"/>
    </row>
    <row r="13" spans="1:12" x14ac:dyDescent="0.3">
      <c r="A13" s="65" t="s">
        <v>134</v>
      </c>
      <c r="B13" s="4">
        <v>5000</v>
      </c>
      <c r="C13" s="46" t="s">
        <v>127</v>
      </c>
    </row>
    <row r="14" spans="1:12" x14ac:dyDescent="0.3">
      <c r="A14" s="65" t="s">
        <v>131</v>
      </c>
      <c r="B14" s="1">
        <v>0.03</v>
      </c>
      <c r="C14" s="46" t="s">
        <v>135</v>
      </c>
    </row>
    <row r="15" spans="1:12" x14ac:dyDescent="0.3">
      <c r="A15" s="48"/>
      <c r="C15" s="46"/>
    </row>
    <row r="16" spans="1:12" x14ac:dyDescent="0.3">
      <c r="A16" s="107" t="s">
        <v>132</v>
      </c>
      <c r="B16" s="1">
        <f>(B11*12)+(B13*B2)+(B14*B8)</f>
        <v>28560</v>
      </c>
      <c r="C16" s="46"/>
    </row>
    <row r="17" spans="1:3" x14ac:dyDescent="0.3">
      <c r="A17" s="48"/>
      <c r="C17" s="46"/>
    </row>
    <row r="18" spans="1:3" ht="15" thickBot="1" x14ac:dyDescent="0.35">
      <c r="A18" s="76" t="s">
        <v>82</v>
      </c>
      <c r="C18" s="46"/>
    </row>
    <row r="19" spans="1:3" x14ac:dyDescent="0.3">
      <c r="A19" s="47" t="s">
        <v>136</v>
      </c>
      <c r="B19" s="1">
        <v>0.1</v>
      </c>
      <c r="C19" s="46" t="s">
        <v>135</v>
      </c>
    </row>
    <row r="20" spans="1:3" x14ac:dyDescent="0.3">
      <c r="A20" s="48"/>
      <c r="C20" s="46"/>
    </row>
    <row r="21" spans="1:3" x14ac:dyDescent="0.3">
      <c r="A21" s="107" t="s">
        <v>137</v>
      </c>
      <c r="B21" s="1">
        <f>(B19*B8)</f>
        <v>29200</v>
      </c>
      <c r="C21" s="46"/>
    </row>
    <row r="22" spans="1:3" x14ac:dyDescent="0.3">
      <c r="A22" s="48"/>
      <c r="C22" s="46"/>
    </row>
    <row r="23" spans="1:3" ht="15" thickBot="1" x14ac:dyDescent="0.35">
      <c r="A23" s="106" t="s">
        <v>139</v>
      </c>
      <c r="B23" s="66">
        <f>B21-B16</f>
        <v>640</v>
      </c>
      <c r="C23" s="51"/>
    </row>
  </sheetData>
  <mergeCells count="3">
    <mergeCell ref="H1:L1"/>
    <mergeCell ref="A1:C1"/>
    <mergeCell ref="G2:G7"/>
  </mergeCells>
  <conditionalFormatting sqref="B23">
    <cfRule type="cellIs" dxfId="26" priority="1" operator="equal">
      <formula>0</formula>
    </cfRule>
    <cfRule type="cellIs" dxfId="25" priority="2" operator="lessThan">
      <formula>0</formula>
    </cfRule>
    <cfRule type="cellIs" dxfId="24" priority="3" operator="greaterThan">
      <formula>0</formula>
    </cfRule>
  </conditionalFormatting>
  <conditionalFormatting sqref="I3:L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A818-C56B-41C4-BA83-C10AD2F2A394}">
  <dimension ref="A1:F23"/>
  <sheetViews>
    <sheetView workbookViewId="0">
      <selection activeCell="B9" sqref="B9"/>
    </sheetView>
  </sheetViews>
  <sheetFormatPr defaultRowHeight="14.4" x14ac:dyDescent="0.3"/>
  <cols>
    <col min="1" max="1" width="19.109375" bestFit="1" customWidth="1"/>
    <col min="2" max="2" width="13.77734375" bestFit="1" customWidth="1"/>
    <col min="3" max="3" width="18.88671875" bestFit="1" customWidth="1"/>
    <col min="6" max="6" width="13.77734375" bestFit="1" customWidth="1"/>
  </cols>
  <sheetData>
    <row r="1" spans="1:3" ht="19.8" x14ac:dyDescent="0.4">
      <c r="A1" s="206" t="s">
        <v>140</v>
      </c>
      <c r="B1" s="207"/>
      <c r="C1" s="208"/>
    </row>
    <row r="2" spans="1:3" ht="17.399999999999999" x14ac:dyDescent="0.35">
      <c r="A2" s="112" t="s">
        <v>141</v>
      </c>
      <c r="C2" s="46"/>
    </row>
    <row r="3" spans="1:3" x14ac:dyDescent="0.3">
      <c r="A3" s="47" t="s">
        <v>142</v>
      </c>
      <c r="B3">
        <v>5</v>
      </c>
      <c r="C3" s="46"/>
    </row>
    <row r="4" spans="1:3" x14ac:dyDescent="0.3">
      <c r="A4" s="47" t="s">
        <v>143</v>
      </c>
      <c r="B4" s="42">
        <v>60</v>
      </c>
      <c r="C4" s="46"/>
    </row>
    <row r="5" spans="1:3" x14ac:dyDescent="0.3">
      <c r="A5" s="47" t="s">
        <v>144</v>
      </c>
      <c r="B5">
        <f>B4*B3</f>
        <v>300</v>
      </c>
      <c r="C5" s="46" t="str">
        <f ca="1">_xlfn.FORMULATEXT(B5)</f>
        <v>=B4*B3</v>
      </c>
    </row>
    <row r="6" spans="1:3" x14ac:dyDescent="0.3">
      <c r="A6" s="48"/>
      <c r="C6" s="46"/>
    </row>
    <row r="7" spans="1:3" ht="17.399999999999999" x14ac:dyDescent="0.35">
      <c r="A7" s="113" t="s">
        <v>145</v>
      </c>
      <c r="C7" s="46"/>
    </row>
    <row r="8" spans="1:3" x14ac:dyDescent="0.3">
      <c r="A8" s="47" t="s">
        <v>146</v>
      </c>
      <c r="B8">
        <v>800</v>
      </c>
      <c r="C8" s="46"/>
    </row>
    <row r="9" spans="1:3" x14ac:dyDescent="0.3">
      <c r="A9" s="47" t="s">
        <v>148</v>
      </c>
      <c r="B9" s="43">
        <v>0.8</v>
      </c>
      <c r="C9" s="46"/>
    </row>
    <row r="10" spans="1:3" x14ac:dyDescent="0.3">
      <c r="A10" s="47" t="s">
        <v>147</v>
      </c>
      <c r="B10">
        <f>B8*B9</f>
        <v>640</v>
      </c>
      <c r="C10" s="46" t="str">
        <f ca="1">_xlfn.FORMULATEXT(B10)</f>
        <v>=B8*B9</v>
      </c>
    </row>
    <row r="11" spans="1:3" x14ac:dyDescent="0.3">
      <c r="A11" s="48"/>
      <c r="C11" s="46"/>
    </row>
    <row r="12" spans="1:3" ht="17.399999999999999" x14ac:dyDescent="0.35">
      <c r="A12" s="113" t="s">
        <v>29</v>
      </c>
      <c r="C12" s="46"/>
    </row>
    <row r="13" spans="1:3" x14ac:dyDescent="0.3">
      <c r="A13" s="47" t="s">
        <v>129</v>
      </c>
      <c r="B13" s="4">
        <v>5500000</v>
      </c>
      <c r="C13" s="46"/>
    </row>
    <row r="14" spans="1:3" x14ac:dyDescent="0.3">
      <c r="A14" s="47" t="s">
        <v>149</v>
      </c>
      <c r="B14" s="4">
        <v>1000</v>
      </c>
      <c r="C14" s="46" t="s">
        <v>150</v>
      </c>
    </row>
    <row r="15" spans="1:3" x14ac:dyDescent="0.3">
      <c r="A15" s="111" t="s">
        <v>58</v>
      </c>
      <c r="B15" s="4">
        <f>B13+(B14*B5)</f>
        <v>5800000</v>
      </c>
      <c r="C15" s="46" t="str">
        <f ca="1">_xlfn.FORMULATEXT(B15)</f>
        <v>=B13+(B14*B5)</v>
      </c>
    </row>
    <row r="16" spans="1:3" x14ac:dyDescent="0.3">
      <c r="A16" s="48"/>
      <c r="C16" s="46"/>
    </row>
    <row r="17" spans="1:6" ht="17.399999999999999" x14ac:dyDescent="0.35">
      <c r="A17" s="112" t="s">
        <v>82</v>
      </c>
      <c r="C17" s="46"/>
    </row>
    <row r="18" spans="1:6" x14ac:dyDescent="0.3">
      <c r="A18" s="47" t="s">
        <v>151</v>
      </c>
      <c r="B18" s="44">
        <v>55</v>
      </c>
      <c r="C18" s="46"/>
    </row>
    <row r="19" spans="1:6" x14ac:dyDescent="0.3">
      <c r="A19" s="47" t="s">
        <v>152</v>
      </c>
      <c r="B19" s="1">
        <v>1.5</v>
      </c>
      <c r="C19" s="46"/>
    </row>
    <row r="20" spans="1:6" x14ac:dyDescent="0.3">
      <c r="A20" s="111" t="s">
        <v>114</v>
      </c>
      <c r="B20" s="4">
        <f>B5*((B18+B19)*B10)</f>
        <v>10848000</v>
      </c>
      <c r="C20" s="46" t="str">
        <f ca="1">_xlfn.FORMULATEXT(B20)</f>
        <v>=B5*((B18+B19)*B10)</v>
      </c>
    </row>
    <row r="21" spans="1:6" x14ac:dyDescent="0.3">
      <c r="A21" s="48"/>
      <c r="C21" s="46"/>
    </row>
    <row r="22" spans="1:6" ht="15" thickBot="1" x14ac:dyDescent="0.35">
      <c r="A22" s="110" t="s">
        <v>115</v>
      </c>
      <c r="B22" s="50">
        <f>B20-B15</f>
        <v>5048000</v>
      </c>
      <c r="C22" s="51" t="str">
        <f ca="1">_xlfn.FORMULATEXT(B22)</f>
        <v>=B20-B15</v>
      </c>
    </row>
    <row r="23" spans="1:6" x14ac:dyDescent="0.3">
      <c r="F23" s="1"/>
    </row>
  </sheetData>
  <mergeCells count="1">
    <mergeCell ref="A1:C1"/>
  </mergeCells>
  <conditionalFormatting sqref="B22">
    <cfRule type="cellIs" dxfId="23" priority="1" operator="equal">
      <formula>0</formula>
    </cfRule>
    <cfRule type="cellIs" dxfId="22" priority="2" operator="lessThan">
      <formula>0</formula>
    </cfRule>
    <cfRule type="cellIs" dxfId="21" priority="3" operator="greaterThan">
      <formula>0</formula>
    </cfRule>
    <cfRule type="cellIs" dxfId="20" priority="4" operator="equal">
      <formula>0</formula>
    </cfRule>
    <cfRule type="cellIs" dxfId="19" priority="5" operator="lessThan">
      <formula>0</formula>
    </cfRule>
    <cfRule type="cellIs" dxfId="18" priority="6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D4AB-E9F6-4CCC-8BFF-EA8DF6F86CD2}">
  <dimension ref="A1:AK100"/>
  <sheetViews>
    <sheetView tabSelected="1" topLeftCell="A18" zoomScale="90" zoomScaleNormal="90" workbookViewId="0">
      <selection activeCell="M39" sqref="M39"/>
    </sheetView>
  </sheetViews>
  <sheetFormatPr defaultRowHeight="14.4" x14ac:dyDescent="0.3"/>
  <cols>
    <col min="1" max="1" width="19.21875" bestFit="1" customWidth="1"/>
    <col min="2" max="2" width="14.77734375" bestFit="1" customWidth="1"/>
    <col min="3" max="3" width="20.44140625" bestFit="1" customWidth="1"/>
    <col min="4" max="4" width="14.88671875" bestFit="1" customWidth="1"/>
    <col min="5" max="5" width="19.21875" bestFit="1" customWidth="1"/>
    <col min="6" max="6" width="13.88671875" bestFit="1" customWidth="1"/>
    <col min="7" max="7" width="19.21875" bestFit="1" customWidth="1"/>
    <col min="8" max="8" width="14.77734375" bestFit="1" customWidth="1"/>
    <col min="9" max="9" width="16.21875" bestFit="1" customWidth="1"/>
    <col min="10" max="10" width="13.77734375" bestFit="1" customWidth="1"/>
    <col min="11" max="11" width="15.88671875" bestFit="1" customWidth="1"/>
    <col min="12" max="12" width="18.77734375" customWidth="1"/>
    <col min="13" max="14" width="15.109375" bestFit="1" customWidth="1"/>
    <col min="15" max="15" width="15.88671875" bestFit="1" customWidth="1"/>
    <col min="16" max="16" width="23.21875" customWidth="1"/>
    <col min="17" max="17" width="15.109375" customWidth="1"/>
    <col min="18" max="21" width="11.109375" bestFit="1" customWidth="1"/>
    <col min="22" max="22" width="11.33203125" bestFit="1" customWidth="1"/>
    <col min="23" max="23" width="20.33203125" bestFit="1" customWidth="1"/>
    <col min="24" max="24" width="19.21875" bestFit="1" customWidth="1"/>
    <col min="25" max="25" width="11.21875" customWidth="1"/>
    <col min="26" max="26" width="20.33203125" bestFit="1" customWidth="1"/>
    <col min="27" max="27" width="19.21875" bestFit="1" customWidth="1"/>
  </cols>
  <sheetData>
    <row r="1" spans="1:37" ht="21" customHeight="1" x14ac:dyDescent="0.3">
      <c r="A1" s="236" t="s">
        <v>154</v>
      </c>
      <c r="B1" s="237"/>
      <c r="C1" s="237"/>
      <c r="D1" s="237"/>
      <c r="E1" s="237"/>
      <c r="F1" s="237"/>
      <c r="G1" s="237"/>
      <c r="H1" s="237"/>
      <c r="I1" s="238"/>
    </row>
    <row r="2" spans="1:37" x14ac:dyDescent="0.3">
      <c r="A2" s="239" t="s">
        <v>155</v>
      </c>
      <c r="B2" s="240"/>
      <c r="C2" s="240"/>
      <c r="D2" s="240"/>
      <c r="E2" s="240"/>
      <c r="F2" s="240"/>
      <c r="G2" s="240"/>
      <c r="H2" s="240"/>
      <c r="I2" s="241"/>
    </row>
    <row r="3" spans="1:37" x14ac:dyDescent="0.3">
      <c r="A3" s="239" t="s">
        <v>156</v>
      </c>
      <c r="B3" s="240"/>
      <c r="C3" s="240"/>
      <c r="D3" s="240"/>
      <c r="E3" s="240"/>
      <c r="F3" s="240"/>
      <c r="G3" s="240"/>
      <c r="H3" s="240"/>
      <c r="I3" s="241"/>
    </row>
    <row r="4" spans="1:37" x14ac:dyDescent="0.3">
      <c r="A4" s="242" t="s">
        <v>161</v>
      </c>
      <c r="B4" s="243"/>
      <c r="C4" s="243"/>
      <c r="D4" s="243"/>
      <c r="E4" s="243"/>
      <c r="F4" s="243"/>
      <c r="G4" s="243"/>
      <c r="H4" s="243"/>
      <c r="I4" s="244"/>
    </row>
    <row r="5" spans="1:37" ht="14.4" customHeight="1" x14ac:dyDescent="0.3">
      <c r="A5" s="239" t="s">
        <v>162</v>
      </c>
      <c r="B5" s="240"/>
      <c r="C5" s="240"/>
      <c r="D5" s="240"/>
      <c r="E5" s="240"/>
      <c r="F5" s="240"/>
      <c r="G5" s="240"/>
      <c r="H5" s="240"/>
      <c r="I5" s="241"/>
    </row>
    <row r="6" spans="1:37" x14ac:dyDescent="0.3">
      <c r="A6" s="245" t="s">
        <v>163</v>
      </c>
      <c r="B6" s="246"/>
      <c r="C6" s="246"/>
      <c r="D6" s="246"/>
      <c r="E6" s="246"/>
      <c r="F6" s="246"/>
      <c r="G6" s="246"/>
      <c r="H6" s="246"/>
      <c r="I6" s="247"/>
    </row>
    <row r="7" spans="1:37" x14ac:dyDescent="0.3">
      <c r="A7" s="239" t="s">
        <v>164</v>
      </c>
      <c r="B7" s="240"/>
      <c r="C7" s="240"/>
      <c r="D7" s="240"/>
      <c r="E7" s="240"/>
      <c r="F7" s="240"/>
      <c r="G7" s="240"/>
      <c r="H7" s="240"/>
      <c r="I7" s="241"/>
    </row>
    <row r="8" spans="1:37" x14ac:dyDescent="0.3">
      <c r="A8" s="239" t="s">
        <v>182</v>
      </c>
      <c r="B8" s="240"/>
      <c r="C8" s="240"/>
      <c r="D8" s="240"/>
      <c r="E8" s="240"/>
      <c r="F8" s="240"/>
      <c r="G8" s="240"/>
      <c r="H8" s="240"/>
      <c r="I8" s="241"/>
    </row>
    <row r="9" spans="1:37" x14ac:dyDescent="0.3">
      <c r="A9" s="245" t="s">
        <v>184</v>
      </c>
      <c r="B9" s="246"/>
      <c r="C9" s="246"/>
      <c r="D9" s="246"/>
      <c r="E9" s="246"/>
      <c r="F9" s="246"/>
      <c r="G9" s="246"/>
      <c r="H9" s="246"/>
      <c r="I9" s="247"/>
    </row>
    <row r="10" spans="1:37" ht="15" thickBot="1" x14ac:dyDescent="0.35">
      <c r="A10" s="233"/>
      <c r="B10" s="234"/>
      <c r="C10" s="234"/>
      <c r="D10" s="234"/>
      <c r="E10" s="234"/>
      <c r="F10" s="234"/>
      <c r="G10" s="234"/>
      <c r="H10" s="234"/>
      <c r="I10" s="235"/>
    </row>
    <row r="11" spans="1:37" ht="15" thickBot="1" x14ac:dyDescent="0.35">
      <c r="A11" s="114"/>
      <c r="B11" s="114"/>
      <c r="C11" s="114"/>
      <c r="D11" s="114"/>
      <c r="E11" s="114"/>
      <c r="F11" s="114"/>
      <c r="G11" s="114"/>
      <c r="H11" s="114"/>
      <c r="I11" s="114"/>
    </row>
    <row r="12" spans="1:37" x14ac:dyDescent="0.3">
      <c r="A12" s="143"/>
      <c r="B12" s="144"/>
      <c r="C12" s="223" t="s">
        <v>186</v>
      </c>
      <c r="D12" s="224"/>
      <c r="E12" s="224"/>
      <c r="F12" s="224"/>
      <c r="G12" s="224"/>
      <c r="H12" s="224"/>
      <c r="I12" s="224"/>
      <c r="J12" s="224"/>
      <c r="K12" s="224"/>
      <c r="L12" s="225"/>
      <c r="M12" s="83"/>
      <c r="N12" s="83"/>
      <c r="O12" s="83"/>
      <c r="P12" s="83"/>
      <c r="Q12" s="84"/>
      <c r="S12" s="82"/>
      <c r="T12" s="83"/>
      <c r="U12" s="83"/>
      <c r="V12" s="83"/>
      <c r="W12" s="217" t="s">
        <v>185</v>
      </c>
      <c r="X12" s="218"/>
      <c r="Y12" s="218"/>
      <c r="Z12" s="218"/>
      <c r="AA12" s="218"/>
      <c r="AB12" s="218"/>
      <c r="AC12" s="218"/>
      <c r="AD12" s="218"/>
      <c r="AE12" s="218"/>
      <c r="AF12" s="218"/>
      <c r="AG12" s="219"/>
      <c r="AH12" s="83"/>
      <c r="AI12" s="83"/>
      <c r="AJ12" s="83"/>
      <c r="AK12" s="84"/>
    </row>
    <row r="13" spans="1:37" ht="15" thickBot="1" x14ac:dyDescent="0.35">
      <c r="A13" s="137"/>
      <c r="B13" s="114"/>
      <c r="C13" s="226"/>
      <c r="D13" s="227"/>
      <c r="E13" s="227"/>
      <c r="F13" s="227"/>
      <c r="G13" s="227"/>
      <c r="H13" s="227"/>
      <c r="I13" s="227"/>
      <c r="J13" s="227"/>
      <c r="K13" s="227"/>
      <c r="L13" s="228"/>
      <c r="Q13" s="14"/>
      <c r="S13" s="30"/>
      <c r="W13" s="220"/>
      <c r="X13" s="221"/>
      <c r="Y13" s="221"/>
      <c r="Z13" s="221"/>
      <c r="AA13" s="221"/>
      <c r="AB13" s="221"/>
      <c r="AC13" s="221"/>
      <c r="AD13" s="221"/>
      <c r="AE13" s="221"/>
      <c r="AF13" s="221"/>
      <c r="AG13" s="222"/>
      <c r="AK13" s="14"/>
    </row>
    <row r="14" spans="1:37" x14ac:dyDescent="0.3">
      <c r="A14" s="137"/>
      <c r="B14" s="114"/>
      <c r="C14" s="114"/>
      <c r="D14" s="114"/>
      <c r="E14" s="114"/>
      <c r="F14" s="114"/>
      <c r="G14" s="114"/>
      <c r="H14" s="114"/>
      <c r="I14" s="114"/>
      <c r="Q14" s="14"/>
      <c r="S14" s="30"/>
      <c r="AK14" s="14"/>
    </row>
    <row r="15" spans="1:37" x14ac:dyDescent="0.3">
      <c r="A15" s="30"/>
      <c r="Q15" s="14"/>
      <c r="S15" s="30"/>
      <c r="AK15" s="14"/>
    </row>
    <row r="16" spans="1:37" ht="19.8" x14ac:dyDescent="0.4">
      <c r="A16" s="248" t="s">
        <v>159</v>
      </c>
      <c r="B16" s="249"/>
      <c r="C16" s="249"/>
      <c r="E16" s="188" t="s">
        <v>181</v>
      </c>
      <c r="F16" s="188"/>
      <c r="H16" s="250" t="s">
        <v>172</v>
      </c>
      <c r="I16" s="251"/>
      <c r="J16" s="251"/>
      <c r="K16" s="251"/>
      <c r="L16" s="188" t="s">
        <v>175</v>
      </c>
      <c r="M16" s="188"/>
      <c r="N16" s="188"/>
      <c r="O16" s="188"/>
      <c r="P16" s="29"/>
      <c r="Q16" s="145"/>
      <c r="S16" s="30"/>
      <c r="AK16" s="14"/>
    </row>
    <row r="17" spans="1:37" x14ac:dyDescent="0.3">
      <c r="A17" s="146" t="s">
        <v>157</v>
      </c>
      <c r="B17" s="97" t="s">
        <v>158</v>
      </c>
      <c r="C17" s="97" t="s">
        <v>165</v>
      </c>
      <c r="E17" s="38" t="s">
        <v>166</v>
      </c>
      <c r="F17" s="16" t="s">
        <v>189</v>
      </c>
      <c r="H17" s="117" t="s">
        <v>97</v>
      </c>
      <c r="I17" s="16" t="s">
        <v>173</v>
      </c>
      <c r="J17" s="16" t="s">
        <v>171</v>
      </c>
      <c r="K17" s="119" t="s">
        <v>169</v>
      </c>
      <c r="L17" s="117" t="s">
        <v>174</v>
      </c>
      <c r="M17" s="16" t="s">
        <v>176</v>
      </c>
      <c r="N17" s="16" t="s">
        <v>171</v>
      </c>
      <c r="O17" s="16" t="s">
        <v>169</v>
      </c>
      <c r="P17" s="29"/>
      <c r="Q17" s="145"/>
      <c r="S17" s="30"/>
      <c r="AK17" s="14"/>
    </row>
    <row r="18" spans="1:37" x14ac:dyDescent="0.3">
      <c r="A18" s="147">
        <v>1</v>
      </c>
      <c r="B18" s="26">
        <v>450</v>
      </c>
      <c r="C18" s="18">
        <v>45</v>
      </c>
      <c r="E18" s="17" t="s">
        <v>167</v>
      </c>
      <c r="F18" s="18">
        <v>-0.35460000000000003</v>
      </c>
      <c r="H18" s="118">
        <v>450</v>
      </c>
      <c r="I18" s="115">
        <f t="shared" ref="I18:I29" si="0">$F$18*H18+$F$19</f>
        <v>51.739999999999981</v>
      </c>
      <c r="J18" s="116">
        <f t="shared" ref="J18:J29" si="1">$F$22*H18^$F$23</f>
        <v>50.861286169919921</v>
      </c>
      <c r="K18" s="120">
        <f t="shared" ref="K18:K29" si="2">$F$26*EXP($F$27*H18)</f>
        <v>49.169792250355329</v>
      </c>
      <c r="L18" s="121">
        <v>45</v>
      </c>
      <c r="M18" s="122">
        <f>ABS(I18-$L18)/$L18</f>
        <v>0.14977777777777734</v>
      </c>
      <c r="N18" s="122">
        <f t="shared" ref="N18:N29" si="3">ABS(J18-$L18)/$L18</f>
        <v>0.13025080377599826</v>
      </c>
      <c r="O18" s="122">
        <f>ABS(K18-$L18)/$L18</f>
        <v>9.2662050007896193E-2</v>
      </c>
      <c r="P18" s="141" t="str">
        <f ca="1">_xlfn.FORMULATEXT(O18)</f>
        <v>=ABS(K18-$L18)/$L18</v>
      </c>
      <c r="Q18" s="148"/>
      <c r="S18" s="30"/>
      <c r="AK18" s="14"/>
    </row>
    <row r="19" spans="1:37" x14ac:dyDescent="0.3">
      <c r="A19" s="147">
        <v>2</v>
      </c>
      <c r="B19" s="26">
        <v>300</v>
      </c>
      <c r="C19" s="18">
        <v>103</v>
      </c>
      <c r="E19" s="17" t="s">
        <v>168</v>
      </c>
      <c r="F19" s="18">
        <v>211.31</v>
      </c>
      <c r="H19" s="118">
        <v>300</v>
      </c>
      <c r="I19" s="115">
        <f t="shared" si="0"/>
        <v>104.92999999999999</v>
      </c>
      <c r="J19" s="116">
        <f t="shared" si="1"/>
        <v>110.2476803704582</v>
      </c>
      <c r="K19" s="120">
        <f t="shared" si="2"/>
        <v>104.09245101084399</v>
      </c>
      <c r="L19" s="121">
        <v>103</v>
      </c>
      <c r="M19" s="122">
        <f t="shared" ref="M19:M29" si="4">ABS(I19-$L19)/$L19</f>
        <v>1.8737864077669832E-2</v>
      </c>
      <c r="N19" s="122">
        <f t="shared" si="3"/>
        <v>7.0365828839399985E-2</v>
      </c>
      <c r="O19" s="122">
        <f t="shared" ref="O19:O29" si="5">ABS(K19-$L19)/$L19</f>
        <v>1.0606320493630948E-2</v>
      </c>
      <c r="P19" s="141"/>
      <c r="Q19" s="148"/>
      <c r="S19" s="30"/>
      <c r="AK19" s="14"/>
    </row>
    <row r="20" spans="1:37" x14ac:dyDescent="0.3">
      <c r="A20" s="147">
        <v>3</v>
      </c>
      <c r="B20" s="26">
        <v>440</v>
      </c>
      <c r="C20" s="18">
        <v>49</v>
      </c>
      <c r="E20" s="18"/>
      <c r="F20" s="18"/>
      <c r="H20" s="118">
        <v>440</v>
      </c>
      <c r="I20" s="115">
        <f t="shared" si="0"/>
        <v>55.286000000000001</v>
      </c>
      <c r="J20" s="116">
        <f t="shared" si="1"/>
        <v>53.089557787712614</v>
      </c>
      <c r="K20" s="120">
        <f t="shared" si="2"/>
        <v>51.69078140761237</v>
      </c>
      <c r="L20" s="121">
        <v>49</v>
      </c>
      <c r="M20" s="122">
        <f t="shared" si="4"/>
        <v>0.12828571428571431</v>
      </c>
      <c r="N20" s="122">
        <f t="shared" si="3"/>
        <v>8.3460363014543154E-2</v>
      </c>
      <c r="O20" s="122">
        <f t="shared" si="5"/>
        <v>5.4913906277803466E-2</v>
      </c>
      <c r="P20" s="141"/>
      <c r="Q20" s="148"/>
      <c r="S20" s="30"/>
      <c r="AK20" s="14"/>
    </row>
    <row r="21" spans="1:37" x14ac:dyDescent="0.3">
      <c r="A21" s="147">
        <v>4</v>
      </c>
      <c r="B21" s="26">
        <v>360</v>
      </c>
      <c r="C21" s="18">
        <v>86</v>
      </c>
      <c r="E21" s="38" t="s">
        <v>171</v>
      </c>
      <c r="F21" s="16" t="s">
        <v>188</v>
      </c>
      <c r="H21" s="118">
        <v>360</v>
      </c>
      <c r="I21" s="115">
        <f t="shared" si="0"/>
        <v>83.653999999999996</v>
      </c>
      <c r="J21" s="116">
        <f t="shared" si="1"/>
        <v>77.85592038588905</v>
      </c>
      <c r="K21" s="120">
        <f t="shared" si="2"/>
        <v>77.113584344252331</v>
      </c>
      <c r="L21" s="121">
        <v>86</v>
      </c>
      <c r="M21" s="122">
        <f t="shared" si="4"/>
        <v>2.7279069767441901E-2</v>
      </c>
      <c r="N21" s="122">
        <f t="shared" si="3"/>
        <v>9.4698600164080812E-2</v>
      </c>
      <c r="O21" s="122">
        <f t="shared" si="5"/>
        <v>0.10333041460171709</v>
      </c>
      <c r="P21" s="141"/>
      <c r="Q21" s="148"/>
      <c r="S21" s="30"/>
      <c r="AK21" s="14"/>
    </row>
    <row r="22" spans="1:37" x14ac:dyDescent="0.3">
      <c r="A22" s="147">
        <v>5</v>
      </c>
      <c r="B22" s="26">
        <v>290</v>
      </c>
      <c r="C22" s="18">
        <v>125</v>
      </c>
      <c r="E22" s="17" t="s">
        <v>170</v>
      </c>
      <c r="F22" s="18">
        <v>5871064</v>
      </c>
      <c r="H22" s="118">
        <v>290</v>
      </c>
      <c r="I22" s="115">
        <f t="shared" si="0"/>
        <v>108.476</v>
      </c>
      <c r="J22" s="116">
        <f t="shared" si="1"/>
        <v>117.61465381582187</v>
      </c>
      <c r="K22" s="120">
        <f t="shared" si="2"/>
        <v>109.42938509863754</v>
      </c>
      <c r="L22" s="121">
        <v>125</v>
      </c>
      <c r="M22" s="122">
        <f t="shared" si="4"/>
        <v>0.132192</v>
      </c>
      <c r="N22" s="122">
        <f t="shared" si="3"/>
        <v>5.9082769473425063E-2</v>
      </c>
      <c r="O22" s="122">
        <f t="shared" si="5"/>
        <v>0.12456491921089968</v>
      </c>
      <c r="P22" s="141"/>
      <c r="Q22" s="148"/>
      <c r="S22" s="30"/>
      <c r="AK22" s="14"/>
    </row>
    <row r="23" spans="1:37" x14ac:dyDescent="0.3">
      <c r="A23" s="147">
        <v>6</v>
      </c>
      <c r="B23" s="26">
        <v>450</v>
      </c>
      <c r="C23" s="18">
        <v>52</v>
      </c>
      <c r="E23" s="17" t="s">
        <v>168</v>
      </c>
      <c r="F23" s="18">
        <v>-1.9079999999999999</v>
      </c>
      <c r="H23" s="118">
        <v>450</v>
      </c>
      <c r="I23" s="115">
        <f t="shared" si="0"/>
        <v>51.739999999999981</v>
      </c>
      <c r="J23" s="116">
        <f t="shared" si="1"/>
        <v>50.861286169919921</v>
      </c>
      <c r="K23" s="120">
        <f t="shared" si="2"/>
        <v>49.169792250355329</v>
      </c>
      <c r="L23" s="121">
        <v>52</v>
      </c>
      <c r="M23" s="122">
        <f t="shared" si="4"/>
        <v>5.0000000000003713E-3</v>
      </c>
      <c r="N23" s="122">
        <f t="shared" si="3"/>
        <v>2.1898342886155355E-2</v>
      </c>
      <c r="O23" s="122">
        <f t="shared" si="5"/>
        <v>5.4427072108551369E-2</v>
      </c>
      <c r="P23" s="141"/>
      <c r="Q23" s="148"/>
      <c r="S23" s="30"/>
      <c r="AK23" s="14"/>
    </row>
    <row r="24" spans="1:37" x14ac:dyDescent="0.3">
      <c r="A24" s="147">
        <v>7</v>
      </c>
      <c r="B24" s="26">
        <v>340</v>
      </c>
      <c r="C24" s="18">
        <v>87</v>
      </c>
      <c r="E24" s="18"/>
      <c r="F24" s="18"/>
      <c r="H24" s="118">
        <v>340</v>
      </c>
      <c r="I24" s="115">
        <f t="shared" si="0"/>
        <v>90.745999999999995</v>
      </c>
      <c r="J24" s="116">
        <f t="shared" si="1"/>
        <v>86.827049006961417</v>
      </c>
      <c r="K24" s="120">
        <f t="shared" si="2"/>
        <v>85.223690805841244</v>
      </c>
      <c r="L24" s="121">
        <v>87</v>
      </c>
      <c r="M24" s="122">
        <f t="shared" si="4"/>
        <v>4.3057471264367757E-2</v>
      </c>
      <c r="N24" s="122">
        <f t="shared" si="3"/>
        <v>1.9879424487193459E-3</v>
      </c>
      <c r="O24" s="122">
        <f t="shared" si="5"/>
        <v>2.0417347059296046E-2</v>
      </c>
      <c r="P24" s="141"/>
      <c r="Q24" s="148"/>
      <c r="S24" s="30"/>
      <c r="AK24" s="14"/>
    </row>
    <row r="25" spans="1:37" x14ac:dyDescent="0.3">
      <c r="A25" s="147">
        <v>8</v>
      </c>
      <c r="B25" s="26">
        <v>370</v>
      </c>
      <c r="C25" s="18">
        <v>68</v>
      </c>
      <c r="E25" s="38" t="s">
        <v>169</v>
      </c>
      <c r="F25" s="16" t="s">
        <v>187</v>
      </c>
      <c r="H25" s="118">
        <v>370</v>
      </c>
      <c r="I25" s="115">
        <f t="shared" si="0"/>
        <v>80.108000000000004</v>
      </c>
      <c r="J25" s="116">
        <f t="shared" si="1"/>
        <v>73.890384263545585</v>
      </c>
      <c r="K25" s="120">
        <f t="shared" si="2"/>
        <v>73.352710456970414</v>
      </c>
      <c r="L25" s="121">
        <v>68</v>
      </c>
      <c r="M25" s="122">
        <f t="shared" si="4"/>
        <v>0.17805882352941182</v>
      </c>
      <c r="N25" s="122">
        <f t="shared" si="3"/>
        <v>8.6623297993317416E-2</v>
      </c>
      <c r="O25" s="122">
        <f t="shared" si="5"/>
        <v>7.8716330249564911E-2</v>
      </c>
      <c r="P25" s="141"/>
      <c r="Q25" s="148"/>
      <c r="S25" s="30"/>
      <c r="AK25" s="14"/>
    </row>
    <row r="26" spans="1:37" x14ac:dyDescent="0.3">
      <c r="A26" s="147">
        <v>9</v>
      </c>
      <c r="B26" s="26">
        <v>500</v>
      </c>
      <c r="C26" s="18">
        <v>45</v>
      </c>
      <c r="E26" s="17" t="s">
        <v>170</v>
      </c>
      <c r="F26" s="18">
        <v>466.51</v>
      </c>
      <c r="H26" s="118">
        <v>500</v>
      </c>
      <c r="I26" s="115">
        <f t="shared" si="0"/>
        <v>34.009999999999991</v>
      </c>
      <c r="J26" s="116">
        <f t="shared" si="1"/>
        <v>41.59891911995917</v>
      </c>
      <c r="K26" s="120">
        <f t="shared" si="2"/>
        <v>38.293472708035026</v>
      </c>
      <c r="L26" s="121">
        <v>45</v>
      </c>
      <c r="M26" s="122">
        <f t="shared" si="4"/>
        <v>0.24422222222222242</v>
      </c>
      <c r="N26" s="122">
        <f t="shared" si="3"/>
        <v>7.5579575112018446E-2</v>
      </c>
      <c r="O26" s="122">
        <f t="shared" si="5"/>
        <v>0.14903393982144386</v>
      </c>
      <c r="P26" s="141"/>
      <c r="Q26" s="148"/>
      <c r="S26" s="30"/>
      <c r="AK26" s="14"/>
    </row>
    <row r="27" spans="1:37" x14ac:dyDescent="0.3">
      <c r="A27" s="147">
        <v>10</v>
      </c>
      <c r="B27" s="26">
        <v>490</v>
      </c>
      <c r="C27" s="18">
        <v>44</v>
      </c>
      <c r="E27" s="17" t="s">
        <v>168</v>
      </c>
      <c r="F27" s="18">
        <v>-5.0000000000000001E-3</v>
      </c>
      <c r="H27" s="118">
        <v>490</v>
      </c>
      <c r="I27" s="115">
        <f t="shared" si="0"/>
        <v>37.555999999999983</v>
      </c>
      <c r="J27" s="116">
        <f t="shared" si="1"/>
        <v>43.233728796663705</v>
      </c>
      <c r="K27" s="120">
        <f t="shared" si="2"/>
        <v>40.256821037821332</v>
      </c>
      <c r="L27" s="121">
        <v>44</v>
      </c>
      <c r="M27" s="122">
        <f t="shared" si="4"/>
        <v>0.14645454545454584</v>
      </c>
      <c r="N27" s="122">
        <f t="shared" si="3"/>
        <v>1.7415254621279432E-2</v>
      </c>
      <c r="O27" s="122">
        <f t="shared" si="5"/>
        <v>8.5072249140424272E-2</v>
      </c>
      <c r="P27" s="141"/>
      <c r="Q27" s="148"/>
      <c r="S27" s="30"/>
      <c r="AK27" s="14"/>
    </row>
    <row r="28" spans="1:37" x14ac:dyDescent="0.3">
      <c r="A28" s="147">
        <v>11</v>
      </c>
      <c r="B28" s="26">
        <v>430</v>
      </c>
      <c r="C28" s="18">
        <v>58</v>
      </c>
      <c r="H28" s="118">
        <v>430</v>
      </c>
      <c r="I28" s="115">
        <f t="shared" si="0"/>
        <v>58.831999999999994</v>
      </c>
      <c r="J28" s="116">
        <f t="shared" si="1"/>
        <v>55.470106712335337</v>
      </c>
      <c r="K28" s="120">
        <f t="shared" si="2"/>
        <v>54.341024442914069</v>
      </c>
      <c r="L28" s="121">
        <v>58</v>
      </c>
      <c r="M28" s="122">
        <f t="shared" si="4"/>
        <v>1.4344827586206787E-2</v>
      </c>
      <c r="N28" s="122">
        <f t="shared" si="3"/>
        <v>4.3618849787321778E-2</v>
      </c>
      <c r="O28" s="122">
        <f t="shared" si="5"/>
        <v>6.3085785466998806E-2</v>
      </c>
      <c r="P28" s="141"/>
      <c r="Q28" s="148"/>
      <c r="S28" s="30"/>
      <c r="AK28" s="14"/>
    </row>
    <row r="29" spans="1:37" x14ac:dyDescent="0.3">
      <c r="A29" s="147">
        <v>12</v>
      </c>
      <c r="B29" s="26">
        <v>390</v>
      </c>
      <c r="C29" s="18">
        <v>68</v>
      </c>
      <c r="H29" s="118">
        <v>390</v>
      </c>
      <c r="I29" s="115">
        <f t="shared" si="0"/>
        <v>73.015999999999991</v>
      </c>
      <c r="J29" s="116">
        <f t="shared" si="1"/>
        <v>66.829089531318985</v>
      </c>
      <c r="K29" s="120">
        <f t="shared" si="2"/>
        <v>66.372277135824447</v>
      </c>
      <c r="L29" s="121">
        <v>68</v>
      </c>
      <c r="M29" s="122">
        <f t="shared" si="4"/>
        <v>7.3764705882352816E-2</v>
      </c>
      <c r="N29" s="122">
        <f t="shared" si="3"/>
        <v>1.7219271598250221E-2</v>
      </c>
      <c r="O29" s="122">
        <f t="shared" si="5"/>
        <v>2.393710094375813E-2</v>
      </c>
      <c r="P29" s="141"/>
      <c r="Q29" s="148"/>
      <c r="S29" s="30"/>
      <c r="AK29" s="14"/>
    </row>
    <row r="30" spans="1:37" ht="15" thickBot="1" x14ac:dyDescent="0.35">
      <c r="A30" s="30"/>
      <c r="L30" s="154" t="s">
        <v>177</v>
      </c>
      <c r="M30" s="123">
        <f>AVERAGE(M18:M29)</f>
        <v>9.6764585153975916E-2</v>
      </c>
      <c r="N30" s="123">
        <f>AVERAGE(N18:N29)</f>
        <v>5.8516741642875771E-2</v>
      </c>
      <c r="O30" s="123">
        <f>AVERAGE(O18:O29)</f>
        <v>7.17306196151654E-2</v>
      </c>
      <c r="P30" s="142"/>
      <c r="Q30" s="149"/>
      <c r="S30" s="30"/>
      <c r="AK30" s="14"/>
    </row>
    <row r="31" spans="1:37" ht="20.399999999999999" thickBot="1" x14ac:dyDescent="0.45">
      <c r="A31" s="229" t="s">
        <v>180</v>
      </c>
      <c r="B31" s="230"/>
      <c r="C31" s="231"/>
      <c r="Q31" s="14"/>
      <c r="S31" s="30"/>
      <c r="AK31" s="14"/>
    </row>
    <row r="32" spans="1:37" ht="24.6" thickTop="1" thickBot="1" x14ac:dyDescent="0.5">
      <c r="A32" s="19" t="s">
        <v>160</v>
      </c>
      <c r="B32" s="150">
        <v>250</v>
      </c>
      <c r="C32" s="14"/>
      <c r="E32" s="209" t="s">
        <v>87</v>
      </c>
      <c r="F32" s="210"/>
      <c r="H32" s="82"/>
      <c r="I32" s="83"/>
      <c r="J32" s="211" t="s">
        <v>116</v>
      </c>
      <c r="K32" s="212"/>
      <c r="L32" s="212"/>
      <c r="M32" s="212"/>
      <c r="N32" s="212"/>
      <c r="O32" s="212"/>
      <c r="P32" s="213"/>
      <c r="Q32" s="153"/>
      <c r="S32" s="30"/>
      <c r="AK32" s="14"/>
    </row>
    <row r="33" spans="1:37" ht="25.2" customHeight="1" thickBot="1" x14ac:dyDescent="0.35">
      <c r="A33" s="19" t="s">
        <v>178</v>
      </c>
      <c r="B33" s="150">
        <v>400</v>
      </c>
      <c r="C33" s="14"/>
      <c r="E33" s="16" t="s">
        <v>178</v>
      </c>
      <c r="F33" s="16" t="s">
        <v>89</v>
      </c>
      <c r="H33" s="30"/>
      <c r="I33" s="151">
        <f>B39</f>
        <v>955163.26238462282</v>
      </c>
      <c r="J33" s="132">
        <v>250</v>
      </c>
      <c r="K33" s="133">
        <v>300</v>
      </c>
      <c r="L33" s="133">
        <v>350</v>
      </c>
      <c r="M33" s="133">
        <v>400</v>
      </c>
      <c r="N33" s="133">
        <v>450</v>
      </c>
      <c r="O33" s="133">
        <v>500</v>
      </c>
      <c r="P33" s="129">
        <v>550</v>
      </c>
      <c r="Q33" s="128"/>
      <c r="S33" s="30"/>
      <c r="AK33" s="14"/>
    </row>
    <row r="34" spans="1:37" ht="20.399999999999999" customHeight="1" x14ac:dyDescent="0.3">
      <c r="A34" s="19" t="s">
        <v>174</v>
      </c>
      <c r="B34" s="108">
        <f>F22*B33^F23</f>
        <v>63.677550825641511</v>
      </c>
      <c r="C34" s="14" t="str">
        <f ca="1">_xlfn.FORMULATEXT(B34)</f>
        <v>=F22*B33^F23</v>
      </c>
      <c r="E34" s="18"/>
      <c r="F34" s="138">
        <f>B39</f>
        <v>955163.26238462282</v>
      </c>
      <c r="H34" s="214" t="s">
        <v>178</v>
      </c>
      <c r="I34" s="127">
        <v>260</v>
      </c>
      <c r="J34" s="134">
        <f t="dataTable" ref="J34:P98" dt2D="1" dtr="1" r1="B32" r2="B33"/>
        <v>144859.72842847556</v>
      </c>
      <c r="K34" s="135">
        <v>-579438.91371390224</v>
      </c>
      <c r="L34" s="135">
        <v>-1303737.5558562791</v>
      </c>
      <c r="M34" s="135">
        <v>-2028036.1979986569</v>
      </c>
      <c r="N34" s="135">
        <v>-2752334.8401410338</v>
      </c>
      <c r="O34" s="135">
        <v>-3476633.4822834115</v>
      </c>
      <c r="P34" s="124">
        <v>-4200932.1244257884</v>
      </c>
      <c r="Q34" s="125"/>
      <c r="S34" s="30"/>
      <c r="AK34" s="14"/>
    </row>
    <row r="35" spans="1:37" ht="21.6" customHeight="1" x14ac:dyDescent="0.3">
      <c r="A35" s="19" t="s">
        <v>179</v>
      </c>
      <c r="B35" s="108">
        <f>B34*100</f>
        <v>6367.7550825641511</v>
      </c>
      <c r="C35" s="14" t="str">
        <f ca="1">_xlfn.FORMULATEXT(B35)</f>
        <v>=B34*100</v>
      </c>
      <c r="E35" s="27">
        <v>260</v>
      </c>
      <c r="F35" s="27">
        <f t="dataTable" ref="F35:F99" dt2D="0" dtr="0" r1="B33" ca="1"/>
        <v>144859.72842847556</v>
      </c>
      <c r="H35" s="215"/>
      <c r="I35" s="128">
        <v>270</v>
      </c>
      <c r="J35" s="136">
        <v>269590.60184817808</v>
      </c>
      <c r="K35" s="152">
        <v>-404385.90277226688</v>
      </c>
      <c r="L35" s="152">
        <v>-1078362.4073927123</v>
      </c>
      <c r="M35" s="152">
        <v>-1752338.9120131573</v>
      </c>
      <c r="N35" s="152">
        <v>-2426315.4166336022</v>
      </c>
      <c r="O35" s="152">
        <v>-3100291.9212540481</v>
      </c>
      <c r="P35" s="125">
        <v>-3774268.4258744931</v>
      </c>
      <c r="Q35" s="125"/>
      <c r="S35" s="30"/>
      <c r="AK35" s="14"/>
    </row>
    <row r="36" spans="1:37" ht="15" customHeight="1" x14ac:dyDescent="0.3">
      <c r="A36" s="30"/>
      <c r="C36" s="14"/>
      <c r="E36" s="27">
        <v>270</v>
      </c>
      <c r="F36" s="27">
        <v>269590.60184817808</v>
      </c>
      <c r="H36" s="215"/>
      <c r="I36" s="128">
        <v>280</v>
      </c>
      <c r="J36" s="136">
        <v>377277.18719872413</v>
      </c>
      <c r="K36" s="152">
        <v>-251518.12479914958</v>
      </c>
      <c r="L36" s="152">
        <v>-880313.43679702282</v>
      </c>
      <c r="M36" s="152">
        <v>-1509108.7487948965</v>
      </c>
      <c r="N36" s="152">
        <v>-2137904.0607927702</v>
      </c>
      <c r="O36" s="152">
        <v>-2766699.3727906439</v>
      </c>
      <c r="P36" s="125">
        <v>-3395494.6847885177</v>
      </c>
      <c r="Q36" s="125"/>
      <c r="S36" s="30"/>
      <c r="AK36" s="14"/>
    </row>
    <row r="37" spans="1:37" ht="20.399999999999999" customHeight="1" x14ac:dyDescent="0.3">
      <c r="A37" s="19" t="s">
        <v>58</v>
      </c>
      <c r="B37" s="152">
        <f>B32*B35</f>
        <v>1591938.7706410377</v>
      </c>
      <c r="C37" s="14" t="str">
        <f ca="1">_xlfn.FORMULATEXT(B37)</f>
        <v>=B32*B35</v>
      </c>
      <c r="E37" s="27">
        <v>280</v>
      </c>
      <c r="F37" s="27">
        <v>377277.18719872413</v>
      </c>
      <c r="H37" s="215"/>
      <c r="I37" s="128">
        <v>290</v>
      </c>
      <c r="J37" s="136">
        <v>470458.61526328744</v>
      </c>
      <c r="K37" s="152">
        <v>-117614.65381582174</v>
      </c>
      <c r="L37" s="152">
        <v>-705687.9228949314</v>
      </c>
      <c r="M37" s="152">
        <v>-1293761.1919740411</v>
      </c>
      <c r="N37" s="152">
        <v>-1881834.4610531498</v>
      </c>
      <c r="O37" s="152">
        <v>-2469907.7301322594</v>
      </c>
      <c r="P37" s="125">
        <v>-3057980.9992113691</v>
      </c>
      <c r="Q37" s="125"/>
      <c r="S37" s="30"/>
      <c r="AK37" s="14"/>
    </row>
    <row r="38" spans="1:37" ht="22.2" customHeight="1" x14ac:dyDescent="0.3">
      <c r="A38" s="19" t="s">
        <v>82</v>
      </c>
      <c r="B38" s="152">
        <f>B33*B35</f>
        <v>2547102.0330256606</v>
      </c>
      <c r="C38" s="14" t="str">
        <f ca="1">_xlfn.FORMULATEXT(B38)</f>
        <v>=B33*B35</v>
      </c>
      <c r="E38" s="27">
        <v>290</v>
      </c>
      <c r="F38" s="27">
        <v>470458.61526328744</v>
      </c>
      <c r="H38" s="215"/>
      <c r="I38" s="128">
        <v>300</v>
      </c>
      <c r="J38" s="136">
        <v>551238.40185229108</v>
      </c>
      <c r="K38" s="152">
        <v>0</v>
      </c>
      <c r="L38" s="152">
        <v>-551238.40185229108</v>
      </c>
      <c r="M38" s="152">
        <v>-1102476.8037045817</v>
      </c>
      <c r="N38" s="152">
        <v>-1653715.2055568728</v>
      </c>
      <c r="O38" s="152">
        <v>-2204953.6074091638</v>
      </c>
      <c r="P38" s="125">
        <v>-2756192.0092614549</v>
      </c>
      <c r="Q38" s="125"/>
      <c r="S38" s="30"/>
      <c r="AK38" s="14"/>
    </row>
    <row r="39" spans="1:37" ht="26.4" thickBot="1" x14ac:dyDescent="0.55000000000000004">
      <c r="A39" s="155" t="s">
        <v>85</v>
      </c>
      <c r="B39" s="131">
        <f>B38-B37</f>
        <v>955163.26238462282</v>
      </c>
      <c r="C39" s="31" t="str">
        <f ca="1">_xlfn.FORMULATEXT(B39)</f>
        <v>=B38-B37</v>
      </c>
      <c r="E39" s="27">
        <v>300</v>
      </c>
      <c r="F39" s="27">
        <v>551238.40185229108</v>
      </c>
      <c r="H39" s="215"/>
      <c r="I39" s="128">
        <v>310</v>
      </c>
      <c r="J39" s="136">
        <v>621369.53021456813</v>
      </c>
      <c r="K39" s="152">
        <v>103561.58836909477</v>
      </c>
      <c r="L39" s="152">
        <v>-414246.3534763786</v>
      </c>
      <c r="M39" s="152">
        <v>-932054.2953218515</v>
      </c>
      <c r="N39" s="152">
        <v>-1449862.2371673249</v>
      </c>
      <c r="O39" s="152">
        <v>-1967670.1790127978</v>
      </c>
      <c r="P39" s="125">
        <v>-2485478.1208582716</v>
      </c>
      <c r="Q39" s="125"/>
      <c r="S39" s="30"/>
      <c r="Y39" s="232" t="s">
        <v>183</v>
      </c>
      <c r="Z39" s="232"/>
      <c r="AA39" s="232"/>
      <c r="AK39" s="14"/>
    </row>
    <row r="40" spans="1:37" ht="21.6" thickBot="1" x14ac:dyDescent="0.35">
      <c r="A40" s="30"/>
      <c r="E40" s="27">
        <v>310</v>
      </c>
      <c r="F40" s="27">
        <v>621369.53021456813</v>
      </c>
      <c r="H40" s="215"/>
      <c r="I40" s="128">
        <v>320</v>
      </c>
      <c r="J40" s="136">
        <v>682320.93416212313</v>
      </c>
      <c r="K40" s="152">
        <v>194948.83833203511</v>
      </c>
      <c r="L40" s="152">
        <v>-292423.2574980529</v>
      </c>
      <c r="M40" s="152">
        <v>-779795.35332814092</v>
      </c>
      <c r="N40" s="152">
        <v>-1267167.4491582289</v>
      </c>
      <c r="O40" s="152">
        <v>-1754539.5449883174</v>
      </c>
      <c r="P40" s="125">
        <v>-2241911.640818405</v>
      </c>
      <c r="Q40" s="125"/>
      <c r="S40" s="30"/>
      <c r="Y40" s="140" t="s">
        <v>116</v>
      </c>
      <c r="Z40" s="140" t="s">
        <v>178</v>
      </c>
      <c r="AA40" s="140" t="s">
        <v>89</v>
      </c>
      <c r="AK40" s="14"/>
    </row>
    <row r="41" spans="1:37" ht="21.6" thickTop="1" x14ac:dyDescent="0.4">
      <c r="A41" s="30"/>
      <c r="E41" s="27">
        <v>320</v>
      </c>
      <c r="F41" s="27">
        <v>682320.93416212313</v>
      </c>
      <c r="H41" s="215"/>
      <c r="I41" s="128">
        <v>330</v>
      </c>
      <c r="J41" s="136">
        <v>735329.86392835062</v>
      </c>
      <c r="K41" s="152">
        <v>275748.69897313137</v>
      </c>
      <c r="L41" s="152">
        <v>-183832.46598208742</v>
      </c>
      <c r="M41" s="152">
        <v>-643413.63093730668</v>
      </c>
      <c r="N41" s="152">
        <v>-1102994.7958925259</v>
      </c>
      <c r="O41" s="152">
        <v>-1562575.9608477447</v>
      </c>
      <c r="P41" s="125">
        <v>-2022157.125802964</v>
      </c>
      <c r="Q41" s="125"/>
      <c r="S41" s="30"/>
      <c r="Y41" s="156">
        <v>250</v>
      </c>
      <c r="Z41" s="139">
        <f>I61</f>
        <v>530</v>
      </c>
      <c r="AA41" s="139">
        <f>MAX(J34:J98)</f>
        <v>1042213.0017719698</v>
      </c>
      <c r="AG41" s="189"/>
      <c r="AH41" s="189"/>
      <c r="AI41" s="189"/>
      <c r="AK41" s="14"/>
    </row>
    <row r="42" spans="1:37" ht="21" x14ac:dyDescent="0.4">
      <c r="A42" s="30"/>
      <c r="E42" s="27">
        <v>330</v>
      </c>
      <c r="F42" s="27">
        <v>735329.86392835062</v>
      </c>
      <c r="H42" s="215"/>
      <c r="I42" s="128">
        <v>340</v>
      </c>
      <c r="J42" s="136">
        <v>781443.44106265297</v>
      </c>
      <c r="K42" s="152">
        <v>347308.19602784561</v>
      </c>
      <c r="L42" s="152">
        <v>-86827.049006961286</v>
      </c>
      <c r="M42" s="152">
        <v>-520962.29404176865</v>
      </c>
      <c r="N42" s="152">
        <v>-955097.53907657554</v>
      </c>
      <c r="O42" s="152">
        <v>-1389232.7841113824</v>
      </c>
      <c r="P42" s="125">
        <v>-1823368.0291461898</v>
      </c>
      <c r="Q42" s="125"/>
      <c r="S42" s="30"/>
      <c r="Y42" s="156">
        <v>300</v>
      </c>
      <c r="Z42" s="139">
        <f>I71</f>
        <v>630</v>
      </c>
      <c r="AA42" s="139">
        <f>MAX(K34:K98)</f>
        <v>883260.86038993229</v>
      </c>
      <c r="AK42" s="14"/>
    </row>
    <row r="43" spans="1:37" ht="21" x14ac:dyDescent="0.4">
      <c r="A43" s="30"/>
      <c r="E43" s="27">
        <v>340</v>
      </c>
      <c r="F43" s="27">
        <v>781443.44106265297</v>
      </c>
      <c r="H43" s="215"/>
      <c r="I43" s="128">
        <v>350</v>
      </c>
      <c r="J43" s="136">
        <v>821551.86522268457</v>
      </c>
      <c r="K43" s="152">
        <v>410775.93261134205</v>
      </c>
      <c r="L43" s="152">
        <v>0</v>
      </c>
      <c r="M43" s="152">
        <v>-410775.93261134205</v>
      </c>
      <c r="N43" s="152">
        <v>-821551.86522268457</v>
      </c>
      <c r="O43" s="152">
        <v>-1232327.7978340266</v>
      </c>
      <c r="P43" s="125">
        <v>-1643103.7304453691</v>
      </c>
      <c r="Q43" s="125"/>
      <c r="S43" s="30"/>
      <c r="Y43" s="156">
        <v>350</v>
      </c>
      <c r="Z43" s="139">
        <f>I82</f>
        <v>740</v>
      </c>
      <c r="AA43" s="139">
        <f>MAX(L34:L98)</f>
        <v>767869.29271753482</v>
      </c>
      <c r="AK43" s="14"/>
    </row>
    <row r="44" spans="1:37" ht="21" x14ac:dyDescent="0.4">
      <c r="A44" s="30"/>
      <c r="E44" s="27">
        <v>350</v>
      </c>
      <c r="F44" s="27">
        <v>821551.86522268457</v>
      </c>
      <c r="H44" s="215"/>
      <c r="I44" s="128">
        <v>360</v>
      </c>
      <c r="J44" s="136">
        <v>856415.12424477958</v>
      </c>
      <c r="K44" s="152">
        <v>467135.52231533453</v>
      </c>
      <c r="L44" s="152">
        <v>77855.920385889243</v>
      </c>
      <c r="M44" s="152">
        <v>-311423.68154355604</v>
      </c>
      <c r="N44" s="152">
        <v>-700703.28347300133</v>
      </c>
      <c r="O44" s="152">
        <v>-1089982.8854024466</v>
      </c>
      <c r="P44" s="125">
        <v>-1479262.4873318919</v>
      </c>
      <c r="Q44" s="125"/>
      <c r="S44" s="30"/>
      <c r="Y44" s="156">
        <v>400</v>
      </c>
      <c r="Z44" s="139">
        <f>I92</f>
        <v>840</v>
      </c>
      <c r="AA44" s="139">
        <f>MAX(M34:M98)</f>
        <v>680212.50745941058</v>
      </c>
      <c r="AK44" s="14"/>
    </row>
    <row r="45" spans="1:37" ht="21" x14ac:dyDescent="0.4">
      <c r="A45" s="30"/>
      <c r="E45" s="27">
        <v>360</v>
      </c>
      <c r="F45" s="27">
        <v>856415.12424477958</v>
      </c>
      <c r="H45" s="215"/>
      <c r="I45" s="128">
        <v>370</v>
      </c>
      <c r="J45" s="136">
        <v>886684.61116254725</v>
      </c>
      <c r="K45" s="152">
        <v>517232.68984481925</v>
      </c>
      <c r="L45" s="152">
        <v>147780.76852709148</v>
      </c>
      <c r="M45" s="152">
        <v>-221671.15279063676</v>
      </c>
      <c r="N45" s="152">
        <v>-591123.07410836453</v>
      </c>
      <c r="O45" s="152">
        <v>-960574.9954260923</v>
      </c>
      <c r="P45" s="125">
        <v>-1330026.9167438205</v>
      </c>
      <c r="Q45" s="125"/>
      <c r="S45" s="30"/>
      <c r="Y45" s="156">
        <v>450</v>
      </c>
      <c r="Z45" s="139">
        <f>I98</f>
        <v>900</v>
      </c>
      <c r="AA45" s="139">
        <f>MAX(N34:N98)</f>
        <v>609866.27838480077</v>
      </c>
      <c r="AK45" s="14"/>
    </row>
    <row r="46" spans="1:37" ht="21" x14ac:dyDescent="0.4">
      <c r="A46" s="30"/>
      <c r="E46" s="27">
        <v>370</v>
      </c>
      <c r="F46" s="27">
        <v>886684.61116254725</v>
      </c>
      <c r="H46" s="215"/>
      <c r="I46" s="128">
        <v>380</v>
      </c>
      <c r="J46" s="136">
        <v>912920.72098907013</v>
      </c>
      <c r="K46" s="152">
        <v>561797.36676250491</v>
      </c>
      <c r="L46" s="152">
        <v>210674.01253593946</v>
      </c>
      <c r="M46" s="152">
        <v>-140449.341690626</v>
      </c>
      <c r="N46" s="152">
        <v>-491572.69591719145</v>
      </c>
      <c r="O46" s="152">
        <v>-842696.05014375644</v>
      </c>
      <c r="P46" s="125">
        <v>-1193819.4043703219</v>
      </c>
      <c r="Q46" s="125"/>
      <c r="S46" s="30"/>
      <c r="Y46" s="156">
        <v>500</v>
      </c>
      <c r="Z46" s="139">
        <f>I98</f>
        <v>900</v>
      </c>
      <c r="AA46" s="139">
        <f>MAX(O34:O98)</f>
        <v>542103.35856426728</v>
      </c>
      <c r="AK46" s="14"/>
    </row>
    <row r="47" spans="1:37" ht="21" x14ac:dyDescent="0.4">
      <c r="A47" s="30"/>
      <c r="E47" s="27">
        <v>380</v>
      </c>
      <c r="F47" s="27">
        <v>912920.72098907013</v>
      </c>
      <c r="H47" s="215"/>
      <c r="I47" s="128">
        <v>390</v>
      </c>
      <c r="J47" s="136">
        <v>935607.253438466</v>
      </c>
      <c r="K47" s="152">
        <v>601461.80578187108</v>
      </c>
      <c r="L47" s="152">
        <v>267316.35812527593</v>
      </c>
      <c r="M47" s="152">
        <v>-66829.08953131875</v>
      </c>
      <c r="N47" s="152">
        <v>-400974.5371879139</v>
      </c>
      <c r="O47" s="152">
        <v>-735119.98484450858</v>
      </c>
      <c r="P47" s="125">
        <v>-1069265.4325011037</v>
      </c>
      <c r="Q47" s="125"/>
      <c r="S47" s="30"/>
      <c r="Y47" s="156">
        <v>550</v>
      </c>
      <c r="Z47" s="139">
        <f>I98</f>
        <v>900</v>
      </c>
      <c r="AA47" s="139">
        <f>MAX(L48:L48112)</f>
        <v>767869.29271753482</v>
      </c>
      <c r="AK47" s="14"/>
    </row>
    <row r="48" spans="1:37" ht="14.4" customHeight="1" x14ac:dyDescent="0.3">
      <c r="A48" s="30"/>
      <c r="E48" s="27">
        <v>390</v>
      </c>
      <c r="F48" s="27">
        <v>935607.253438466</v>
      </c>
      <c r="H48" s="215"/>
      <c r="I48" s="128">
        <v>400</v>
      </c>
      <c r="J48" s="136">
        <v>955163.26238462282</v>
      </c>
      <c r="K48" s="152">
        <v>636775.50825641514</v>
      </c>
      <c r="L48" s="152">
        <v>318387.75412820745</v>
      </c>
      <c r="M48" s="152">
        <v>0</v>
      </c>
      <c r="N48" s="152">
        <v>-318387.75412820745</v>
      </c>
      <c r="O48" s="152">
        <v>-636775.50825641491</v>
      </c>
      <c r="P48" s="125">
        <v>-955163.26238462236</v>
      </c>
      <c r="Q48" s="125"/>
      <c r="S48" s="30"/>
      <c r="AK48" s="14"/>
    </row>
    <row r="49" spans="1:37" ht="15" thickBot="1" x14ac:dyDescent="0.35">
      <c r="A49" s="30"/>
      <c r="E49" s="27">
        <v>400</v>
      </c>
      <c r="F49" s="27">
        <v>955163.26238462282</v>
      </c>
      <c r="H49" s="215"/>
      <c r="I49" s="128">
        <v>410</v>
      </c>
      <c r="J49" s="136">
        <v>971952.85243747453</v>
      </c>
      <c r="K49" s="152">
        <v>668217.58605076349</v>
      </c>
      <c r="L49" s="152">
        <v>364482.31966405269</v>
      </c>
      <c r="M49" s="152">
        <v>60747.053277342115</v>
      </c>
      <c r="N49" s="152">
        <v>-242988.21310936892</v>
      </c>
      <c r="O49" s="152">
        <v>-546723.4794960795</v>
      </c>
      <c r="P49" s="125">
        <v>-850458.74588279054</v>
      </c>
      <c r="Q49" s="125"/>
      <c r="S49" s="80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31"/>
    </row>
    <row r="50" spans="1:37" x14ac:dyDescent="0.3">
      <c r="A50" s="30"/>
      <c r="E50" s="27">
        <v>410</v>
      </c>
      <c r="F50" s="27">
        <v>971952.85243747453</v>
      </c>
      <c r="H50" s="215"/>
      <c r="I50" s="128">
        <v>420</v>
      </c>
      <c r="J50" s="136">
        <v>986293.31587235699</v>
      </c>
      <c r="K50" s="152">
        <v>696207.04649813427</v>
      </c>
      <c r="L50" s="152">
        <v>406120.77712391177</v>
      </c>
      <c r="M50" s="152">
        <v>116034.50774968928</v>
      </c>
      <c r="N50" s="152">
        <v>-174051.76162453368</v>
      </c>
      <c r="O50" s="152">
        <v>-464138.03099875618</v>
      </c>
      <c r="P50" s="125">
        <v>-754224.30037297867</v>
      </c>
      <c r="Q50" s="125"/>
    </row>
    <row r="51" spans="1:37" x14ac:dyDescent="0.3">
      <c r="A51" s="30"/>
      <c r="E51" s="27">
        <v>420</v>
      </c>
      <c r="F51" s="27">
        <v>986293.31587235699</v>
      </c>
      <c r="H51" s="215"/>
      <c r="I51" s="128">
        <v>430</v>
      </c>
      <c r="J51" s="136">
        <v>998461.92082203622</v>
      </c>
      <c r="K51" s="152">
        <v>721111.38726035948</v>
      </c>
      <c r="L51" s="152">
        <v>443760.85369868297</v>
      </c>
      <c r="M51" s="152">
        <v>166410.32013700623</v>
      </c>
      <c r="N51" s="152">
        <v>-110940.21342467051</v>
      </c>
      <c r="O51" s="152">
        <v>-388290.74698634725</v>
      </c>
      <c r="P51" s="125">
        <v>-665641.28054802399</v>
      </c>
      <c r="Q51" s="125"/>
    </row>
    <row r="52" spans="1:37" x14ac:dyDescent="0.3">
      <c r="A52" s="30"/>
      <c r="E52" s="27">
        <v>430</v>
      </c>
      <c r="F52" s="27">
        <v>998461.92082203622</v>
      </c>
      <c r="H52" s="215"/>
      <c r="I52" s="128">
        <v>440</v>
      </c>
      <c r="J52" s="136">
        <v>1008701.5979665397</v>
      </c>
      <c r="K52" s="152">
        <v>743253.80902797659</v>
      </c>
      <c r="L52" s="152">
        <v>477806.02008941351</v>
      </c>
      <c r="M52" s="152">
        <v>212358.23115085065</v>
      </c>
      <c r="N52" s="152">
        <v>-53089.557787712663</v>
      </c>
      <c r="O52" s="152">
        <v>-318537.34672627551</v>
      </c>
      <c r="P52" s="125">
        <v>-583985.13566483883</v>
      </c>
      <c r="Q52" s="125"/>
    </row>
    <row r="53" spans="1:37" x14ac:dyDescent="0.3">
      <c r="A53" s="30"/>
      <c r="E53" s="27">
        <v>440</v>
      </c>
      <c r="F53" s="27">
        <v>1008701.5979665397</v>
      </c>
      <c r="H53" s="215"/>
      <c r="I53" s="128">
        <v>450</v>
      </c>
      <c r="J53" s="136">
        <v>1017225.7233983984</v>
      </c>
      <c r="K53" s="152">
        <v>762919.29254879872</v>
      </c>
      <c r="L53" s="152">
        <v>508612.86169919907</v>
      </c>
      <c r="M53" s="152">
        <v>254306.43084959942</v>
      </c>
      <c r="N53" s="152">
        <v>0</v>
      </c>
      <c r="O53" s="152">
        <v>-254306.43084959965</v>
      </c>
      <c r="P53" s="125">
        <v>-508612.8616991993</v>
      </c>
      <c r="Q53" s="125"/>
    </row>
    <row r="54" spans="1:37" x14ac:dyDescent="0.3">
      <c r="A54" s="30"/>
      <c r="E54" s="27">
        <v>450</v>
      </c>
      <c r="F54" s="27">
        <v>1017225.7233983984</v>
      </c>
      <c r="H54" s="215"/>
      <c r="I54" s="128">
        <v>460</v>
      </c>
      <c r="J54" s="136">
        <v>1024222.1565401531</v>
      </c>
      <c r="K54" s="152">
        <v>780359.73831630708</v>
      </c>
      <c r="L54" s="152">
        <v>536497.3200924613</v>
      </c>
      <c r="M54" s="152">
        <v>292634.9018686153</v>
      </c>
      <c r="N54" s="152">
        <v>48772.483644769527</v>
      </c>
      <c r="O54" s="152">
        <v>-195089.93457907671</v>
      </c>
      <c r="P54" s="125">
        <v>-438952.35280292248</v>
      </c>
      <c r="Q54" s="125"/>
    </row>
    <row r="55" spans="1:37" x14ac:dyDescent="0.3">
      <c r="A55" s="30"/>
      <c r="E55" s="27">
        <v>460</v>
      </c>
      <c r="F55" s="27">
        <v>1024222.1565401531</v>
      </c>
      <c r="H55" s="215"/>
      <c r="I55" s="128">
        <v>470</v>
      </c>
      <c r="J55" s="136">
        <v>1029856.6614397548</v>
      </c>
      <c r="K55" s="152">
        <v>795798.32929435605</v>
      </c>
      <c r="L55" s="152">
        <v>561739.9971489571</v>
      </c>
      <c r="M55" s="152">
        <v>327681.66500355839</v>
      </c>
      <c r="N55" s="152">
        <v>93623.332858159672</v>
      </c>
      <c r="O55" s="152">
        <v>-140434.99928723928</v>
      </c>
      <c r="P55" s="125">
        <v>-374493.33143263776</v>
      </c>
      <c r="Q55" s="125"/>
    </row>
    <row r="56" spans="1:37" x14ac:dyDescent="0.3">
      <c r="A56" s="30"/>
      <c r="E56" s="27">
        <v>470</v>
      </c>
      <c r="F56" s="27">
        <v>1029856.6614397548</v>
      </c>
      <c r="H56" s="215"/>
      <c r="I56" s="128">
        <v>480</v>
      </c>
      <c r="J56" s="136">
        <v>1034275.8155834542</v>
      </c>
      <c r="K56" s="152">
        <v>809433.24697835557</v>
      </c>
      <c r="L56" s="152">
        <v>584590.67837325693</v>
      </c>
      <c r="M56" s="152">
        <v>359748.10976815806</v>
      </c>
      <c r="N56" s="152">
        <v>134905.54116305942</v>
      </c>
      <c r="O56" s="152">
        <v>-89937.027442039456</v>
      </c>
      <c r="P56" s="125">
        <v>-314779.59604713786</v>
      </c>
      <c r="Q56" s="125"/>
    </row>
    <row r="57" spans="1:37" x14ac:dyDescent="0.3">
      <c r="A57" s="30"/>
      <c r="E57" s="27">
        <v>480</v>
      </c>
      <c r="F57" s="27">
        <v>1034275.8155834542</v>
      </c>
      <c r="H57" s="215"/>
      <c r="I57" s="128">
        <v>490</v>
      </c>
      <c r="J57" s="136">
        <v>1037609.4911199291</v>
      </c>
      <c r="K57" s="152">
        <v>821440.84713661065</v>
      </c>
      <c r="L57" s="152">
        <v>605272.20315329218</v>
      </c>
      <c r="M57" s="152">
        <v>389103.55916997371</v>
      </c>
      <c r="N57" s="152">
        <v>172934.91518665501</v>
      </c>
      <c r="O57" s="152">
        <v>-43233.728796663694</v>
      </c>
      <c r="P57" s="125">
        <v>-259402.37277998216</v>
      </c>
      <c r="Q57" s="125"/>
    </row>
    <row r="58" spans="1:37" x14ac:dyDescent="0.3">
      <c r="A58" s="30"/>
      <c r="E58" s="27">
        <v>490</v>
      </c>
      <c r="F58" s="27">
        <v>1037609.4911199291</v>
      </c>
      <c r="H58" s="215"/>
      <c r="I58" s="128">
        <v>500</v>
      </c>
      <c r="J58" s="136">
        <v>1039972.9779989794</v>
      </c>
      <c r="K58" s="152">
        <v>831978.3823991837</v>
      </c>
      <c r="L58" s="152">
        <v>623983.78679938777</v>
      </c>
      <c r="M58" s="152">
        <v>415989.19119959185</v>
      </c>
      <c r="N58" s="152">
        <v>207994.59559979592</v>
      </c>
      <c r="O58" s="152">
        <v>0</v>
      </c>
      <c r="P58" s="125">
        <v>-207994.59559979569</v>
      </c>
      <c r="Q58" s="125"/>
    </row>
    <row r="59" spans="1:37" x14ac:dyDescent="0.3">
      <c r="A59" s="30"/>
      <c r="E59" s="27">
        <v>500</v>
      </c>
      <c r="F59" s="27">
        <v>1039972.9779989794</v>
      </c>
      <c r="H59" s="215"/>
      <c r="I59" s="128">
        <v>510</v>
      </c>
      <c r="J59" s="136">
        <v>1041468.8061629091</v>
      </c>
      <c r="K59" s="152">
        <v>841186.34343927284</v>
      </c>
      <c r="L59" s="152">
        <v>640903.8807156363</v>
      </c>
      <c r="M59" s="152">
        <v>440621.417992</v>
      </c>
      <c r="N59" s="152">
        <v>240338.9552683637</v>
      </c>
      <c r="O59" s="152">
        <v>40056.4925447274</v>
      </c>
      <c r="P59" s="125">
        <v>-160225.97017890913</v>
      </c>
      <c r="Q59" s="125"/>
    </row>
    <row r="60" spans="1:37" x14ac:dyDescent="0.3">
      <c r="A60" s="30"/>
      <c r="E60" s="27">
        <v>510</v>
      </c>
      <c r="F60" s="27">
        <v>1041468.8061629091</v>
      </c>
      <c r="H60" s="215"/>
      <c r="I60" s="128">
        <v>520</v>
      </c>
      <c r="J60" s="136">
        <v>1042188.3139489595</v>
      </c>
      <c r="K60" s="152">
        <v>849190.47803248558</v>
      </c>
      <c r="L60" s="152">
        <v>656192.64211601159</v>
      </c>
      <c r="M60" s="152">
        <v>463194.80619953759</v>
      </c>
      <c r="N60" s="152">
        <v>270196.97028306359</v>
      </c>
      <c r="O60" s="152">
        <v>77199.134366589598</v>
      </c>
      <c r="P60" s="125">
        <v>-115798.70154988416</v>
      </c>
      <c r="Q60" s="125"/>
    </row>
    <row r="61" spans="1:37" x14ac:dyDescent="0.3">
      <c r="A61" s="30"/>
      <c r="E61" s="27">
        <v>520</v>
      </c>
      <c r="F61" s="27">
        <v>1042188.3139489595</v>
      </c>
      <c r="H61" s="215"/>
      <c r="I61" s="128">
        <v>530</v>
      </c>
      <c r="J61" s="136">
        <v>1042213.0017719698</v>
      </c>
      <c r="K61" s="152">
        <v>856103.53716983227</v>
      </c>
      <c r="L61" s="152">
        <v>669994.07256769482</v>
      </c>
      <c r="M61" s="152">
        <v>483884.60796555737</v>
      </c>
      <c r="N61" s="152">
        <v>297775.14336341992</v>
      </c>
      <c r="O61" s="152">
        <v>111665.67876128247</v>
      </c>
      <c r="P61" s="125">
        <v>-74443.78584085498</v>
      </c>
      <c r="Q61" s="125"/>
    </row>
    <row r="62" spans="1:37" x14ac:dyDescent="0.3">
      <c r="A62" s="30"/>
      <c r="E62" s="27">
        <v>530</v>
      </c>
      <c r="F62" s="27">
        <v>1042213.0017719698</v>
      </c>
      <c r="H62" s="215"/>
      <c r="I62" s="128">
        <v>540</v>
      </c>
      <c r="J62" s="136">
        <v>1041615.7035724644</v>
      </c>
      <c r="K62" s="152">
        <v>862026.78916341881</v>
      </c>
      <c r="L62" s="152">
        <v>682437.87475437322</v>
      </c>
      <c r="M62" s="152">
        <v>502848.96034532762</v>
      </c>
      <c r="N62" s="152">
        <v>323260.04593628203</v>
      </c>
      <c r="O62" s="152">
        <v>143671.13152723666</v>
      </c>
      <c r="P62" s="125">
        <v>-35917.782881808933</v>
      </c>
      <c r="Q62" s="125"/>
    </row>
    <row r="63" spans="1:37" x14ac:dyDescent="0.3">
      <c r="A63" s="30"/>
      <c r="E63" s="27">
        <v>540</v>
      </c>
      <c r="F63" s="27">
        <v>1041615.7035724644</v>
      </c>
      <c r="H63" s="215"/>
      <c r="I63" s="128">
        <v>550</v>
      </c>
      <c r="J63" s="136">
        <v>1040461.6031350964</v>
      </c>
      <c r="K63" s="152">
        <v>867051.33594591368</v>
      </c>
      <c r="L63" s="152">
        <v>693641.06875673099</v>
      </c>
      <c r="M63" s="152">
        <v>520230.80156754819</v>
      </c>
      <c r="N63" s="152">
        <v>346820.53437836538</v>
      </c>
      <c r="O63" s="152">
        <v>173410.26718918281</v>
      </c>
      <c r="P63" s="125">
        <v>0</v>
      </c>
      <c r="Q63" s="125"/>
    </row>
    <row r="64" spans="1:37" x14ac:dyDescent="0.3">
      <c r="A64" s="30"/>
      <c r="E64" s="27">
        <v>550</v>
      </c>
      <c r="F64" s="27">
        <v>1040461.6031350964</v>
      </c>
      <c r="H64" s="215"/>
      <c r="I64" s="128">
        <v>560</v>
      </c>
      <c r="J64" s="136">
        <v>1038809.1179690239</v>
      </c>
      <c r="K64" s="152">
        <v>871259.26023208455</v>
      </c>
      <c r="L64" s="152">
        <v>703709.4024951451</v>
      </c>
      <c r="M64" s="152">
        <v>536159.544758206</v>
      </c>
      <c r="N64" s="152">
        <v>368609.68702126667</v>
      </c>
      <c r="O64" s="152">
        <v>201059.82928432734</v>
      </c>
      <c r="P64" s="125">
        <v>33509.971547388006</v>
      </c>
      <c r="Q64" s="125"/>
    </row>
    <row r="65" spans="1:17" x14ac:dyDescent="0.3">
      <c r="A65" s="30"/>
      <c r="E65" s="27">
        <v>560</v>
      </c>
      <c r="F65" s="27">
        <v>1038809.1179690239</v>
      </c>
      <c r="H65" s="215"/>
      <c r="I65" s="128">
        <v>570</v>
      </c>
      <c r="J65" s="136">
        <v>1036710.669808225</v>
      </c>
      <c r="K65" s="152">
        <v>874724.6276506898</v>
      </c>
      <c r="L65" s="152">
        <v>712738.58549315459</v>
      </c>
      <c r="M65" s="152">
        <v>550752.54333561938</v>
      </c>
      <c r="N65" s="152">
        <v>388766.50117808441</v>
      </c>
      <c r="O65" s="152">
        <v>226780.4590205492</v>
      </c>
      <c r="P65" s="125">
        <v>64794.41686301399</v>
      </c>
      <c r="Q65" s="125"/>
    </row>
    <row r="66" spans="1:17" x14ac:dyDescent="0.3">
      <c r="A66" s="30"/>
      <c r="E66" s="27">
        <v>570</v>
      </c>
      <c r="F66" s="27">
        <v>1036710.669808225</v>
      </c>
      <c r="H66" s="215"/>
      <c r="I66" s="128">
        <v>580</v>
      </c>
      <c r="J66" s="136">
        <v>1034213.3577876764</v>
      </c>
      <c r="K66" s="152">
        <v>877514.36418348295</v>
      </c>
      <c r="L66" s="152">
        <v>720815.37057928951</v>
      </c>
      <c r="M66" s="152">
        <v>564116.37697509606</v>
      </c>
      <c r="N66" s="152">
        <v>407417.38337090285</v>
      </c>
      <c r="O66" s="152">
        <v>250718.38976670941</v>
      </c>
      <c r="P66" s="125">
        <v>94019.396162515972</v>
      </c>
      <c r="Q66" s="125"/>
    </row>
    <row r="67" spans="1:17" x14ac:dyDescent="0.3">
      <c r="A67" s="30"/>
      <c r="E67" s="27">
        <v>580</v>
      </c>
      <c r="F67" s="27">
        <v>1034213.3577876764</v>
      </c>
      <c r="H67" s="215"/>
      <c r="I67" s="128">
        <v>590</v>
      </c>
      <c r="J67" s="136">
        <v>1031359.5478624469</v>
      </c>
      <c r="K67" s="152">
        <v>879689.02611796942</v>
      </c>
      <c r="L67" s="152">
        <v>728018.50437349197</v>
      </c>
      <c r="M67" s="152">
        <v>576347.98262901441</v>
      </c>
      <c r="N67" s="152">
        <v>424677.46088453708</v>
      </c>
      <c r="O67" s="152">
        <v>273006.93914005952</v>
      </c>
      <c r="P67" s="125">
        <v>121336.41739558196</v>
      </c>
      <c r="Q67" s="125"/>
    </row>
    <row r="68" spans="1:17" x14ac:dyDescent="0.3">
      <c r="A68" s="30"/>
      <c r="E68" s="27">
        <v>590</v>
      </c>
      <c r="F68" s="27">
        <v>1031359.5478624469</v>
      </c>
      <c r="H68" s="215"/>
      <c r="I68" s="128">
        <v>600</v>
      </c>
      <c r="J68" s="136">
        <v>1028187.3899667513</v>
      </c>
      <c r="K68" s="152">
        <v>881303.47711435833</v>
      </c>
      <c r="L68" s="152">
        <v>734419.56426196522</v>
      </c>
      <c r="M68" s="152">
        <v>587535.65140957222</v>
      </c>
      <c r="N68" s="152">
        <v>440651.73855717899</v>
      </c>
      <c r="O68" s="152">
        <v>293767.825704786</v>
      </c>
      <c r="P68" s="125">
        <v>146883.912852393</v>
      </c>
      <c r="Q68" s="125"/>
    </row>
    <row r="69" spans="1:17" x14ac:dyDescent="0.3">
      <c r="A69" s="30"/>
      <c r="E69" s="27">
        <v>600</v>
      </c>
      <c r="F69" s="27">
        <v>1028187.3899667513</v>
      </c>
      <c r="H69" s="215"/>
      <c r="I69" s="128">
        <v>610</v>
      </c>
      <c r="J69" s="136">
        <v>1024731.2726827315</v>
      </c>
      <c r="K69" s="152">
        <v>882407.48481012986</v>
      </c>
      <c r="L69" s="152">
        <v>740083.69693752832</v>
      </c>
      <c r="M69" s="152">
        <v>597759.90906492667</v>
      </c>
      <c r="N69" s="152">
        <v>455436.12119232514</v>
      </c>
      <c r="O69" s="152">
        <v>313112.33331972361</v>
      </c>
      <c r="P69" s="125">
        <v>170788.54544712184</v>
      </c>
      <c r="Q69" s="125"/>
    </row>
    <row r="70" spans="1:17" x14ac:dyDescent="0.3">
      <c r="A70" s="30"/>
      <c r="E70" s="27">
        <v>610</v>
      </c>
      <c r="F70" s="27">
        <v>1024731.2726827315</v>
      </c>
      <c r="H70" s="215"/>
      <c r="I70" s="128">
        <v>620</v>
      </c>
      <c r="J70" s="136">
        <v>1021022.2237432048</v>
      </c>
      <c r="K70" s="152">
        <v>883046.24756169063</v>
      </c>
      <c r="L70" s="152">
        <v>745070.27138017653</v>
      </c>
      <c r="M70" s="152">
        <v>607094.29519866221</v>
      </c>
      <c r="N70" s="152">
        <v>469118.31901714811</v>
      </c>
      <c r="O70" s="152">
        <v>331142.34283563402</v>
      </c>
      <c r="P70" s="125">
        <v>193166.36665411969</v>
      </c>
      <c r="Q70" s="125"/>
    </row>
    <row r="71" spans="1:17" x14ac:dyDescent="0.3">
      <c r="A71" s="30"/>
      <c r="E71" s="27">
        <v>620</v>
      </c>
      <c r="F71" s="27">
        <v>1021022.2237432048</v>
      </c>
      <c r="H71" s="215"/>
      <c r="I71" s="128">
        <v>630</v>
      </c>
      <c r="J71" s="136">
        <v>1017088.2634793159</v>
      </c>
      <c r="K71" s="152">
        <v>883260.86038993229</v>
      </c>
      <c r="L71" s="152">
        <v>749433.45730054856</v>
      </c>
      <c r="M71" s="152">
        <v>615606.05421116482</v>
      </c>
      <c r="N71" s="152">
        <v>481778.65112178121</v>
      </c>
      <c r="O71" s="152">
        <v>347951.24803239759</v>
      </c>
      <c r="P71" s="125">
        <v>214123.84494301397</v>
      </c>
      <c r="Q71" s="125"/>
    </row>
    <row r="72" spans="1:17" x14ac:dyDescent="0.3">
      <c r="A72" s="30"/>
      <c r="E72" s="27">
        <v>630</v>
      </c>
      <c r="F72" s="27">
        <v>1017088.2634793159</v>
      </c>
      <c r="H72" s="215"/>
      <c r="I72" s="128">
        <v>640</v>
      </c>
      <c r="J72" s="136">
        <v>1012954.7173026291</v>
      </c>
      <c r="K72" s="152">
        <v>883088.7279048562</v>
      </c>
      <c r="L72" s="152">
        <v>753222.73850708327</v>
      </c>
      <c r="M72" s="152">
        <v>623356.74910931021</v>
      </c>
      <c r="N72" s="152">
        <v>493490.75971153728</v>
      </c>
      <c r="O72" s="152">
        <v>363624.77031376422</v>
      </c>
      <c r="P72" s="125">
        <v>233758.7809159914</v>
      </c>
      <c r="Q72" s="125"/>
    </row>
    <row r="73" spans="1:17" x14ac:dyDescent="0.3">
      <c r="A73" s="30"/>
      <c r="E73" s="27">
        <v>640</v>
      </c>
      <c r="F73" s="27">
        <v>1012954.7173026291</v>
      </c>
      <c r="H73" s="215"/>
      <c r="I73" s="128">
        <v>650</v>
      </c>
      <c r="J73" s="136">
        <v>1008644.4924491229</v>
      </c>
      <c r="K73" s="152">
        <v>882563.93089298252</v>
      </c>
      <c r="L73" s="152">
        <v>756483.36933684221</v>
      </c>
      <c r="M73" s="152">
        <v>630402.80778070178</v>
      </c>
      <c r="N73" s="152">
        <v>504322.24622456147</v>
      </c>
      <c r="O73" s="152">
        <v>378241.68466842105</v>
      </c>
      <c r="P73" s="125">
        <v>252161.12311228062</v>
      </c>
      <c r="Q73" s="125"/>
    </row>
    <row r="74" spans="1:17" x14ac:dyDescent="0.3">
      <c r="A74" s="30"/>
      <c r="E74" s="27">
        <v>650</v>
      </c>
      <c r="F74" s="27">
        <v>1008644.4924491229</v>
      </c>
      <c r="H74" s="215"/>
      <c r="I74" s="128">
        <v>660</v>
      </c>
      <c r="J74" s="136">
        <v>1004178.3234829371</v>
      </c>
      <c r="K74" s="152">
        <v>881717.55232648132</v>
      </c>
      <c r="L74" s="152">
        <v>759256.78117002558</v>
      </c>
      <c r="M74" s="152">
        <v>636796.01001356984</v>
      </c>
      <c r="N74" s="152">
        <v>514335.23885711422</v>
      </c>
      <c r="O74" s="152">
        <v>391874.46770065837</v>
      </c>
      <c r="P74" s="125">
        <v>269413.69654420274</v>
      </c>
      <c r="Q74" s="125"/>
    </row>
    <row r="75" spans="1:17" x14ac:dyDescent="0.3">
      <c r="A75" s="30"/>
      <c r="E75" s="27">
        <v>660</v>
      </c>
      <c r="F75" s="27">
        <v>1004178.3234829371</v>
      </c>
      <c r="H75" s="215"/>
      <c r="I75" s="128">
        <v>670</v>
      </c>
      <c r="J75" s="136">
        <v>999574.99043870345</v>
      </c>
      <c r="K75" s="152">
        <v>880577.96776742931</v>
      </c>
      <c r="L75" s="152">
        <v>761580.94509615505</v>
      </c>
      <c r="M75" s="152">
        <v>642583.92242488079</v>
      </c>
      <c r="N75" s="152">
        <v>523586.89975360665</v>
      </c>
      <c r="O75" s="152">
        <v>404589.87708233227</v>
      </c>
      <c r="P75" s="125">
        <v>285592.85441105813</v>
      </c>
      <c r="Q75" s="125"/>
    </row>
    <row r="76" spans="1:17" x14ac:dyDescent="0.3">
      <c r="A76" s="30"/>
      <c r="E76" s="27">
        <v>670</v>
      </c>
      <c r="F76" s="27">
        <v>999574.99043870345</v>
      </c>
      <c r="H76" s="215"/>
      <c r="I76" s="128">
        <v>680</v>
      </c>
      <c r="J76" s="136">
        <v>994851.51295467373</v>
      </c>
      <c r="K76" s="152">
        <v>879171.10447157209</v>
      </c>
      <c r="L76" s="152">
        <v>763490.69598847057</v>
      </c>
      <c r="M76" s="152">
        <v>647810.28750536893</v>
      </c>
      <c r="N76" s="152">
        <v>532129.8790222673</v>
      </c>
      <c r="O76" s="152">
        <v>416449.47053916566</v>
      </c>
      <c r="P76" s="125">
        <v>300769.06205606414</v>
      </c>
      <c r="Q76" s="125"/>
    </row>
    <row r="77" spans="1:17" x14ac:dyDescent="0.3">
      <c r="A77" s="30"/>
      <c r="E77" s="27">
        <v>680</v>
      </c>
      <c r="F77" s="27">
        <v>994851.51295467373</v>
      </c>
      <c r="H77" s="215"/>
      <c r="I77" s="128">
        <v>690</v>
      </c>
      <c r="J77" s="136">
        <v>990023.32329994719</v>
      </c>
      <c r="K77" s="152">
        <v>877520.67292495316</v>
      </c>
      <c r="L77" s="152">
        <v>765018.02254995925</v>
      </c>
      <c r="M77" s="152">
        <v>652515.37217496522</v>
      </c>
      <c r="N77" s="152">
        <v>540012.72179997119</v>
      </c>
      <c r="O77" s="152">
        <v>427510.07142497716</v>
      </c>
      <c r="P77" s="125">
        <v>315007.42104998324</v>
      </c>
      <c r="Q77" s="125"/>
    </row>
    <row r="78" spans="1:17" x14ac:dyDescent="0.3">
      <c r="A78" s="30"/>
      <c r="E78" s="27">
        <v>690</v>
      </c>
      <c r="F78" s="27">
        <v>990023.32329994719</v>
      </c>
      <c r="H78" s="215"/>
      <c r="I78" s="128">
        <v>700</v>
      </c>
      <c r="J78" s="136">
        <v>985104.42081539321</v>
      </c>
      <c r="K78" s="152">
        <v>875648.37405812729</v>
      </c>
      <c r="L78" s="152">
        <v>766192.32730086136</v>
      </c>
      <c r="M78" s="152">
        <v>656736.28054359555</v>
      </c>
      <c r="N78" s="152">
        <v>547280.23378632963</v>
      </c>
      <c r="O78" s="152">
        <v>437824.1870290637</v>
      </c>
      <c r="P78" s="125">
        <v>328368.14027179778</v>
      </c>
      <c r="Q78" s="125"/>
    </row>
    <row r="79" spans="1:17" x14ac:dyDescent="0.3">
      <c r="A79" s="30"/>
      <c r="E79" s="27">
        <v>700</v>
      </c>
      <c r="F79" s="27">
        <v>985104.42081539321</v>
      </c>
      <c r="H79" s="215"/>
      <c r="I79" s="128">
        <v>710</v>
      </c>
      <c r="J79" s="136">
        <v>980107.50995916908</v>
      </c>
      <c r="K79" s="152">
        <v>873574.08496360714</v>
      </c>
      <c r="L79" s="152">
        <v>767040.65996804531</v>
      </c>
      <c r="M79" s="152">
        <v>660507.23497248348</v>
      </c>
      <c r="N79" s="152">
        <v>553973.80997692165</v>
      </c>
      <c r="O79" s="152">
        <v>447440.38498135982</v>
      </c>
      <c r="P79" s="125">
        <v>340906.95998579799</v>
      </c>
      <c r="Q79" s="125"/>
    </row>
    <row r="80" spans="1:17" x14ac:dyDescent="0.3">
      <c r="A80" s="30"/>
      <c r="E80" s="27">
        <v>710</v>
      </c>
      <c r="F80" s="27">
        <v>980107.50995916908</v>
      </c>
      <c r="H80" s="215"/>
      <c r="I80" s="128">
        <v>720</v>
      </c>
      <c r="J80" s="136">
        <v>975044.1238656675</v>
      </c>
      <c r="K80" s="152">
        <v>871316.02558208595</v>
      </c>
      <c r="L80" s="152">
        <v>767587.92729850428</v>
      </c>
      <c r="M80" s="152">
        <v>663859.82901492261</v>
      </c>
      <c r="N80" s="152">
        <v>560131.73073134094</v>
      </c>
      <c r="O80" s="152">
        <v>456403.63244775927</v>
      </c>
      <c r="P80" s="125">
        <v>352675.53416417772</v>
      </c>
      <c r="Q80" s="125"/>
    </row>
    <row r="81" spans="1:17" x14ac:dyDescent="0.3">
      <c r="A81" s="30"/>
      <c r="E81" s="27">
        <v>720</v>
      </c>
      <c r="F81" s="27">
        <v>975044.1238656675</v>
      </c>
      <c r="H81" s="215"/>
      <c r="I81" s="128">
        <v>730</v>
      </c>
      <c r="J81" s="136">
        <v>969924.73508398188</v>
      </c>
      <c r="K81" s="152">
        <v>868890.90851273388</v>
      </c>
      <c r="L81" s="152">
        <v>767857.08194148575</v>
      </c>
      <c r="M81" s="152">
        <v>666823.25537023752</v>
      </c>
      <c r="N81" s="152">
        <v>565789.42879898939</v>
      </c>
      <c r="O81" s="152">
        <v>464755.60222774127</v>
      </c>
      <c r="P81" s="125">
        <v>363721.77565649315</v>
      </c>
      <c r="Q81" s="125"/>
    </row>
    <row r="82" spans="1:17" x14ac:dyDescent="0.3">
      <c r="A82" s="30"/>
      <c r="E82" s="27">
        <v>730</v>
      </c>
      <c r="F82" s="27">
        <v>969924.73508398188</v>
      </c>
      <c r="H82" s="215"/>
      <c r="I82" s="128">
        <v>740</v>
      </c>
      <c r="J82" s="136">
        <v>964758.8549528002</v>
      </c>
      <c r="K82" s="152">
        <v>866314.07383516757</v>
      </c>
      <c r="L82" s="152">
        <v>767869.29271753482</v>
      </c>
      <c r="M82" s="152">
        <v>669424.51159990218</v>
      </c>
      <c r="N82" s="152">
        <v>570979.73048226954</v>
      </c>
      <c r="O82" s="152">
        <v>472534.94936463679</v>
      </c>
      <c r="P82" s="125">
        <v>374090.16824700404</v>
      </c>
      <c r="Q82" s="125"/>
    </row>
    <row r="83" spans="1:17" x14ac:dyDescent="0.3">
      <c r="A83" s="30"/>
      <c r="E83" s="27">
        <v>740</v>
      </c>
      <c r="F83" s="27">
        <v>964758.8549528002</v>
      </c>
      <c r="H83" s="215"/>
      <c r="I83" s="128">
        <v>750</v>
      </c>
      <c r="J83" s="136">
        <v>959555.12288789009</v>
      </c>
      <c r="K83" s="152">
        <v>863599.61059910117</v>
      </c>
      <c r="L83" s="152">
        <v>767644.09831031214</v>
      </c>
      <c r="M83" s="152">
        <v>671688.58602152311</v>
      </c>
      <c r="N83" s="152">
        <v>575733.07373273408</v>
      </c>
      <c r="O83" s="152">
        <v>479777.56144394504</v>
      </c>
      <c r="P83" s="125">
        <v>383822.04915515613</v>
      </c>
      <c r="Q83" s="125"/>
    </row>
    <row r="84" spans="1:17" x14ac:dyDescent="0.3">
      <c r="A84" s="30"/>
      <c r="E84" s="27">
        <v>750</v>
      </c>
      <c r="F84" s="27">
        <v>959555.12288789009</v>
      </c>
      <c r="H84" s="215"/>
      <c r="I84" s="128">
        <v>760</v>
      </c>
      <c r="J84" s="136">
        <v>954321.38670201262</v>
      </c>
      <c r="K84" s="152">
        <v>860760.4664371094</v>
      </c>
      <c r="L84" s="152">
        <v>767199.54617220617</v>
      </c>
      <c r="M84" s="152">
        <v>673638.62590730307</v>
      </c>
      <c r="N84" s="152">
        <v>580077.70564239984</v>
      </c>
      <c r="O84" s="152">
        <v>486516.78537749662</v>
      </c>
      <c r="P84" s="125">
        <v>392955.8651125934</v>
      </c>
      <c r="Q84" s="125"/>
    </row>
    <row r="85" spans="1:17" x14ac:dyDescent="0.3">
      <c r="A85" s="30"/>
      <c r="E85" s="27">
        <v>760</v>
      </c>
      <c r="F85" s="27">
        <v>954321.38670201262</v>
      </c>
      <c r="H85" s="215"/>
      <c r="I85" s="128">
        <v>770</v>
      </c>
      <c r="J85" s="136">
        <v>949064.7749414182</v>
      </c>
      <c r="K85" s="152">
        <v>857808.54658166645</v>
      </c>
      <c r="L85" s="152">
        <v>766552.3182219147</v>
      </c>
      <c r="M85" s="152">
        <v>675296.08986216295</v>
      </c>
      <c r="N85" s="152">
        <v>584039.86150241119</v>
      </c>
      <c r="O85" s="152">
        <v>492783.63314265944</v>
      </c>
      <c r="P85" s="125">
        <v>401527.40478290769</v>
      </c>
      <c r="Q85" s="125"/>
    </row>
    <row r="86" spans="1:17" x14ac:dyDescent="0.3">
      <c r="A86" s="30"/>
      <c r="E86" s="27">
        <v>770</v>
      </c>
      <c r="F86" s="27">
        <v>949064.7749414182</v>
      </c>
      <c r="H86" s="215"/>
      <c r="I86" s="128">
        <v>780</v>
      </c>
      <c r="J86" s="136">
        <v>943791.76210536808</v>
      </c>
      <c r="K86" s="152">
        <v>854754.80341618229</v>
      </c>
      <c r="L86" s="152">
        <v>765717.84472699661</v>
      </c>
      <c r="M86" s="152">
        <v>676680.88603781094</v>
      </c>
      <c r="N86" s="152">
        <v>587643.92734862538</v>
      </c>
      <c r="O86" s="152">
        <v>498606.96865943971</v>
      </c>
      <c r="P86" s="125">
        <v>409570.00997025403</v>
      </c>
      <c r="Q86" s="125"/>
    </row>
    <row r="87" spans="1:17" x14ac:dyDescent="0.3">
      <c r="A87" s="30"/>
      <c r="E87" s="27">
        <v>780</v>
      </c>
      <c r="F87" s="27">
        <v>943791.76210536808</v>
      </c>
      <c r="H87" s="215"/>
      <c r="I87" s="128">
        <v>790</v>
      </c>
      <c r="J87" s="136">
        <v>938508.22751260083</v>
      </c>
      <c r="K87" s="152">
        <v>851609.31755773036</v>
      </c>
      <c r="L87" s="152">
        <v>764710.40760285989</v>
      </c>
      <c r="M87" s="152">
        <v>677811.49764798942</v>
      </c>
      <c r="N87" s="152">
        <v>590912.58769311896</v>
      </c>
      <c r="O87" s="152">
        <v>504013.67773824849</v>
      </c>
      <c r="P87" s="125">
        <v>417114.76778337813</v>
      </c>
      <c r="Q87" s="125"/>
    </row>
    <row r="88" spans="1:17" x14ac:dyDescent="0.3">
      <c r="A88" s="30"/>
      <c r="E88" s="27">
        <v>790</v>
      </c>
      <c r="F88" s="27">
        <v>938508.22751260083</v>
      </c>
      <c r="H88" s="215"/>
      <c r="I88" s="128">
        <v>800</v>
      </c>
      <c r="J88" s="136">
        <v>933219.50848926988</v>
      </c>
      <c r="K88" s="152">
        <v>848381.37135388167</v>
      </c>
      <c r="L88" s="152">
        <v>763543.23421849345</v>
      </c>
      <c r="M88" s="152">
        <v>678705.09708310536</v>
      </c>
      <c r="N88" s="152">
        <v>593866.95994771714</v>
      </c>
      <c r="O88" s="152">
        <v>509028.82281232905</v>
      </c>
      <c r="P88" s="125">
        <v>424190.68567694083</v>
      </c>
      <c r="Q88" s="125"/>
    </row>
    <row r="89" spans="1:17" x14ac:dyDescent="0.3">
      <c r="A89" s="30"/>
      <c r="E89" s="27">
        <v>800</v>
      </c>
      <c r="F89" s="27">
        <v>933219.50848926988</v>
      </c>
      <c r="H89" s="215"/>
      <c r="I89" s="128">
        <v>810</v>
      </c>
      <c r="J89" s="136">
        <v>927930.44847494666</v>
      </c>
      <c r="K89" s="152">
        <v>845079.51557539788</v>
      </c>
      <c r="L89" s="152">
        <v>762228.58267584909</v>
      </c>
      <c r="M89" s="152">
        <v>679377.6497763003</v>
      </c>
      <c r="N89" s="152">
        <v>596526.71687675139</v>
      </c>
      <c r="O89" s="152">
        <v>513675.78397720261</v>
      </c>
      <c r="P89" s="125">
        <v>430824.85107765382</v>
      </c>
      <c r="Q89" s="125"/>
    </row>
    <row r="90" spans="1:17" x14ac:dyDescent="0.3">
      <c r="A90" s="30"/>
      <c r="E90" s="27">
        <v>810</v>
      </c>
      <c r="F90" s="27">
        <v>927930.44847494666</v>
      </c>
      <c r="H90" s="215"/>
      <c r="I90" s="128">
        <v>820</v>
      </c>
      <c r="J90" s="136">
        <v>922645.44057495799</v>
      </c>
      <c r="K90" s="152">
        <v>841711.62999820733</v>
      </c>
      <c r="L90" s="152">
        <v>760777.81942145666</v>
      </c>
      <c r="M90" s="152">
        <v>679844.00884470588</v>
      </c>
      <c r="N90" s="152">
        <v>598910.19826795522</v>
      </c>
      <c r="O90" s="152">
        <v>517976.38769120455</v>
      </c>
      <c r="P90" s="125">
        <v>437042.57711445377</v>
      </c>
      <c r="Q90" s="125"/>
    </row>
    <row r="91" spans="1:17" x14ac:dyDescent="0.3">
      <c r="A91" s="30"/>
      <c r="E91" s="27">
        <v>820</v>
      </c>
      <c r="F91" s="27">
        <v>922645.44057495799</v>
      </c>
      <c r="H91" s="215"/>
      <c r="I91" s="128">
        <v>830</v>
      </c>
      <c r="J91" s="136">
        <v>917368.46702761366</v>
      </c>
      <c r="K91" s="152">
        <v>838284.97849075054</v>
      </c>
      <c r="L91" s="152">
        <v>759201.48995388718</v>
      </c>
      <c r="M91" s="152">
        <v>680118.00141702394</v>
      </c>
      <c r="N91" s="152">
        <v>601034.51288016071</v>
      </c>
      <c r="O91" s="152">
        <v>521951.02434329747</v>
      </c>
      <c r="P91" s="125">
        <v>442867.53580643423</v>
      </c>
      <c r="Q91" s="125"/>
    </row>
    <row r="92" spans="1:17" x14ac:dyDescent="0.3">
      <c r="A92" s="30"/>
      <c r="E92" s="27">
        <v>830</v>
      </c>
      <c r="F92" s="27">
        <v>917368.46702761366</v>
      </c>
      <c r="H92" s="215"/>
      <c r="I92" s="128">
        <v>840</v>
      </c>
      <c r="J92" s="136">
        <v>912103.13500239153</v>
      </c>
      <c r="K92" s="152">
        <v>834806.25915473117</v>
      </c>
      <c r="L92" s="152">
        <v>757509.38330707094</v>
      </c>
      <c r="M92" s="152">
        <v>680212.50745941058</v>
      </c>
      <c r="N92" s="152">
        <v>602915.63161175034</v>
      </c>
      <c r="O92" s="152">
        <v>525618.75576408999</v>
      </c>
      <c r="P92" s="125">
        <v>448321.87991642975</v>
      </c>
      <c r="Q92" s="125"/>
    </row>
    <row r="93" spans="1:17" x14ac:dyDescent="0.3">
      <c r="A93" s="30"/>
      <c r="E93" s="27">
        <v>840</v>
      </c>
      <c r="F93" s="27">
        <v>912103.13500239153</v>
      </c>
      <c r="H93" s="215"/>
      <c r="I93" s="128">
        <v>850</v>
      </c>
      <c r="J93" s="136">
        <v>906852.70909909625</v>
      </c>
      <c r="K93" s="152">
        <v>831281.65000750497</v>
      </c>
      <c r="L93" s="152">
        <v>755710.59091591358</v>
      </c>
      <c r="M93" s="152">
        <v>680139.53182432218</v>
      </c>
      <c r="N93" s="152">
        <v>604568.47273273091</v>
      </c>
      <c r="O93" s="152">
        <v>528997.41364113952</v>
      </c>
      <c r="P93" s="125">
        <v>453426.35454954812</v>
      </c>
      <c r="Q93" s="125"/>
    </row>
    <row r="94" spans="1:17" x14ac:dyDescent="0.3">
      <c r="A94" s="30"/>
      <c r="E94" s="27">
        <v>850</v>
      </c>
      <c r="F94" s="27">
        <v>906852.70909909625</v>
      </c>
      <c r="H94" s="215"/>
      <c r="I94" s="128">
        <v>860</v>
      </c>
      <c r="J94" s="136">
        <v>901620.14087741717</v>
      </c>
      <c r="K94" s="152">
        <v>827716.8506415633</v>
      </c>
      <c r="L94" s="152">
        <v>753813.56040570955</v>
      </c>
      <c r="M94" s="152">
        <v>679910.27016985556</v>
      </c>
      <c r="N94" s="152">
        <v>606006.97993400169</v>
      </c>
      <c r="O94" s="152">
        <v>532103.68969814782</v>
      </c>
      <c r="P94" s="125">
        <v>458200.39946229407</v>
      </c>
      <c r="Q94" s="125"/>
    </row>
    <row r="95" spans="1:17" x14ac:dyDescent="0.3">
      <c r="A95" s="30"/>
      <c r="E95" s="27">
        <v>860</v>
      </c>
      <c r="F95" s="27">
        <v>901620.14087741717</v>
      </c>
      <c r="H95" s="215"/>
      <c r="I95" s="128">
        <v>870</v>
      </c>
      <c r="J95" s="136">
        <v>896408.09571059258</v>
      </c>
      <c r="K95" s="152">
        <v>824117.12025006092</v>
      </c>
      <c r="L95" s="152">
        <v>751826.14478952927</v>
      </c>
      <c r="M95" s="152">
        <v>679535.16932899761</v>
      </c>
      <c r="N95" s="152">
        <v>607244.19386846595</v>
      </c>
      <c r="O95" s="152">
        <v>534953.2184079343</v>
      </c>
      <c r="P95" s="125">
        <v>462662.24294740264</v>
      </c>
      <c r="Q95" s="125"/>
    </row>
    <row r="96" spans="1:17" x14ac:dyDescent="0.3">
      <c r="A96" s="30"/>
      <c r="E96" s="27">
        <v>870</v>
      </c>
      <c r="F96" s="27">
        <v>896408.09571059258</v>
      </c>
      <c r="H96" s="215"/>
      <c r="I96" s="128">
        <v>880</v>
      </c>
      <c r="J96" s="136">
        <v>891218.97722535138</v>
      </c>
      <c r="K96" s="152">
        <v>820487.31236619642</v>
      </c>
      <c r="L96" s="152">
        <v>749755.64750704158</v>
      </c>
      <c r="M96" s="152">
        <v>679023.98264788673</v>
      </c>
      <c r="N96" s="152">
        <v>608292.31778873189</v>
      </c>
      <c r="O96" s="152">
        <v>537560.65292957693</v>
      </c>
      <c r="P96" s="125">
        <v>466828.98807042209</v>
      </c>
      <c r="Q96" s="125"/>
    </row>
    <row r="97" spans="1:17" x14ac:dyDescent="0.3">
      <c r="A97" s="30"/>
      <c r="E97" s="27">
        <v>880</v>
      </c>
      <c r="F97" s="27">
        <v>891218.97722535138</v>
      </c>
      <c r="H97" s="215"/>
      <c r="I97" s="128">
        <v>890</v>
      </c>
      <c r="J97" s="136">
        <v>886054.94956237264</v>
      </c>
      <c r="K97" s="152">
        <v>816831.90662781219</v>
      </c>
      <c r="L97" s="152">
        <v>747608.86369325186</v>
      </c>
      <c r="M97" s="152">
        <v>678385.82075869152</v>
      </c>
      <c r="N97" s="152">
        <v>609162.77782413119</v>
      </c>
      <c r="O97" s="152">
        <v>539939.73488957086</v>
      </c>
      <c r="P97" s="125">
        <v>470716.69195501041</v>
      </c>
      <c r="Q97" s="125"/>
    </row>
    <row r="98" spans="1:17" ht="15" thickBot="1" x14ac:dyDescent="0.35">
      <c r="A98" s="30"/>
      <c r="E98" s="27">
        <v>890</v>
      </c>
      <c r="F98" s="27">
        <v>886054.94956237264</v>
      </c>
      <c r="H98" s="216"/>
      <c r="I98" s="129">
        <v>900</v>
      </c>
      <c r="J98" s="130">
        <v>880917.95766693447</v>
      </c>
      <c r="K98" s="131">
        <v>813155.03784640098</v>
      </c>
      <c r="L98" s="131">
        <v>745392.11802586762</v>
      </c>
      <c r="M98" s="131">
        <v>677629.19820533413</v>
      </c>
      <c r="N98" s="131">
        <v>609866.27838480077</v>
      </c>
      <c r="O98" s="131">
        <v>542103.35856426728</v>
      </c>
      <c r="P98" s="126">
        <v>474340.43874373392</v>
      </c>
      <c r="Q98" s="125"/>
    </row>
    <row r="99" spans="1:17" x14ac:dyDescent="0.3">
      <c r="A99" s="30"/>
      <c r="E99" s="27">
        <v>900</v>
      </c>
      <c r="F99" s="27">
        <v>880917.95766693447</v>
      </c>
      <c r="Q99" s="14"/>
    </row>
    <row r="100" spans="1:17" ht="15" thickBot="1" x14ac:dyDescent="0.35">
      <c r="A100" s="80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31"/>
    </row>
  </sheetData>
  <mergeCells count="22">
    <mergeCell ref="A10:I10"/>
    <mergeCell ref="E16:F16"/>
    <mergeCell ref="A1:I1"/>
    <mergeCell ref="A3:I3"/>
    <mergeCell ref="A2:I2"/>
    <mergeCell ref="A4:I4"/>
    <mergeCell ref="A5:I5"/>
    <mergeCell ref="A6:I6"/>
    <mergeCell ref="A7:I7"/>
    <mergeCell ref="A8:I8"/>
    <mergeCell ref="A9:I9"/>
    <mergeCell ref="A16:C16"/>
    <mergeCell ref="H16:K16"/>
    <mergeCell ref="E32:F32"/>
    <mergeCell ref="J32:P32"/>
    <mergeCell ref="H34:H98"/>
    <mergeCell ref="W12:AG13"/>
    <mergeCell ref="C12:L13"/>
    <mergeCell ref="L16:O16"/>
    <mergeCell ref="AG41:AI41"/>
    <mergeCell ref="A31:C31"/>
    <mergeCell ref="Y39:AA39"/>
  </mergeCells>
  <conditionalFormatting sqref="F35:F99">
    <cfRule type="cellIs" dxfId="17" priority="17" operator="equal">
      <formula>MAX($F$35:$F$99)</formula>
    </cfRule>
  </conditionalFormatting>
  <conditionalFormatting sqref="J34:J98">
    <cfRule type="cellIs" dxfId="16" priority="14" operator="equal">
      <formula>MAX($J$34:$J$98)</formula>
    </cfRule>
  </conditionalFormatting>
  <conditionalFormatting sqref="J34:Q98">
    <cfRule type="cellIs" dxfId="15" priority="1" operator="equal">
      <formula>0</formula>
    </cfRule>
    <cfRule type="cellIs" dxfId="14" priority="2" operator="lessThan">
      <formula>0</formula>
    </cfRule>
    <cfRule type="cellIs" dxfId="13" priority="3" operator="greaterThan">
      <formula>0</formula>
    </cfRule>
  </conditionalFormatting>
  <conditionalFormatting sqref="K34:K98">
    <cfRule type="cellIs" dxfId="12" priority="15" operator="equal">
      <formula>MAX($K$34:$K$98)</formula>
    </cfRule>
  </conditionalFormatting>
  <conditionalFormatting sqref="L34:L98">
    <cfRule type="cellIs" dxfId="11" priority="13" operator="equal">
      <formula>MAX($L$34:$L$98)</formula>
    </cfRule>
  </conditionalFormatting>
  <conditionalFormatting sqref="M34:M98">
    <cfRule type="cellIs" dxfId="10" priority="12" operator="equal">
      <formula>MAX($M$34:$M$98)</formula>
    </cfRule>
  </conditionalFormatting>
  <conditionalFormatting sqref="M30:Q30">
    <cfRule type="top10" dxfId="9" priority="18" bottom="1" rank="1"/>
  </conditionalFormatting>
  <conditionalFormatting sqref="N34:N98">
    <cfRule type="cellIs" dxfId="8" priority="11" operator="equal">
      <formula>MAX($N$34:$N$98)</formula>
    </cfRule>
  </conditionalFormatting>
  <conditionalFormatting sqref="O34:O98">
    <cfRule type="cellIs" dxfId="7" priority="10" operator="equal">
      <formula>MAX($O$34:$O$98)</formula>
    </cfRule>
  </conditionalFormatting>
  <conditionalFormatting sqref="P34:Q98">
    <cfRule type="cellIs" dxfId="6" priority="7" operator="equal">
      <formula>MAX($P$34:$P$98)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B96B8816-8490-4068-BDDA-8F542D4C3A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C18:C29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E5BF-C198-40E5-9F59-99CF7491AE89}">
  <dimension ref="A1:G29"/>
  <sheetViews>
    <sheetView workbookViewId="0">
      <selection activeCell="F4" sqref="F4"/>
    </sheetView>
  </sheetViews>
  <sheetFormatPr defaultRowHeight="14.4" x14ac:dyDescent="0.3"/>
  <cols>
    <col min="1" max="1" width="24.88671875" customWidth="1"/>
    <col min="2" max="2" width="10.88671875" customWidth="1"/>
    <col min="3" max="3" width="11.109375" bestFit="1" customWidth="1"/>
    <col min="6" max="6" width="19.5546875" customWidth="1"/>
    <col min="7" max="7" width="14" bestFit="1" customWidth="1"/>
  </cols>
  <sheetData>
    <row r="1" spans="1:7" ht="20.399999999999999" thickBot="1" x14ac:dyDescent="0.45">
      <c r="A1" s="256" t="s">
        <v>192</v>
      </c>
      <c r="B1" s="257"/>
      <c r="E1" s="258" t="s">
        <v>202</v>
      </c>
      <c r="F1" s="258"/>
    </row>
    <row r="2" spans="1:7" ht="15" thickBot="1" x14ac:dyDescent="0.35">
      <c r="A2" s="32" t="s">
        <v>193</v>
      </c>
      <c r="B2" s="125">
        <v>9.3000000000000007</v>
      </c>
      <c r="C2" t="s">
        <v>190</v>
      </c>
      <c r="E2" s="163" t="s">
        <v>65</v>
      </c>
      <c r="F2" s="164" t="s">
        <v>201</v>
      </c>
    </row>
    <row r="3" spans="1:7" x14ac:dyDescent="0.3">
      <c r="A3" s="32" t="s">
        <v>194</v>
      </c>
      <c r="B3" s="14">
        <v>20</v>
      </c>
      <c r="C3" t="s">
        <v>191</v>
      </c>
      <c r="E3" s="162">
        <v>1</v>
      </c>
      <c r="F3" s="165">
        <f>B4</f>
        <v>1.2</v>
      </c>
    </row>
    <row r="4" spans="1:7" x14ac:dyDescent="0.3">
      <c r="A4" s="32" t="s">
        <v>195</v>
      </c>
      <c r="B4" s="125">
        <v>1.2</v>
      </c>
      <c r="C4" t="s">
        <v>190</v>
      </c>
      <c r="E4" s="18">
        <v>2</v>
      </c>
      <c r="F4" s="166">
        <f>IF(E4&gt;$B$6,F3*(1-$B$10),F3*(1+$B$7))</f>
        <v>1.32</v>
      </c>
      <c r="G4" t="str">
        <f ca="1">_xlfn.FORMULATEXT(F4)</f>
        <v>=IF(E4&gt;$B$6;F3*(1-$B$10);F3*(1+$B$7))</v>
      </c>
    </row>
    <row r="5" spans="1:7" x14ac:dyDescent="0.3">
      <c r="A5" s="32" t="s">
        <v>196</v>
      </c>
      <c r="B5" s="14"/>
      <c r="E5" s="18">
        <v>3</v>
      </c>
      <c r="F5" s="166">
        <f t="shared" ref="F5:F22" si="0">IF(E5&gt;$B$6,F4*(1-$B$10),F4*(1+$B$7))</f>
        <v>1.4520000000000002</v>
      </c>
    </row>
    <row r="6" spans="1:7" x14ac:dyDescent="0.3">
      <c r="A6" s="158" t="s">
        <v>199</v>
      </c>
      <c r="B6" s="14">
        <v>8</v>
      </c>
      <c r="E6" s="18">
        <v>4</v>
      </c>
      <c r="F6" s="166">
        <f t="shared" si="0"/>
        <v>1.5972000000000004</v>
      </c>
    </row>
    <row r="7" spans="1:7" x14ac:dyDescent="0.3">
      <c r="A7" s="158" t="s">
        <v>197</v>
      </c>
      <c r="B7" s="159">
        <v>0.1</v>
      </c>
      <c r="E7" s="18">
        <v>5</v>
      </c>
      <c r="F7" s="166">
        <f t="shared" si="0"/>
        <v>1.7569200000000005</v>
      </c>
    </row>
    <row r="8" spans="1:7" x14ac:dyDescent="0.3">
      <c r="A8" s="32" t="s">
        <v>198</v>
      </c>
      <c r="B8" s="14"/>
      <c r="E8" s="18">
        <v>6</v>
      </c>
      <c r="F8" s="166">
        <f t="shared" si="0"/>
        <v>1.9326120000000007</v>
      </c>
    </row>
    <row r="9" spans="1:7" x14ac:dyDescent="0.3">
      <c r="A9" s="158" t="s">
        <v>199</v>
      </c>
      <c r="B9" s="14">
        <v>20</v>
      </c>
      <c r="E9" s="18">
        <v>7</v>
      </c>
      <c r="F9" s="166">
        <f t="shared" si="0"/>
        <v>2.1258732000000009</v>
      </c>
    </row>
    <row r="10" spans="1:7" x14ac:dyDescent="0.3">
      <c r="A10" s="158" t="s">
        <v>197</v>
      </c>
      <c r="B10" s="159">
        <v>0.05</v>
      </c>
      <c r="E10" s="18">
        <v>8</v>
      </c>
      <c r="F10" s="166">
        <f t="shared" si="0"/>
        <v>2.3384605200000013</v>
      </c>
    </row>
    <row r="11" spans="1:7" ht="15" thickBot="1" x14ac:dyDescent="0.35">
      <c r="A11" s="160" t="s">
        <v>200</v>
      </c>
      <c r="B11" s="161">
        <v>0.12</v>
      </c>
      <c r="C11" s="157" t="s">
        <v>127</v>
      </c>
      <c r="E11" s="18">
        <v>9</v>
      </c>
      <c r="F11" s="166">
        <f t="shared" si="0"/>
        <v>2.221537494000001</v>
      </c>
    </row>
    <row r="12" spans="1:7" x14ac:dyDescent="0.3">
      <c r="E12" s="18">
        <v>10</v>
      </c>
      <c r="F12" s="166">
        <f t="shared" si="0"/>
        <v>2.1104606193000008</v>
      </c>
    </row>
    <row r="13" spans="1:7" ht="15" thickBot="1" x14ac:dyDescent="0.35">
      <c r="E13" s="18">
        <v>11</v>
      </c>
      <c r="F13" s="166">
        <f t="shared" si="0"/>
        <v>2.0049375883350007</v>
      </c>
    </row>
    <row r="14" spans="1:7" x14ac:dyDescent="0.3">
      <c r="A14" s="259" t="s">
        <v>206</v>
      </c>
      <c r="B14" s="260"/>
      <c r="C14" s="261"/>
      <c r="E14" s="18">
        <v>12</v>
      </c>
      <c r="F14" s="166">
        <f t="shared" si="0"/>
        <v>1.9046907089182505</v>
      </c>
    </row>
    <row r="15" spans="1:7" x14ac:dyDescent="0.3">
      <c r="A15" s="252" t="s">
        <v>212</v>
      </c>
      <c r="B15" s="253"/>
      <c r="C15" s="254"/>
      <c r="E15" s="18">
        <v>13</v>
      </c>
      <c r="F15" s="166">
        <f t="shared" si="0"/>
        <v>1.809456173472338</v>
      </c>
    </row>
    <row r="16" spans="1:7" x14ac:dyDescent="0.3">
      <c r="A16" s="252" t="s">
        <v>203</v>
      </c>
      <c r="B16" s="253"/>
      <c r="C16" s="254"/>
      <c r="E16" s="18">
        <v>14</v>
      </c>
      <c r="F16" s="166">
        <f t="shared" si="0"/>
        <v>1.7189833647987209</v>
      </c>
    </row>
    <row r="17" spans="1:6" x14ac:dyDescent="0.3">
      <c r="A17" s="252" t="s">
        <v>204</v>
      </c>
      <c r="B17" s="253"/>
      <c r="C17" s="254"/>
      <c r="E17" s="18">
        <v>15</v>
      </c>
      <c r="F17" s="166">
        <f t="shared" si="0"/>
        <v>1.6330341965587849</v>
      </c>
    </row>
    <row r="18" spans="1:6" x14ac:dyDescent="0.3">
      <c r="A18" s="252" t="s">
        <v>205</v>
      </c>
      <c r="B18" s="253"/>
      <c r="C18" s="254"/>
      <c r="E18" s="18">
        <v>16</v>
      </c>
      <c r="F18" s="166">
        <f t="shared" si="0"/>
        <v>1.5513824867308457</v>
      </c>
    </row>
    <row r="19" spans="1:6" x14ac:dyDescent="0.3">
      <c r="A19" s="252" t="s">
        <v>209</v>
      </c>
      <c r="B19" s="253"/>
      <c r="C19" s="254"/>
      <c r="E19" s="18">
        <v>17</v>
      </c>
      <c r="F19" s="166">
        <f t="shared" si="0"/>
        <v>1.4738133623943033</v>
      </c>
    </row>
    <row r="20" spans="1:6" x14ac:dyDescent="0.3">
      <c r="A20" s="252" t="s">
        <v>210</v>
      </c>
      <c r="B20" s="253"/>
      <c r="C20" s="254"/>
      <c r="E20" s="18">
        <v>18</v>
      </c>
      <c r="F20" s="166">
        <f t="shared" si="0"/>
        <v>1.4001226942745881</v>
      </c>
    </row>
    <row r="21" spans="1:6" ht="15" thickBot="1" x14ac:dyDescent="0.35">
      <c r="A21" s="262" t="s">
        <v>211</v>
      </c>
      <c r="B21" s="263"/>
      <c r="C21" s="264"/>
      <c r="E21" s="18">
        <v>19</v>
      </c>
      <c r="F21" s="166">
        <f t="shared" si="0"/>
        <v>1.3301165595608586</v>
      </c>
    </row>
    <row r="22" spans="1:6" x14ac:dyDescent="0.3">
      <c r="E22" s="18">
        <v>20</v>
      </c>
      <c r="F22" s="166">
        <f t="shared" si="0"/>
        <v>1.2636107315828156</v>
      </c>
    </row>
    <row r="23" spans="1:6" ht="15" thickBot="1" x14ac:dyDescent="0.35">
      <c r="A23" s="8" t="s">
        <v>207</v>
      </c>
      <c r="B23" s="152">
        <f>NPV(B11,F3:F22)</f>
        <v>12.600290735832388</v>
      </c>
      <c r="C23" t="s">
        <v>190</v>
      </c>
    </row>
    <row r="24" spans="1:6" ht="15" thickBot="1" x14ac:dyDescent="0.35">
      <c r="A24" s="167" t="s">
        <v>208</v>
      </c>
      <c r="B24" s="168">
        <f>B23-B2</f>
        <v>3.3002907358323874</v>
      </c>
      <c r="C24" t="s">
        <v>190</v>
      </c>
      <c r="D24" s="255" t="s">
        <v>213</v>
      </c>
      <c r="E24" s="255"/>
      <c r="F24" s="255"/>
    </row>
    <row r="25" spans="1:6" ht="15" thickBot="1" x14ac:dyDescent="0.35"/>
    <row r="26" spans="1:6" x14ac:dyDescent="0.3">
      <c r="A26" s="265" t="s">
        <v>214</v>
      </c>
      <c r="B26" s="266"/>
      <c r="C26" s="266"/>
      <c r="D26" s="266"/>
      <c r="E26" s="266"/>
      <c r="F26" s="267"/>
    </row>
    <row r="27" spans="1:6" x14ac:dyDescent="0.3">
      <c r="A27" s="252" t="s">
        <v>215</v>
      </c>
      <c r="B27" s="253"/>
      <c r="C27" s="253"/>
      <c r="D27" s="253"/>
      <c r="E27" s="253"/>
      <c r="F27" s="254"/>
    </row>
    <row r="28" spans="1:6" x14ac:dyDescent="0.3">
      <c r="A28" s="252" t="s">
        <v>216</v>
      </c>
      <c r="B28" s="253"/>
      <c r="C28" s="253"/>
      <c r="D28" s="253"/>
      <c r="E28" s="253"/>
      <c r="F28" s="254"/>
    </row>
    <row r="29" spans="1:6" ht="15" thickBot="1" x14ac:dyDescent="0.35">
      <c r="A29" s="262" t="s">
        <v>217</v>
      </c>
      <c r="B29" s="263"/>
      <c r="C29" s="263"/>
      <c r="D29" s="263"/>
      <c r="E29" s="263"/>
      <c r="F29" s="264"/>
    </row>
  </sheetData>
  <mergeCells count="15">
    <mergeCell ref="A27:F27"/>
    <mergeCell ref="A28:F28"/>
    <mergeCell ref="A29:F29"/>
    <mergeCell ref="A26:F26"/>
    <mergeCell ref="A18:C18"/>
    <mergeCell ref="A19:C19"/>
    <mergeCell ref="A20:C20"/>
    <mergeCell ref="A21:C21"/>
    <mergeCell ref="A16:C16"/>
    <mergeCell ref="D24:F24"/>
    <mergeCell ref="A1:B1"/>
    <mergeCell ref="E1:F1"/>
    <mergeCell ref="A15:C15"/>
    <mergeCell ref="A14:C14"/>
    <mergeCell ref="A17:C17"/>
  </mergeCells>
  <conditionalFormatting sqref="B24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conditionalFormatting sqref="F3:F22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6234-C3DC-4800-BCA6-E3939037C48D}">
  <dimension ref="A1:E6"/>
  <sheetViews>
    <sheetView workbookViewId="0">
      <selection activeCell="E7" sqref="E7"/>
    </sheetView>
  </sheetViews>
  <sheetFormatPr defaultRowHeight="14.4" x14ac:dyDescent="0.3"/>
  <cols>
    <col min="2" max="2" width="28" bestFit="1" customWidth="1"/>
    <col min="4" max="4" width="17.6640625" bestFit="1" customWidth="1"/>
    <col min="5" max="5" width="12.77734375" bestFit="1" customWidth="1"/>
  </cols>
  <sheetData>
    <row r="1" spans="1:5" ht="15" customHeight="1" x14ac:dyDescent="0.3">
      <c r="A1" s="169" t="s">
        <v>65</v>
      </c>
      <c r="B1" s="170" t="s">
        <v>221</v>
      </c>
      <c r="D1" s="174" t="s">
        <v>219</v>
      </c>
      <c r="E1" s="175">
        <v>150000</v>
      </c>
    </row>
    <row r="2" spans="1:5" x14ac:dyDescent="0.3">
      <c r="A2" s="171">
        <v>1</v>
      </c>
      <c r="B2" s="172">
        <v>30000</v>
      </c>
      <c r="D2" s="176" t="s">
        <v>218</v>
      </c>
      <c r="E2" s="177">
        <v>0.15</v>
      </c>
    </row>
    <row r="3" spans="1:5" x14ac:dyDescent="0.3">
      <c r="A3" s="171">
        <v>2</v>
      </c>
      <c r="B3" s="172">
        <v>65000</v>
      </c>
    </row>
    <row r="4" spans="1:5" x14ac:dyDescent="0.3">
      <c r="A4" s="171">
        <v>3</v>
      </c>
      <c r="B4" s="172">
        <v>80000</v>
      </c>
      <c r="D4" s="173" t="s">
        <v>220</v>
      </c>
      <c r="E4" s="1">
        <f>NPV(E2,B2:B6) - E1</f>
        <v>48063.807351472788</v>
      </c>
    </row>
    <row r="5" spans="1:5" x14ac:dyDescent="0.3">
      <c r="A5" s="171">
        <v>4</v>
      </c>
      <c r="B5" s="172">
        <v>75000</v>
      </c>
    </row>
    <row r="6" spans="1:5" x14ac:dyDescent="0.3">
      <c r="A6" s="171">
        <v>5</v>
      </c>
      <c r="B6" s="172">
        <v>55000</v>
      </c>
    </row>
  </sheetData>
  <conditionalFormatting sqref="E4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Orçamento</vt:lpstr>
      <vt:lpstr>NCAA T-SHIRTS</vt:lpstr>
      <vt:lpstr>Woodworks</vt:lpstr>
      <vt:lpstr>Quality Sweater co.</vt:lpstr>
      <vt:lpstr>Exercício - hot dog</vt:lpstr>
      <vt:lpstr>B&amp;N Bookstore</vt:lpstr>
      <vt:lpstr>Exercício - copiadora</vt:lpstr>
      <vt:lpstr>Exercício - banda</vt:lpstr>
      <vt:lpstr>Golfe</vt:lpstr>
      <vt:lpstr>Drogaria</vt:lpstr>
      <vt:lpstr>Exercício - NPV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Andriele Mendonça</dc:creator>
  <cp:lastModifiedBy>Andriele Mendonça</cp:lastModifiedBy>
  <dcterms:created xsi:type="dcterms:W3CDTF">2024-01-15T17:04:15Z</dcterms:created>
  <dcterms:modified xsi:type="dcterms:W3CDTF">2024-01-30T22:13:24Z</dcterms:modified>
</cp:coreProperties>
</file>