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lsilva\Desktop\"/>
    </mc:Choice>
  </mc:AlternateContent>
  <xr:revisionPtr revIDLastSave="0" documentId="13_ncr:1_{C3880A8D-7E50-481A-B37E-14C0DE3F5515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Sistema Hexano-Octano" sheetId="2" r:id="rId1"/>
    <sheet name="Especificações de Transcal" sheetId="3" r:id="rId2"/>
    <sheet name="Rrop 0,491" sheetId="4" r:id="rId3"/>
    <sheet name="Rrop 0,510" sheetId="9" r:id="rId4"/>
    <sheet name="Rrop 0,529" sheetId="10" r:id="rId5"/>
    <sheet name="Rrop 0,548" sheetId="11" r:id="rId6"/>
    <sheet name="Rrop 0,567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" l="1"/>
  <c r="H28" i="3"/>
  <c r="H23" i="3"/>
  <c r="H18" i="3"/>
  <c r="H13" i="3"/>
  <c r="AX7" i="2"/>
  <c r="F35" i="3" l="1"/>
  <c r="E35" i="3"/>
  <c r="G34" i="3"/>
  <c r="G33" i="3"/>
  <c r="F30" i="3"/>
  <c r="E30" i="3"/>
  <c r="G29" i="3"/>
  <c r="G28" i="3"/>
  <c r="F25" i="3"/>
  <c r="E25" i="3"/>
  <c r="G24" i="3"/>
  <c r="G23" i="3"/>
  <c r="F20" i="3"/>
  <c r="E20" i="3"/>
  <c r="G19" i="3"/>
  <c r="G18" i="3"/>
  <c r="G14" i="3"/>
  <c r="G13" i="3"/>
  <c r="F15" i="3"/>
  <c r="E15" i="3"/>
  <c r="H4" i="12" l="1"/>
  <c r="H4" i="11"/>
  <c r="H4" i="10"/>
  <c r="H4" i="9"/>
  <c r="H4" i="4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G19" i="2" s="1"/>
  <c r="M9" i="2"/>
  <c r="AS8" i="2"/>
  <c r="V4" i="2"/>
  <c r="M10" i="2" l="1"/>
  <c r="G26" i="2"/>
  <c r="H26" i="2" s="1"/>
  <c r="G21" i="2"/>
  <c r="H21" i="2" s="1"/>
  <c r="G25" i="2"/>
  <c r="H25" i="2" s="1"/>
  <c r="G24" i="2"/>
  <c r="H24" i="2" s="1"/>
  <c r="G23" i="2"/>
  <c r="H23" i="2" s="1"/>
  <c r="G22" i="2"/>
  <c r="H22" i="2" s="1"/>
  <c r="G20" i="2"/>
  <c r="H20" i="2" s="1"/>
  <c r="C7" i="12" l="1"/>
  <c r="C7" i="9"/>
  <c r="C7" i="11"/>
  <c r="C7" i="10"/>
  <c r="U10" i="2"/>
  <c r="Y16" i="2" s="1"/>
  <c r="Y17" i="2" s="1"/>
  <c r="C7" i="4"/>
  <c r="G10" i="4" s="1"/>
  <c r="K16" i="4" s="1"/>
  <c r="K17" i="4" s="1"/>
  <c r="H28" i="2"/>
  <c r="C10" i="10" l="1"/>
  <c r="S7" i="10" s="1"/>
  <c r="C10" i="9"/>
  <c r="S7" i="9" s="1"/>
  <c r="C10" i="11"/>
  <c r="S7" i="11" s="1"/>
  <c r="C10" i="12"/>
  <c r="S7" i="12" s="1"/>
  <c r="G10" i="12"/>
  <c r="K16" i="12" s="1"/>
  <c r="K17" i="12" s="1"/>
  <c r="G10" i="10"/>
  <c r="K16" i="10" s="1"/>
  <c r="K17" i="10" s="1"/>
  <c r="G10" i="9"/>
  <c r="K16" i="9" s="1"/>
  <c r="K17" i="9" s="1"/>
  <c r="G10" i="11"/>
  <c r="K16" i="11" s="1"/>
  <c r="K17" i="11" s="1"/>
  <c r="AS10" i="2"/>
  <c r="AG7" i="2"/>
  <c r="M35" i="2"/>
  <c r="M38" i="2" s="1"/>
  <c r="M46" i="2" s="1"/>
  <c r="Q32" i="2"/>
  <c r="C10" i="4"/>
  <c r="S7" i="4" s="1"/>
  <c r="X4" i="4" l="1"/>
  <c r="X4" i="10"/>
  <c r="X4" i="12"/>
  <c r="X4" i="9"/>
  <c r="X4" i="11"/>
  <c r="C32" i="3"/>
  <c r="C11" i="12"/>
  <c r="H34" i="3"/>
  <c r="M42" i="2"/>
  <c r="M44" i="2"/>
  <c r="M43" i="2"/>
  <c r="M45" i="2"/>
  <c r="H35" i="3" l="1"/>
  <c r="C27" i="3"/>
  <c r="C11" i="11"/>
  <c r="H29" i="3"/>
  <c r="C17" i="3"/>
  <c r="C11" i="9"/>
  <c r="H19" i="3"/>
  <c r="C22" i="3"/>
  <c r="C11" i="10"/>
  <c r="H24" i="3"/>
  <c r="G8" i="12"/>
  <c r="G7" i="12"/>
  <c r="C12" i="3"/>
  <c r="U8" i="2"/>
  <c r="C11" i="4"/>
  <c r="G8" i="4" s="1"/>
  <c r="U7" i="2"/>
  <c r="U9" i="2" s="1"/>
  <c r="V16" i="2" s="1"/>
  <c r="H14" i="3"/>
  <c r="G7" i="4" l="1"/>
  <c r="G9" i="4" s="1"/>
  <c r="H16" i="4" s="1"/>
  <c r="H17" i="4" s="1"/>
  <c r="H20" i="3"/>
  <c r="H30" i="3"/>
  <c r="G16" i="12"/>
  <c r="G17" i="12" s="1"/>
  <c r="G9" i="12"/>
  <c r="H16" i="12" s="1"/>
  <c r="H15" i="3"/>
  <c r="G8" i="11"/>
  <c r="G7" i="11"/>
  <c r="G8" i="9"/>
  <c r="G7" i="9"/>
  <c r="H25" i="3"/>
  <c r="G8" i="10"/>
  <c r="G7" i="10"/>
  <c r="U16" i="2"/>
  <c r="W16" i="2" s="1"/>
  <c r="J16" i="4"/>
  <c r="L16" i="4" s="1"/>
  <c r="X16" i="2"/>
  <c r="Z16" i="2" s="1"/>
  <c r="V17" i="2"/>
  <c r="G16" i="4" l="1"/>
  <c r="I16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G16" i="11"/>
  <c r="G17" i="11" s="1"/>
  <c r="G9" i="11"/>
  <c r="H16" i="11" s="1"/>
  <c r="I16" i="12"/>
  <c r="H17" i="12"/>
  <c r="I17" i="12" s="1"/>
  <c r="J16" i="12"/>
  <c r="L16" i="12" s="1"/>
  <c r="G16" i="10"/>
  <c r="G9" i="10"/>
  <c r="H16" i="10" s="1"/>
  <c r="G9" i="9"/>
  <c r="H16" i="9" s="1"/>
  <c r="G16" i="9"/>
  <c r="U17" i="2"/>
  <c r="AA17" i="2" s="1"/>
  <c r="AG8" i="2"/>
  <c r="AG9" i="2" s="1"/>
  <c r="AG10" i="2" s="1"/>
  <c r="AG11" i="2" s="1"/>
  <c r="AG12" i="2" s="1"/>
  <c r="AG13" i="2" s="1"/>
  <c r="AG14" i="2" s="1"/>
  <c r="AG15" i="2" s="1"/>
  <c r="AG16" i="2" s="1"/>
  <c r="AG17" i="2" s="1"/>
  <c r="J17" i="4"/>
  <c r="L17" i="4" s="1"/>
  <c r="X17" i="2"/>
  <c r="Z17" i="2" s="1"/>
  <c r="G17" i="4" l="1"/>
  <c r="M17" i="4" s="1"/>
  <c r="N17" i="12"/>
  <c r="H17" i="10"/>
  <c r="J16" i="10"/>
  <c r="L16" i="10" s="1"/>
  <c r="I16" i="10"/>
  <c r="G17" i="10"/>
  <c r="M17" i="12"/>
  <c r="J17" i="12"/>
  <c r="L17" i="12" s="1"/>
  <c r="G17" i="9"/>
  <c r="I16" i="9"/>
  <c r="S8" i="12"/>
  <c r="S9" i="12" s="1"/>
  <c r="S10" i="12" s="1"/>
  <c r="S11" i="12" s="1"/>
  <c r="S12" i="12" s="1"/>
  <c r="S13" i="12" s="1"/>
  <c r="S14" i="12" s="1"/>
  <c r="S15" i="12" s="1"/>
  <c r="S16" i="12" s="1"/>
  <c r="S17" i="12" s="1"/>
  <c r="J16" i="9"/>
  <c r="L16" i="9" s="1"/>
  <c r="H17" i="9"/>
  <c r="I16" i="11"/>
  <c r="J16" i="11"/>
  <c r="L16" i="11" s="1"/>
  <c r="H17" i="11"/>
  <c r="N17" i="4"/>
  <c r="I17" i="4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W17" i="2"/>
  <c r="AG18" i="2" s="1"/>
  <c r="AG19" i="2" s="1"/>
  <c r="AG20" i="2" s="1"/>
  <c r="AG21" i="2" s="1"/>
  <c r="AG22" i="2" s="1"/>
  <c r="AG23" i="2" s="1"/>
  <c r="AG24" i="2" s="1"/>
  <c r="AG25" i="2" s="1"/>
  <c r="AB17" i="2"/>
  <c r="S8" i="11" l="1"/>
  <c r="S9" i="11" s="1"/>
  <c r="S10" i="11" s="1"/>
  <c r="S11" i="11" s="1"/>
  <c r="S12" i="11" s="1"/>
  <c r="S13" i="11" s="1"/>
  <c r="S14" i="11" s="1"/>
  <c r="S15" i="11" s="1"/>
  <c r="S16" i="11" s="1"/>
  <c r="S17" i="11" s="1"/>
  <c r="S18" i="12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I17" i="10"/>
  <c r="N17" i="10"/>
  <c r="N17" i="9"/>
  <c r="I17" i="9"/>
  <c r="M17" i="11"/>
  <c r="J17" i="11"/>
  <c r="L17" i="11" s="1"/>
  <c r="J17" i="10"/>
  <c r="L17" i="10" s="1"/>
  <c r="M17" i="10"/>
  <c r="J17" i="9"/>
  <c r="L17" i="9" s="1"/>
  <c r="M17" i="9"/>
  <c r="S8" i="10"/>
  <c r="S9" i="10" s="1"/>
  <c r="S10" i="10" s="1"/>
  <c r="S11" i="10" s="1"/>
  <c r="S12" i="10" s="1"/>
  <c r="S13" i="10" s="1"/>
  <c r="S14" i="10" s="1"/>
  <c r="S15" i="10" s="1"/>
  <c r="S16" i="10" s="1"/>
  <c r="S17" i="10" s="1"/>
  <c r="I17" i="11"/>
  <c r="N17" i="11"/>
  <c r="S8" i="9"/>
  <c r="S9" i="9" s="1"/>
  <c r="S10" i="9" s="1"/>
  <c r="S11" i="9" s="1"/>
  <c r="S12" i="9" s="1"/>
  <c r="S13" i="9" s="1"/>
  <c r="S14" i="9" s="1"/>
  <c r="S15" i="9" s="1"/>
  <c r="S16" i="9" s="1"/>
  <c r="S17" i="9" s="1"/>
  <c r="S18" i="11" l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18" i="9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18" i="10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</calcChain>
</file>

<file path=xl/sharedStrings.xml><?xml version="1.0" encoding="utf-8"?>
<sst xmlns="http://schemas.openxmlformats.org/spreadsheetml/2006/main" count="500" uniqueCount="144">
  <si>
    <t>1º passo: Balanço de Massa</t>
  </si>
  <si>
    <t>3º passo: Preencher a tabela das retas de operação</t>
  </si>
  <si>
    <t>4º passo: Calcular o número de estágios teóricos</t>
  </si>
  <si>
    <t>5º passo: Calcular a eficiência</t>
  </si>
  <si>
    <t>6º passo: Calcular o número de estágios reais</t>
  </si>
  <si>
    <t>Global</t>
  </si>
  <si>
    <t>F = B + D</t>
  </si>
  <si>
    <t>nº de perturbações:</t>
  </si>
  <si>
    <t>(carga)</t>
  </si>
  <si>
    <t>Condensador total:</t>
  </si>
  <si>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x</t>
    </r>
    <r>
      <rPr>
        <vertAlign val="subscript"/>
        <sz val="11"/>
        <color theme="1"/>
        <rFont val="Calibri"/>
        <family val="2"/>
      </rPr>
      <t>o</t>
    </r>
  </si>
  <si>
    <t>Por componente</t>
  </si>
  <si>
    <r>
      <rPr>
        <sz val="11"/>
        <color theme="1"/>
        <rFont val="Calibri"/>
        <family val="2"/>
      </rPr>
      <t>F * z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=  D * x</t>
    </r>
    <r>
      <rPr>
        <vertAlign val="sub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+ B * x</t>
    </r>
    <r>
      <rPr>
        <vertAlign val="subscript"/>
        <sz val="11"/>
        <color theme="1"/>
        <rFont val="Calibri"/>
        <family val="2"/>
      </rPr>
      <t>B</t>
    </r>
  </si>
  <si>
    <t>nº de sessões:</t>
  </si>
  <si>
    <t>(ROSA e ROSE)</t>
  </si>
  <si>
    <t>x0</t>
  </si>
  <si>
    <t>Sessão 0:</t>
  </si>
  <si>
    <t>y1</t>
  </si>
  <si>
    <t>cP</t>
  </si>
  <si>
    <t>Condições do Processo:</t>
  </si>
  <si>
    <r>
      <rPr>
        <sz val="11"/>
        <color theme="1"/>
        <rFont val="Calibri"/>
        <family val="2"/>
      </rPr>
      <t>L</t>
    </r>
    <r>
      <rPr>
        <vertAlign val="subscript"/>
        <sz val="11"/>
        <color theme="1"/>
        <rFont val="Calibri"/>
        <family val="2"/>
      </rPr>
      <t>o</t>
    </r>
  </si>
  <si>
    <t>kmol/h</t>
  </si>
  <si>
    <t>x1</t>
  </si>
  <si>
    <t>Vazão (F)</t>
  </si>
  <si>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Rop</t>
    </r>
  </si>
  <si>
    <t>y2</t>
  </si>
  <si>
    <t>viscosidade da carga:</t>
  </si>
  <si>
    <t>B =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</si>
  <si>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o</t>
    </r>
  </si>
  <si>
    <t>x2</t>
  </si>
  <si>
    <t>D =</t>
  </si>
  <si>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 xml:space="preserve">o </t>
    </r>
    <r>
      <rPr>
        <sz val="11"/>
        <color theme="1"/>
        <rFont val="Calibri"/>
        <family val="2"/>
      </rPr>
      <t>* z</t>
    </r>
    <r>
      <rPr>
        <vertAlign val="subscript"/>
        <sz val="11"/>
        <color theme="1"/>
        <rFont val="Calibri"/>
        <family val="2"/>
      </rPr>
      <t>o</t>
    </r>
  </si>
  <si>
    <t>y3</t>
  </si>
  <si>
    <t>Eficiência de O'Connell:</t>
  </si>
  <si>
    <t>%</t>
  </si>
  <si>
    <t>x3</t>
  </si>
  <si>
    <t>Destilado</t>
  </si>
  <si>
    <t>Vazões</t>
  </si>
  <si>
    <t>Coef. Angular</t>
  </si>
  <si>
    <t>Coef. Linear</t>
  </si>
  <si>
    <t>Pontos de Interseção</t>
  </si>
  <si>
    <t>y4</t>
  </si>
  <si>
    <r>
      <rPr>
        <b/>
        <sz val="11"/>
        <color theme="1"/>
        <rFont val="Calibri"/>
        <family val="2"/>
      </rPr>
      <t>x</t>
    </r>
    <r>
      <rPr>
        <b/>
        <vertAlign val="subscript"/>
        <sz val="11"/>
        <color theme="1"/>
        <rFont val="Calibri"/>
        <family val="2"/>
      </rPr>
      <t>D</t>
    </r>
  </si>
  <si>
    <t>2º passo: Razão de Refluxo</t>
  </si>
  <si>
    <t>x4</t>
  </si>
  <si>
    <r>
      <rPr>
        <b/>
        <sz val="11"/>
        <color theme="1"/>
        <rFont val="Calibri"/>
        <family val="2"/>
      </rPr>
      <t>y</t>
    </r>
    <r>
      <rPr>
        <b/>
        <vertAlign val="subscript"/>
        <sz val="11"/>
        <color theme="1"/>
        <rFont val="Calibri"/>
        <family val="2"/>
      </rPr>
      <t>D</t>
    </r>
  </si>
  <si>
    <t>(Assumindo condensador total)</t>
  </si>
  <si>
    <t>j</t>
  </si>
  <si>
    <r>
      <rPr>
        <b/>
        <sz val="11"/>
        <color theme="1"/>
        <rFont val="Calibri"/>
        <family val="2"/>
      </rPr>
      <t>L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</si>
  <si>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</si>
  <si>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L</t>
    </r>
    <r>
      <rPr>
        <b/>
        <vertAlign val="subscript"/>
        <sz val="11"/>
        <color theme="1"/>
        <rFont val="Calibri"/>
        <family val="2"/>
      </rPr>
      <t>j</t>
    </r>
    <r>
      <rPr>
        <b/>
        <sz val="11"/>
        <color theme="1"/>
        <rFont val="Calibri"/>
        <family val="2"/>
      </rPr>
      <t>/V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</si>
  <si>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1/V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</si>
  <si>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x</t>
    </r>
    <r>
      <rPr>
        <b/>
        <vertAlign val="subscript"/>
        <sz val="11"/>
        <color theme="1"/>
        <rFont val="Calibri"/>
        <family val="2"/>
      </rPr>
      <t>j-1,j</t>
    </r>
  </si>
  <si>
    <r>
      <rPr>
        <b/>
        <sz val="11"/>
        <color theme="1"/>
        <rFont val="Calibri"/>
        <family val="2"/>
      </rPr>
      <t>y</t>
    </r>
    <r>
      <rPr>
        <b/>
        <vertAlign val="subscript"/>
        <sz val="11"/>
        <color theme="1"/>
        <rFont val="Calibri"/>
        <family val="2"/>
      </rPr>
      <t>j-1,j</t>
    </r>
  </si>
  <si>
    <t>y5</t>
  </si>
  <si>
    <t>Resíduo máximo</t>
  </si>
  <si>
    <t>x5</t>
  </si>
  <si>
    <r>
      <rPr>
        <b/>
        <sz val="11"/>
        <color theme="1"/>
        <rFont val="Calibri"/>
        <family val="2"/>
      </rPr>
      <t>x</t>
    </r>
    <r>
      <rPr>
        <b/>
        <vertAlign val="subscript"/>
        <sz val="11"/>
        <color theme="1"/>
        <rFont val="Calibri"/>
        <family val="2"/>
      </rPr>
      <t>B</t>
    </r>
  </si>
  <si>
    <t>-</t>
  </si>
  <si>
    <t>y6</t>
  </si>
  <si>
    <t>x6</t>
  </si>
  <si>
    <t>&lt; x 0,1</t>
  </si>
  <si>
    <t>y7</t>
  </si>
  <si>
    <t>x7</t>
  </si>
  <si>
    <t>y8</t>
  </si>
  <si>
    <t>x8</t>
  </si>
  <si>
    <t>y9</t>
  </si>
  <si>
    <t>x9</t>
  </si>
  <si>
    <t>y10</t>
  </si>
  <si>
    <t>x10</t>
  </si>
  <si>
    <t>y11</t>
  </si>
  <si>
    <t>x11</t>
  </si>
  <si>
    <t>y12</t>
  </si>
  <si>
    <t>x12</t>
  </si>
  <si>
    <t>α médio</t>
  </si>
  <si>
    <t>Carga</t>
  </si>
  <si>
    <t>β =</t>
  </si>
  <si>
    <t xml:space="preserve">α constante = </t>
  </si>
  <si>
    <r>
      <rPr>
        <sz val="11"/>
        <color theme="1"/>
        <rFont val="Calibri"/>
        <family val="2"/>
      </rPr>
      <t>z</t>
    </r>
    <r>
      <rPr>
        <vertAlign val="subscript"/>
        <sz val="11"/>
        <color theme="1"/>
        <rFont val="Calibri"/>
        <family val="2"/>
      </rPr>
      <t>F</t>
    </r>
  </si>
  <si>
    <t>&lt; xB</t>
  </si>
  <si>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Calibri"/>
        <family val="2"/>
      </rPr>
      <t>F</t>
    </r>
  </si>
  <si>
    <r>
      <rPr>
        <sz val="11"/>
        <color theme="1"/>
        <rFont val="Calibri"/>
        <family val="2"/>
      </rPr>
      <t>y</t>
    </r>
    <r>
      <rPr>
        <vertAlign val="subscript"/>
        <sz val="11"/>
        <color theme="1"/>
        <rFont val="Calibri"/>
        <family val="2"/>
      </rPr>
      <t>F</t>
    </r>
  </si>
  <si>
    <t>estágios teóricos</t>
  </si>
  <si>
    <t>Razão de Refluxo Mínima</t>
  </si>
  <si>
    <t>Lmin/D</t>
  </si>
  <si>
    <t>Razão de Refluxo de Operação</t>
  </si>
  <si>
    <r>
      <rPr>
        <sz val="11"/>
        <color theme="1"/>
        <rFont val="Calibri"/>
        <family val="2"/>
      </rPr>
      <t>Heurística: 1,3 - 1,5 * R</t>
    </r>
    <r>
      <rPr>
        <vertAlign val="subscript"/>
        <sz val="11"/>
        <color theme="1"/>
        <rFont val="Calibri"/>
        <family val="2"/>
      </rPr>
      <t>Rmin</t>
    </r>
  </si>
  <si>
    <t>Determinação das Temperaturas das Correntes de Entrada e Saída do Condensador e Refervedor</t>
  </si>
  <si>
    <t>Determinação das Entalpias das Correntes de Entrada e Saída do Condensador e Refervedor</t>
  </si>
  <si>
    <t>Refervedor</t>
  </si>
  <si>
    <t>Condensador</t>
  </si>
  <si>
    <t>Te (T bolha) (°C)</t>
  </si>
  <si>
    <t>Te (T orvalho) (°C)</t>
  </si>
  <si>
    <t>Ts (T orvalho) (°C)</t>
  </si>
  <si>
    <t>Ts (T bolha) (°C)</t>
  </si>
  <si>
    <t>Retas de Operação</t>
  </si>
  <si>
    <t>Estágios teóricos</t>
  </si>
  <si>
    <t>Estágios reais</t>
  </si>
  <si>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x</t>
    </r>
    <r>
      <rPr>
        <vertAlign val="subscript"/>
        <sz val="11"/>
        <color theme="1"/>
        <rFont val="Calibri"/>
        <family val="2"/>
      </rPr>
      <t>o</t>
    </r>
  </si>
  <si>
    <t>Dados necessários para cálculos:</t>
  </si>
  <si>
    <t>Vazão (F) kmol/h:</t>
  </si>
  <si>
    <t>Vazão (D) kmol/h:</t>
  </si>
  <si>
    <r>
      <rPr>
        <sz val="11"/>
        <color theme="1"/>
        <rFont val="Calibri"/>
        <family val="2"/>
      </rPr>
      <t>L</t>
    </r>
    <r>
      <rPr>
        <vertAlign val="subscript"/>
        <sz val="11"/>
        <color theme="1"/>
        <rFont val="Calibri"/>
        <family val="2"/>
      </rPr>
      <t>o</t>
    </r>
  </si>
  <si>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Rop</t>
    </r>
  </si>
  <si>
    <t>yD: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</si>
  <si>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o</t>
    </r>
  </si>
  <si>
    <t>α médio:</t>
  </si>
  <si>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 xml:space="preserve">o </t>
    </r>
    <r>
      <rPr>
        <sz val="11"/>
        <color theme="1"/>
        <rFont val="Calibri"/>
        <family val="2"/>
      </rPr>
      <t>* z</t>
    </r>
    <r>
      <rPr>
        <vertAlign val="subscript"/>
        <sz val="11"/>
        <color theme="1"/>
        <rFont val="Calibri"/>
        <family val="2"/>
      </rPr>
      <t>o</t>
    </r>
  </si>
  <si>
    <t>Razão de Refluxo de Operação:</t>
  </si>
  <si>
    <r>
      <rPr>
        <b/>
        <sz val="11"/>
        <color theme="1"/>
        <rFont val="Calibri"/>
        <family val="2"/>
      </rPr>
      <t>L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</si>
  <si>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</si>
  <si>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L</t>
    </r>
    <r>
      <rPr>
        <b/>
        <vertAlign val="subscript"/>
        <sz val="11"/>
        <color theme="1"/>
        <rFont val="Calibri"/>
        <family val="2"/>
      </rPr>
      <t>j</t>
    </r>
    <r>
      <rPr>
        <b/>
        <sz val="11"/>
        <color theme="1"/>
        <rFont val="Calibri"/>
        <family val="2"/>
      </rPr>
      <t>/V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</si>
  <si>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1/V</t>
    </r>
    <r>
      <rPr>
        <b/>
        <vertAlign val="subscript"/>
        <sz val="11"/>
        <color theme="1"/>
        <rFont val="Calibri"/>
        <family val="2"/>
      </rPr>
      <t>j</t>
    </r>
  </si>
  <si>
    <r>
      <rPr>
        <b/>
        <sz val="11"/>
        <color theme="1"/>
        <rFont val="Calibri"/>
        <family val="2"/>
      </rPr>
      <t>x</t>
    </r>
    <r>
      <rPr>
        <b/>
        <vertAlign val="subscript"/>
        <sz val="11"/>
        <color theme="1"/>
        <rFont val="Calibri"/>
        <family val="2"/>
      </rPr>
      <t>j-1,j</t>
    </r>
  </si>
  <si>
    <r>
      <rPr>
        <b/>
        <sz val="11"/>
        <color theme="1"/>
        <rFont val="Calibri"/>
        <family val="2"/>
      </rPr>
      <t>y</t>
    </r>
    <r>
      <rPr>
        <b/>
        <vertAlign val="subscript"/>
        <sz val="11"/>
        <color theme="1"/>
        <rFont val="Calibri"/>
        <family val="2"/>
      </rPr>
      <t>j-1,j</t>
    </r>
  </si>
  <si>
    <t>Carga (Zf)</t>
  </si>
  <si>
    <t>n-hexano</t>
  </si>
  <si>
    <t>n-octano</t>
  </si>
  <si>
    <t>Determinar uma volatilidade relativa constante a partir dos dados de equilíbrio do sistema a 1 atm:</t>
  </si>
  <si>
    <t>xHexano</t>
  </si>
  <si>
    <t>yHexano</t>
  </si>
  <si>
    <t>KHexano</t>
  </si>
  <si>
    <t>xOctano</t>
  </si>
  <si>
    <t>yOctano</t>
  </si>
  <si>
    <t>KOctano</t>
  </si>
  <si>
    <t>D = 100 - B</t>
  </si>
  <si>
    <t>100*0,5 = D*0,97 + B*0,03</t>
  </si>
  <si>
    <t>100*0,5 = (100-B)*0,97 + B*0,03</t>
  </si>
  <si>
    <t>Carga na condição de líquido saturado (β=0)</t>
  </si>
  <si>
    <t>Obter a viscosidade da carga a partir da fraçao das viscosidade de cada componente da mistura, na temperatura da carga (87 ºC: ponto de bolha). Pelo diagrama abaixo:</t>
  </si>
  <si>
    <t>viscosidade n-hexano:</t>
  </si>
  <si>
    <t>viscosidade n-octano:</t>
  </si>
  <si>
    <t>Sistema: Hexano-Octano</t>
  </si>
  <si>
    <t>Carga (zF) Hexano:</t>
  </si>
  <si>
    <t>Líq. Sat.</t>
  </si>
  <si>
    <t>Vaporizado</t>
  </si>
  <si>
    <t>Δh (kJ/kmol)</t>
  </si>
  <si>
    <t>Gasto Energético (MJ/h)</t>
  </si>
  <si>
    <t>Topo</t>
  </si>
  <si>
    <t>Fundo</t>
  </si>
  <si>
    <t>Total</t>
  </si>
  <si>
    <t>Rrop:</t>
  </si>
  <si>
    <r>
      <t>α Hexano/</t>
    </r>
    <r>
      <rPr>
        <b/>
        <vertAlign val="subscript"/>
        <sz val="14"/>
        <color theme="0"/>
        <rFont val="Calibri"/>
        <family val="2"/>
      </rPr>
      <t>Octano</t>
    </r>
  </si>
  <si>
    <r>
      <t>N</t>
    </r>
    <r>
      <rPr>
        <vertAlign val="subscript"/>
        <sz val="11"/>
        <color theme="0"/>
        <rFont val="Calibri"/>
        <family val="2"/>
      </rPr>
      <t>real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</si>
</sst>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"/>
    <numFmt numFmtId="166" formatCode="0.000000"/>
    <numFmt numFmtId="167" formatCode="0.00000"/>
    <numFmt numFmtId="168" formatCode="0.0000"/>
    <numFmt numFmtId="169" formatCode="0.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1"/>
      <color theme="0"/>
      <name val="Calibri"/>
      <family val="2"/>
    </font>
    <font>
      <b/>
      <vertAlign val="subscript"/>
      <sz val="14"/>
      <color theme="0"/>
      <name val="Calibri"/>
      <family val="2"/>
    </font>
    <font>
      <vertAlign val="subscript"/>
      <sz val="11"/>
      <color theme="0"/>
      <name val="Calibri"/>
      <family val="2"/>
    </font>
    <font>
      <b/>
      <sz val="10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D0CECE"/>
        <bgColor rgb="FFD0CE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rgb="FFBDD6EE"/>
      </patternFill>
    </fill>
    <fill>
      <patternFill patternType="solid">
        <fgColor rgb="FF002060"/>
        <bgColor indexed="64"/>
      </patternFill>
    </fill>
    <fill>
      <patternFill patternType="solid">
        <fgColor theme="2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1" xfId="0" applyFont="1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5" borderId="10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5" borderId="12" xfId="0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3" borderId="1" xfId="0" applyFont="1" applyFill="1" applyBorder="1"/>
    <xf numFmtId="165" fontId="2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6" borderId="7" xfId="0" applyFont="1" applyFill="1" applyBorder="1"/>
    <xf numFmtId="164" fontId="3" fillId="6" borderId="7" xfId="0" applyNumberFormat="1" applyFont="1" applyFill="1" applyBorder="1"/>
    <xf numFmtId="168" fontId="3" fillId="0" borderId="1" xfId="0" applyNumberFormat="1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3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7" fillId="0" borderId="17" xfId="0" applyFont="1" applyBorder="1"/>
    <xf numFmtId="0" fontId="7" fillId="0" borderId="14" xfId="0" applyFont="1" applyBorder="1"/>
    <xf numFmtId="2" fontId="3" fillId="0" borderId="4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2" fontId="5" fillId="0" borderId="0" xfId="0" applyNumberFormat="1" applyFont="1"/>
    <xf numFmtId="0" fontId="3" fillId="3" borderId="1" xfId="0" applyFont="1" applyFill="1" applyBorder="1" applyAlignment="1">
      <alignment horizontal="left"/>
    </xf>
    <xf numFmtId="168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 applyAlignment="1">
      <alignment vertical="top"/>
    </xf>
    <xf numFmtId="169" fontId="3" fillId="0" borderId="1" xfId="0" applyNumberFormat="1" applyFont="1" applyBorder="1" applyAlignment="1">
      <alignment horizontal="center"/>
    </xf>
    <xf numFmtId="0" fontId="1" fillId="0" borderId="0" xfId="0" applyFont="1"/>
    <xf numFmtId="0" fontId="5" fillId="9" borderId="0" xfId="0" applyFont="1" applyFill="1"/>
    <xf numFmtId="165" fontId="3" fillId="9" borderId="0" xfId="0" applyNumberFormat="1" applyFont="1" applyFill="1"/>
    <xf numFmtId="164" fontId="3" fillId="9" borderId="0" xfId="0" applyNumberFormat="1" applyFont="1" applyFill="1"/>
    <xf numFmtId="0" fontId="3" fillId="0" borderId="7" xfId="0" applyFont="1" applyBorder="1"/>
    <xf numFmtId="164" fontId="3" fillId="0" borderId="7" xfId="0" applyNumberFormat="1" applyFont="1" applyBorder="1"/>
    <xf numFmtId="0" fontId="10" fillId="0" borderId="0" xfId="0" applyFont="1" applyAlignment="1">
      <alignment horizontal="center"/>
    </xf>
    <xf numFmtId="0" fontId="11" fillId="10" borderId="21" xfId="0" applyFont="1" applyFill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/>
    </xf>
    <xf numFmtId="165" fontId="12" fillId="0" borderId="21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3" fillId="9" borderId="7" xfId="0" applyFont="1" applyFill="1" applyBorder="1"/>
    <xf numFmtId="165" fontId="3" fillId="9" borderId="7" xfId="0" applyNumberFormat="1" applyFont="1" applyFill="1" applyBorder="1"/>
    <xf numFmtId="165" fontId="3" fillId="0" borderId="7" xfId="0" applyNumberFormat="1" applyFont="1" applyBorder="1"/>
    <xf numFmtId="165" fontId="3" fillId="11" borderId="0" xfId="0" applyNumberFormat="1" applyFont="1" applyFill="1"/>
    <xf numFmtId="0" fontId="4" fillId="0" borderId="4" xfId="0" applyFont="1" applyBorder="1"/>
    <xf numFmtId="0" fontId="3" fillId="0" borderId="2" xfId="0" applyFont="1" applyBorder="1"/>
    <xf numFmtId="0" fontId="13" fillId="0" borderId="14" xfId="0" applyFont="1" applyBorder="1"/>
    <xf numFmtId="0" fontId="14" fillId="12" borderId="1" xfId="0" applyFont="1" applyFill="1" applyBorder="1"/>
    <xf numFmtId="0" fontId="14" fillId="12" borderId="1" xfId="0" applyFont="1" applyFill="1" applyBorder="1" applyAlignment="1">
      <alignment horizontal="center"/>
    </xf>
    <xf numFmtId="0" fontId="0" fillId="14" borderId="0" xfId="0" applyFill="1"/>
    <xf numFmtId="0" fontId="14" fillId="12" borderId="2" xfId="0" applyFont="1" applyFill="1" applyBorder="1" applyAlignment="1">
      <alignment horizontal="center"/>
    </xf>
    <xf numFmtId="0" fontId="14" fillId="13" borderId="3" xfId="0" applyFont="1" applyFill="1" applyBorder="1"/>
    <xf numFmtId="0" fontId="14" fillId="13" borderId="4" xfId="0" applyFont="1" applyFill="1" applyBorder="1"/>
    <xf numFmtId="0" fontId="3" fillId="3" borderId="5" xfId="0" applyFont="1" applyFill="1" applyBorder="1" applyAlignment="1">
      <alignment horizontal="right"/>
    </xf>
    <xf numFmtId="0" fontId="4" fillId="0" borderId="6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3" fillId="0" borderId="8" xfId="0" applyFont="1" applyBorder="1" applyAlignment="1">
      <alignment horizontal="left" wrapText="1"/>
    </xf>
    <xf numFmtId="0" fontId="4" fillId="0" borderId="8" xfId="0" applyFont="1" applyBorder="1"/>
    <xf numFmtId="0" fontId="3" fillId="0" borderId="2" xfId="0" applyFont="1" applyBorder="1" applyAlignment="1">
      <alignment horizontal="center"/>
    </xf>
    <xf numFmtId="0" fontId="4" fillId="0" borderId="4" xfId="0" applyFont="1" applyBorder="1"/>
    <xf numFmtId="0" fontId="2" fillId="2" borderId="15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7" xfId="0" applyFont="1" applyBorder="1"/>
    <xf numFmtId="0" fontId="4" fillId="0" borderId="14" xfId="0" applyFont="1" applyBorder="1"/>
    <xf numFmtId="0" fontId="2" fillId="2" borderId="16" xfId="0" applyFont="1" applyFill="1" applyBorder="1" applyAlignment="1">
      <alignment horizontal="center" wrapText="1"/>
    </xf>
    <xf numFmtId="0" fontId="4" fillId="0" borderId="18" xfId="0" applyFont="1" applyBorder="1"/>
    <xf numFmtId="0" fontId="3" fillId="0" borderId="9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168" fontId="3" fillId="0" borderId="20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8" fontId="2" fillId="3" borderId="19" xfId="0" applyNumberFormat="1" applyFont="1" applyFill="1" applyBorder="1" applyAlignment="1">
      <alignment horizontal="center"/>
    </xf>
    <xf numFmtId="168" fontId="2" fillId="3" borderId="2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2" fillId="7" borderId="2" xfId="0" applyFont="1" applyFill="1" applyBorder="1" applyAlignment="1">
      <alignment horizontal="center"/>
    </xf>
    <xf numFmtId="0" fontId="4" fillId="0" borderId="3" xfId="0" applyFont="1" applyBorder="1"/>
    <xf numFmtId="0" fontId="17" fillId="1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5" fontId="12" fillId="0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219075</xdr:colOff>
      <xdr:row>32</xdr:row>
      <xdr:rowOff>171450</xdr:rowOff>
    </xdr:from>
    <xdr:ext cx="1457325" cy="466725"/>
    <xdr:pic>
      <xdr:nvPicPr>
        <xdr:cNvPr id="11" name="image2.png" title="Imagem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47624</xdr:colOff>
      <xdr:row>35</xdr:row>
      <xdr:rowOff>152400</xdr:rowOff>
    </xdr:from>
    <xdr:ext cx="1353911" cy="514350"/>
    <xdr:pic>
      <xdr:nvPicPr>
        <xdr:cNvPr id="12" name="image1.png" title="Imagem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01767" y="6343650"/>
          <a:ext cx="1353911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9525</xdr:colOff>
      <xdr:row>13</xdr:row>
      <xdr:rowOff>35718</xdr:rowOff>
    </xdr:from>
    <xdr:ext cx="542925" cy="307182"/>
    <xdr:pic>
      <xdr:nvPicPr>
        <xdr:cNvPr id="13" name="image5.png" title="Imagem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66244" y="2357437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13</xdr:row>
      <xdr:rowOff>28575</xdr:rowOff>
    </xdr:from>
    <xdr:ext cx="571500" cy="304800"/>
    <xdr:pic>
      <xdr:nvPicPr>
        <xdr:cNvPr id="14" name="image7.png" title="Imagem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192500" y="2381250"/>
          <a:ext cx="5715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48</xdr:col>
      <xdr:colOff>66675</xdr:colOff>
      <xdr:row>2</xdr:row>
      <xdr:rowOff>123825</xdr:rowOff>
    </xdr:from>
    <xdr:ext cx="1038225" cy="419100"/>
    <xdr:pic>
      <xdr:nvPicPr>
        <xdr:cNvPr id="15" name="image3.png" title="Imagem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34018</xdr:colOff>
      <xdr:row>5</xdr:row>
      <xdr:rowOff>9525</xdr:rowOff>
    </xdr:from>
    <xdr:ext cx="3829050" cy="3933825"/>
    <xdr:pic>
      <xdr:nvPicPr>
        <xdr:cNvPr id="17" name="image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02232" y="893989"/>
          <a:ext cx="3829050" cy="3933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1034142</xdr:colOff>
      <xdr:row>13</xdr:row>
      <xdr:rowOff>38575</xdr:rowOff>
    </xdr:from>
    <xdr:to>
      <xdr:col>16</xdr:col>
      <xdr:colOff>149678</xdr:colOff>
      <xdr:row>28</xdr:row>
      <xdr:rowOff>169094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EC83C7-7378-D51D-0F77-909A0CCA9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46571" y="2338182"/>
          <a:ext cx="3034393" cy="2783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529167</xdr:colOff>
      <xdr:row>0</xdr:row>
      <xdr:rowOff>169333</xdr:rowOff>
    </xdr:from>
    <xdr:to>
      <xdr:col>16</xdr:col>
      <xdr:colOff>310673</xdr:colOff>
      <xdr:row>28</xdr:row>
      <xdr:rowOff>123463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75C5F52-115A-CCFB-07DF-8FF28AA5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6584" y="169333"/>
          <a:ext cx="4163006" cy="4991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176212</xdr:colOff>
      <xdr:row>13</xdr:row>
      <xdr:rowOff>35718</xdr:rowOff>
    </xdr:from>
    <xdr:ext cx="542925" cy="307182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84118" y="2357437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188119</xdr:colOff>
      <xdr:row>13</xdr:row>
      <xdr:rowOff>35719</xdr:rowOff>
    </xdr:from>
    <xdr:ext cx="571500" cy="273844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96150" y="2357438"/>
          <a:ext cx="571500" cy="273844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176212</xdr:colOff>
      <xdr:row>13</xdr:row>
      <xdr:rowOff>35718</xdr:rowOff>
    </xdr:from>
    <xdr:ext cx="542925" cy="307182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56B00D2E-2F9A-40D4-B229-05A860DC88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2687" y="2388393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188119</xdr:colOff>
      <xdr:row>13</xdr:row>
      <xdr:rowOff>35719</xdr:rowOff>
    </xdr:from>
    <xdr:ext cx="571500" cy="273844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BBBCE821-1324-4CE8-B83A-D155935CDF8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4719" y="2388394"/>
          <a:ext cx="571500" cy="273844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176212</xdr:colOff>
      <xdr:row>13</xdr:row>
      <xdr:rowOff>35718</xdr:rowOff>
    </xdr:from>
    <xdr:ext cx="542925" cy="307182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7FEA9EFE-D2B1-4D7D-98FA-B931C230A2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2687" y="2388393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188119</xdr:colOff>
      <xdr:row>13</xdr:row>
      <xdr:rowOff>35719</xdr:rowOff>
    </xdr:from>
    <xdr:ext cx="571500" cy="273844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9A55E8CF-3F2C-44FD-A6CE-0344FF10CC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4719" y="2388394"/>
          <a:ext cx="571500" cy="273844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176212</xdr:colOff>
      <xdr:row>13</xdr:row>
      <xdr:rowOff>35718</xdr:rowOff>
    </xdr:from>
    <xdr:ext cx="542925" cy="307182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2376EED0-12D1-4FF7-BF84-26225E2B64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2687" y="2388393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188119</xdr:colOff>
      <xdr:row>13</xdr:row>
      <xdr:rowOff>35719</xdr:rowOff>
    </xdr:from>
    <xdr:ext cx="571500" cy="273844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94A7AC54-8EE4-4716-97A8-57C4110D34F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4719" y="2388394"/>
          <a:ext cx="571500" cy="273844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176212</xdr:colOff>
      <xdr:row>13</xdr:row>
      <xdr:rowOff>35718</xdr:rowOff>
    </xdr:from>
    <xdr:ext cx="542925" cy="307182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4D148ED6-1EF5-48AA-980E-521E5F2DD3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2687" y="2388393"/>
          <a:ext cx="542925" cy="307182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188119</xdr:colOff>
      <xdr:row>13</xdr:row>
      <xdr:rowOff>35719</xdr:rowOff>
    </xdr:from>
    <xdr:ext cx="571500" cy="273844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BFDAF2AE-2927-4A99-A081-D2DF0890DA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4719" y="2388394"/>
          <a:ext cx="571500" cy="27384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Y1000"/>
  <sheetViews>
    <sheetView showGridLines="0" zoomScale="70" zoomScaleNormal="70" workbookViewId="0">
      <selection activeCell="T25" sqref="T25"/>
    </sheetView>
  </sheetViews>
  <sheetFormatPr defaultColWidth="14.42578125" defaultRowHeight="15" customHeight="1" x14ac:dyDescent="0.25"/>
  <cols>
    <col min="1" max="1" width="3.42578125" customWidth="1"/>
    <col min="2" max="2" width="10.7109375" bestFit="1" customWidth="1"/>
    <col min="3" max="3" width="10.5703125" bestFit="1" customWidth="1"/>
    <col min="4" max="4" width="10.42578125" customWidth="1"/>
    <col min="5" max="5" width="9.85546875" customWidth="1"/>
    <col min="6" max="7" width="8.7109375" customWidth="1"/>
    <col min="8" max="8" width="9.7109375" bestFit="1" customWidth="1"/>
    <col min="9" max="9" width="8" customWidth="1"/>
    <col min="10" max="10" width="9.28515625" customWidth="1"/>
    <col min="11" max="11" width="8.7109375" customWidth="1"/>
    <col min="12" max="12" width="18" customWidth="1"/>
    <col min="13" max="13" width="8.7109375" customWidth="1"/>
    <col min="14" max="14" width="9.5703125" customWidth="1"/>
    <col min="15" max="15" width="8.7109375" customWidth="1"/>
    <col min="16" max="16" width="13.7109375" customWidth="1"/>
    <col min="17" max="20" width="8.7109375" customWidth="1"/>
    <col min="21" max="21" width="12.85546875" customWidth="1"/>
    <col min="22" max="22" width="9" customWidth="1"/>
    <col min="23" max="23" width="8.7109375" customWidth="1"/>
    <col min="24" max="24" width="9.7109375" customWidth="1"/>
    <col min="25" max="25" width="9.140625" customWidth="1"/>
    <col min="26" max="26" width="10.5703125" customWidth="1"/>
    <col min="27" max="27" width="8.7109375" customWidth="1"/>
    <col min="28" max="28" width="10.140625" customWidth="1"/>
    <col min="29" max="30" width="8.7109375" customWidth="1"/>
    <col min="31" max="31" width="10.85546875" customWidth="1"/>
    <col min="32" max="32" width="8.7109375" customWidth="1"/>
    <col min="33" max="33" width="11" customWidth="1"/>
    <col min="34" max="43" width="8.7109375" customWidth="1"/>
    <col min="44" max="44" width="23.28515625" customWidth="1"/>
    <col min="45" max="45" width="9.7109375" bestFit="1" customWidth="1"/>
    <col min="46" max="51" width="8.7109375" customWidth="1"/>
  </cols>
  <sheetData>
    <row r="1" spans="2:51" ht="14.25" customHeight="1" x14ac:dyDescent="0.25">
      <c r="B1" s="74" t="s">
        <v>132</v>
      </c>
      <c r="C1" s="75"/>
      <c r="D1" s="75"/>
    </row>
    <row r="2" spans="2:51" ht="14.25" customHeight="1" x14ac:dyDescent="0.25">
      <c r="B2" s="2"/>
      <c r="C2" s="2"/>
      <c r="D2" s="2"/>
      <c r="L2" s="69" t="s">
        <v>0</v>
      </c>
      <c r="M2" s="70"/>
      <c r="N2" s="70"/>
      <c r="O2" s="70"/>
      <c r="P2" s="70"/>
      <c r="Q2" s="70"/>
      <c r="R2" s="71"/>
      <c r="T2" s="69" t="s">
        <v>1</v>
      </c>
      <c r="U2" s="70"/>
      <c r="V2" s="70"/>
      <c r="W2" s="70"/>
      <c r="X2" s="70"/>
      <c r="Y2" s="70"/>
      <c r="Z2" s="70"/>
      <c r="AA2" s="70"/>
      <c r="AB2" s="71"/>
      <c r="AD2" s="69" t="s">
        <v>2</v>
      </c>
      <c r="AE2" s="70"/>
      <c r="AF2" s="70"/>
      <c r="AG2" s="70"/>
      <c r="AH2" s="70"/>
      <c r="AI2" s="71"/>
      <c r="AK2" s="69" t="s">
        <v>3</v>
      </c>
      <c r="AL2" s="70"/>
      <c r="AM2" s="70"/>
      <c r="AN2" s="70"/>
      <c r="AO2" s="70"/>
      <c r="AP2" s="70"/>
      <c r="AQ2" s="70"/>
      <c r="AR2" s="70"/>
      <c r="AS2" s="71"/>
      <c r="AU2" s="69" t="s">
        <v>4</v>
      </c>
      <c r="AV2" s="70"/>
      <c r="AW2" s="70"/>
      <c r="AX2" s="70"/>
      <c r="AY2" s="71"/>
    </row>
    <row r="3" spans="2:51" ht="14.25" customHeight="1" x14ac:dyDescent="0.35">
      <c r="C3" s="3" t="s">
        <v>115</v>
      </c>
      <c r="L3" s="4" t="s">
        <v>5</v>
      </c>
      <c r="M3" s="5" t="s">
        <v>6</v>
      </c>
      <c r="T3" s="78" t="s">
        <v>7</v>
      </c>
      <c r="U3" s="79"/>
      <c r="V3" s="6">
        <v>1</v>
      </c>
      <c r="W3" s="7" t="s">
        <v>8</v>
      </c>
      <c r="AE3" s="72" t="s">
        <v>9</v>
      </c>
      <c r="AF3" s="73"/>
      <c r="AG3" s="8" t="s">
        <v>10</v>
      </c>
      <c r="AK3" s="76" t="s">
        <v>129</v>
      </c>
      <c r="AL3" s="77"/>
      <c r="AM3" s="77"/>
      <c r="AN3" s="77"/>
      <c r="AO3" s="77"/>
      <c r="AP3" s="77"/>
      <c r="AQ3" s="77"/>
      <c r="AR3" s="77"/>
      <c r="AS3" s="77"/>
    </row>
    <row r="4" spans="2:51" ht="14.25" customHeight="1" x14ac:dyDescent="0.35">
      <c r="B4" s="3" t="s">
        <v>116</v>
      </c>
      <c r="C4" s="1">
        <v>0.5</v>
      </c>
      <c r="L4" s="4" t="s">
        <v>11</v>
      </c>
      <c r="M4" s="5" t="s">
        <v>12</v>
      </c>
      <c r="T4" s="78" t="s">
        <v>13</v>
      </c>
      <c r="U4" s="79"/>
      <c r="V4" s="6">
        <f>V3+1</f>
        <v>2</v>
      </c>
      <c r="W4" s="86" t="s">
        <v>14</v>
      </c>
      <c r="X4" s="75"/>
      <c r="AK4" s="75"/>
      <c r="AL4" s="75"/>
      <c r="AM4" s="75"/>
      <c r="AN4" s="75"/>
      <c r="AO4" s="75"/>
      <c r="AP4" s="75"/>
      <c r="AQ4" s="75"/>
      <c r="AR4" s="75"/>
      <c r="AS4" s="75"/>
    </row>
    <row r="5" spans="2:51" ht="14.25" customHeight="1" x14ac:dyDescent="0.25">
      <c r="B5" s="3" t="s">
        <v>117</v>
      </c>
      <c r="C5" s="1">
        <v>0.5</v>
      </c>
      <c r="L5" s="4" t="s">
        <v>5</v>
      </c>
      <c r="M5" s="47" t="s">
        <v>125</v>
      </c>
      <c r="AF5" s="5" t="s">
        <v>15</v>
      </c>
      <c r="AG5" s="5">
        <v>0.97</v>
      </c>
    </row>
    <row r="6" spans="2:51" ht="14.25" customHeight="1" x14ac:dyDescent="0.25">
      <c r="L6" s="4" t="s">
        <v>11</v>
      </c>
      <c r="M6" s="47" t="s">
        <v>126</v>
      </c>
      <c r="T6" s="67" t="s">
        <v>16</v>
      </c>
      <c r="AF6" s="5" t="s">
        <v>17</v>
      </c>
      <c r="AG6" s="5">
        <v>0.97</v>
      </c>
      <c r="AR6" s="9" t="s">
        <v>130</v>
      </c>
      <c r="AS6" s="1">
        <v>0.15</v>
      </c>
      <c r="AT6" s="5" t="s">
        <v>18</v>
      </c>
    </row>
    <row r="7" spans="2:51" ht="14.25" customHeight="1" x14ac:dyDescent="0.35">
      <c r="B7" s="95" t="s">
        <v>19</v>
      </c>
      <c r="C7" s="75"/>
      <c r="D7" s="75"/>
      <c r="M7" s="47" t="s">
        <v>127</v>
      </c>
      <c r="T7" s="1" t="s">
        <v>20</v>
      </c>
      <c r="U7" s="6">
        <f>M10*M42</f>
        <v>24.563071906766908</v>
      </c>
      <c r="V7" s="10" t="s">
        <v>21</v>
      </c>
      <c r="AF7" s="5" t="s">
        <v>22</v>
      </c>
      <c r="AG7" s="33">
        <f>AG6/(AG6+($H$28*(1-AG6)))</f>
        <v>0.85932079923382265</v>
      </c>
      <c r="AR7" s="9" t="s">
        <v>131</v>
      </c>
      <c r="AS7" s="1">
        <v>0.2</v>
      </c>
      <c r="AT7" s="5" t="s">
        <v>18</v>
      </c>
      <c r="AW7" s="67" t="s">
        <v>143</v>
      </c>
      <c r="AX7" s="12">
        <f>AF27/(AS10/100)</f>
        <v>19.947655348509905</v>
      </c>
    </row>
    <row r="8" spans="2:51" ht="14.25" customHeight="1" x14ac:dyDescent="0.35">
      <c r="B8" s="66" t="s">
        <v>23</v>
      </c>
      <c r="C8" s="6">
        <v>100</v>
      </c>
      <c r="D8" s="10" t="s">
        <v>21</v>
      </c>
      <c r="T8" s="1" t="s">
        <v>24</v>
      </c>
      <c r="U8" s="13">
        <f>M42</f>
        <v>0.49126143813533818</v>
      </c>
      <c r="V8" s="10"/>
      <c r="AF8" s="5" t="s">
        <v>25</v>
      </c>
      <c r="AG8" s="33">
        <f>(W16*AG5)+Z16</f>
        <v>0.97</v>
      </c>
      <c r="AR8" s="14" t="s">
        <v>26</v>
      </c>
      <c r="AS8" s="15">
        <f>((C4*AS6)+(C5*AS7))</f>
        <v>0.17499999999999999</v>
      </c>
      <c r="AT8" s="5" t="s">
        <v>18</v>
      </c>
    </row>
    <row r="9" spans="2:51" ht="14.25" customHeight="1" x14ac:dyDescent="0.35">
      <c r="B9" s="96" t="s">
        <v>36</v>
      </c>
      <c r="C9" s="97"/>
      <c r="L9" s="16" t="s">
        <v>27</v>
      </c>
      <c r="M9" s="17">
        <f>((C8*C10)-(C8*C4))/(C10-C13)</f>
        <v>50</v>
      </c>
      <c r="N9" s="18" t="s">
        <v>21</v>
      </c>
      <c r="T9" s="1" t="s">
        <v>28</v>
      </c>
      <c r="U9" s="12">
        <f>U7+M10</f>
        <v>74.563071906766908</v>
      </c>
      <c r="V9" s="10" t="s">
        <v>21</v>
      </c>
      <c r="AF9" s="5" t="s">
        <v>29</v>
      </c>
      <c r="AG9" s="33">
        <f>AG8/(AG8+($H$28*(1-AG8)))</f>
        <v>0.85932079923382265</v>
      </c>
    </row>
    <row r="10" spans="2:51" ht="14.25" customHeight="1" x14ac:dyDescent="0.35">
      <c r="B10" s="24" t="s">
        <v>42</v>
      </c>
      <c r="C10" s="12">
        <v>0.97</v>
      </c>
      <c r="L10" s="19" t="s">
        <v>30</v>
      </c>
      <c r="M10" s="20">
        <f>C8-M9</f>
        <v>50</v>
      </c>
      <c r="N10" s="21" t="s">
        <v>21</v>
      </c>
      <c r="T10" s="1" t="s">
        <v>31</v>
      </c>
      <c r="U10" s="6">
        <f>-M10*C11</f>
        <v>-48.5</v>
      </c>
      <c r="V10" s="10" t="s">
        <v>21</v>
      </c>
      <c r="AF10" s="5" t="s">
        <v>32</v>
      </c>
      <c r="AG10" s="33">
        <f>(W16*AG9)+Z16</f>
        <v>0.9335393084340402</v>
      </c>
      <c r="AR10" s="22" t="s">
        <v>33</v>
      </c>
      <c r="AS10" s="23">
        <f>49.2*(H28*AS8)^(-0.245)</f>
        <v>50.131205022784812</v>
      </c>
      <c r="AT10" s="4" t="s">
        <v>34</v>
      </c>
    </row>
    <row r="11" spans="2:51" ht="14.25" customHeight="1" x14ac:dyDescent="0.35">
      <c r="B11" s="24" t="s">
        <v>45</v>
      </c>
      <c r="C11" s="12">
        <v>0.97</v>
      </c>
      <c r="D11" s="5" t="s">
        <v>46</v>
      </c>
      <c r="AF11" s="5" t="s">
        <v>35</v>
      </c>
      <c r="AG11" s="33">
        <f>AG10/(AG10+($H$28*(1-AG10)))</f>
        <v>0.72630066757978606</v>
      </c>
    </row>
    <row r="12" spans="2:51" ht="14.25" customHeight="1" x14ac:dyDescent="0.25">
      <c r="B12" s="96" t="s">
        <v>55</v>
      </c>
      <c r="C12" s="97"/>
      <c r="U12" s="80" t="s">
        <v>37</v>
      </c>
      <c r="V12" s="81"/>
      <c r="W12" s="84" t="s">
        <v>38</v>
      </c>
      <c r="X12" s="68"/>
      <c r="Y12" s="68"/>
      <c r="Z12" s="84" t="s">
        <v>39</v>
      </c>
      <c r="AA12" s="80" t="s">
        <v>40</v>
      </c>
      <c r="AB12" s="81"/>
      <c r="AF12" s="5" t="s">
        <v>41</v>
      </c>
      <c r="AG12" s="33">
        <f>(W16*AG11)+Z16</f>
        <v>0.88971891617671461</v>
      </c>
    </row>
    <row r="13" spans="2:51" ht="14.25" customHeight="1" x14ac:dyDescent="0.35">
      <c r="B13" s="24" t="s">
        <v>57</v>
      </c>
      <c r="C13" s="12">
        <v>0.03</v>
      </c>
      <c r="L13" s="69" t="s">
        <v>43</v>
      </c>
      <c r="M13" s="70"/>
      <c r="N13" s="70"/>
      <c r="O13" s="70"/>
      <c r="P13" s="70"/>
      <c r="Q13" s="70"/>
      <c r="R13" s="71"/>
      <c r="U13" s="82"/>
      <c r="V13" s="83"/>
      <c r="W13" s="85"/>
      <c r="X13" s="68"/>
      <c r="Y13" s="68"/>
      <c r="Z13" s="85"/>
      <c r="AA13" s="82"/>
      <c r="AB13" s="83"/>
      <c r="AF13" s="5" t="s">
        <v>44</v>
      </c>
      <c r="AG13" s="33">
        <f>AG12/(AG12+($H$28*(1-AG12)))</f>
        <v>0.60382650205048005</v>
      </c>
    </row>
    <row r="14" spans="2:51" ht="14.25" customHeight="1" x14ac:dyDescent="0.25">
      <c r="T14" s="87" t="s">
        <v>47</v>
      </c>
      <c r="U14" s="87" t="s">
        <v>48</v>
      </c>
      <c r="V14" s="87" t="s">
        <v>49</v>
      </c>
      <c r="W14" s="87" t="s">
        <v>50</v>
      </c>
      <c r="X14" s="87" t="s">
        <v>51</v>
      </c>
      <c r="Y14" s="88"/>
      <c r="Z14" s="88"/>
      <c r="AA14" s="87" t="s">
        <v>52</v>
      </c>
      <c r="AB14" s="87" t="s">
        <v>53</v>
      </c>
      <c r="AF14" s="5" t="s">
        <v>54</v>
      </c>
      <c r="AG14" s="33">
        <f>(W16*AG13)+Z16</f>
        <v>0.84937264747175534</v>
      </c>
    </row>
    <row r="15" spans="2:51" ht="14.25" customHeight="1" x14ac:dyDescent="0.25">
      <c r="B15" s="98" t="s">
        <v>118</v>
      </c>
      <c r="C15" s="77"/>
      <c r="D15" s="77"/>
      <c r="E15" s="77"/>
      <c r="F15" s="77"/>
      <c r="G15" s="77"/>
      <c r="H15" s="77"/>
      <c r="I15" s="77"/>
      <c r="J15" s="81"/>
      <c r="T15" s="85"/>
      <c r="U15" s="85"/>
      <c r="V15" s="85"/>
      <c r="W15" s="85"/>
      <c r="X15" s="85"/>
      <c r="Y15" s="85"/>
      <c r="Z15" s="85"/>
      <c r="AA15" s="85"/>
      <c r="AB15" s="85"/>
      <c r="AF15" s="5" t="s">
        <v>56</v>
      </c>
      <c r="AG15" s="33">
        <f>AG14/(AG14+($H$28*(1-AG14)))</f>
        <v>0.51580737671080346</v>
      </c>
    </row>
    <row r="16" spans="2:51" ht="14.25" customHeight="1" x14ac:dyDescent="0.25">
      <c r="B16" s="82"/>
      <c r="C16" s="99"/>
      <c r="D16" s="99"/>
      <c r="E16" s="99"/>
      <c r="F16" s="99"/>
      <c r="G16" s="99"/>
      <c r="H16" s="99"/>
      <c r="I16" s="99"/>
      <c r="J16" s="83"/>
      <c r="T16" s="6">
        <v>0</v>
      </c>
      <c r="U16" s="12">
        <f>U7</f>
        <v>24.563071906766908</v>
      </c>
      <c r="V16" s="12">
        <f>U9</f>
        <v>74.563071906766908</v>
      </c>
      <c r="W16" s="12">
        <f t="shared" ref="W16:W17" si="0">U16/V16</f>
        <v>0.3294267695606799</v>
      </c>
      <c r="X16" s="27">
        <f t="shared" ref="X16:X17" si="1">1/V16</f>
        <v>1.3411464608786401E-2</v>
      </c>
      <c r="Y16" s="6">
        <f>U10</f>
        <v>-48.5</v>
      </c>
      <c r="Z16" s="6">
        <f t="shared" ref="Z16:Z17" si="2">-X16*Y16</f>
        <v>0.65045603352614045</v>
      </c>
      <c r="AA16" s="6" t="s">
        <v>58</v>
      </c>
      <c r="AB16" s="6" t="s">
        <v>58</v>
      </c>
      <c r="AF16" s="5" t="s">
        <v>59</v>
      </c>
      <c r="AG16" s="33">
        <f>(W16*AG15)+Z16</f>
        <v>0.82037679135154917</v>
      </c>
    </row>
    <row r="17" spans="2:34" ht="14.25" customHeight="1" x14ac:dyDescent="0.25">
      <c r="T17" s="6">
        <v>1</v>
      </c>
      <c r="U17" s="12">
        <f>U16+(1-O32)*C8</f>
        <v>124.56307190676691</v>
      </c>
      <c r="V17" s="12">
        <f>V16-O32*C8</f>
        <v>74.563071906766908</v>
      </c>
      <c r="W17" s="12">
        <f t="shared" si="0"/>
        <v>1.6705732304393202</v>
      </c>
      <c r="X17" s="27">
        <f t="shared" si="1"/>
        <v>1.3411464608786401E-2</v>
      </c>
      <c r="Y17" s="26">
        <f>Y16+(C8*C4)</f>
        <v>1.5</v>
      </c>
      <c r="Z17" s="27">
        <f t="shared" si="2"/>
        <v>-2.0117196913179602E-2</v>
      </c>
      <c r="AA17" s="12">
        <f>((V17*Y16)-(V16*Y17))/((U16*V17)-(U17*V16))</f>
        <v>0.5</v>
      </c>
      <c r="AB17" s="12">
        <f>((U17*Y16)-(U16*Y17))/((U16*V17)-(U17*V16))</f>
        <v>0.81516941830648049</v>
      </c>
      <c r="AF17" s="59" t="s">
        <v>60</v>
      </c>
      <c r="AG17" s="60">
        <f>AG16/(AG16+($H$28*(1-AG16)))</f>
        <v>0.46318272334704585</v>
      </c>
      <c r="AH17" s="4" t="s">
        <v>61</v>
      </c>
    </row>
    <row r="18" spans="2:34" ht="14.25" customHeight="1" x14ac:dyDescent="0.35">
      <c r="B18" s="67" t="s">
        <v>119</v>
      </c>
      <c r="C18" s="67" t="s">
        <v>120</v>
      </c>
      <c r="D18" s="67" t="s">
        <v>121</v>
      </c>
      <c r="E18" s="67" t="s">
        <v>122</v>
      </c>
      <c r="F18" s="67" t="s">
        <v>123</v>
      </c>
      <c r="G18" s="67" t="s">
        <v>124</v>
      </c>
      <c r="H18" s="69" t="s">
        <v>142</v>
      </c>
      <c r="I18" s="71"/>
      <c r="T18" s="10"/>
      <c r="U18" s="10"/>
      <c r="V18" s="10"/>
      <c r="W18" s="10"/>
      <c r="X18" s="10"/>
      <c r="Y18" s="10"/>
      <c r="Z18" s="10"/>
      <c r="AA18" s="10"/>
      <c r="AB18" s="10"/>
      <c r="AF18" s="5" t="s">
        <v>62</v>
      </c>
      <c r="AG18" s="33">
        <f>(W17*AG17)+Z17</f>
        <v>0.75366346151237673</v>
      </c>
    </row>
    <row r="19" spans="2:34" ht="14.25" customHeight="1" x14ac:dyDescent="0.25">
      <c r="B19" s="6">
        <v>0</v>
      </c>
      <c r="C19" s="6">
        <v>0</v>
      </c>
      <c r="D19" s="6" t="s">
        <v>58</v>
      </c>
      <c r="E19" s="26">
        <f t="shared" ref="E19:F19" si="3">1-B19</f>
        <v>1</v>
      </c>
      <c r="F19" s="26">
        <f t="shared" si="3"/>
        <v>1</v>
      </c>
      <c r="G19" s="6">
        <f t="shared" ref="G19:G26" si="4">F19/E19</f>
        <v>1</v>
      </c>
      <c r="H19" s="64" t="s">
        <v>58</v>
      </c>
      <c r="I19" s="63"/>
      <c r="AF19" s="5" t="s">
        <v>63</v>
      </c>
      <c r="AG19" s="33">
        <f>AG18/(AG18+($H$28*(1-AG18)))</f>
        <v>0.36628416147357257</v>
      </c>
    </row>
    <row r="20" spans="2:34" ht="14.25" customHeight="1" x14ac:dyDescent="0.25">
      <c r="B20" s="46">
        <v>0.1</v>
      </c>
      <c r="C20" s="6">
        <v>0.34</v>
      </c>
      <c r="D20" s="30">
        <f t="shared" ref="D20:D27" si="5">C20/B20</f>
        <v>3.4</v>
      </c>
      <c r="E20" s="26">
        <f t="shared" ref="E20:F20" si="6">1-B20</f>
        <v>0.9</v>
      </c>
      <c r="F20" s="26">
        <f t="shared" si="6"/>
        <v>0.65999999999999992</v>
      </c>
      <c r="G20" s="30">
        <f t="shared" si="4"/>
        <v>0.73333333333333328</v>
      </c>
      <c r="H20" s="89">
        <f t="shared" ref="H20:H26" si="7">D20/G20</f>
        <v>4.6363636363636367</v>
      </c>
      <c r="I20" s="90"/>
      <c r="AF20" s="5" t="s">
        <v>64</v>
      </c>
      <c r="AG20" s="33">
        <f>(W17*AG19)+Z17</f>
        <v>0.59178731797848416</v>
      </c>
    </row>
    <row r="21" spans="2:34" ht="14.25" customHeight="1" x14ac:dyDescent="0.25">
      <c r="B21" s="6">
        <v>0.2</v>
      </c>
      <c r="C21" s="6">
        <v>0.54</v>
      </c>
      <c r="D21" s="30">
        <f t="shared" si="5"/>
        <v>2.7</v>
      </c>
      <c r="E21" s="26">
        <f t="shared" ref="E21:F21" si="8">1-B21</f>
        <v>0.8</v>
      </c>
      <c r="F21" s="26">
        <f t="shared" si="8"/>
        <v>0.45999999999999996</v>
      </c>
      <c r="G21" s="30">
        <f t="shared" si="4"/>
        <v>0.57499999999999996</v>
      </c>
      <c r="H21" s="89">
        <f t="shared" si="7"/>
        <v>4.6956521739130439</v>
      </c>
      <c r="I21" s="90"/>
      <c r="AF21" s="5" t="s">
        <v>65</v>
      </c>
      <c r="AG21" s="33">
        <f>AG20/(AG20+($H$28*(1-AG20)))</f>
        <v>0.21499429114703261</v>
      </c>
    </row>
    <row r="22" spans="2:34" ht="14.25" customHeight="1" x14ac:dyDescent="0.25">
      <c r="B22" s="6">
        <v>0.3</v>
      </c>
      <c r="C22" s="12">
        <v>0.68</v>
      </c>
      <c r="D22" s="30">
        <f t="shared" si="5"/>
        <v>2.2666666666666671</v>
      </c>
      <c r="E22" s="26">
        <f t="shared" ref="E22:F22" si="9">1-B22</f>
        <v>0.7</v>
      </c>
      <c r="F22" s="26">
        <f t="shared" si="9"/>
        <v>0.31999999999999995</v>
      </c>
      <c r="G22" s="30">
        <f t="shared" si="4"/>
        <v>0.45714285714285713</v>
      </c>
      <c r="H22" s="89">
        <f t="shared" si="7"/>
        <v>4.9583333333333339</v>
      </c>
      <c r="I22" s="90"/>
      <c r="AF22" s="5" t="s">
        <v>66</v>
      </c>
      <c r="AG22" s="33">
        <f>(W17*AG21)+Z17</f>
        <v>0.33904651057433038</v>
      </c>
    </row>
    <row r="23" spans="2:34" ht="14.25" customHeight="1" x14ac:dyDescent="0.25">
      <c r="B23" s="6">
        <v>0.4</v>
      </c>
      <c r="C23" s="6">
        <v>0.78</v>
      </c>
      <c r="D23" s="30">
        <f t="shared" si="5"/>
        <v>1.95</v>
      </c>
      <c r="E23" s="26">
        <f t="shared" ref="E23:F23" si="10">1-B23</f>
        <v>0.6</v>
      </c>
      <c r="F23" s="26">
        <f t="shared" si="10"/>
        <v>0.21999999999999997</v>
      </c>
      <c r="G23" s="30">
        <f t="shared" si="4"/>
        <v>0.36666666666666664</v>
      </c>
      <c r="H23" s="89">
        <f t="shared" si="7"/>
        <v>5.3181818181818183</v>
      </c>
      <c r="I23" s="90"/>
      <c r="AF23" s="5" t="s">
        <v>67</v>
      </c>
      <c r="AG23" s="33">
        <f>AG22/(AG22+($H$28*(1-AG22)))</f>
        <v>8.8347202115408016E-2</v>
      </c>
    </row>
    <row r="24" spans="2:34" ht="14.25" customHeight="1" x14ac:dyDescent="0.25">
      <c r="B24" s="46">
        <v>0.6</v>
      </c>
      <c r="C24" s="12">
        <v>0.9</v>
      </c>
      <c r="D24" s="30">
        <f t="shared" si="5"/>
        <v>1.5</v>
      </c>
      <c r="E24" s="26">
        <f t="shared" ref="E24:F24" si="11">1-B24</f>
        <v>0.4</v>
      </c>
      <c r="F24" s="26">
        <f t="shared" si="11"/>
        <v>9.9999999999999978E-2</v>
      </c>
      <c r="G24" s="30">
        <f t="shared" si="4"/>
        <v>0.24999999999999994</v>
      </c>
      <c r="H24" s="89">
        <f t="shared" si="7"/>
        <v>6.0000000000000018</v>
      </c>
      <c r="I24" s="90"/>
      <c r="AF24" s="5" t="s">
        <v>68</v>
      </c>
      <c r="AG24" s="33">
        <f>(W17*AG23)+Z17</f>
        <v>0.1274732739250331</v>
      </c>
    </row>
    <row r="25" spans="2:34" ht="14.25" customHeight="1" x14ac:dyDescent="0.25">
      <c r="B25" s="6">
        <v>0.8</v>
      </c>
      <c r="C25" s="6">
        <v>0.96</v>
      </c>
      <c r="D25" s="30">
        <f t="shared" si="5"/>
        <v>1.2</v>
      </c>
      <c r="E25" s="26">
        <f t="shared" ref="E25:F25" si="12">1-B25</f>
        <v>0.19999999999999996</v>
      </c>
      <c r="F25" s="26">
        <f t="shared" si="12"/>
        <v>4.0000000000000036E-2</v>
      </c>
      <c r="G25" s="30">
        <f t="shared" si="4"/>
        <v>0.20000000000000023</v>
      </c>
      <c r="H25" s="89">
        <f t="shared" si="7"/>
        <v>5.9999999999999929</v>
      </c>
      <c r="I25" s="90"/>
      <c r="AF25" s="48" t="s">
        <v>69</v>
      </c>
      <c r="AG25" s="49">
        <f>AG24/(AG24+($H$28*(1-AG24)))</f>
        <v>2.6859077310541192E-2</v>
      </c>
      <c r="AH25" s="4" t="s">
        <v>79</v>
      </c>
    </row>
    <row r="26" spans="2:34" ht="14.25" customHeight="1" x14ac:dyDescent="0.25">
      <c r="B26" s="6">
        <v>0.9</v>
      </c>
      <c r="C26" s="12">
        <v>0.98</v>
      </c>
      <c r="D26" s="30">
        <f t="shared" si="5"/>
        <v>1.0888888888888888</v>
      </c>
      <c r="E26" s="26">
        <f t="shared" ref="E26:F26" si="13">1-B26</f>
        <v>9.9999999999999978E-2</v>
      </c>
      <c r="F26" s="26">
        <f t="shared" si="13"/>
        <v>2.0000000000000018E-2</v>
      </c>
      <c r="G26" s="30">
        <f t="shared" si="4"/>
        <v>0.20000000000000023</v>
      </c>
      <c r="H26" s="89">
        <f t="shared" si="7"/>
        <v>5.4444444444444375</v>
      </c>
      <c r="I26" s="90"/>
    </row>
    <row r="27" spans="2:34" ht="14.25" customHeight="1" x14ac:dyDescent="0.25">
      <c r="B27" s="46">
        <v>1</v>
      </c>
      <c r="C27" s="46">
        <v>1</v>
      </c>
      <c r="D27" s="30">
        <f t="shared" si="5"/>
        <v>1</v>
      </c>
      <c r="E27" s="26">
        <f t="shared" ref="E27:F27" si="14">1-B27</f>
        <v>0</v>
      </c>
      <c r="F27" s="26">
        <f t="shared" si="14"/>
        <v>0</v>
      </c>
      <c r="G27" s="6" t="s">
        <v>58</v>
      </c>
      <c r="H27" s="91" t="s">
        <v>58</v>
      </c>
      <c r="I27" s="92"/>
      <c r="AF27" s="5">
        <v>10</v>
      </c>
      <c r="AG27" s="11" t="s">
        <v>82</v>
      </c>
    </row>
    <row r="28" spans="2:34" ht="14.25" customHeight="1" x14ac:dyDescent="0.25">
      <c r="G28" s="31" t="s">
        <v>74</v>
      </c>
      <c r="H28" s="93">
        <f>AVERAGE(H20:I26)</f>
        <v>5.2932822008908946</v>
      </c>
      <c r="I28" s="94"/>
    </row>
    <row r="29" spans="2:34" ht="14.25" customHeight="1" x14ac:dyDescent="0.25"/>
    <row r="30" spans="2:34" ht="14.25" customHeight="1" x14ac:dyDescent="0.25">
      <c r="L30" s="100" t="s">
        <v>128</v>
      </c>
      <c r="M30" s="101"/>
      <c r="N30" s="101"/>
      <c r="O30" s="101"/>
      <c r="P30" s="101"/>
      <c r="Q30" s="101"/>
      <c r="R30" s="79"/>
    </row>
    <row r="31" spans="2:34" ht="14.25" customHeight="1" x14ac:dyDescent="0.25"/>
    <row r="32" spans="2:34" ht="14.25" customHeight="1" x14ac:dyDescent="0.25">
      <c r="L32" s="69" t="s">
        <v>75</v>
      </c>
      <c r="M32" s="71"/>
      <c r="N32" s="32" t="s">
        <v>76</v>
      </c>
      <c r="O32" s="6">
        <v>0</v>
      </c>
      <c r="P32" s="66" t="s">
        <v>77</v>
      </c>
      <c r="Q32" s="30">
        <f>$H$28</f>
        <v>5.2932822008908946</v>
      </c>
    </row>
    <row r="33" spans="12:33" ht="14.25" customHeight="1" x14ac:dyDescent="0.35">
      <c r="L33" s="6" t="s">
        <v>78</v>
      </c>
      <c r="M33" s="12">
        <v>0.5</v>
      </c>
    </row>
    <row r="34" spans="12:33" ht="14.25" customHeight="1" x14ac:dyDescent="0.35">
      <c r="L34" s="6" t="s">
        <v>80</v>
      </c>
      <c r="M34" s="12">
        <v>0.5</v>
      </c>
    </row>
    <row r="35" spans="12:33" ht="14.25" customHeight="1" x14ac:dyDescent="0.35">
      <c r="L35" s="6" t="s">
        <v>81</v>
      </c>
      <c r="M35" s="12">
        <f>(M34*H28)/(1+(M34*(H28-1)))</f>
        <v>0.8411004038785298</v>
      </c>
    </row>
    <row r="36" spans="12:33" ht="14.25" customHeight="1" x14ac:dyDescent="0.25">
      <c r="AG36" s="11"/>
    </row>
    <row r="37" spans="12:33" ht="14.25" customHeight="1" x14ac:dyDescent="0.25">
      <c r="L37" s="74" t="s">
        <v>83</v>
      </c>
      <c r="M37" s="75"/>
    </row>
    <row r="38" spans="12:33" ht="14.25" customHeight="1" x14ac:dyDescent="0.25">
      <c r="L38" s="67" t="s">
        <v>84</v>
      </c>
      <c r="M38" s="30">
        <f>(C10-M35)/(M35-M34)</f>
        <v>0.3778934139502601</v>
      </c>
    </row>
    <row r="39" spans="12:33" ht="14.25" customHeight="1" x14ac:dyDescent="0.25">
      <c r="AG39" s="11"/>
    </row>
    <row r="40" spans="12:33" ht="14.25" customHeight="1" x14ac:dyDescent="0.25">
      <c r="L40" s="74" t="s">
        <v>85</v>
      </c>
      <c r="M40" s="75"/>
      <c r="N40" s="75"/>
      <c r="AG40" s="11"/>
    </row>
    <row r="41" spans="12:33" ht="14.25" customHeight="1" x14ac:dyDescent="0.35">
      <c r="L41" s="5" t="s">
        <v>86</v>
      </c>
      <c r="AG41" s="11"/>
    </row>
    <row r="42" spans="12:33" ht="14.25" customHeight="1" x14ac:dyDescent="0.25">
      <c r="L42" s="5">
        <v>1.3</v>
      </c>
      <c r="M42" s="62">
        <f t="shared" ref="M42:M46" si="15">L42*$M$38</f>
        <v>0.49126143813533818</v>
      </c>
      <c r="AG42" s="11"/>
    </row>
    <row r="43" spans="12:33" ht="14.25" customHeight="1" x14ac:dyDescent="0.25">
      <c r="L43" s="5">
        <v>1.35</v>
      </c>
      <c r="M43" s="33">
        <f t="shared" si="15"/>
        <v>0.51015610883285123</v>
      </c>
      <c r="AG43" s="11"/>
    </row>
    <row r="44" spans="12:33" ht="14.25" customHeight="1" x14ac:dyDescent="0.25">
      <c r="L44" s="5">
        <v>1.4</v>
      </c>
      <c r="M44" s="33">
        <f t="shared" si="15"/>
        <v>0.52905077953036406</v>
      </c>
      <c r="AG44" s="11"/>
    </row>
    <row r="45" spans="12:33" ht="14.25" customHeight="1" x14ac:dyDescent="0.25">
      <c r="L45" s="5">
        <v>1.45</v>
      </c>
      <c r="M45" s="61">
        <f t="shared" si="15"/>
        <v>0.54794545022787711</v>
      </c>
      <c r="N45" s="4"/>
      <c r="AG45" s="11"/>
    </row>
    <row r="46" spans="12:33" ht="14.25" customHeight="1" x14ac:dyDescent="0.25">
      <c r="L46" s="5">
        <v>1.5</v>
      </c>
      <c r="M46" s="33">
        <f t="shared" si="15"/>
        <v>0.56684012092539016</v>
      </c>
      <c r="AG46" s="11"/>
    </row>
    <row r="47" spans="12:33" ht="14.25" customHeight="1" x14ac:dyDescent="0.25">
      <c r="AG47" s="11"/>
    </row>
    <row r="48" spans="12:33" ht="14.25" customHeight="1" x14ac:dyDescent="0.25">
      <c r="AG48" s="11"/>
    </row>
    <row r="49" spans="33:33" ht="14.25" customHeight="1" x14ac:dyDescent="0.25">
      <c r="AG49" s="11"/>
    </row>
    <row r="50" spans="33:33" ht="14.25" customHeight="1" x14ac:dyDescent="0.25">
      <c r="AG50" s="11"/>
    </row>
    <row r="51" spans="33:33" ht="14.25" customHeight="1" x14ac:dyDescent="0.25">
      <c r="AG51" s="11"/>
    </row>
    <row r="52" spans="33:33" ht="14.25" customHeight="1" x14ac:dyDescent="0.25">
      <c r="AG52" s="11"/>
    </row>
    <row r="53" spans="33:33" ht="14.25" customHeight="1" x14ac:dyDescent="0.25">
      <c r="AG53" s="11"/>
    </row>
    <row r="54" spans="33:33" ht="14.25" customHeight="1" x14ac:dyDescent="0.25">
      <c r="AG54" s="11"/>
    </row>
    <row r="55" spans="33:33" ht="14.25" customHeight="1" x14ac:dyDescent="0.25">
      <c r="AG55" s="11"/>
    </row>
    <row r="56" spans="33:33" ht="14.25" customHeight="1" x14ac:dyDescent="0.25">
      <c r="AG56" s="11"/>
    </row>
    <row r="57" spans="33:33" ht="14.25" customHeight="1" x14ac:dyDescent="0.25">
      <c r="AG57" s="11"/>
    </row>
    <row r="58" spans="33:33" ht="14.25" customHeight="1" x14ac:dyDescent="0.25">
      <c r="AG58" s="11"/>
    </row>
    <row r="59" spans="33:33" ht="14.25" customHeight="1" x14ac:dyDescent="0.25">
      <c r="AG59" s="11"/>
    </row>
    <row r="60" spans="33:33" ht="14.25" customHeight="1" x14ac:dyDescent="0.25">
      <c r="AG60" s="11"/>
    </row>
    <row r="61" spans="33:33" ht="14.25" customHeight="1" x14ac:dyDescent="0.25">
      <c r="AG61" s="11"/>
    </row>
    <row r="62" spans="33:33" ht="14.25" customHeight="1" x14ac:dyDescent="0.25">
      <c r="AG62" s="11"/>
    </row>
    <row r="63" spans="33:33" ht="14.25" customHeight="1" x14ac:dyDescent="0.25">
      <c r="AG63" s="11"/>
    </row>
    <row r="64" spans="33:33" ht="14.25" customHeight="1" x14ac:dyDescent="0.25">
      <c r="AG64" s="11"/>
    </row>
    <row r="65" spans="33:33" ht="14.25" customHeight="1" x14ac:dyDescent="0.25">
      <c r="AG65" s="11"/>
    </row>
    <row r="66" spans="33:33" ht="14.25" customHeight="1" x14ac:dyDescent="0.25">
      <c r="AG66" s="11"/>
    </row>
    <row r="67" spans="33:33" ht="14.25" customHeight="1" x14ac:dyDescent="0.25">
      <c r="AG67" s="11"/>
    </row>
    <row r="68" spans="33:33" ht="14.25" customHeight="1" x14ac:dyDescent="0.25">
      <c r="AG68" s="11"/>
    </row>
    <row r="69" spans="33:33" ht="14.25" customHeight="1" x14ac:dyDescent="0.25">
      <c r="AG69" s="11"/>
    </row>
    <row r="70" spans="33:33" ht="14.25" customHeight="1" x14ac:dyDescent="0.25">
      <c r="AG70" s="11"/>
    </row>
    <row r="71" spans="33:33" ht="14.25" customHeight="1" x14ac:dyDescent="0.25">
      <c r="AG71" s="11"/>
    </row>
    <row r="72" spans="33:33" ht="14.25" customHeight="1" x14ac:dyDescent="0.25">
      <c r="AG72" s="11"/>
    </row>
    <row r="73" spans="33:33" ht="14.25" customHeight="1" x14ac:dyDescent="0.25">
      <c r="AG73" s="11"/>
    </row>
    <row r="74" spans="33:33" ht="14.25" customHeight="1" x14ac:dyDescent="0.25">
      <c r="AG74" s="11"/>
    </row>
    <row r="75" spans="33:33" ht="14.25" customHeight="1" x14ac:dyDescent="0.25">
      <c r="AG75" s="11"/>
    </row>
    <row r="76" spans="33:33" ht="14.25" customHeight="1" x14ac:dyDescent="0.25">
      <c r="AG76" s="11"/>
    </row>
    <row r="77" spans="33:33" ht="14.25" customHeight="1" x14ac:dyDescent="0.25">
      <c r="AG77" s="11"/>
    </row>
    <row r="78" spans="33:33" ht="14.25" customHeight="1" x14ac:dyDescent="0.25">
      <c r="AG78" s="11"/>
    </row>
    <row r="79" spans="33:33" ht="14.25" customHeight="1" x14ac:dyDescent="0.25">
      <c r="AG79" s="11"/>
    </row>
    <row r="80" spans="33:33" ht="14.25" customHeight="1" x14ac:dyDescent="0.25">
      <c r="AG80" s="11"/>
    </row>
    <row r="81" spans="33:33" ht="14.25" customHeight="1" x14ac:dyDescent="0.25">
      <c r="AG81" s="11"/>
    </row>
    <row r="82" spans="33:33" ht="14.25" customHeight="1" x14ac:dyDescent="0.25">
      <c r="AG82" s="11"/>
    </row>
    <row r="83" spans="33:33" ht="14.25" customHeight="1" x14ac:dyDescent="0.25">
      <c r="AG83" s="11"/>
    </row>
    <row r="84" spans="33:33" ht="14.25" customHeight="1" x14ac:dyDescent="0.25">
      <c r="AG84" s="11"/>
    </row>
    <row r="85" spans="33:33" ht="14.25" customHeight="1" x14ac:dyDescent="0.25">
      <c r="AG85" s="11"/>
    </row>
    <row r="86" spans="33:33" ht="14.25" customHeight="1" x14ac:dyDescent="0.25">
      <c r="AG86" s="11"/>
    </row>
    <row r="87" spans="33:33" ht="14.25" customHeight="1" x14ac:dyDescent="0.25">
      <c r="AG87" s="11"/>
    </row>
    <row r="88" spans="33:33" ht="14.25" customHeight="1" x14ac:dyDescent="0.25">
      <c r="AG88" s="11"/>
    </row>
    <row r="89" spans="33:33" ht="14.25" customHeight="1" x14ac:dyDescent="0.25">
      <c r="AG89" s="11"/>
    </row>
    <row r="90" spans="33:33" ht="14.25" customHeight="1" x14ac:dyDescent="0.25">
      <c r="AG90" s="11"/>
    </row>
    <row r="91" spans="33:33" ht="14.25" customHeight="1" x14ac:dyDescent="0.25">
      <c r="AG91" s="11"/>
    </row>
    <row r="92" spans="33:33" ht="14.25" customHeight="1" x14ac:dyDescent="0.25">
      <c r="AG92" s="11"/>
    </row>
    <row r="93" spans="33:33" ht="14.25" customHeight="1" x14ac:dyDescent="0.25">
      <c r="AG93" s="11"/>
    </row>
    <row r="94" spans="33:33" ht="14.25" customHeight="1" x14ac:dyDescent="0.25">
      <c r="AG94" s="11"/>
    </row>
    <row r="95" spans="33:33" ht="14.25" customHeight="1" x14ac:dyDescent="0.25">
      <c r="AG95" s="11"/>
    </row>
    <row r="96" spans="33:33" ht="14.25" customHeight="1" x14ac:dyDescent="0.25">
      <c r="AG96" s="11"/>
    </row>
    <row r="97" spans="33:33" ht="14.25" customHeight="1" x14ac:dyDescent="0.25">
      <c r="AG97" s="11"/>
    </row>
    <row r="98" spans="33:33" ht="14.25" customHeight="1" x14ac:dyDescent="0.25">
      <c r="AG98" s="11"/>
    </row>
    <row r="99" spans="33:33" ht="14.25" customHeight="1" x14ac:dyDescent="0.25">
      <c r="AG99" s="11"/>
    </row>
    <row r="100" spans="33:33" ht="14.25" customHeight="1" x14ac:dyDescent="0.25">
      <c r="AG100" s="11"/>
    </row>
    <row r="101" spans="33:33" ht="14.25" customHeight="1" x14ac:dyDescent="0.25">
      <c r="AG101" s="11"/>
    </row>
    <row r="102" spans="33:33" ht="14.25" customHeight="1" x14ac:dyDescent="0.25">
      <c r="AG102" s="11"/>
    </row>
    <row r="103" spans="33:33" ht="14.25" customHeight="1" x14ac:dyDescent="0.25">
      <c r="AG103" s="11"/>
    </row>
    <row r="104" spans="33:33" ht="14.25" customHeight="1" x14ac:dyDescent="0.25">
      <c r="AG104" s="11"/>
    </row>
    <row r="105" spans="33:33" ht="14.25" customHeight="1" x14ac:dyDescent="0.25">
      <c r="AG105" s="11"/>
    </row>
    <row r="106" spans="33:33" ht="14.25" customHeight="1" x14ac:dyDescent="0.25">
      <c r="AG106" s="11"/>
    </row>
    <row r="107" spans="33:33" ht="14.25" customHeight="1" x14ac:dyDescent="0.25">
      <c r="AG107" s="11"/>
    </row>
    <row r="108" spans="33:33" ht="14.25" customHeight="1" x14ac:dyDescent="0.25">
      <c r="AG108" s="11"/>
    </row>
    <row r="109" spans="33:33" ht="14.25" customHeight="1" x14ac:dyDescent="0.25">
      <c r="AG109" s="11"/>
    </row>
    <row r="110" spans="33:33" ht="14.25" customHeight="1" x14ac:dyDescent="0.25"/>
    <row r="111" spans="33:33" ht="14.25" customHeight="1" x14ac:dyDescent="0.25"/>
    <row r="112" spans="33:3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3">
    <mergeCell ref="L40:N40"/>
    <mergeCell ref="L30:R30"/>
    <mergeCell ref="L32:M32"/>
    <mergeCell ref="L37:M37"/>
    <mergeCell ref="B7:D7"/>
    <mergeCell ref="B12:C12"/>
    <mergeCell ref="B15:J16"/>
    <mergeCell ref="H18:I18"/>
    <mergeCell ref="B9:C9"/>
    <mergeCell ref="L13:R13"/>
    <mergeCell ref="H25:I25"/>
    <mergeCell ref="H26:I26"/>
    <mergeCell ref="H27:I27"/>
    <mergeCell ref="H28:I28"/>
    <mergeCell ref="H20:I20"/>
    <mergeCell ref="H21:I21"/>
    <mergeCell ref="H22:I22"/>
    <mergeCell ref="H23:I23"/>
    <mergeCell ref="H24:I24"/>
    <mergeCell ref="AA14:AA15"/>
    <mergeCell ref="AB14:AB15"/>
    <mergeCell ref="T14:T15"/>
    <mergeCell ref="U14:U15"/>
    <mergeCell ref="V14:V15"/>
    <mergeCell ref="W14:W15"/>
    <mergeCell ref="X14:X15"/>
    <mergeCell ref="Y14:Y15"/>
    <mergeCell ref="Z14:Z15"/>
    <mergeCell ref="U12:V13"/>
    <mergeCell ref="W12:W13"/>
    <mergeCell ref="Z12:Z13"/>
    <mergeCell ref="AA12:AB13"/>
    <mergeCell ref="W4:X4"/>
    <mergeCell ref="T4:U4"/>
    <mergeCell ref="AK2:AS2"/>
    <mergeCell ref="AU2:AY2"/>
    <mergeCell ref="AD2:AI2"/>
    <mergeCell ref="AE3:AF3"/>
    <mergeCell ref="B1:D1"/>
    <mergeCell ref="L2:R2"/>
    <mergeCell ref="T2:AB2"/>
    <mergeCell ref="AK3:AS4"/>
    <mergeCell ref="T3:U3"/>
  </mergeCells>
  <pageMargins left="0.7" right="0.7" top="0.75" bottom="0.75" header="0" footer="0"/>
  <pageSetup paperSize="8" fitToWidth="0" orientation="landscape"/>
  <headerFooter>
    <oddFooter>&amp;L_x000D_#737373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tabSelected="1" zoomScale="90" zoomScaleNormal="90" workbookViewId="0">
      <selection activeCell="T12" sqref="T12"/>
    </sheetView>
  </sheetViews>
  <sheetFormatPr defaultColWidth="14.42578125" defaultRowHeight="15" customHeight="1" x14ac:dyDescent="0.25"/>
  <cols>
    <col min="1" max="1" width="3.140625" customWidth="1"/>
    <col min="2" max="2" width="7.28515625" customWidth="1"/>
    <col min="3" max="3" width="8.7109375" customWidth="1"/>
    <col min="4" max="4" width="16.140625" customWidth="1"/>
    <col min="5" max="5" width="11.42578125" bestFit="1" customWidth="1"/>
    <col min="6" max="6" width="12.5703125" bestFit="1" customWidth="1"/>
    <col min="7" max="7" width="22.85546875" bestFit="1" customWidth="1"/>
    <col min="8" max="8" width="22.140625" customWidth="1"/>
    <col min="9" max="10" width="8.7109375" customWidth="1"/>
    <col min="11" max="11" width="3.42578125" customWidth="1"/>
    <col min="12" max="12" width="3.5703125" customWidth="1"/>
    <col min="13" max="13" width="8.7109375" customWidth="1"/>
    <col min="14" max="14" width="11.140625" customWidth="1"/>
    <col min="15" max="15" width="12.5703125" customWidth="1"/>
    <col min="16" max="17" width="8.7109375" customWidth="1"/>
    <col min="18" max="18" width="10.140625" customWidth="1"/>
    <col min="19" max="20" width="8.7109375" customWidth="1"/>
    <col min="21" max="22" width="3.42578125" customWidth="1"/>
    <col min="23" max="23" width="2.5703125" customWidth="1"/>
    <col min="24" max="24" width="12.42578125" customWidth="1"/>
    <col min="25" max="25" width="12.85546875" customWidth="1"/>
    <col min="26" max="26" width="13" customWidth="1"/>
    <col min="27" max="27" width="8.7109375" customWidth="1"/>
  </cols>
  <sheetData>
    <row r="1" spans="2:8" ht="14.25" customHeight="1" x14ac:dyDescent="0.25"/>
    <row r="2" spans="2:8" ht="14.25" customHeight="1" x14ac:dyDescent="0.25">
      <c r="C2" s="4" t="s">
        <v>87</v>
      </c>
    </row>
    <row r="3" spans="2:8" ht="14.25" customHeight="1" x14ac:dyDescent="0.25"/>
    <row r="4" spans="2:8" ht="14.25" customHeight="1" x14ac:dyDescent="0.25">
      <c r="D4" s="102" t="s">
        <v>89</v>
      </c>
      <c r="E4" s="71"/>
      <c r="G4" s="102" t="s">
        <v>90</v>
      </c>
      <c r="H4" s="71"/>
    </row>
    <row r="5" spans="2:8" ht="14.25" customHeight="1" x14ac:dyDescent="0.25">
      <c r="D5" s="34" t="s">
        <v>91</v>
      </c>
      <c r="E5" s="35">
        <v>122.76</v>
      </c>
      <c r="G5" s="34" t="s">
        <v>92</v>
      </c>
      <c r="H5" s="35">
        <v>69.78</v>
      </c>
    </row>
    <row r="6" spans="2:8" ht="14.25" customHeight="1" x14ac:dyDescent="0.25">
      <c r="D6" s="36" t="s">
        <v>93</v>
      </c>
      <c r="E6" s="65">
        <v>122.76</v>
      </c>
      <c r="G6" s="36" t="s">
        <v>94</v>
      </c>
      <c r="H6" s="37">
        <v>69.78</v>
      </c>
    </row>
    <row r="7" spans="2:8" ht="14.25" customHeight="1" x14ac:dyDescent="0.25"/>
    <row r="8" spans="2:8" ht="14.25" customHeight="1" x14ac:dyDescent="0.25"/>
    <row r="9" spans="2:8" ht="14.25" customHeight="1" x14ac:dyDescent="0.25"/>
    <row r="10" spans="2:8" ht="14.25" customHeight="1" x14ac:dyDescent="0.25">
      <c r="C10" s="4" t="s">
        <v>88</v>
      </c>
    </row>
    <row r="11" spans="2:8" ht="14.25" customHeight="1" x14ac:dyDescent="0.25"/>
    <row r="12" spans="2:8" ht="14.25" customHeight="1" x14ac:dyDescent="0.25">
      <c r="B12" t="s">
        <v>141</v>
      </c>
      <c r="C12">
        <f>'Sistema Hexano-Octano'!M42</f>
        <v>0.49126143813533818</v>
      </c>
      <c r="D12" s="53"/>
      <c r="E12" s="54" t="s">
        <v>134</v>
      </c>
      <c r="F12" s="54" t="s">
        <v>135</v>
      </c>
      <c r="G12" s="54" t="s">
        <v>136</v>
      </c>
      <c r="H12" s="54" t="s">
        <v>137</v>
      </c>
    </row>
    <row r="13" spans="2:8" ht="14.25" customHeight="1" x14ac:dyDescent="0.25">
      <c r="D13" s="54" t="s">
        <v>138</v>
      </c>
      <c r="E13" s="57">
        <v>17000</v>
      </c>
      <c r="F13" s="57">
        <v>51000</v>
      </c>
      <c r="G13" s="55">
        <f>F13-E13</f>
        <v>34000</v>
      </c>
      <c r="H13" s="55">
        <f>G13*('Sistema Hexano-Octano'!$M$10+('Sistema Hexano-Octano'!$M$10*'Sistema Hexano-Octano'!$M$42))/(10^3)</f>
        <v>2535.1444448300749</v>
      </c>
    </row>
    <row r="14" spans="2:8" ht="14.25" customHeight="1" x14ac:dyDescent="0.25">
      <c r="D14" s="54" t="s">
        <v>139</v>
      </c>
      <c r="E14" s="57">
        <v>35500</v>
      </c>
      <c r="F14" s="57">
        <v>70100</v>
      </c>
      <c r="G14" s="55">
        <f>F14-E14</f>
        <v>34600</v>
      </c>
      <c r="H14" s="55">
        <f>G14*('Sistema Hexano-Octano'!$M$9+'Sistema Hexano-Octano'!$M$10+('Sistema Hexano-Octano'!$M$10*'Sistema Hexano-Octano'!$M$42))/1000</f>
        <v>4309.8822879741347</v>
      </c>
    </row>
    <row r="15" spans="2:8" ht="14.25" customHeight="1" x14ac:dyDescent="0.25">
      <c r="D15" s="54" t="s">
        <v>140</v>
      </c>
      <c r="E15" s="58">
        <f>SUM(E13:E14)</f>
        <v>52500</v>
      </c>
      <c r="F15" s="58">
        <f>SUM(F13:F14)</f>
        <v>121100</v>
      </c>
      <c r="G15" s="56">
        <v>74.475999999999999</v>
      </c>
      <c r="H15" s="104">
        <f>SUM(H13:H14)</f>
        <v>6845.02673280421</v>
      </c>
    </row>
    <row r="16" spans="2:8" ht="14.25" customHeight="1" x14ac:dyDescent="0.25"/>
    <row r="17" spans="2:8" ht="14.25" customHeight="1" x14ac:dyDescent="0.25">
      <c r="B17" t="s">
        <v>141</v>
      </c>
      <c r="C17">
        <f>'Sistema Hexano-Octano'!M43</f>
        <v>0.51015610883285123</v>
      </c>
      <c r="D17" s="53"/>
      <c r="E17" s="54" t="s">
        <v>134</v>
      </c>
      <c r="F17" s="54" t="s">
        <v>135</v>
      </c>
      <c r="G17" s="54" t="s">
        <v>136</v>
      </c>
      <c r="H17" s="54" t="s">
        <v>137</v>
      </c>
    </row>
    <row r="18" spans="2:8" ht="14.25" customHeight="1" x14ac:dyDescent="0.25">
      <c r="D18" s="54" t="s">
        <v>138</v>
      </c>
      <c r="E18" s="57">
        <v>17000</v>
      </c>
      <c r="F18" s="57">
        <v>51000</v>
      </c>
      <c r="G18" s="55">
        <f>F18-E18</f>
        <v>34000</v>
      </c>
      <c r="H18" s="55">
        <f>G18*('Sistema Hexano-Octano'!$M$10+('Sistema Hexano-Octano'!$M$10*'Sistema Hexano-Octano'!$M$43))/(10^3)</f>
        <v>2567.2653850158472</v>
      </c>
    </row>
    <row r="19" spans="2:8" ht="14.25" customHeight="1" x14ac:dyDescent="0.25">
      <c r="D19" s="54" t="s">
        <v>139</v>
      </c>
      <c r="E19" s="57">
        <v>35500</v>
      </c>
      <c r="F19" s="57">
        <v>70100</v>
      </c>
      <c r="G19" s="55">
        <f>F19-E19</f>
        <v>34600</v>
      </c>
      <c r="H19" s="55">
        <f>G19*('Sistema Hexano-Octano'!$M$9+'Sistema Hexano-Octano'!$M$10+('Sistema Hexano-Octano'!$M$10*'Sistema Hexano-Octano'!$M$43))/1000</f>
        <v>4342.5700682808329</v>
      </c>
    </row>
    <row r="20" spans="2:8" ht="14.25" customHeight="1" x14ac:dyDescent="0.25">
      <c r="D20" s="54" t="s">
        <v>140</v>
      </c>
      <c r="E20" s="58">
        <f>SUM(E18:E19)</f>
        <v>52500</v>
      </c>
      <c r="F20" s="58">
        <f>SUM(F18:F19)</f>
        <v>121100</v>
      </c>
      <c r="G20" s="56">
        <v>74.475999999999999</v>
      </c>
      <c r="H20" s="56">
        <f>SUM(H18:H19)</f>
        <v>6909.8354532966805</v>
      </c>
    </row>
    <row r="21" spans="2:8" ht="14.25" customHeight="1" x14ac:dyDescent="0.25"/>
    <row r="22" spans="2:8" ht="14.25" customHeight="1" x14ac:dyDescent="0.25">
      <c r="B22" t="s">
        <v>141</v>
      </c>
      <c r="C22">
        <f>'Sistema Hexano-Octano'!M44</f>
        <v>0.52905077953036406</v>
      </c>
      <c r="D22" s="53"/>
      <c r="E22" s="54" t="s">
        <v>134</v>
      </c>
      <c r="F22" s="54" t="s">
        <v>135</v>
      </c>
      <c r="G22" s="54" t="s">
        <v>136</v>
      </c>
      <c r="H22" s="54" t="s">
        <v>137</v>
      </c>
    </row>
    <row r="23" spans="2:8" ht="14.25" customHeight="1" x14ac:dyDescent="0.25">
      <c r="D23" s="54" t="s">
        <v>138</v>
      </c>
      <c r="E23" s="57">
        <v>17000</v>
      </c>
      <c r="F23" s="57">
        <v>51000</v>
      </c>
      <c r="G23" s="55">
        <f>F23-E23</f>
        <v>34000</v>
      </c>
      <c r="H23" s="55">
        <f>G23*('Sistema Hexano-Octano'!$M$10+('Sistema Hexano-Octano'!$M$10*'Sistema Hexano-Octano'!$M$44))/(10^3)</f>
        <v>2599.386325201619</v>
      </c>
    </row>
    <row r="24" spans="2:8" ht="14.25" customHeight="1" x14ac:dyDescent="0.25">
      <c r="D24" s="54" t="s">
        <v>139</v>
      </c>
      <c r="E24" s="57">
        <v>35500</v>
      </c>
      <c r="F24" s="57">
        <v>70100</v>
      </c>
      <c r="G24" s="55">
        <f>F24-E24</f>
        <v>34600</v>
      </c>
      <c r="H24" s="55">
        <f>G24*('Sistema Hexano-Octano'!$M$9+'Sistema Hexano-Octano'!$M$10+('Sistema Hexano-Octano'!$M$10*'Sistema Hexano-Octano'!$M$44))/1000</f>
        <v>4375.2578485875301</v>
      </c>
    </row>
    <row r="25" spans="2:8" ht="14.25" customHeight="1" x14ac:dyDescent="0.25">
      <c r="D25" s="54" t="s">
        <v>140</v>
      </c>
      <c r="E25" s="58">
        <f>SUM(E23:E24)</f>
        <v>52500</v>
      </c>
      <c r="F25" s="58">
        <f>SUM(F23:F24)</f>
        <v>121100</v>
      </c>
      <c r="G25" s="56">
        <v>74.475999999999999</v>
      </c>
      <c r="H25" s="56">
        <f>SUM(H23:H24)</f>
        <v>6974.6441737891491</v>
      </c>
    </row>
    <row r="26" spans="2:8" ht="14.25" customHeight="1" x14ac:dyDescent="0.25"/>
    <row r="27" spans="2:8" ht="14.25" customHeight="1" x14ac:dyDescent="0.25">
      <c r="B27" t="s">
        <v>141</v>
      </c>
      <c r="C27">
        <f>'Sistema Hexano-Octano'!M45</f>
        <v>0.54794545022787711</v>
      </c>
      <c r="D27" s="53"/>
      <c r="E27" s="54" t="s">
        <v>134</v>
      </c>
      <c r="F27" s="54" t="s">
        <v>135</v>
      </c>
      <c r="G27" s="54" t="s">
        <v>136</v>
      </c>
      <c r="H27" s="54" t="s">
        <v>137</v>
      </c>
    </row>
    <row r="28" spans="2:8" ht="14.25" customHeight="1" x14ac:dyDescent="0.25">
      <c r="D28" s="54" t="s">
        <v>138</v>
      </c>
      <c r="E28" s="57">
        <v>17000</v>
      </c>
      <c r="F28" s="57">
        <v>51000</v>
      </c>
      <c r="G28" s="55">
        <f>F28-E28</f>
        <v>34000</v>
      </c>
      <c r="H28" s="55">
        <f>G28*('Sistema Hexano-Octano'!$M$10+('Sistema Hexano-Octano'!$M$10*'Sistema Hexano-Octano'!$M$45))/(10^3)</f>
        <v>2631.5072653873908</v>
      </c>
    </row>
    <row r="29" spans="2:8" ht="14.25" customHeight="1" x14ac:dyDescent="0.25">
      <c r="D29" s="54" t="s">
        <v>139</v>
      </c>
      <c r="E29" s="57">
        <v>35500</v>
      </c>
      <c r="F29" s="57">
        <v>70100</v>
      </c>
      <c r="G29" s="55">
        <f>F29-E29</f>
        <v>34600</v>
      </c>
      <c r="H29" s="55">
        <f>G29*('Sistema Hexano-Octano'!$M$9+'Sistema Hexano-Octano'!$M$10+('Sistema Hexano-Octano'!$M$10*'Sistema Hexano-Octano'!$M$45))/1000</f>
        <v>4407.9456288942274</v>
      </c>
    </row>
    <row r="30" spans="2:8" ht="14.25" customHeight="1" x14ac:dyDescent="0.25">
      <c r="D30" s="54" t="s">
        <v>140</v>
      </c>
      <c r="E30" s="58">
        <f>SUM(E28:E29)</f>
        <v>52500</v>
      </c>
      <c r="F30" s="58">
        <f>SUM(F28:F29)</f>
        <v>121100</v>
      </c>
      <c r="G30" s="56">
        <v>74.475999999999999</v>
      </c>
      <c r="H30" s="56">
        <f>SUM(H28:H29)</f>
        <v>7039.4528942816178</v>
      </c>
    </row>
    <row r="31" spans="2:8" ht="14.25" customHeight="1" x14ac:dyDescent="0.25"/>
    <row r="32" spans="2:8" ht="14.25" customHeight="1" x14ac:dyDescent="0.25">
      <c r="B32" t="s">
        <v>141</v>
      </c>
      <c r="C32">
        <f>'Sistema Hexano-Octano'!M46</f>
        <v>0.56684012092539016</v>
      </c>
      <c r="D32" s="53"/>
      <c r="E32" s="54" t="s">
        <v>134</v>
      </c>
      <c r="F32" s="54" t="s">
        <v>135</v>
      </c>
      <c r="G32" s="54" t="s">
        <v>136</v>
      </c>
      <c r="H32" s="54" t="s">
        <v>137</v>
      </c>
    </row>
    <row r="33" spans="4:8" ht="14.25" customHeight="1" x14ac:dyDescent="0.25">
      <c r="D33" s="54" t="s">
        <v>138</v>
      </c>
      <c r="E33" s="57">
        <v>17000</v>
      </c>
      <c r="F33" s="57">
        <v>51000</v>
      </c>
      <c r="G33" s="55">
        <f>F33-E33</f>
        <v>34000</v>
      </c>
      <c r="H33" s="55">
        <f>G33*('Sistema Hexano-Octano'!$M$10+('Sistema Hexano-Octano'!$M$10*'Sistema Hexano-Octano'!$M$46))/(10^3)</f>
        <v>2663.6282055731631</v>
      </c>
    </row>
    <row r="34" spans="4:8" ht="14.25" customHeight="1" x14ac:dyDescent="0.25">
      <c r="D34" s="54" t="s">
        <v>139</v>
      </c>
      <c r="E34" s="57">
        <v>35500</v>
      </c>
      <c r="F34" s="57">
        <v>70100</v>
      </c>
      <c r="G34" s="55">
        <f>F34-E34</f>
        <v>34600</v>
      </c>
      <c r="H34" s="55">
        <f>G34*('Sistema Hexano-Octano'!$M$9+'Sistema Hexano-Octano'!$M$10+('Sistema Hexano-Octano'!$M$10*'Sistema Hexano-Octano'!$M$46))/1000</f>
        <v>4440.6334092009256</v>
      </c>
    </row>
    <row r="35" spans="4:8" ht="14.25" customHeight="1" x14ac:dyDescent="0.25">
      <c r="D35" s="54" t="s">
        <v>140</v>
      </c>
      <c r="E35" s="58">
        <f>SUM(E33:E34)</f>
        <v>52500</v>
      </c>
      <c r="F35" s="58">
        <f>SUM(F33:F34)</f>
        <v>121100</v>
      </c>
      <c r="G35" s="56">
        <v>74.475999999999999</v>
      </c>
      <c r="H35" s="56">
        <f>SUM(H33:H34)</f>
        <v>7104.2616147740882</v>
      </c>
    </row>
    <row r="36" spans="4:8" ht="14.25" customHeight="1" x14ac:dyDescent="0.25"/>
    <row r="37" spans="4:8" ht="14.25" customHeight="1" x14ac:dyDescent="0.25"/>
    <row r="38" spans="4:8" ht="14.25" customHeight="1" x14ac:dyDescent="0.25"/>
    <row r="39" spans="4:8" ht="14.25" customHeight="1" x14ac:dyDescent="0.25"/>
    <row r="40" spans="4:8" ht="14.25" customHeight="1" x14ac:dyDescent="0.25"/>
    <row r="41" spans="4:8" ht="14.25" customHeight="1" x14ac:dyDescent="0.25"/>
    <row r="42" spans="4:8" ht="14.25" customHeight="1" x14ac:dyDescent="0.25"/>
    <row r="43" spans="4:8" ht="14.25" customHeight="1" x14ac:dyDescent="0.25"/>
    <row r="44" spans="4:8" ht="14.25" customHeight="1" x14ac:dyDescent="0.25"/>
    <row r="45" spans="4:8" ht="14.25" customHeight="1" x14ac:dyDescent="0.25"/>
    <row r="46" spans="4:8" ht="14.25" customHeight="1" x14ac:dyDescent="0.25"/>
    <row r="47" spans="4:8" ht="14.25" customHeight="1" x14ac:dyDescent="0.25"/>
    <row r="48" spans="4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D4:E4"/>
    <mergeCell ref="G4:H4"/>
  </mergeCells>
  <pageMargins left="0.511811024" right="0.511811024" top="0.78740157499999996" bottom="0.78740157499999996" header="0" footer="0"/>
  <pageSetup paperSize="9" orientation="landscape"/>
  <headerFooter>
    <oddFooter>&amp;L_x000D_#737373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1000"/>
  <sheetViews>
    <sheetView zoomScale="80" zoomScaleNormal="80" workbookViewId="0">
      <selection activeCell="K22" sqref="K22"/>
    </sheetView>
  </sheetViews>
  <sheetFormatPr defaultColWidth="14.42578125" defaultRowHeight="15" customHeight="1" x14ac:dyDescent="0.25"/>
  <cols>
    <col min="1" max="1" width="3.140625" customWidth="1"/>
    <col min="2" max="2" width="27.42578125" customWidth="1"/>
    <col min="3" max="3" width="8.7109375" customWidth="1"/>
    <col min="4" max="4" width="2.5703125" customWidth="1"/>
    <col min="5" max="5" width="3" customWidth="1"/>
    <col min="6" max="6" width="11" customWidth="1"/>
    <col min="7" max="9" width="8.7109375" customWidth="1"/>
    <col min="10" max="10" width="9.28515625" bestFit="1" customWidth="1"/>
    <col min="11" max="11" width="15" customWidth="1"/>
    <col min="12" max="12" width="13.42578125" customWidth="1"/>
    <col min="13" max="14" width="8.7109375" customWidth="1"/>
    <col min="15" max="15" width="3.140625" customWidth="1"/>
    <col min="16" max="16" width="8.7109375" customWidth="1"/>
    <col min="17" max="17" width="12.85546875" customWidth="1"/>
    <col min="18" max="18" width="8.7109375" customWidth="1"/>
    <col min="19" max="19" width="11.140625" customWidth="1"/>
    <col min="20" max="20" width="8.7109375" customWidth="1"/>
    <col min="21" max="21" width="3.5703125" customWidth="1"/>
    <col min="22" max="31" width="8.7109375" customWidth="1"/>
    <col min="32" max="32" width="10.85546875" customWidth="1"/>
  </cols>
  <sheetData>
    <row r="1" spans="2:25" ht="14.25" customHeight="1" x14ac:dyDescent="0.25"/>
    <row r="2" spans="2:25" ht="14.25" customHeight="1" x14ac:dyDescent="0.25">
      <c r="B2" s="69" t="s">
        <v>132</v>
      </c>
      <c r="C2" s="71"/>
      <c r="E2" s="4"/>
      <c r="F2" s="69" t="s">
        <v>95</v>
      </c>
      <c r="G2" s="70"/>
      <c r="H2" s="70"/>
      <c r="I2" s="70"/>
      <c r="J2" s="70"/>
      <c r="K2" s="70"/>
      <c r="L2" s="70"/>
      <c r="M2" s="70"/>
      <c r="N2" s="71"/>
      <c r="P2" s="69" t="s">
        <v>96</v>
      </c>
      <c r="Q2" s="70"/>
      <c r="R2" s="70"/>
      <c r="S2" s="70"/>
      <c r="T2" s="71"/>
      <c r="U2" s="4"/>
      <c r="V2" s="69" t="s">
        <v>97</v>
      </c>
      <c r="W2" s="70"/>
      <c r="X2" s="70"/>
      <c r="Y2" s="71"/>
    </row>
    <row r="3" spans="2:25" ht="14.25" customHeight="1" x14ac:dyDescent="0.35">
      <c r="B3" s="2"/>
      <c r="C3" s="2"/>
      <c r="D3" s="2"/>
      <c r="F3" s="78" t="s">
        <v>7</v>
      </c>
      <c r="G3" s="79"/>
      <c r="H3" s="6">
        <v>1</v>
      </c>
      <c r="I3" s="7" t="s">
        <v>8</v>
      </c>
      <c r="Q3" s="72" t="s">
        <v>9</v>
      </c>
      <c r="R3" s="73"/>
      <c r="S3" s="8" t="s">
        <v>98</v>
      </c>
    </row>
    <row r="4" spans="2:25" ht="14.25" customHeight="1" x14ac:dyDescent="0.35">
      <c r="F4" s="78" t="s">
        <v>13</v>
      </c>
      <c r="G4" s="79"/>
      <c r="H4" s="6">
        <f>H3+1</f>
        <v>2</v>
      </c>
      <c r="I4" s="86" t="s">
        <v>14</v>
      </c>
      <c r="J4" s="75"/>
      <c r="W4" s="67" t="s">
        <v>143</v>
      </c>
      <c r="X4" s="38">
        <f>R31/('Sistema Hexano-Octano'!AS10/100)</f>
        <v>19.947655348509905</v>
      </c>
    </row>
    <row r="5" spans="2:25" ht="14.25" customHeight="1" x14ac:dyDescent="0.25">
      <c r="B5" s="103" t="s">
        <v>99</v>
      </c>
      <c r="C5" s="79"/>
      <c r="R5" s="5" t="s">
        <v>15</v>
      </c>
      <c r="S5">
        <v>0.97</v>
      </c>
    </row>
    <row r="6" spans="2:25" ht="14.25" customHeight="1" x14ac:dyDescent="0.25">
      <c r="B6" s="39" t="s">
        <v>100</v>
      </c>
      <c r="C6" s="1">
        <v>100</v>
      </c>
      <c r="F6" s="67" t="s">
        <v>16</v>
      </c>
      <c r="R6" s="5" t="s">
        <v>17</v>
      </c>
      <c r="S6" s="5">
        <v>0.97</v>
      </c>
    </row>
    <row r="7" spans="2:25" ht="14.25" customHeight="1" x14ac:dyDescent="0.35">
      <c r="B7" s="39" t="s">
        <v>101</v>
      </c>
      <c r="C7" s="40">
        <f>'Sistema Hexano-Octano'!M10</f>
        <v>50</v>
      </c>
      <c r="F7" s="1" t="s">
        <v>102</v>
      </c>
      <c r="G7" s="5">
        <f>C7*C11</f>
        <v>24.563071906766908</v>
      </c>
      <c r="H7" s="5" t="s">
        <v>21</v>
      </c>
      <c r="R7" s="5" t="s">
        <v>22</v>
      </c>
      <c r="S7" s="11">
        <f>S6/(S6+($C$10*(1-S6)))</f>
        <v>0.85932079923382265</v>
      </c>
    </row>
    <row r="8" spans="2:25" ht="14.25" customHeight="1" x14ac:dyDescent="0.35">
      <c r="B8" s="39" t="s">
        <v>133</v>
      </c>
      <c r="C8" s="1">
        <v>0.5</v>
      </c>
      <c r="F8" s="1" t="s">
        <v>103</v>
      </c>
      <c r="G8" s="33">
        <f>C11</f>
        <v>0.49126143813533818</v>
      </c>
      <c r="R8" s="5" t="s">
        <v>25</v>
      </c>
      <c r="S8" s="11">
        <f>(I16*S6)+L16</f>
        <v>0.97</v>
      </c>
    </row>
    <row r="9" spans="2:25" ht="14.25" customHeight="1" x14ac:dyDescent="0.35">
      <c r="B9" s="39" t="s">
        <v>104</v>
      </c>
      <c r="C9" s="40">
        <v>0.97</v>
      </c>
      <c r="F9" s="1" t="s">
        <v>105</v>
      </c>
      <c r="G9" s="41">
        <f>G7+C7</f>
        <v>74.563071906766908</v>
      </c>
      <c r="H9" s="5" t="s">
        <v>21</v>
      </c>
      <c r="R9" s="5" t="s">
        <v>29</v>
      </c>
      <c r="S9" s="11">
        <f>S8/(S8+($C$10*(1-S8)))</f>
        <v>0.85932079923382265</v>
      </c>
    </row>
    <row r="10" spans="2:25" ht="14.25" customHeight="1" x14ac:dyDescent="0.35">
      <c r="B10" s="42" t="s">
        <v>106</v>
      </c>
      <c r="C10" s="43">
        <f>'Sistema Hexano-Octano'!H28</f>
        <v>5.2932822008908946</v>
      </c>
      <c r="F10" s="1" t="s">
        <v>107</v>
      </c>
      <c r="G10" s="5">
        <f>-C7*C9</f>
        <v>-48.5</v>
      </c>
      <c r="H10" s="5" t="s">
        <v>21</v>
      </c>
      <c r="R10" s="5" t="s">
        <v>32</v>
      </c>
      <c r="S10" s="11">
        <f>(I16*S9)+L16</f>
        <v>0.9335393084340402</v>
      </c>
    </row>
    <row r="11" spans="2:25" ht="14.25" customHeight="1" x14ac:dyDescent="0.25">
      <c r="B11" s="39" t="s">
        <v>108</v>
      </c>
      <c r="C11" s="44">
        <f>'Sistema Hexano-Octano'!M42</f>
        <v>0.49126143813533818</v>
      </c>
      <c r="R11" s="5" t="s">
        <v>35</v>
      </c>
      <c r="S11" s="11">
        <f>S10/(S10+($C$10*(1-S10)))</f>
        <v>0.72630066757978606</v>
      </c>
    </row>
    <row r="12" spans="2:25" ht="14.25" customHeight="1" x14ac:dyDescent="0.25">
      <c r="D12" s="4"/>
      <c r="G12" s="80" t="s">
        <v>37</v>
      </c>
      <c r="H12" s="81"/>
      <c r="I12" s="84" t="s">
        <v>38</v>
      </c>
      <c r="J12" s="68"/>
      <c r="K12" s="68"/>
      <c r="L12" s="84" t="s">
        <v>39</v>
      </c>
      <c r="M12" s="80" t="s">
        <v>40</v>
      </c>
      <c r="N12" s="81"/>
      <c r="R12" s="5" t="s">
        <v>41</v>
      </c>
      <c r="S12" s="11">
        <f>(I16*S11)+L16</f>
        <v>0.88971891617671461</v>
      </c>
    </row>
    <row r="13" spans="2:25" ht="14.25" customHeight="1" x14ac:dyDescent="0.25">
      <c r="G13" s="82"/>
      <c r="H13" s="83"/>
      <c r="I13" s="85"/>
      <c r="J13" s="68"/>
      <c r="K13" s="68"/>
      <c r="L13" s="85"/>
      <c r="M13" s="82"/>
      <c r="N13" s="83"/>
      <c r="R13" s="5" t="s">
        <v>44</v>
      </c>
      <c r="S13" s="11">
        <f>S12/(S12+($C$10*(1-S12)))</f>
        <v>0.60382650205048005</v>
      </c>
    </row>
    <row r="14" spans="2:25" ht="14.25" customHeight="1" x14ac:dyDescent="0.25">
      <c r="F14" s="87" t="s">
        <v>47</v>
      </c>
      <c r="G14" s="87" t="s">
        <v>109</v>
      </c>
      <c r="H14" s="87" t="s">
        <v>110</v>
      </c>
      <c r="I14" s="87" t="s">
        <v>111</v>
      </c>
      <c r="J14" s="87" t="s">
        <v>112</v>
      </c>
      <c r="K14" s="88"/>
      <c r="L14" s="88"/>
      <c r="M14" s="87" t="s">
        <v>113</v>
      </c>
      <c r="N14" s="87" t="s">
        <v>114</v>
      </c>
      <c r="R14" s="5" t="s">
        <v>54</v>
      </c>
      <c r="S14" s="11">
        <f>(I16*S13)+L16</f>
        <v>0.84937264747175534</v>
      </c>
    </row>
    <row r="15" spans="2:25" ht="14.25" customHeight="1" x14ac:dyDescent="0.25">
      <c r="F15" s="85"/>
      <c r="G15" s="85"/>
      <c r="H15" s="85"/>
      <c r="I15" s="85"/>
      <c r="J15" s="85"/>
      <c r="K15" s="85"/>
      <c r="L15" s="85"/>
      <c r="M15" s="85"/>
      <c r="N15" s="85"/>
      <c r="R15" s="5" t="s">
        <v>56</v>
      </c>
      <c r="S15" s="11">
        <f>S14/(S14+($C$10*(1-S14)))</f>
        <v>0.51580737671080346</v>
      </c>
    </row>
    <row r="16" spans="2:25" ht="14.25" customHeight="1" x14ac:dyDescent="0.25">
      <c r="C16" s="33"/>
      <c r="F16" s="6">
        <v>0</v>
      </c>
      <c r="G16" s="12">
        <f>G7</f>
        <v>24.563071906766908</v>
      </c>
      <c r="H16" s="12">
        <f>G9</f>
        <v>74.563071906766908</v>
      </c>
      <c r="I16" s="12">
        <f t="shared" ref="I16:I17" si="0">G16/H16</f>
        <v>0.3294267695606799</v>
      </c>
      <c r="J16" s="25">
        <f t="shared" ref="J16:J17" si="1">1/H16</f>
        <v>1.3411464608786401E-2</v>
      </c>
      <c r="K16" s="6">
        <f>G10</f>
        <v>-48.5</v>
      </c>
      <c r="L16" s="6">
        <f t="shared" ref="L16:L17" si="2">-J16*K16</f>
        <v>0.65045603352614045</v>
      </c>
      <c r="M16" s="6" t="s">
        <v>58</v>
      </c>
      <c r="N16" s="6" t="s">
        <v>58</v>
      </c>
      <c r="R16" s="5" t="s">
        <v>59</v>
      </c>
      <c r="S16" s="11">
        <f>(I16*S15)+L16</f>
        <v>0.82037679135154917</v>
      </c>
    </row>
    <row r="17" spans="3:21" ht="14.25" customHeight="1" x14ac:dyDescent="0.25">
      <c r="C17" s="33"/>
      <c r="F17" s="6">
        <v>1</v>
      </c>
      <c r="G17" s="12">
        <f>G16+(1-O33)*C6</f>
        <v>124.56307190676691</v>
      </c>
      <c r="H17" s="12">
        <f>H16-O33*C6</f>
        <v>74.563071906766908</v>
      </c>
      <c r="I17" s="12">
        <f t="shared" si="0"/>
        <v>1.6705732304393202</v>
      </c>
      <c r="J17" s="25">
        <f t="shared" si="1"/>
        <v>1.3411464608786401E-2</v>
      </c>
      <c r="K17" s="26">
        <f>K16+(C6*C8)</f>
        <v>1.5</v>
      </c>
      <c r="L17" s="27">
        <f t="shared" si="2"/>
        <v>-2.0117196913179602E-2</v>
      </c>
      <c r="M17" s="12">
        <f>((H17*K16)-(H16*K17))/((G16*H17)-(G17*H16))</f>
        <v>0.5</v>
      </c>
      <c r="N17" s="12">
        <f>((G17*K16)-(G16*K17))/((G16*H17)-(G17*H16))</f>
        <v>0.81516941830648049</v>
      </c>
      <c r="R17" s="28" t="s">
        <v>60</v>
      </c>
      <c r="S17" s="29">
        <f>S16/(S16+($C$10*(1-S16)))</f>
        <v>0.46318272334704585</v>
      </c>
      <c r="T17" s="4" t="s">
        <v>61</v>
      </c>
    </row>
    <row r="18" spans="3:21" ht="14.25" customHeight="1" x14ac:dyDescent="0.25">
      <c r="C18" s="33"/>
      <c r="F18" s="10"/>
      <c r="G18" s="10"/>
      <c r="H18" s="10"/>
      <c r="I18" s="10"/>
      <c r="J18" s="10"/>
      <c r="K18" s="10"/>
      <c r="L18" s="10"/>
      <c r="M18" s="10"/>
      <c r="N18" s="10"/>
      <c r="R18" s="5" t="s">
        <v>62</v>
      </c>
      <c r="S18" s="11">
        <f>(I17*S17)+L17</f>
        <v>0.75366346151237673</v>
      </c>
    </row>
    <row r="19" spans="3:21" ht="14.25" customHeight="1" x14ac:dyDescent="0.25">
      <c r="C19" s="33"/>
      <c r="R19" s="5" t="s">
        <v>63</v>
      </c>
      <c r="S19" s="11">
        <f>S18/(S18+($C$10*(1-S18)))</f>
        <v>0.36628416147357257</v>
      </c>
    </row>
    <row r="20" spans="3:21" ht="14.25" customHeight="1" x14ac:dyDescent="0.25">
      <c r="R20" s="5" t="s">
        <v>64</v>
      </c>
      <c r="S20" s="11">
        <f>(I17*S19)+L17</f>
        <v>0.59178731797848416</v>
      </c>
    </row>
    <row r="21" spans="3:21" ht="14.25" customHeight="1" x14ac:dyDescent="0.25">
      <c r="R21" s="5" t="s">
        <v>65</v>
      </c>
      <c r="S21" s="11">
        <f>S20/(S20+($C$10*(1-S20)))</f>
        <v>0.21499429114703261</v>
      </c>
    </row>
    <row r="22" spans="3:21" ht="14.25" customHeight="1" x14ac:dyDescent="0.25">
      <c r="R22" s="5" t="s">
        <v>66</v>
      </c>
      <c r="S22" s="11">
        <f>(I17*S21)+L17</f>
        <v>0.33904651057433038</v>
      </c>
    </row>
    <row r="23" spans="3:21" ht="14.25" customHeight="1" x14ac:dyDescent="0.25">
      <c r="R23" s="5" t="s">
        <v>67</v>
      </c>
      <c r="S23" s="11">
        <f>S22/(S22+($C$10*(1-S22)))</f>
        <v>8.8347202115408016E-2</v>
      </c>
    </row>
    <row r="24" spans="3:21" ht="14.25" customHeight="1" x14ac:dyDescent="0.25">
      <c r="R24" s="5" t="s">
        <v>68</v>
      </c>
      <c r="S24" s="11">
        <f>(I17*S23)+L17</f>
        <v>0.1274732739250331</v>
      </c>
    </row>
    <row r="25" spans="3:21" ht="14.25" customHeight="1" x14ac:dyDescent="0.25">
      <c r="R25" s="48" t="s">
        <v>69</v>
      </c>
      <c r="S25" s="50">
        <f>S24/(S24+($C$10*(1-S24)))</f>
        <v>2.6859077310541192E-2</v>
      </c>
      <c r="T25" s="4" t="s">
        <v>79</v>
      </c>
    </row>
    <row r="26" spans="3:21" ht="14.25" customHeight="1" x14ac:dyDescent="0.25">
      <c r="R26" s="5" t="s">
        <v>70</v>
      </c>
      <c r="S26" s="11">
        <f>(I17*S25)+L17</f>
        <v>2.4752858636110642E-2</v>
      </c>
    </row>
    <row r="27" spans="3:21" ht="14.25" customHeight="1" x14ac:dyDescent="0.25">
      <c r="R27" s="5" t="s">
        <v>71</v>
      </c>
      <c r="S27" s="11">
        <f>S26/(S26+($C$10*(1-S26)))</f>
        <v>4.772085062625225E-3</v>
      </c>
    </row>
    <row r="28" spans="3:21" ht="14.25" customHeight="1" x14ac:dyDescent="0.25">
      <c r="R28" s="5" t="s">
        <v>72</v>
      </c>
      <c r="S28" s="11">
        <f>(I17*S27)+L17</f>
        <v>-1.2145079354178554E-2</v>
      </c>
    </row>
    <row r="29" spans="3:21" ht="14.25" customHeight="1" x14ac:dyDescent="0.25">
      <c r="R29" s="5" t="s">
        <v>73</v>
      </c>
      <c r="S29" s="11">
        <f>S28/(S28+($C$10*(1-S28)))</f>
        <v>-2.2720514449125692E-3</v>
      </c>
      <c r="T29" s="45"/>
      <c r="U29" s="45"/>
    </row>
    <row r="30" spans="3:21" ht="14.25" customHeight="1" x14ac:dyDescent="0.25">
      <c r="T30" s="45"/>
      <c r="U30" s="45"/>
    </row>
    <row r="31" spans="3:21" ht="14.25" customHeight="1" x14ac:dyDescent="0.25">
      <c r="R31" s="5">
        <v>10</v>
      </c>
      <c r="S31" s="5" t="s">
        <v>82</v>
      </c>
      <c r="T31" s="45"/>
      <c r="U31" s="45"/>
    </row>
    <row r="32" spans="3:21" ht="14.25" customHeight="1" x14ac:dyDescent="0.25"/>
    <row r="33" spans="32:32" ht="14.25" customHeight="1" x14ac:dyDescent="0.25"/>
    <row r="34" spans="32:32" ht="14.25" customHeight="1" x14ac:dyDescent="0.25"/>
    <row r="35" spans="32:32" ht="14.25" customHeight="1" x14ac:dyDescent="0.25"/>
    <row r="36" spans="32:32" ht="14.25" customHeight="1" x14ac:dyDescent="0.25"/>
    <row r="37" spans="32:32" ht="14.25" customHeight="1" x14ac:dyDescent="0.25"/>
    <row r="38" spans="32:32" ht="14.25" customHeight="1" x14ac:dyDescent="0.25"/>
    <row r="39" spans="32:32" ht="14.25" customHeight="1" x14ac:dyDescent="0.25"/>
    <row r="40" spans="32:32" ht="14.25" customHeight="1" x14ac:dyDescent="0.25"/>
    <row r="41" spans="32:32" ht="14.25" customHeight="1" x14ac:dyDescent="0.25">
      <c r="AF41" s="11"/>
    </row>
    <row r="42" spans="32:32" ht="14.25" customHeight="1" x14ac:dyDescent="0.25">
      <c r="AF42" s="11"/>
    </row>
    <row r="43" spans="32:32" ht="14.25" customHeight="1" x14ac:dyDescent="0.25">
      <c r="AF43" s="11"/>
    </row>
    <row r="44" spans="32:32" ht="14.25" customHeight="1" x14ac:dyDescent="0.25">
      <c r="AF44" s="11"/>
    </row>
    <row r="45" spans="32:32" ht="14.25" customHeight="1" x14ac:dyDescent="0.25">
      <c r="AF45" s="11"/>
    </row>
    <row r="46" spans="32:32" ht="14.25" customHeight="1" x14ac:dyDescent="0.25">
      <c r="AF46" s="11"/>
    </row>
    <row r="47" spans="32:32" ht="14.25" customHeight="1" x14ac:dyDescent="0.25">
      <c r="AF47" s="11"/>
    </row>
    <row r="48" spans="32:32" ht="14.25" customHeight="1" x14ac:dyDescent="0.25">
      <c r="AF48" s="11"/>
    </row>
    <row r="49" spans="32:32" ht="14.25" customHeight="1" x14ac:dyDescent="0.25">
      <c r="AF49" s="11"/>
    </row>
    <row r="50" spans="32:32" ht="14.25" customHeight="1" x14ac:dyDescent="0.25">
      <c r="AF50" s="11"/>
    </row>
    <row r="51" spans="32:32" ht="14.25" customHeight="1" x14ac:dyDescent="0.25"/>
    <row r="52" spans="32:32" ht="14.25" customHeight="1" x14ac:dyDescent="0.25"/>
    <row r="53" spans="32:32" ht="14.25" customHeight="1" x14ac:dyDescent="0.25"/>
    <row r="54" spans="32:32" ht="14.25" customHeight="1" x14ac:dyDescent="0.25"/>
    <row r="55" spans="32:32" ht="14.25" customHeight="1" x14ac:dyDescent="0.25"/>
    <row r="56" spans="32:32" ht="14.25" customHeight="1" x14ac:dyDescent="0.25"/>
    <row r="57" spans="32:32" ht="14.25" customHeight="1" x14ac:dyDescent="0.25"/>
    <row r="58" spans="32:32" ht="14.25" customHeight="1" x14ac:dyDescent="0.25"/>
    <row r="59" spans="32:32" ht="14.25" customHeight="1" x14ac:dyDescent="0.25"/>
    <row r="60" spans="32:32" ht="14.25" customHeight="1" x14ac:dyDescent="0.25"/>
    <row r="61" spans="32:32" ht="14.25" customHeight="1" x14ac:dyDescent="0.25"/>
    <row r="62" spans="32:32" ht="14.25" customHeight="1" x14ac:dyDescent="0.25"/>
    <row r="63" spans="32:32" ht="14.25" customHeight="1" x14ac:dyDescent="0.25"/>
    <row r="64" spans="32:3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2">
    <mergeCell ref="B2:C2"/>
    <mergeCell ref="B5:C5"/>
    <mergeCell ref="G12:H13"/>
    <mergeCell ref="I12:I13"/>
    <mergeCell ref="L12:L13"/>
    <mergeCell ref="F4:G4"/>
    <mergeCell ref="I4:J4"/>
    <mergeCell ref="J14:J15"/>
    <mergeCell ref="F2:N2"/>
    <mergeCell ref="P2:T2"/>
    <mergeCell ref="V2:Y2"/>
    <mergeCell ref="F3:G3"/>
    <mergeCell ref="Q3:R3"/>
    <mergeCell ref="K14:K15"/>
    <mergeCell ref="L14:L15"/>
    <mergeCell ref="M14:M15"/>
    <mergeCell ref="N14:N15"/>
    <mergeCell ref="M12:N13"/>
    <mergeCell ref="F14:F15"/>
    <mergeCell ref="G14:G15"/>
    <mergeCell ref="H14:H15"/>
    <mergeCell ref="I14:I15"/>
  </mergeCells>
  <pageMargins left="0.511811024" right="0.511811024" top="0.78740157499999996" bottom="0.78740157499999996" header="0" footer="0"/>
  <pageSetup paperSize="9" orientation="portrait"/>
  <headerFooter>
    <oddFooter>&amp;L_x000D_#737373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5CC3-0DA5-4B91-88FE-CE1C9DCFB554}">
  <dimension ref="B1:AF1000"/>
  <sheetViews>
    <sheetView zoomScale="80" zoomScaleNormal="80" workbookViewId="0">
      <selection activeCell="K23" sqref="K23"/>
    </sheetView>
  </sheetViews>
  <sheetFormatPr defaultColWidth="14.42578125" defaultRowHeight="15" customHeight="1" x14ac:dyDescent="0.25"/>
  <cols>
    <col min="1" max="1" width="3.140625" customWidth="1"/>
    <col min="2" max="2" width="27.42578125" customWidth="1"/>
    <col min="3" max="3" width="8.7109375" customWidth="1"/>
    <col min="4" max="4" width="2.5703125" customWidth="1"/>
    <col min="5" max="5" width="3" customWidth="1"/>
    <col min="6" max="6" width="11" customWidth="1"/>
    <col min="7" max="9" width="8.7109375" customWidth="1"/>
    <col min="10" max="10" width="9.28515625" bestFit="1" customWidth="1"/>
    <col min="11" max="11" width="15" customWidth="1"/>
    <col min="12" max="12" width="13.42578125" customWidth="1"/>
    <col min="13" max="14" width="8.7109375" customWidth="1"/>
    <col min="15" max="15" width="3.140625" customWidth="1"/>
    <col min="16" max="16" width="8.7109375" customWidth="1"/>
    <col min="17" max="17" width="12.85546875" customWidth="1"/>
    <col min="18" max="18" width="8.7109375" customWidth="1"/>
    <col min="19" max="19" width="11.140625" customWidth="1"/>
    <col min="20" max="20" width="8.7109375" customWidth="1"/>
    <col min="21" max="21" width="3.5703125" customWidth="1"/>
    <col min="22" max="31" width="8.7109375" customWidth="1"/>
    <col min="32" max="32" width="10.85546875" customWidth="1"/>
  </cols>
  <sheetData>
    <row r="1" spans="2:25" ht="14.25" customHeight="1" x14ac:dyDescent="0.25"/>
    <row r="2" spans="2:25" ht="14.25" customHeight="1" x14ac:dyDescent="0.25">
      <c r="B2" s="69" t="s">
        <v>132</v>
      </c>
      <c r="C2" s="71"/>
      <c r="E2" s="4"/>
      <c r="F2" s="69" t="s">
        <v>95</v>
      </c>
      <c r="G2" s="70"/>
      <c r="H2" s="70"/>
      <c r="I2" s="70"/>
      <c r="J2" s="70"/>
      <c r="K2" s="70"/>
      <c r="L2" s="70"/>
      <c r="M2" s="70"/>
      <c r="N2" s="71"/>
      <c r="P2" s="69" t="s">
        <v>96</v>
      </c>
      <c r="Q2" s="70"/>
      <c r="R2" s="70"/>
      <c r="S2" s="70"/>
      <c r="T2" s="71"/>
      <c r="U2" s="4"/>
      <c r="V2" s="69" t="s">
        <v>97</v>
      </c>
      <c r="W2" s="70"/>
      <c r="X2" s="70"/>
      <c r="Y2" s="71"/>
    </row>
    <row r="3" spans="2:25" ht="14.25" customHeight="1" x14ac:dyDescent="0.35">
      <c r="B3" s="2"/>
      <c r="C3" s="2"/>
      <c r="D3" s="2"/>
      <c r="F3" s="78" t="s">
        <v>7</v>
      </c>
      <c r="G3" s="79"/>
      <c r="H3" s="6">
        <v>1</v>
      </c>
      <c r="I3" s="7" t="s">
        <v>8</v>
      </c>
      <c r="Q3" s="72" t="s">
        <v>9</v>
      </c>
      <c r="R3" s="73"/>
      <c r="S3" s="8" t="s">
        <v>10</v>
      </c>
    </row>
    <row r="4" spans="2:25" ht="14.25" customHeight="1" x14ac:dyDescent="0.35">
      <c r="F4" s="78" t="s">
        <v>13</v>
      </c>
      <c r="G4" s="79"/>
      <c r="H4" s="6">
        <f>H3+1</f>
        <v>2</v>
      </c>
      <c r="I4" s="86" t="s">
        <v>14</v>
      </c>
      <c r="J4" s="75"/>
      <c r="W4" s="67" t="s">
        <v>143</v>
      </c>
      <c r="X4" s="38">
        <f>R31/('Sistema Hexano-Octano'!AS10/100)</f>
        <v>19.947655348509905</v>
      </c>
    </row>
    <row r="5" spans="2:25" ht="14.25" customHeight="1" x14ac:dyDescent="0.25">
      <c r="B5" s="103" t="s">
        <v>99</v>
      </c>
      <c r="C5" s="79"/>
      <c r="R5" s="5" t="s">
        <v>15</v>
      </c>
      <c r="S5">
        <v>0.97</v>
      </c>
    </row>
    <row r="6" spans="2:25" ht="14.25" customHeight="1" x14ac:dyDescent="0.25">
      <c r="B6" s="39" t="s">
        <v>100</v>
      </c>
      <c r="C6" s="1">
        <v>100</v>
      </c>
      <c r="F6" s="67" t="s">
        <v>16</v>
      </c>
      <c r="R6" s="5" t="s">
        <v>17</v>
      </c>
      <c r="S6" s="5">
        <v>0.97</v>
      </c>
    </row>
    <row r="7" spans="2:25" ht="14.25" customHeight="1" x14ac:dyDescent="0.35">
      <c r="B7" s="39" t="s">
        <v>101</v>
      </c>
      <c r="C7" s="40">
        <f>'Sistema Hexano-Octano'!M10</f>
        <v>50</v>
      </c>
      <c r="F7" s="1" t="s">
        <v>20</v>
      </c>
      <c r="G7" s="5">
        <f>C7*C11</f>
        <v>25.50780544164256</v>
      </c>
      <c r="H7" s="5" t="s">
        <v>21</v>
      </c>
      <c r="R7" s="5" t="s">
        <v>22</v>
      </c>
      <c r="S7" s="11">
        <f>S6/(S6+($C$10*(1-S6)))</f>
        <v>0.85932079923382265</v>
      </c>
    </row>
    <row r="8" spans="2:25" ht="14.25" customHeight="1" x14ac:dyDescent="0.35">
      <c r="B8" s="39" t="s">
        <v>133</v>
      </c>
      <c r="C8" s="1">
        <v>0.5</v>
      </c>
      <c r="F8" s="1" t="s">
        <v>24</v>
      </c>
      <c r="G8" s="33">
        <f>C11</f>
        <v>0.51015610883285123</v>
      </c>
      <c r="R8" s="5" t="s">
        <v>25</v>
      </c>
      <c r="S8" s="11">
        <f>(I16*S6)+L16</f>
        <v>0.97</v>
      </c>
    </row>
    <row r="9" spans="2:25" ht="14.25" customHeight="1" x14ac:dyDescent="0.35">
      <c r="B9" s="39" t="s">
        <v>104</v>
      </c>
      <c r="C9" s="40">
        <v>0.97</v>
      </c>
      <c r="F9" s="1" t="s">
        <v>28</v>
      </c>
      <c r="G9" s="41">
        <f>G7+C7</f>
        <v>75.50780544164256</v>
      </c>
      <c r="H9" s="5" t="s">
        <v>21</v>
      </c>
      <c r="R9" s="5" t="s">
        <v>29</v>
      </c>
      <c r="S9" s="11">
        <f>S8/(S8+($C$10*(1-S8)))</f>
        <v>0.85932079923382265</v>
      </c>
    </row>
    <row r="10" spans="2:25" ht="14.25" customHeight="1" x14ac:dyDescent="0.35">
      <c r="B10" s="42" t="s">
        <v>106</v>
      </c>
      <c r="C10" s="43">
        <f>'Sistema Hexano-Octano'!H28</f>
        <v>5.2932822008908946</v>
      </c>
      <c r="F10" s="1" t="s">
        <v>31</v>
      </c>
      <c r="G10" s="5">
        <f>-C7*C9</f>
        <v>-48.5</v>
      </c>
      <c r="H10" s="5" t="s">
        <v>21</v>
      </c>
      <c r="R10" s="5" t="s">
        <v>32</v>
      </c>
      <c r="S10" s="11">
        <f>(I16*S9)+L16</f>
        <v>0.93261070623007192</v>
      </c>
    </row>
    <row r="11" spans="2:25" ht="14.25" customHeight="1" x14ac:dyDescent="0.25">
      <c r="B11" s="39" t="s">
        <v>108</v>
      </c>
      <c r="C11" s="44">
        <f>'Sistema Hexano-Octano'!M43</f>
        <v>0.51015610883285123</v>
      </c>
      <c r="R11" s="5" t="s">
        <v>35</v>
      </c>
      <c r="S11" s="11">
        <f>S10/(S10+($C$10*(1-S10)))</f>
        <v>0.72333462453305009</v>
      </c>
    </row>
    <row r="12" spans="2:25" ht="14.25" customHeight="1" x14ac:dyDescent="0.25">
      <c r="D12" s="4"/>
      <c r="G12" s="80" t="s">
        <v>37</v>
      </c>
      <c r="H12" s="81"/>
      <c r="I12" s="84" t="s">
        <v>38</v>
      </c>
      <c r="J12" s="68"/>
      <c r="K12" s="68"/>
      <c r="L12" s="84" t="s">
        <v>39</v>
      </c>
      <c r="M12" s="80" t="s">
        <v>40</v>
      </c>
      <c r="N12" s="81"/>
      <c r="R12" s="5" t="s">
        <v>41</v>
      </c>
      <c r="S12" s="11">
        <f>(I16*S11)+L16</f>
        <v>0.88667229143001036</v>
      </c>
    </row>
    <row r="13" spans="2:25" ht="14.25" customHeight="1" x14ac:dyDescent="0.25">
      <c r="G13" s="82"/>
      <c r="H13" s="83"/>
      <c r="I13" s="85"/>
      <c r="J13" s="68"/>
      <c r="K13" s="68"/>
      <c r="L13" s="85"/>
      <c r="M13" s="82"/>
      <c r="N13" s="83"/>
      <c r="R13" s="5" t="s">
        <v>44</v>
      </c>
      <c r="S13" s="11">
        <f>S12/(S12+($C$10*(1-S12)))</f>
        <v>0.59646401623123968</v>
      </c>
    </row>
    <row r="14" spans="2:25" ht="14.25" customHeight="1" x14ac:dyDescent="0.25">
      <c r="F14" s="87" t="s">
        <v>47</v>
      </c>
      <c r="G14" s="87" t="s">
        <v>48</v>
      </c>
      <c r="H14" s="87" t="s">
        <v>49</v>
      </c>
      <c r="I14" s="87" t="s">
        <v>50</v>
      </c>
      <c r="J14" s="87" t="s">
        <v>51</v>
      </c>
      <c r="K14" s="88"/>
      <c r="L14" s="88"/>
      <c r="M14" s="87" t="s">
        <v>52</v>
      </c>
      <c r="N14" s="87" t="s">
        <v>53</v>
      </c>
      <c r="R14" s="5" t="s">
        <v>54</v>
      </c>
      <c r="S14" s="11">
        <f>(I16*S13)+L16</f>
        <v>0.84381326812908064</v>
      </c>
    </row>
    <row r="15" spans="2:25" ht="14.25" customHeight="1" x14ac:dyDescent="0.25">
      <c r="F15" s="85"/>
      <c r="G15" s="85"/>
      <c r="H15" s="85"/>
      <c r="I15" s="85"/>
      <c r="J15" s="85"/>
      <c r="K15" s="85"/>
      <c r="L15" s="85"/>
      <c r="M15" s="85"/>
      <c r="N15" s="85"/>
      <c r="R15" s="5" t="s">
        <v>56</v>
      </c>
      <c r="S15" s="11">
        <f>S14/(S14+($C$10*(1-S14)))</f>
        <v>0.50510992856390935</v>
      </c>
    </row>
    <row r="16" spans="2:25" ht="14.25" customHeight="1" x14ac:dyDescent="0.25">
      <c r="C16" s="33"/>
      <c r="F16" s="6">
        <v>0</v>
      </c>
      <c r="G16" s="12">
        <f>G7</f>
        <v>25.50780544164256</v>
      </c>
      <c r="H16" s="12">
        <f>G9</f>
        <v>75.50780544164256</v>
      </c>
      <c r="I16" s="12">
        <f t="shared" ref="I16:I17" si="0">G16/H16</f>
        <v>0.33781680307682471</v>
      </c>
      <c r="J16" s="25">
        <f t="shared" ref="J16:J17" si="1">1/H16</f>
        <v>1.3243663938463506E-2</v>
      </c>
      <c r="K16" s="6">
        <f>G10</f>
        <v>-48.5</v>
      </c>
      <c r="L16" s="6">
        <f t="shared" ref="L16:L17" si="2">-J16*K16</f>
        <v>0.64231770101548002</v>
      </c>
      <c r="M16" s="6" t="s">
        <v>58</v>
      </c>
      <c r="N16" s="6" t="s">
        <v>58</v>
      </c>
      <c r="R16" s="5" t="s">
        <v>59</v>
      </c>
      <c r="S16" s="11">
        <f>(I16*S15)+L16</f>
        <v>0.81295232228530323</v>
      </c>
    </row>
    <row r="17" spans="3:21" ht="14.25" customHeight="1" x14ac:dyDescent="0.25">
      <c r="C17" s="33"/>
      <c r="F17" s="6">
        <v>1</v>
      </c>
      <c r="G17" s="12">
        <f>G16+(1-O33)*C6</f>
        <v>125.50780544164256</v>
      </c>
      <c r="H17" s="12">
        <f>H16-O33*C6</f>
        <v>75.50780544164256</v>
      </c>
      <c r="I17" s="12">
        <f t="shared" si="0"/>
        <v>1.6621831969231753</v>
      </c>
      <c r="J17" s="25">
        <f t="shared" si="1"/>
        <v>1.3243663938463506E-2</v>
      </c>
      <c r="K17" s="26">
        <f>K16+(C6*C8)</f>
        <v>1.5</v>
      </c>
      <c r="L17" s="27">
        <f t="shared" si="2"/>
        <v>-1.986549590769526E-2</v>
      </c>
      <c r="M17" s="12">
        <f>((H17*K16)-(H16*K17))/((G16*H17)-(G17*H16))</f>
        <v>0.49999999999999994</v>
      </c>
      <c r="N17" s="12">
        <f>((G17*K16)-(G16*K17))/((G16*H17)-(G17*H16))</f>
        <v>0.81122610255389227</v>
      </c>
      <c r="R17" s="28" t="s">
        <v>60</v>
      </c>
      <c r="S17" s="29">
        <f>S16/(S16+($C$10*(1-S16)))</f>
        <v>0.45087657811915249</v>
      </c>
      <c r="T17" s="4" t="s">
        <v>61</v>
      </c>
    </row>
    <row r="18" spans="3:21" ht="14.25" customHeight="1" x14ac:dyDescent="0.25">
      <c r="C18" s="33"/>
      <c r="F18" s="10"/>
      <c r="G18" s="10"/>
      <c r="H18" s="10"/>
      <c r="I18" s="10"/>
      <c r="J18" s="10"/>
      <c r="K18" s="10"/>
      <c r="L18" s="10"/>
      <c r="M18" s="10"/>
      <c r="N18" s="10"/>
      <c r="R18" s="5" t="s">
        <v>62</v>
      </c>
      <c r="S18" s="11">
        <f>(I17*S17)+L17</f>
        <v>0.72957397612817942</v>
      </c>
    </row>
    <row r="19" spans="3:21" ht="14.25" customHeight="1" x14ac:dyDescent="0.25">
      <c r="C19" s="33"/>
      <c r="R19" s="5" t="s">
        <v>63</v>
      </c>
      <c r="S19" s="11">
        <f>S18/(S18+($C$10*(1-S18)))</f>
        <v>0.33760704891384685</v>
      </c>
    </row>
    <row r="20" spans="3:21" ht="14.25" customHeight="1" x14ac:dyDescent="0.25">
      <c r="R20" s="5" t="s">
        <v>64</v>
      </c>
      <c r="S20" s="11">
        <f>(I17*S19)+L17</f>
        <v>0.5412992679597215</v>
      </c>
    </row>
    <row r="21" spans="3:21" ht="14.25" customHeight="1" x14ac:dyDescent="0.25">
      <c r="R21" s="5" t="s">
        <v>65</v>
      </c>
      <c r="S21" s="11">
        <f>S20/(S20+($C$10*(1-S20)))</f>
        <v>0.18229666630831645</v>
      </c>
    </row>
    <row r="22" spans="3:21" ht="14.25" customHeight="1" x14ac:dyDescent="0.25">
      <c r="R22" s="5" t="s">
        <v>66</v>
      </c>
      <c r="S22" s="11">
        <f>(I17*S21)+L17</f>
        <v>0.28314495968509945</v>
      </c>
    </row>
    <row r="23" spans="3:21" ht="14.25" customHeight="1" x14ac:dyDescent="0.25">
      <c r="R23" s="5" t="s">
        <v>67</v>
      </c>
      <c r="S23" s="11">
        <f>S22/(S22+($C$10*(1-S22)))</f>
        <v>6.9438082447899077E-2</v>
      </c>
    </row>
    <row r="24" spans="3:21" ht="14.25" customHeight="1" x14ac:dyDescent="0.25">
      <c r="R24" s="5" t="s">
        <v>68</v>
      </c>
      <c r="S24" s="11">
        <f>(I17*S23)+L17</f>
        <v>9.5553317963768647E-2</v>
      </c>
    </row>
    <row r="25" spans="3:21" ht="14.25" customHeight="1" x14ac:dyDescent="0.25">
      <c r="R25" s="48" t="s">
        <v>69</v>
      </c>
      <c r="S25" s="50">
        <f>S24/(S24+($C$10*(1-S24)))</f>
        <v>1.956838838523902E-2</v>
      </c>
      <c r="T25" s="4" t="s">
        <v>79</v>
      </c>
    </row>
    <row r="26" spans="3:21" ht="14.25" customHeight="1" x14ac:dyDescent="0.25">
      <c r="R26" s="5" t="s">
        <v>70</v>
      </c>
      <c r="S26" s="11">
        <f>(I17*S25)+L17</f>
        <v>1.2660750457115667E-2</v>
      </c>
    </row>
    <row r="27" spans="3:21" ht="14.25" customHeight="1" x14ac:dyDescent="0.25">
      <c r="R27" s="5" t="s">
        <v>71</v>
      </c>
      <c r="S27" s="11">
        <f>S26/(S26+($C$10*(1-S26)))</f>
        <v>2.4166690641457735E-3</v>
      </c>
    </row>
    <row r="28" spans="3:21" ht="14.25" customHeight="1" x14ac:dyDescent="0.25">
      <c r="R28" s="5" t="s">
        <v>72</v>
      </c>
      <c r="S28" s="11">
        <f>(I17*S27)+L17</f>
        <v>-1.58485491967481E-2</v>
      </c>
    </row>
    <row r="29" spans="3:21" ht="14.25" customHeight="1" x14ac:dyDescent="0.25">
      <c r="R29" s="5" t="s">
        <v>73</v>
      </c>
      <c r="S29" s="11">
        <f>S28/(S28+($C$10*(1-S28)))</f>
        <v>-2.9560884089985195E-3</v>
      </c>
      <c r="T29" s="45"/>
      <c r="U29" s="45"/>
    </row>
    <row r="30" spans="3:21" ht="14.25" customHeight="1" x14ac:dyDescent="0.25">
      <c r="T30" s="45"/>
      <c r="U30" s="45"/>
    </row>
    <row r="31" spans="3:21" ht="14.25" customHeight="1" x14ac:dyDescent="0.25">
      <c r="R31" s="5">
        <v>10</v>
      </c>
      <c r="S31" s="5" t="s">
        <v>82</v>
      </c>
      <c r="T31" s="45"/>
      <c r="U31" s="45"/>
    </row>
    <row r="32" spans="3:21" ht="14.25" customHeight="1" x14ac:dyDescent="0.25"/>
    <row r="33" spans="32:32" ht="14.25" customHeight="1" x14ac:dyDescent="0.25"/>
    <row r="34" spans="32:32" ht="14.25" customHeight="1" x14ac:dyDescent="0.25"/>
    <row r="35" spans="32:32" ht="14.25" customHeight="1" x14ac:dyDescent="0.25"/>
    <row r="36" spans="32:32" ht="14.25" customHeight="1" x14ac:dyDescent="0.25"/>
    <row r="37" spans="32:32" ht="14.25" customHeight="1" x14ac:dyDescent="0.25"/>
    <row r="38" spans="32:32" ht="14.25" customHeight="1" x14ac:dyDescent="0.25"/>
    <row r="39" spans="32:32" ht="14.25" customHeight="1" x14ac:dyDescent="0.25"/>
    <row r="40" spans="32:32" ht="14.25" customHeight="1" x14ac:dyDescent="0.25"/>
    <row r="41" spans="32:32" ht="14.25" customHeight="1" x14ac:dyDescent="0.25">
      <c r="AF41" s="11"/>
    </row>
    <row r="42" spans="32:32" ht="14.25" customHeight="1" x14ac:dyDescent="0.25">
      <c r="AF42" s="11"/>
    </row>
    <row r="43" spans="32:32" ht="14.25" customHeight="1" x14ac:dyDescent="0.25">
      <c r="AF43" s="11"/>
    </row>
    <row r="44" spans="32:32" ht="14.25" customHeight="1" x14ac:dyDescent="0.25">
      <c r="AF44" s="11"/>
    </row>
    <row r="45" spans="32:32" ht="14.25" customHeight="1" x14ac:dyDescent="0.25">
      <c r="AF45" s="11"/>
    </row>
    <row r="46" spans="32:32" ht="14.25" customHeight="1" x14ac:dyDescent="0.25">
      <c r="AF46" s="11"/>
    </row>
    <row r="47" spans="32:32" ht="14.25" customHeight="1" x14ac:dyDescent="0.25">
      <c r="AF47" s="11"/>
    </row>
    <row r="48" spans="32:32" ht="14.25" customHeight="1" x14ac:dyDescent="0.25">
      <c r="AF48" s="11"/>
    </row>
    <row r="49" spans="32:32" ht="14.25" customHeight="1" x14ac:dyDescent="0.25">
      <c r="AF49" s="11"/>
    </row>
    <row r="50" spans="32:32" ht="14.25" customHeight="1" x14ac:dyDescent="0.25">
      <c r="AF50" s="11"/>
    </row>
    <row r="51" spans="32:32" ht="14.25" customHeight="1" x14ac:dyDescent="0.25"/>
    <row r="52" spans="32:32" ht="14.25" customHeight="1" x14ac:dyDescent="0.25"/>
    <row r="53" spans="32:32" ht="14.25" customHeight="1" x14ac:dyDescent="0.25"/>
    <row r="54" spans="32:32" ht="14.25" customHeight="1" x14ac:dyDescent="0.25"/>
    <row r="55" spans="32:32" ht="14.25" customHeight="1" x14ac:dyDescent="0.25"/>
    <row r="56" spans="32:32" ht="14.25" customHeight="1" x14ac:dyDescent="0.25"/>
    <row r="57" spans="32:32" ht="14.25" customHeight="1" x14ac:dyDescent="0.25"/>
    <row r="58" spans="32:32" ht="14.25" customHeight="1" x14ac:dyDescent="0.25"/>
    <row r="59" spans="32:32" ht="14.25" customHeight="1" x14ac:dyDescent="0.25"/>
    <row r="60" spans="32:32" ht="14.25" customHeight="1" x14ac:dyDescent="0.25"/>
    <row r="61" spans="32:32" ht="14.25" customHeight="1" x14ac:dyDescent="0.25"/>
    <row r="62" spans="32:32" ht="14.25" customHeight="1" x14ac:dyDescent="0.25"/>
    <row r="63" spans="32:32" ht="14.25" customHeight="1" x14ac:dyDescent="0.25"/>
    <row r="64" spans="32:3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2">
    <mergeCell ref="B2:C2"/>
    <mergeCell ref="F2:N2"/>
    <mergeCell ref="P2:T2"/>
    <mergeCell ref="V2:Y2"/>
    <mergeCell ref="F3:G3"/>
    <mergeCell ref="Q3:R3"/>
    <mergeCell ref="F4:G4"/>
    <mergeCell ref="I4:J4"/>
    <mergeCell ref="B5:C5"/>
    <mergeCell ref="G12:H13"/>
    <mergeCell ref="I12:I13"/>
    <mergeCell ref="M12:N13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L12:L13"/>
  </mergeCells>
  <pageMargins left="0.511811024" right="0.511811024" top="0.78740157499999996" bottom="0.78740157499999996" header="0" footer="0"/>
  <pageSetup paperSize="9" orientation="portrait"/>
  <headerFooter>
    <oddFooter>&amp;L_x000D_#737373 PÚBLICA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3809-21D8-4B52-81AB-5A5848259198}">
  <dimension ref="B1:AF1000"/>
  <sheetViews>
    <sheetView zoomScale="80" zoomScaleNormal="80" workbookViewId="0">
      <selection activeCell="F20" sqref="F20"/>
    </sheetView>
  </sheetViews>
  <sheetFormatPr defaultColWidth="14.42578125" defaultRowHeight="15" customHeight="1" x14ac:dyDescent="0.25"/>
  <cols>
    <col min="1" max="1" width="3.140625" customWidth="1"/>
    <col min="2" max="2" width="27.42578125" customWidth="1"/>
    <col min="3" max="3" width="8.7109375" customWidth="1"/>
    <col min="4" max="4" width="2.5703125" customWidth="1"/>
    <col min="5" max="5" width="3" customWidth="1"/>
    <col min="6" max="6" width="11" customWidth="1"/>
    <col min="7" max="9" width="8.7109375" customWidth="1"/>
    <col min="10" max="10" width="9.28515625" bestFit="1" customWidth="1"/>
    <col min="11" max="11" width="15" customWidth="1"/>
    <col min="12" max="12" width="13.42578125" customWidth="1"/>
    <col min="13" max="14" width="8.7109375" customWidth="1"/>
    <col min="15" max="15" width="3.140625" customWidth="1"/>
    <col min="16" max="16" width="8.7109375" customWidth="1"/>
    <col min="17" max="17" width="12.85546875" customWidth="1"/>
    <col min="18" max="18" width="8.7109375" customWidth="1"/>
    <col min="19" max="19" width="11.140625" customWidth="1"/>
    <col min="20" max="20" width="8.7109375" customWidth="1"/>
    <col min="21" max="21" width="3.5703125" customWidth="1"/>
    <col min="22" max="31" width="8.7109375" customWidth="1"/>
    <col min="32" max="32" width="10.85546875" customWidth="1"/>
  </cols>
  <sheetData>
    <row r="1" spans="2:25" ht="14.25" customHeight="1" x14ac:dyDescent="0.25"/>
    <row r="2" spans="2:25" ht="14.25" customHeight="1" x14ac:dyDescent="0.25">
      <c r="B2" s="69" t="s">
        <v>132</v>
      </c>
      <c r="C2" s="71"/>
      <c r="E2" s="4"/>
      <c r="F2" s="69" t="s">
        <v>95</v>
      </c>
      <c r="G2" s="70"/>
      <c r="H2" s="70"/>
      <c r="I2" s="70"/>
      <c r="J2" s="70"/>
      <c r="K2" s="70"/>
      <c r="L2" s="70"/>
      <c r="M2" s="70"/>
      <c r="N2" s="71"/>
      <c r="P2" s="69" t="s">
        <v>96</v>
      </c>
      <c r="Q2" s="70"/>
      <c r="R2" s="70"/>
      <c r="S2" s="70"/>
      <c r="T2" s="71"/>
      <c r="U2" s="4"/>
      <c r="V2" s="69" t="s">
        <v>97</v>
      </c>
      <c r="W2" s="70"/>
      <c r="X2" s="70"/>
      <c r="Y2" s="71"/>
    </row>
    <row r="3" spans="2:25" ht="14.25" customHeight="1" x14ac:dyDescent="0.35">
      <c r="B3" s="2"/>
      <c r="C3" s="2"/>
      <c r="D3" s="2"/>
      <c r="F3" s="78" t="s">
        <v>7</v>
      </c>
      <c r="G3" s="79"/>
      <c r="H3" s="6">
        <v>1</v>
      </c>
      <c r="I3" s="7" t="s">
        <v>8</v>
      </c>
      <c r="Q3" s="72" t="s">
        <v>9</v>
      </c>
      <c r="R3" s="73"/>
      <c r="S3" s="8" t="s">
        <v>10</v>
      </c>
    </row>
    <row r="4" spans="2:25" ht="14.25" customHeight="1" x14ac:dyDescent="0.35">
      <c r="F4" s="78" t="s">
        <v>13</v>
      </c>
      <c r="G4" s="79"/>
      <c r="H4" s="6">
        <f>H3+1</f>
        <v>2</v>
      </c>
      <c r="I4" s="86" t="s">
        <v>14</v>
      </c>
      <c r="J4" s="75"/>
      <c r="W4" s="67" t="s">
        <v>143</v>
      </c>
      <c r="X4" s="38">
        <f>R31/('Sistema Hexano-Octano'!AS10/100)</f>
        <v>19.947655348509905</v>
      </c>
    </row>
    <row r="5" spans="2:25" ht="14.25" customHeight="1" x14ac:dyDescent="0.25">
      <c r="B5" s="103" t="s">
        <v>99</v>
      </c>
      <c r="C5" s="79"/>
      <c r="R5" s="5" t="s">
        <v>15</v>
      </c>
      <c r="S5">
        <v>0.97</v>
      </c>
    </row>
    <row r="6" spans="2:25" ht="14.25" customHeight="1" x14ac:dyDescent="0.25">
      <c r="B6" s="39" t="s">
        <v>100</v>
      </c>
      <c r="C6" s="1">
        <v>100</v>
      </c>
      <c r="F6" s="67" t="s">
        <v>16</v>
      </c>
      <c r="R6" s="5" t="s">
        <v>17</v>
      </c>
      <c r="S6" s="5">
        <v>0.97</v>
      </c>
    </row>
    <row r="7" spans="2:25" ht="14.25" customHeight="1" x14ac:dyDescent="0.35">
      <c r="B7" s="39" t="s">
        <v>101</v>
      </c>
      <c r="C7" s="40">
        <f>'Sistema Hexano-Octano'!M10</f>
        <v>50</v>
      </c>
      <c r="F7" s="1" t="s">
        <v>20</v>
      </c>
      <c r="G7" s="5">
        <f>C7*C11</f>
        <v>26.452538976518202</v>
      </c>
      <c r="H7" s="5" t="s">
        <v>21</v>
      </c>
      <c r="R7" s="5" t="s">
        <v>22</v>
      </c>
      <c r="S7" s="11">
        <f>S6/(S6+($C$10*(1-S6)))</f>
        <v>0.85932079923382265</v>
      </c>
    </row>
    <row r="8" spans="2:25" ht="14.25" customHeight="1" x14ac:dyDescent="0.35">
      <c r="B8" s="39" t="s">
        <v>133</v>
      </c>
      <c r="C8" s="1">
        <v>0.5</v>
      </c>
      <c r="F8" s="1" t="s">
        <v>24</v>
      </c>
      <c r="G8" s="33">
        <f>C11</f>
        <v>0.52905077953036406</v>
      </c>
      <c r="R8" s="5" t="s">
        <v>25</v>
      </c>
      <c r="S8" s="11">
        <f>(I16*S6)+L16</f>
        <v>0.97</v>
      </c>
    </row>
    <row r="9" spans="2:25" ht="14.25" customHeight="1" x14ac:dyDescent="0.35">
      <c r="B9" s="39" t="s">
        <v>104</v>
      </c>
      <c r="C9" s="40">
        <v>0.97</v>
      </c>
      <c r="F9" s="1" t="s">
        <v>28</v>
      </c>
      <c r="G9" s="41">
        <f>G7+C7</f>
        <v>76.452538976518198</v>
      </c>
      <c r="H9" s="5" t="s">
        <v>21</v>
      </c>
      <c r="R9" s="5" t="s">
        <v>29</v>
      </c>
      <c r="S9" s="11">
        <f>S8/(S8+($C$10*(1-S8)))</f>
        <v>0.85932079923382265</v>
      </c>
    </row>
    <row r="10" spans="2:25" ht="14.25" customHeight="1" x14ac:dyDescent="0.35">
      <c r="B10" s="42" t="s">
        <v>106</v>
      </c>
      <c r="C10" s="43">
        <f>'Sistema Hexano-Octano'!H28</f>
        <v>5.2932822008908946</v>
      </c>
      <c r="F10" s="1" t="s">
        <v>31</v>
      </c>
      <c r="G10" s="5">
        <f>-C7*C9</f>
        <v>-48.5</v>
      </c>
      <c r="H10" s="5" t="s">
        <v>21</v>
      </c>
      <c r="R10" s="5" t="s">
        <v>32</v>
      </c>
      <c r="S10" s="11">
        <f>(I16*S9)+L16</f>
        <v>0.93170505373200996</v>
      </c>
    </row>
    <row r="11" spans="2:25" ht="14.25" customHeight="1" x14ac:dyDescent="0.25">
      <c r="B11" s="39" t="s">
        <v>108</v>
      </c>
      <c r="C11" s="44">
        <f>'Sistema Hexano-Octano'!M44</f>
        <v>0.52905077953036406</v>
      </c>
      <c r="R11" s="5" t="s">
        <v>35</v>
      </c>
      <c r="S11" s="11">
        <f>S10/(S10+($C$10*(1-S10)))</f>
        <v>0.72045950029117445</v>
      </c>
    </row>
    <row r="12" spans="2:25" ht="14.25" customHeight="1" x14ac:dyDescent="0.25">
      <c r="D12" s="4"/>
      <c r="G12" s="80" t="s">
        <v>37</v>
      </c>
      <c r="H12" s="81"/>
      <c r="I12" s="84" t="s">
        <v>38</v>
      </c>
      <c r="J12" s="68"/>
      <c r="K12" s="68"/>
      <c r="L12" s="84" t="s">
        <v>39</v>
      </c>
      <c r="M12" s="80" t="s">
        <v>40</v>
      </c>
      <c r="N12" s="81"/>
      <c r="R12" s="5" t="s">
        <v>41</v>
      </c>
      <c r="S12" s="11">
        <f>(I16*S11)+L16</f>
        <v>0.8836591160589844</v>
      </c>
    </row>
    <row r="13" spans="2:25" ht="14.25" customHeight="1" x14ac:dyDescent="0.25">
      <c r="G13" s="82"/>
      <c r="H13" s="83"/>
      <c r="I13" s="85"/>
      <c r="J13" s="68"/>
      <c r="K13" s="68"/>
      <c r="L13" s="85"/>
      <c r="M13" s="82"/>
      <c r="N13" s="83"/>
      <c r="R13" s="5" t="s">
        <v>44</v>
      </c>
      <c r="S13" s="11">
        <f>S12/(S12+($C$10*(1-S12)))</f>
        <v>0.58930870281770031</v>
      </c>
    </row>
    <row r="14" spans="2:25" ht="14.25" customHeight="1" x14ac:dyDescent="0.25">
      <c r="F14" s="87" t="s">
        <v>47</v>
      </c>
      <c r="G14" s="87" t="s">
        <v>48</v>
      </c>
      <c r="H14" s="87" t="s">
        <v>49</v>
      </c>
      <c r="I14" s="87" t="s">
        <v>50</v>
      </c>
      <c r="J14" s="87" t="s">
        <v>51</v>
      </c>
      <c r="K14" s="88"/>
      <c r="L14" s="88"/>
      <c r="M14" s="87" t="s">
        <v>52</v>
      </c>
      <c r="N14" s="87" t="s">
        <v>53</v>
      </c>
      <c r="R14" s="5" t="s">
        <v>54</v>
      </c>
      <c r="S14" s="11">
        <f>(I16*S13)+L16</f>
        <v>0.83828100790963855</v>
      </c>
    </row>
    <row r="15" spans="2:25" ht="14.25" customHeight="1" x14ac:dyDescent="0.25">
      <c r="F15" s="85"/>
      <c r="G15" s="85"/>
      <c r="H15" s="85"/>
      <c r="I15" s="85"/>
      <c r="J15" s="85"/>
      <c r="K15" s="85"/>
      <c r="L15" s="85"/>
      <c r="M15" s="85"/>
      <c r="N15" s="85"/>
      <c r="R15" s="48" t="s">
        <v>56</v>
      </c>
      <c r="S15" s="50">
        <f>S14/(S14+($C$10*(1-S14)))</f>
        <v>0.49476385549303176</v>
      </c>
      <c r="T15" s="4" t="s">
        <v>61</v>
      </c>
    </row>
    <row r="16" spans="2:25" ht="14.25" customHeight="1" x14ac:dyDescent="0.25">
      <c r="C16" s="33"/>
      <c r="F16" s="6">
        <v>0</v>
      </c>
      <c r="G16" s="12">
        <f>G7</f>
        <v>26.452538976518202</v>
      </c>
      <c r="H16" s="12">
        <f>G9</f>
        <v>76.452538976518198</v>
      </c>
      <c r="I16" s="12">
        <f t="shared" ref="I16:I17" si="0">G16/H16</f>
        <v>0.34599948321720086</v>
      </c>
      <c r="J16" s="25">
        <f t="shared" ref="J16:J17" si="1">1/H16</f>
        <v>1.3080010335655983E-2</v>
      </c>
      <c r="K16" s="6">
        <f>G10</f>
        <v>-48.5</v>
      </c>
      <c r="L16" s="6">
        <f t="shared" ref="L16:L17" si="2">-J16*K16</f>
        <v>0.63438050127931522</v>
      </c>
      <c r="M16" s="6" t="s">
        <v>58</v>
      </c>
      <c r="N16" s="6" t="s">
        <v>58</v>
      </c>
      <c r="R16" s="5" t="s">
        <v>59</v>
      </c>
      <c r="S16" s="11">
        <f>(I16*S15)+L16</f>
        <v>0.80556853959445407</v>
      </c>
    </row>
    <row r="17" spans="3:21" ht="14.25" customHeight="1" x14ac:dyDescent="0.25">
      <c r="C17" s="33"/>
      <c r="F17" s="6">
        <v>1</v>
      </c>
      <c r="G17" s="12">
        <f>G16+(1-O33)*C6</f>
        <v>126.4525389765182</v>
      </c>
      <c r="H17" s="12">
        <f>H16-O33*C6</f>
        <v>76.452538976518198</v>
      </c>
      <c r="I17" s="12">
        <f t="shared" si="0"/>
        <v>1.6540005167827991</v>
      </c>
      <c r="J17" s="25">
        <f t="shared" si="1"/>
        <v>1.3080010335655983E-2</v>
      </c>
      <c r="K17" s="26">
        <f>K16+(C6*C8)</f>
        <v>1.5</v>
      </c>
      <c r="L17" s="27">
        <f t="shared" si="2"/>
        <v>-1.9620015503483974E-2</v>
      </c>
      <c r="M17" s="12">
        <f>((H17*K16)-(H16*K17))/((G16*H17)-(G17*H16))</f>
        <v>0.5</v>
      </c>
      <c r="N17" s="12">
        <f>((G17*K16)-(G16*K17))/((G16*H17)-(G17*H16))</f>
        <v>0.80738024288791554</v>
      </c>
      <c r="R17" s="51" t="s">
        <v>60</v>
      </c>
      <c r="S17" s="52">
        <f>S16/(S16+($C$10*(1-S16)))</f>
        <v>0.43906195522315322</v>
      </c>
    </row>
    <row r="18" spans="3:21" ht="14.25" customHeight="1" x14ac:dyDescent="0.25">
      <c r="C18" s="33"/>
      <c r="F18" s="10"/>
      <c r="G18" s="10"/>
      <c r="H18" s="10"/>
      <c r="I18" s="10"/>
      <c r="J18" s="10"/>
      <c r="K18" s="10"/>
      <c r="L18" s="10"/>
      <c r="M18" s="10"/>
      <c r="N18" s="10"/>
      <c r="R18" s="5" t="s">
        <v>62</v>
      </c>
      <c r="S18" s="11">
        <f>(I17*S17)+L17</f>
        <v>0.70658868533527763</v>
      </c>
    </row>
    <row r="19" spans="3:21" ht="14.25" customHeight="1" x14ac:dyDescent="0.25">
      <c r="C19" s="33"/>
      <c r="R19" s="5" t="s">
        <v>63</v>
      </c>
      <c r="S19" s="11">
        <f>S18/(S18+($C$10*(1-S18)))</f>
        <v>0.31269170406616342</v>
      </c>
    </row>
    <row r="20" spans="3:21" ht="14.25" customHeight="1" x14ac:dyDescent="0.25">
      <c r="R20" s="5" t="s">
        <v>64</v>
      </c>
      <c r="S20" s="11">
        <f>(I17*S19)+L17</f>
        <v>0.49757222461564438</v>
      </c>
    </row>
    <row r="21" spans="3:21" ht="14.25" customHeight="1" x14ac:dyDescent="0.25">
      <c r="R21" s="5" t="s">
        <v>65</v>
      </c>
      <c r="S21" s="11">
        <f>S20/(S20+($C$10*(1-S20)))</f>
        <v>0.1576059874327716</v>
      </c>
    </row>
    <row r="22" spans="3:21" ht="14.25" customHeight="1" x14ac:dyDescent="0.25">
      <c r="R22" s="5" t="s">
        <v>66</v>
      </c>
      <c r="S22" s="11">
        <f>(I17*S21)+L17</f>
        <v>0.24106036915838358</v>
      </c>
    </row>
    <row r="23" spans="3:21" ht="14.25" customHeight="1" x14ac:dyDescent="0.25">
      <c r="R23" s="5" t="s">
        <v>67</v>
      </c>
      <c r="S23" s="11">
        <f>S22/(S22+($C$10*(1-S22)))</f>
        <v>5.6608973320863183E-2</v>
      </c>
    </row>
    <row r="24" spans="3:21" ht="14.25" customHeight="1" x14ac:dyDescent="0.25">
      <c r="R24" s="5" t="s">
        <v>68</v>
      </c>
      <c r="S24" s="11">
        <f>(I17*S23)+L17</f>
        <v>7.4011255623767425E-2</v>
      </c>
    </row>
    <row r="25" spans="3:21" ht="14.25" customHeight="1" x14ac:dyDescent="0.25">
      <c r="R25" s="48" t="s">
        <v>69</v>
      </c>
      <c r="S25" s="50">
        <f>S24/(S24+($C$10*(1-S24)))</f>
        <v>1.4875046644516506E-2</v>
      </c>
      <c r="T25" s="4" t="s">
        <v>79</v>
      </c>
    </row>
    <row r="26" spans="3:21" ht="14.25" customHeight="1" x14ac:dyDescent="0.25">
      <c r="R26" s="5" t="s">
        <v>70</v>
      </c>
      <c r="S26" s="11">
        <f>(I17*S25)+L17</f>
        <v>4.9833193337145663E-3</v>
      </c>
    </row>
    <row r="27" spans="3:21" ht="14.25" customHeight="1" x14ac:dyDescent="0.25">
      <c r="R27" s="5" t="s">
        <v>71</v>
      </c>
      <c r="S27" s="11">
        <f>S26/(S26+($C$10*(1-S26)))</f>
        <v>9.4526285392161548E-4</v>
      </c>
    </row>
    <row r="28" spans="3:21" ht="14.25" customHeight="1" x14ac:dyDescent="0.25">
      <c r="R28" s="5" t="s">
        <v>72</v>
      </c>
      <c r="S28" s="11">
        <f>(I17*S27)+L17</f>
        <v>-1.8056550254602038E-2</v>
      </c>
    </row>
    <row r="29" spans="3:21" ht="14.25" customHeight="1" x14ac:dyDescent="0.25">
      <c r="R29" s="5" t="s">
        <v>73</v>
      </c>
      <c r="S29" s="11">
        <f>S28/(S28+($C$10*(1-S28)))</f>
        <v>-3.361982680866649E-3</v>
      </c>
      <c r="T29" s="45"/>
      <c r="U29" s="45"/>
    </row>
    <row r="30" spans="3:21" ht="14.25" customHeight="1" x14ac:dyDescent="0.25">
      <c r="T30" s="45"/>
      <c r="U30" s="45"/>
    </row>
    <row r="31" spans="3:21" ht="14.25" customHeight="1" x14ac:dyDescent="0.25">
      <c r="R31" s="5">
        <v>10</v>
      </c>
      <c r="S31" s="5" t="s">
        <v>82</v>
      </c>
      <c r="T31" s="45"/>
      <c r="U31" s="45"/>
    </row>
    <row r="32" spans="3:21" ht="14.25" customHeight="1" x14ac:dyDescent="0.25"/>
    <row r="33" spans="32:32" ht="14.25" customHeight="1" x14ac:dyDescent="0.25"/>
    <row r="34" spans="32:32" ht="14.25" customHeight="1" x14ac:dyDescent="0.25"/>
    <row r="35" spans="32:32" ht="14.25" customHeight="1" x14ac:dyDescent="0.25"/>
    <row r="36" spans="32:32" ht="14.25" customHeight="1" x14ac:dyDescent="0.25"/>
    <row r="37" spans="32:32" ht="14.25" customHeight="1" x14ac:dyDescent="0.25"/>
    <row r="38" spans="32:32" ht="14.25" customHeight="1" x14ac:dyDescent="0.25"/>
    <row r="39" spans="32:32" ht="14.25" customHeight="1" x14ac:dyDescent="0.25"/>
    <row r="40" spans="32:32" ht="14.25" customHeight="1" x14ac:dyDescent="0.25"/>
    <row r="41" spans="32:32" ht="14.25" customHeight="1" x14ac:dyDescent="0.25">
      <c r="AF41" s="11"/>
    </row>
    <row r="42" spans="32:32" ht="14.25" customHeight="1" x14ac:dyDescent="0.25">
      <c r="AF42" s="11"/>
    </row>
    <row r="43" spans="32:32" ht="14.25" customHeight="1" x14ac:dyDescent="0.25">
      <c r="AF43" s="11"/>
    </row>
    <row r="44" spans="32:32" ht="14.25" customHeight="1" x14ac:dyDescent="0.25">
      <c r="AF44" s="11"/>
    </row>
    <row r="45" spans="32:32" ht="14.25" customHeight="1" x14ac:dyDescent="0.25">
      <c r="AF45" s="11"/>
    </row>
    <row r="46" spans="32:32" ht="14.25" customHeight="1" x14ac:dyDescent="0.25">
      <c r="AF46" s="11"/>
    </row>
    <row r="47" spans="32:32" ht="14.25" customHeight="1" x14ac:dyDescent="0.25">
      <c r="AF47" s="11"/>
    </row>
    <row r="48" spans="32:32" ht="14.25" customHeight="1" x14ac:dyDescent="0.25">
      <c r="AF48" s="11"/>
    </row>
    <row r="49" spans="32:32" ht="14.25" customHeight="1" x14ac:dyDescent="0.25">
      <c r="AF49" s="11"/>
    </row>
    <row r="50" spans="32:32" ht="14.25" customHeight="1" x14ac:dyDescent="0.25">
      <c r="AF50" s="11"/>
    </row>
    <row r="51" spans="32:32" ht="14.25" customHeight="1" x14ac:dyDescent="0.25"/>
    <row r="52" spans="32:32" ht="14.25" customHeight="1" x14ac:dyDescent="0.25"/>
    <row r="53" spans="32:32" ht="14.25" customHeight="1" x14ac:dyDescent="0.25"/>
    <row r="54" spans="32:32" ht="14.25" customHeight="1" x14ac:dyDescent="0.25"/>
    <row r="55" spans="32:32" ht="14.25" customHeight="1" x14ac:dyDescent="0.25"/>
    <row r="56" spans="32:32" ht="14.25" customHeight="1" x14ac:dyDescent="0.25"/>
    <row r="57" spans="32:32" ht="14.25" customHeight="1" x14ac:dyDescent="0.25"/>
    <row r="58" spans="32:32" ht="14.25" customHeight="1" x14ac:dyDescent="0.25"/>
    <row r="59" spans="32:32" ht="14.25" customHeight="1" x14ac:dyDescent="0.25"/>
    <row r="60" spans="32:32" ht="14.25" customHeight="1" x14ac:dyDescent="0.25"/>
    <row r="61" spans="32:32" ht="14.25" customHeight="1" x14ac:dyDescent="0.25"/>
    <row r="62" spans="32:32" ht="14.25" customHeight="1" x14ac:dyDescent="0.25"/>
    <row r="63" spans="32:32" ht="14.25" customHeight="1" x14ac:dyDescent="0.25"/>
    <row r="64" spans="32:3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2">
    <mergeCell ref="B2:C2"/>
    <mergeCell ref="F2:N2"/>
    <mergeCell ref="P2:T2"/>
    <mergeCell ref="V2:Y2"/>
    <mergeCell ref="F3:G3"/>
    <mergeCell ref="Q3:R3"/>
    <mergeCell ref="F4:G4"/>
    <mergeCell ref="I4:J4"/>
    <mergeCell ref="B5:C5"/>
    <mergeCell ref="G12:H13"/>
    <mergeCell ref="I12:I13"/>
    <mergeCell ref="M12:N13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L12:L13"/>
  </mergeCells>
  <pageMargins left="0.511811024" right="0.511811024" top="0.78740157499999996" bottom="0.78740157499999996" header="0" footer="0"/>
  <pageSetup paperSize="9" orientation="portrait"/>
  <headerFooter>
    <oddFooter>&amp;L_x000D_#737373 PÚBLICA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F474-4B8B-4AB5-8FAB-84149ACE134F}">
  <dimension ref="B1:AF1000"/>
  <sheetViews>
    <sheetView zoomScale="80" zoomScaleNormal="80" workbookViewId="0">
      <selection activeCell="M22" sqref="M22"/>
    </sheetView>
  </sheetViews>
  <sheetFormatPr defaultColWidth="14.42578125" defaultRowHeight="15" customHeight="1" x14ac:dyDescent="0.25"/>
  <cols>
    <col min="1" max="1" width="3.140625" customWidth="1"/>
    <col min="2" max="2" width="27.42578125" customWidth="1"/>
    <col min="3" max="3" width="8.7109375" customWidth="1"/>
    <col min="4" max="4" width="2.5703125" customWidth="1"/>
    <col min="5" max="5" width="3" customWidth="1"/>
    <col min="6" max="6" width="11" customWidth="1"/>
    <col min="7" max="9" width="8.7109375" customWidth="1"/>
    <col min="10" max="10" width="9.28515625" bestFit="1" customWidth="1"/>
    <col min="11" max="11" width="15" customWidth="1"/>
    <col min="12" max="12" width="13.42578125" customWidth="1"/>
    <col min="13" max="14" width="8.7109375" customWidth="1"/>
    <col min="15" max="15" width="3.140625" customWidth="1"/>
    <col min="16" max="16" width="8.7109375" customWidth="1"/>
    <col min="17" max="17" width="12.85546875" customWidth="1"/>
    <col min="18" max="18" width="8.7109375" customWidth="1"/>
    <col min="19" max="19" width="11.140625" customWidth="1"/>
    <col min="20" max="20" width="8.7109375" customWidth="1"/>
    <col min="21" max="21" width="3.5703125" customWidth="1"/>
    <col min="22" max="31" width="8.7109375" customWidth="1"/>
    <col min="32" max="32" width="10.85546875" customWidth="1"/>
  </cols>
  <sheetData>
    <row r="1" spans="2:25" ht="14.25" customHeight="1" x14ac:dyDescent="0.25"/>
    <row r="2" spans="2:25" ht="14.25" customHeight="1" x14ac:dyDescent="0.25">
      <c r="B2" s="69" t="s">
        <v>132</v>
      </c>
      <c r="C2" s="71"/>
      <c r="E2" s="4"/>
      <c r="F2" s="69" t="s">
        <v>95</v>
      </c>
      <c r="G2" s="70"/>
      <c r="H2" s="70"/>
      <c r="I2" s="70"/>
      <c r="J2" s="70"/>
      <c r="K2" s="70"/>
      <c r="L2" s="70"/>
      <c r="M2" s="70"/>
      <c r="N2" s="71"/>
      <c r="P2" s="69" t="s">
        <v>96</v>
      </c>
      <c r="Q2" s="70"/>
      <c r="R2" s="70"/>
      <c r="S2" s="70"/>
      <c r="T2" s="71"/>
      <c r="U2" s="4"/>
      <c r="V2" s="69" t="s">
        <v>97</v>
      </c>
      <c r="W2" s="70"/>
      <c r="X2" s="70"/>
      <c r="Y2" s="71"/>
    </row>
    <row r="3" spans="2:25" ht="14.25" customHeight="1" x14ac:dyDescent="0.35">
      <c r="B3" s="2"/>
      <c r="C3" s="2"/>
      <c r="D3" s="2"/>
      <c r="F3" s="78" t="s">
        <v>7</v>
      </c>
      <c r="G3" s="79"/>
      <c r="H3" s="6">
        <v>1</v>
      </c>
      <c r="I3" s="7" t="s">
        <v>8</v>
      </c>
      <c r="Q3" s="72" t="s">
        <v>9</v>
      </c>
      <c r="R3" s="73"/>
      <c r="S3" s="8" t="s">
        <v>10</v>
      </c>
    </row>
    <row r="4" spans="2:25" ht="14.25" customHeight="1" x14ac:dyDescent="0.35">
      <c r="F4" s="78" t="s">
        <v>13</v>
      </c>
      <c r="G4" s="79"/>
      <c r="H4" s="6">
        <f>H3+1</f>
        <v>2</v>
      </c>
      <c r="I4" s="86" t="s">
        <v>14</v>
      </c>
      <c r="J4" s="75"/>
      <c r="W4" s="67" t="s">
        <v>143</v>
      </c>
      <c r="X4" s="38">
        <f>R31/('Sistema Hexano-Octano'!AS10/100)</f>
        <v>19.947655348509905</v>
      </c>
    </row>
    <row r="5" spans="2:25" ht="14.25" customHeight="1" x14ac:dyDescent="0.25">
      <c r="B5" s="103" t="s">
        <v>99</v>
      </c>
      <c r="C5" s="79"/>
      <c r="R5" s="5" t="s">
        <v>15</v>
      </c>
      <c r="S5">
        <v>0.97</v>
      </c>
    </row>
    <row r="6" spans="2:25" ht="14.25" customHeight="1" x14ac:dyDescent="0.25">
      <c r="B6" s="39" t="s">
        <v>100</v>
      </c>
      <c r="C6" s="1">
        <v>100</v>
      </c>
      <c r="F6" s="67" t="s">
        <v>16</v>
      </c>
      <c r="R6" s="5" t="s">
        <v>17</v>
      </c>
      <c r="S6" s="5">
        <v>0.97</v>
      </c>
    </row>
    <row r="7" spans="2:25" ht="14.25" customHeight="1" x14ac:dyDescent="0.35">
      <c r="B7" s="39" t="s">
        <v>101</v>
      </c>
      <c r="C7" s="40">
        <f>'Sistema Hexano-Octano'!M10</f>
        <v>50</v>
      </c>
      <c r="F7" s="1" t="s">
        <v>20</v>
      </c>
      <c r="G7" s="5">
        <f>C7*C11</f>
        <v>27.397272511393854</v>
      </c>
      <c r="H7" s="5" t="s">
        <v>21</v>
      </c>
      <c r="R7" s="5" t="s">
        <v>22</v>
      </c>
      <c r="S7" s="11">
        <f>S6/(S6+($C$10*(1-S6)))</f>
        <v>0.85932079923382265</v>
      </c>
    </row>
    <row r="8" spans="2:25" ht="14.25" customHeight="1" x14ac:dyDescent="0.35">
      <c r="B8" s="39" t="s">
        <v>133</v>
      </c>
      <c r="C8" s="1">
        <v>0.5</v>
      </c>
      <c r="F8" s="1" t="s">
        <v>24</v>
      </c>
      <c r="G8" s="33">
        <f>C11</f>
        <v>0.54794545022787711</v>
      </c>
      <c r="R8" s="5" t="s">
        <v>25</v>
      </c>
      <c r="S8" s="11">
        <f>(I16*S6)+L16</f>
        <v>0.97</v>
      </c>
    </row>
    <row r="9" spans="2:25" ht="14.25" customHeight="1" x14ac:dyDescent="0.35">
      <c r="B9" s="39" t="s">
        <v>104</v>
      </c>
      <c r="C9" s="40">
        <v>0.97</v>
      </c>
      <c r="F9" s="1" t="s">
        <v>28</v>
      </c>
      <c r="G9" s="41">
        <f>G7+C7</f>
        <v>77.397272511393851</v>
      </c>
      <c r="H9" s="5" t="s">
        <v>21</v>
      </c>
      <c r="R9" s="5" t="s">
        <v>29</v>
      </c>
      <c r="S9" s="11">
        <f>S8/(S8+($C$10*(1-S8)))</f>
        <v>0.85932079923382265</v>
      </c>
    </row>
    <row r="10" spans="2:25" ht="14.25" customHeight="1" x14ac:dyDescent="0.35">
      <c r="B10" s="42" t="s">
        <v>106</v>
      </c>
      <c r="C10" s="43">
        <f>'Sistema Hexano-Octano'!H28</f>
        <v>5.2932822008908946</v>
      </c>
      <c r="F10" s="1" t="s">
        <v>31</v>
      </c>
      <c r="G10" s="5">
        <f>-C7*C9</f>
        <v>-48.5</v>
      </c>
      <c r="H10" s="5" t="s">
        <v>21</v>
      </c>
      <c r="R10" s="5" t="s">
        <v>32</v>
      </c>
      <c r="S10" s="11">
        <f>(I16*S9)+L16</f>
        <v>0.93082151054757345</v>
      </c>
    </row>
    <row r="11" spans="2:25" ht="14.25" customHeight="1" x14ac:dyDescent="0.25">
      <c r="B11" s="39" t="s">
        <v>108</v>
      </c>
      <c r="C11" s="44">
        <f>'Sistema Hexano-Octano'!M45</f>
        <v>0.54794545022787711</v>
      </c>
      <c r="R11" s="5" t="s">
        <v>35</v>
      </c>
      <c r="S11" s="11">
        <f>S10/(S10+($C$10*(1-S10)))</f>
        <v>0.71767117752607201</v>
      </c>
    </row>
    <row r="12" spans="2:25" ht="14.25" customHeight="1" x14ac:dyDescent="0.25">
      <c r="D12" s="4"/>
      <c r="G12" s="80" t="s">
        <v>37</v>
      </c>
      <c r="H12" s="81"/>
      <c r="I12" s="84" t="s">
        <v>38</v>
      </c>
      <c r="J12" s="68"/>
      <c r="K12" s="68"/>
      <c r="L12" s="84" t="s">
        <v>39</v>
      </c>
      <c r="M12" s="80" t="s">
        <v>40</v>
      </c>
      <c r="N12" s="81"/>
      <c r="R12" s="5" t="s">
        <v>41</v>
      </c>
      <c r="S12" s="11">
        <f>(I16*S11)+L16</f>
        <v>0.88068003706746101</v>
      </c>
    </row>
    <row r="13" spans="2:25" ht="14.25" customHeight="1" x14ac:dyDescent="0.25">
      <c r="G13" s="82"/>
      <c r="H13" s="83"/>
      <c r="I13" s="85"/>
      <c r="J13" s="68"/>
      <c r="K13" s="68"/>
      <c r="L13" s="85"/>
      <c r="M13" s="82"/>
      <c r="N13" s="83"/>
      <c r="R13" s="5" t="s">
        <v>44</v>
      </c>
      <c r="S13" s="11">
        <f>S12/(S12+($C$10*(1-S12)))</f>
        <v>0.58235470426940472</v>
      </c>
    </row>
    <row r="14" spans="2:25" ht="14.25" customHeight="1" x14ac:dyDescent="0.25">
      <c r="F14" s="87" t="s">
        <v>47</v>
      </c>
      <c r="G14" s="87" t="s">
        <v>48</v>
      </c>
      <c r="H14" s="87" t="s">
        <v>49</v>
      </c>
      <c r="I14" s="87" t="s">
        <v>50</v>
      </c>
      <c r="J14" s="87" t="s">
        <v>51</v>
      </c>
      <c r="K14" s="88"/>
      <c r="L14" s="88"/>
      <c r="M14" s="87" t="s">
        <v>52</v>
      </c>
      <c r="N14" s="87" t="s">
        <v>53</v>
      </c>
      <c r="R14" s="5" t="s">
        <v>54</v>
      </c>
      <c r="S14" s="11">
        <f>(I16*S13)+L16</f>
        <v>0.83278038669479582</v>
      </c>
    </row>
    <row r="15" spans="2:25" ht="14.25" customHeight="1" x14ac:dyDescent="0.25">
      <c r="F15" s="85"/>
      <c r="G15" s="85"/>
      <c r="H15" s="85"/>
      <c r="I15" s="85"/>
      <c r="J15" s="85"/>
      <c r="K15" s="85"/>
      <c r="L15" s="85"/>
      <c r="M15" s="85"/>
      <c r="N15" s="85"/>
      <c r="R15" s="48" t="s">
        <v>56</v>
      </c>
      <c r="S15" s="50">
        <f>S14/(S14+($C$10*(1-S14)))</f>
        <v>0.48476058666979976</v>
      </c>
      <c r="T15" s="4" t="s">
        <v>61</v>
      </c>
    </row>
    <row r="16" spans="2:25" ht="14.25" customHeight="1" x14ac:dyDescent="0.25">
      <c r="C16" s="33"/>
      <c r="F16" s="6">
        <v>0</v>
      </c>
      <c r="G16" s="12">
        <f>G7</f>
        <v>27.397272511393854</v>
      </c>
      <c r="H16" s="12">
        <f>G9</f>
        <v>77.397272511393851</v>
      </c>
      <c r="I16" s="12">
        <f t="shared" ref="I16:I17" si="0">G16/H16</f>
        <v>0.35398240302797018</v>
      </c>
      <c r="J16" s="25">
        <f t="shared" ref="J16:J17" si="1">1/H16</f>
        <v>1.2920351939440598E-2</v>
      </c>
      <c r="K16" s="6">
        <f>G10</f>
        <v>-48.5</v>
      </c>
      <c r="L16" s="6">
        <f t="shared" ref="L16:L17" si="2">-J16*K16</f>
        <v>0.62663706906286898</v>
      </c>
      <c r="M16" s="6" t="s">
        <v>58</v>
      </c>
      <c r="N16" s="6" t="s">
        <v>58</v>
      </c>
      <c r="R16" s="5" t="s">
        <v>59</v>
      </c>
      <c r="S16" s="11">
        <f>(I16*S15)+L16</f>
        <v>0.79823378642549336</v>
      </c>
    </row>
    <row r="17" spans="3:21" ht="14.25" customHeight="1" x14ac:dyDescent="0.25">
      <c r="C17" s="33"/>
      <c r="F17" s="6">
        <v>1</v>
      </c>
      <c r="G17" s="12">
        <f>G16+(1-O33)*C6</f>
        <v>127.39727251139385</v>
      </c>
      <c r="H17" s="12">
        <f>H16-O33*C6</f>
        <v>77.397272511393851</v>
      </c>
      <c r="I17" s="12">
        <f t="shared" si="0"/>
        <v>1.6460175969720299</v>
      </c>
      <c r="J17" s="25">
        <f t="shared" si="1"/>
        <v>1.2920351939440598E-2</v>
      </c>
      <c r="K17" s="26">
        <f>K16+(C6*C8)</f>
        <v>1.5</v>
      </c>
      <c r="L17" s="27">
        <f t="shared" si="2"/>
        <v>-1.9380527909160897E-2</v>
      </c>
      <c r="M17" s="12">
        <f>((H17*K16)-(H16*K17))/((G16*H17)-(G17*H16))</f>
        <v>0.50000000000000011</v>
      </c>
      <c r="N17" s="12">
        <f>((G17*K16)-(G16*K17))/((G16*H17)-(G17*H16))</f>
        <v>0.80362827057685415</v>
      </c>
      <c r="R17" s="51" t="s">
        <v>60</v>
      </c>
      <c r="S17" s="52">
        <f>S16/(S16+($C$10*(1-S16)))</f>
        <v>0.42772316991395493</v>
      </c>
    </row>
    <row r="18" spans="3:21" ht="14.25" customHeight="1" x14ac:dyDescent="0.25">
      <c r="C18" s="33"/>
      <c r="F18" s="10"/>
      <c r="G18" s="10"/>
      <c r="H18" s="10"/>
      <c r="I18" s="10"/>
      <c r="J18" s="10"/>
      <c r="K18" s="10"/>
      <c r="L18" s="10"/>
      <c r="M18" s="10"/>
      <c r="N18" s="10"/>
      <c r="R18" s="5" t="s">
        <v>62</v>
      </c>
      <c r="S18" s="11">
        <f>(I17*S17)+L17</f>
        <v>0.68465933640186638</v>
      </c>
    </row>
    <row r="19" spans="3:21" ht="14.25" customHeight="1" x14ac:dyDescent="0.25">
      <c r="C19" s="33"/>
      <c r="R19" s="5" t="s">
        <v>63</v>
      </c>
      <c r="S19" s="11">
        <f>S18/(S18+($C$10*(1-S18)))</f>
        <v>0.29086830791543</v>
      </c>
    </row>
    <row r="20" spans="3:21" ht="14.25" customHeight="1" x14ac:dyDescent="0.25">
      <c r="R20" s="5" t="s">
        <v>64</v>
      </c>
      <c r="S20" s="11">
        <f>(I17*S19)+L17</f>
        <v>0.45939382532111567</v>
      </c>
    </row>
    <row r="21" spans="3:21" ht="14.25" customHeight="1" x14ac:dyDescent="0.25">
      <c r="R21" s="5" t="s">
        <v>65</v>
      </c>
      <c r="S21" s="11">
        <f>S20/(S20+($C$10*(1-S20)))</f>
        <v>0.13833101533682018</v>
      </c>
    </row>
    <row r="22" spans="3:21" ht="14.25" customHeight="1" x14ac:dyDescent="0.25">
      <c r="R22" s="5" t="s">
        <v>66</v>
      </c>
      <c r="S22" s="11">
        <f>(I17*S21)+L17</f>
        <v>0.20831475754225287</v>
      </c>
    </row>
    <row r="23" spans="3:21" ht="14.25" customHeight="1" x14ac:dyDescent="0.25">
      <c r="R23" s="5" t="s">
        <v>67</v>
      </c>
      <c r="S23" s="11">
        <f>S22/(S22+($C$10*(1-S22)))</f>
        <v>4.735579894877448E-2</v>
      </c>
    </row>
    <row r="24" spans="3:21" ht="14.25" customHeight="1" x14ac:dyDescent="0.25">
      <c r="R24" s="5" t="s">
        <v>68</v>
      </c>
      <c r="S24" s="11">
        <f>(I17*S23)+L17</f>
        <v>5.8567950479191458E-2</v>
      </c>
    </row>
    <row r="25" spans="3:21" ht="14.25" customHeight="1" x14ac:dyDescent="0.25">
      <c r="R25" s="48" t="s">
        <v>69</v>
      </c>
      <c r="S25" s="50">
        <f>S24/(S24+($C$10*(1-S24)))</f>
        <v>1.1616399257487028E-2</v>
      </c>
      <c r="T25" s="4" t="s">
        <v>79</v>
      </c>
    </row>
    <row r="26" spans="3:21" ht="14.25" customHeight="1" x14ac:dyDescent="0.25">
      <c r="R26" s="5" t="s">
        <v>70</v>
      </c>
      <c r="S26" s="11">
        <f>(I17*S25)+L17</f>
        <v>-2.597303178844268E-4</v>
      </c>
    </row>
    <row r="27" spans="3:21" ht="14.25" customHeight="1" x14ac:dyDescent="0.25">
      <c r="R27" s="5" t="s">
        <v>71</v>
      </c>
      <c r="S27" s="11">
        <f>S26/(S26+($C$10*(1-S26)))</f>
        <v>-4.9057579804029517E-5</v>
      </c>
    </row>
    <row r="28" spans="3:21" ht="14.25" customHeight="1" x14ac:dyDescent="0.25">
      <c r="R28" s="5" t="s">
        <v>72</v>
      </c>
      <c r="S28" s="11">
        <f>(I17*S27)+L17</f>
        <v>-1.9461277548783188E-2</v>
      </c>
    </row>
    <row r="29" spans="3:21" ht="14.25" customHeight="1" x14ac:dyDescent="0.25">
      <c r="R29" s="5" t="s">
        <v>73</v>
      </c>
      <c r="S29" s="11">
        <f>S28/(S28+($C$10*(1-S28)))</f>
        <v>-3.6194671592081353E-3</v>
      </c>
      <c r="T29" s="45"/>
      <c r="U29" s="45"/>
    </row>
    <row r="30" spans="3:21" ht="14.25" customHeight="1" x14ac:dyDescent="0.25">
      <c r="T30" s="45"/>
      <c r="U30" s="45"/>
    </row>
    <row r="31" spans="3:21" ht="14.25" customHeight="1" x14ac:dyDescent="0.25">
      <c r="R31" s="5">
        <v>10</v>
      </c>
      <c r="S31" s="5" t="s">
        <v>82</v>
      </c>
      <c r="T31" s="45"/>
      <c r="U31" s="45"/>
    </row>
    <row r="32" spans="3:21" ht="14.25" customHeight="1" x14ac:dyDescent="0.25"/>
    <row r="33" spans="32:32" ht="14.25" customHeight="1" x14ac:dyDescent="0.25"/>
    <row r="34" spans="32:32" ht="14.25" customHeight="1" x14ac:dyDescent="0.25"/>
    <row r="35" spans="32:32" ht="14.25" customHeight="1" x14ac:dyDescent="0.25"/>
    <row r="36" spans="32:32" ht="14.25" customHeight="1" x14ac:dyDescent="0.25"/>
    <row r="37" spans="32:32" ht="14.25" customHeight="1" x14ac:dyDescent="0.25"/>
    <row r="38" spans="32:32" ht="14.25" customHeight="1" x14ac:dyDescent="0.25"/>
    <row r="39" spans="32:32" ht="14.25" customHeight="1" x14ac:dyDescent="0.25"/>
    <row r="40" spans="32:32" ht="14.25" customHeight="1" x14ac:dyDescent="0.25"/>
    <row r="41" spans="32:32" ht="14.25" customHeight="1" x14ac:dyDescent="0.25">
      <c r="AF41" s="11"/>
    </row>
    <row r="42" spans="32:32" ht="14.25" customHeight="1" x14ac:dyDescent="0.25">
      <c r="AF42" s="11"/>
    </row>
    <row r="43" spans="32:32" ht="14.25" customHeight="1" x14ac:dyDescent="0.25">
      <c r="AF43" s="11"/>
    </row>
    <row r="44" spans="32:32" ht="14.25" customHeight="1" x14ac:dyDescent="0.25">
      <c r="AF44" s="11"/>
    </row>
    <row r="45" spans="32:32" ht="14.25" customHeight="1" x14ac:dyDescent="0.25">
      <c r="AF45" s="11"/>
    </row>
    <row r="46" spans="32:32" ht="14.25" customHeight="1" x14ac:dyDescent="0.25">
      <c r="AF46" s="11"/>
    </row>
    <row r="47" spans="32:32" ht="14.25" customHeight="1" x14ac:dyDescent="0.25">
      <c r="AF47" s="11"/>
    </row>
    <row r="48" spans="32:32" ht="14.25" customHeight="1" x14ac:dyDescent="0.25">
      <c r="AF48" s="11"/>
    </row>
    <row r="49" spans="32:32" ht="14.25" customHeight="1" x14ac:dyDescent="0.25">
      <c r="AF49" s="11"/>
    </row>
    <row r="50" spans="32:32" ht="14.25" customHeight="1" x14ac:dyDescent="0.25">
      <c r="AF50" s="11"/>
    </row>
    <row r="51" spans="32:32" ht="14.25" customHeight="1" x14ac:dyDescent="0.25"/>
    <row r="52" spans="32:32" ht="14.25" customHeight="1" x14ac:dyDescent="0.25"/>
    <row r="53" spans="32:32" ht="14.25" customHeight="1" x14ac:dyDescent="0.25"/>
    <row r="54" spans="32:32" ht="14.25" customHeight="1" x14ac:dyDescent="0.25"/>
    <row r="55" spans="32:32" ht="14.25" customHeight="1" x14ac:dyDescent="0.25"/>
    <row r="56" spans="32:32" ht="14.25" customHeight="1" x14ac:dyDescent="0.25"/>
    <row r="57" spans="32:32" ht="14.25" customHeight="1" x14ac:dyDescent="0.25"/>
    <row r="58" spans="32:32" ht="14.25" customHeight="1" x14ac:dyDescent="0.25"/>
    <row r="59" spans="32:32" ht="14.25" customHeight="1" x14ac:dyDescent="0.25"/>
    <row r="60" spans="32:32" ht="14.25" customHeight="1" x14ac:dyDescent="0.25"/>
    <row r="61" spans="32:32" ht="14.25" customHeight="1" x14ac:dyDescent="0.25"/>
    <row r="62" spans="32:32" ht="14.25" customHeight="1" x14ac:dyDescent="0.25"/>
    <row r="63" spans="32:32" ht="14.25" customHeight="1" x14ac:dyDescent="0.25"/>
    <row r="64" spans="32:3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2">
    <mergeCell ref="B2:C2"/>
    <mergeCell ref="F2:N2"/>
    <mergeCell ref="P2:T2"/>
    <mergeCell ref="V2:Y2"/>
    <mergeCell ref="F3:G3"/>
    <mergeCell ref="Q3:R3"/>
    <mergeCell ref="F4:G4"/>
    <mergeCell ref="I4:J4"/>
    <mergeCell ref="B5:C5"/>
    <mergeCell ref="G12:H13"/>
    <mergeCell ref="I12:I13"/>
    <mergeCell ref="M12:N13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L12:L13"/>
  </mergeCells>
  <pageMargins left="0.511811024" right="0.511811024" top="0.78740157499999996" bottom="0.78740157499999996" header="0" footer="0"/>
  <pageSetup paperSize="9" orientation="portrait"/>
  <headerFooter>
    <oddFooter>&amp;L_x000D_#737373 PÚBLICA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E9B4-4609-4287-802A-D02EAAF7A250}">
  <dimension ref="B1:AF1000"/>
  <sheetViews>
    <sheetView zoomScale="80" zoomScaleNormal="80" workbookViewId="0">
      <selection activeCell="K22" sqref="K22"/>
    </sheetView>
  </sheetViews>
  <sheetFormatPr defaultColWidth="14.42578125" defaultRowHeight="15" customHeight="1" x14ac:dyDescent="0.25"/>
  <cols>
    <col min="1" max="1" width="3.140625" customWidth="1"/>
    <col min="2" max="2" width="27.42578125" customWidth="1"/>
    <col min="3" max="3" width="8.7109375" customWidth="1"/>
    <col min="4" max="4" width="2.5703125" customWidth="1"/>
    <col min="5" max="5" width="3" customWidth="1"/>
    <col min="6" max="6" width="11" customWidth="1"/>
    <col min="7" max="9" width="8.7109375" customWidth="1"/>
    <col min="10" max="10" width="9.28515625" bestFit="1" customWidth="1"/>
    <col min="11" max="11" width="15" customWidth="1"/>
    <col min="12" max="12" width="13.42578125" customWidth="1"/>
    <col min="13" max="14" width="8.7109375" customWidth="1"/>
    <col min="15" max="15" width="3.140625" customWidth="1"/>
    <col min="16" max="16" width="8.7109375" customWidth="1"/>
    <col min="17" max="17" width="12.85546875" customWidth="1"/>
    <col min="18" max="18" width="8.7109375" customWidth="1"/>
    <col min="19" max="19" width="11.140625" customWidth="1"/>
    <col min="20" max="20" width="8.7109375" customWidth="1"/>
    <col min="21" max="21" width="3.5703125" customWidth="1"/>
    <col min="22" max="31" width="8.7109375" customWidth="1"/>
    <col min="32" max="32" width="10.85546875" customWidth="1"/>
  </cols>
  <sheetData>
    <row r="1" spans="2:25" ht="14.25" customHeight="1" x14ac:dyDescent="0.25"/>
    <row r="2" spans="2:25" ht="14.25" customHeight="1" x14ac:dyDescent="0.25">
      <c r="B2" s="69" t="s">
        <v>132</v>
      </c>
      <c r="C2" s="71"/>
      <c r="E2" s="4"/>
      <c r="F2" s="69" t="s">
        <v>95</v>
      </c>
      <c r="G2" s="70"/>
      <c r="H2" s="70"/>
      <c r="I2" s="70"/>
      <c r="J2" s="70"/>
      <c r="K2" s="70"/>
      <c r="L2" s="70"/>
      <c r="M2" s="70"/>
      <c r="N2" s="71"/>
      <c r="P2" s="69" t="s">
        <v>96</v>
      </c>
      <c r="Q2" s="70"/>
      <c r="R2" s="70"/>
      <c r="S2" s="70"/>
      <c r="T2" s="71"/>
      <c r="U2" s="4"/>
      <c r="V2" s="69" t="s">
        <v>97</v>
      </c>
      <c r="W2" s="70"/>
      <c r="X2" s="70"/>
      <c r="Y2" s="71"/>
    </row>
    <row r="3" spans="2:25" ht="14.25" customHeight="1" x14ac:dyDescent="0.35">
      <c r="B3" s="2"/>
      <c r="C3" s="2"/>
      <c r="D3" s="2"/>
      <c r="F3" s="78" t="s">
        <v>7</v>
      </c>
      <c r="G3" s="79"/>
      <c r="H3" s="6">
        <v>1</v>
      </c>
      <c r="I3" s="7" t="s">
        <v>8</v>
      </c>
      <c r="Q3" s="72" t="s">
        <v>9</v>
      </c>
      <c r="R3" s="73"/>
      <c r="S3" s="8" t="s">
        <v>10</v>
      </c>
    </row>
    <row r="4" spans="2:25" ht="14.25" customHeight="1" x14ac:dyDescent="0.35">
      <c r="F4" s="78" t="s">
        <v>13</v>
      </c>
      <c r="G4" s="79"/>
      <c r="H4" s="6">
        <f>H3+1</f>
        <v>2</v>
      </c>
      <c r="I4" s="86" t="s">
        <v>14</v>
      </c>
      <c r="J4" s="75"/>
      <c r="W4" s="67" t="s">
        <v>143</v>
      </c>
      <c r="X4" s="38">
        <f>R31/('Sistema Hexano-Octano'!AS10/100)</f>
        <v>19.947655348509905</v>
      </c>
    </row>
    <row r="5" spans="2:25" ht="14.25" customHeight="1" x14ac:dyDescent="0.25">
      <c r="B5" s="103" t="s">
        <v>99</v>
      </c>
      <c r="C5" s="79"/>
      <c r="R5" s="5" t="s">
        <v>15</v>
      </c>
      <c r="S5">
        <v>0.97</v>
      </c>
    </row>
    <row r="6" spans="2:25" ht="14.25" customHeight="1" x14ac:dyDescent="0.25">
      <c r="B6" s="39" t="s">
        <v>100</v>
      </c>
      <c r="C6" s="1">
        <v>100</v>
      </c>
      <c r="F6" s="67" t="s">
        <v>16</v>
      </c>
      <c r="R6" s="5" t="s">
        <v>17</v>
      </c>
      <c r="S6" s="5">
        <v>0.97</v>
      </c>
    </row>
    <row r="7" spans="2:25" ht="14.25" customHeight="1" x14ac:dyDescent="0.35">
      <c r="B7" s="39" t="s">
        <v>101</v>
      </c>
      <c r="C7" s="40">
        <f>'Sistema Hexano-Octano'!M10</f>
        <v>50</v>
      </c>
      <c r="F7" s="1" t="s">
        <v>20</v>
      </c>
      <c r="G7" s="5">
        <f>C7*C11</f>
        <v>28.342006046269507</v>
      </c>
      <c r="H7" s="5" t="s">
        <v>21</v>
      </c>
      <c r="R7" s="5" t="s">
        <v>22</v>
      </c>
      <c r="S7" s="11">
        <f>S6/(S6+($C$10*(1-S6)))</f>
        <v>0.85932079923382265</v>
      </c>
    </row>
    <row r="8" spans="2:25" ht="14.25" customHeight="1" x14ac:dyDescent="0.35">
      <c r="B8" s="39" t="s">
        <v>133</v>
      </c>
      <c r="C8" s="1">
        <v>0.5</v>
      </c>
      <c r="F8" s="1" t="s">
        <v>24</v>
      </c>
      <c r="G8" s="33">
        <f>C11</f>
        <v>0.56684012092539016</v>
      </c>
      <c r="R8" s="5" t="s">
        <v>25</v>
      </c>
      <c r="S8" s="11">
        <f>(I16*S6)+L16</f>
        <v>0.97000000000000008</v>
      </c>
    </row>
    <row r="9" spans="2:25" ht="14.25" customHeight="1" x14ac:dyDescent="0.35">
      <c r="B9" s="39" t="s">
        <v>104</v>
      </c>
      <c r="C9" s="40">
        <v>0.97</v>
      </c>
      <c r="F9" s="1" t="s">
        <v>28</v>
      </c>
      <c r="G9" s="41">
        <f>G7+C7</f>
        <v>78.342006046269503</v>
      </c>
      <c r="H9" s="5" t="s">
        <v>21</v>
      </c>
      <c r="R9" s="5" t="s">
        <v>29</v>
      </c>
      <c r="S9" s="11">
        <f>S8/(S8+($C$10*(1-S8)))</f>
        <v>0.8593207992338231</v>
      </c>
    </row>
    <row r="10" spans="2:25" ht="14.25" customHeight="1" x14ac:dyDescent="0.35">
      <c r="B10" s="42" t="s">
        <v>106</v>
      </c>
      <c r="C10" s="43">
        <f>'Sistema Hexano-Octano'!H28</f>
        <v>5.2932822008908946</v>
      </c>
      <c r="F10" s="1" t="s">
        <v>31</v>
      </c>
      <c r="G10" s="5">
        <f>-C7*C9</f>
        <v>-48.5</v>
      </c>
      <c r="H10" s="5" t="s">
        <v>21</v>
      </c>
      <c r="R10" s="5" t="s">
        <v>32</v>
      </c>
      <c r="S10" s="11">
        <f>(I16*S9)+L16</f>
        <v>0.92995927682195689</v>
      </c>
    </row>
    <row r="11" spans="2:25" ht="14.25" customHeight="1" x14ac:dyDescent="0.25">
      <c r="B11" s="39" t="s">
        <v>108</v>
      </c>
      <c r="C11" s="44">
        <f>'Sistema Hexano-Octano'!M46</f>
        <v>0.56684012092539016</v>
      </c>
      <c r="R11" s="5" t="s">
        <v>35</v>
      </c>
      <c r="S11" s="11">
        <f>S10/(S10+($C$10*(1-S10)))</f>
        <v>0.71496578382115339</v>
      </c>
    </row>
    <row r="12" spans="2:25" ht="14.25" customHeight="1" x14ac:dyDescent="0.25">
      <c r="D12" s="4"/>
      <c r="G12" s="80" t="s">
        <v>37</v>
      </c>
      <c r="H12" s="81"/>
      <c r="I12" s="84" t="s">
        <v>38</v>
      </c>
      <c r="J12" s="68"/>
      <c r="K12" s="68"/>
      <c r="L12" s="84" t="s">
        <v>39</v>
      </c>
      <c r="M12" s="80" t="s">
        <v>40</v>
      </c>
      <c r="N12" s="81"/>
      <c r="R12" s="5" t="s">
        <v>41</v>
      </c>
      <c r="S12" s="11">
        <f>(I16*S11)+L16</f>
        <v>0.87773556024749433</v>
      </c>
    </row>
    <row r="13" spans="2:25" ht="14.25" customHeight="1" x14ac:dyDescent="0.25">
      <c r="G13" s="82"/>
      <c r="H13" s="83"/>
      <c r="I13" s="85"/>
      <c r="J13" s="68"/>
      <c r="K13" s="68"/>
      <c r="L13" s="85"/>
      <c r="M13" s="82"/>
      <c r="N13" s="83"/>
      <c r="R13" s="5" t="s">
        <v>44</v>
      </c>
      <c r="S13" s="11">
        <f>S12/(S12+($C$10*(1-S12)))</f>
        <v>0.57559610377272163</v>
      </c>
    </row>
    <row r="14" spans="2:25" ht="14.25" customHeight="1" x14ac:dyDescent="0.25">
      <c r="F14" s="87" t="s">
        <v>47</v>
      </c>
      <c r="G14" s="87" t="s">
        <v>48</v>
      </c>
      <c r="H14" s="87" t="s">
        <v>49</v>
      </c>
      <c r="I14" s="87" t="s">
        <v>50</v>
      </c>
      <c r="J14" s="87" t="s">
        <v>51</v>
      </c>
      <c r="K14" s="88"/>
      <c r="L14" s="88"/>
      <c r="M14" s="87" t="s">
        <v>52</v>
      </c>
      <c r="N14" s="87" t="s">
        <v>53</v>
      </c>
      <c r="R14" s="5" t="s">
        <v>54</v>
      </c>
      <c r="S14" s="11">
        <f>(I16*S13)+L16</f>
        <v>0.82731540235331957</v>
      </c>
    </row>
    <row r="15" spans="2:25" ht="14.25" customHeight="1" x14ac:dyDescent="0.25">
      <c r="F15" s="85"/>
      <c r="G15" s="85"/>
      <c r="H15" s="85"/>
      <c r="I15" s="85"/>
      <c r="J15" s="85"/>
      <c r="K15" s="85"/>
      <c r="L15" s="85"/>
      <c r="M15" s="85"/>
      <c r="N15" s="85"/>
      <c r="R15" s="48" t="s">
        <v>56</v>
      </c>
      <c r="S15" s="50">
        <f>S14/(S14+($C$10*(1-S14)))</f>
        <v>0.47509081305075102</v>
      </c>
      <c r="T15" s="4" t="s">
        <v>61</v>
      </c>
    </row>
    <row r="16" spans="2:25" ht="14.25" customHeight="1" x14ac:dyDescent="0.25">
      <c r="C16" s="33"/>
      <c r="F16" s="6">
        <v>0</v>
      </c>
      <c r="G16" s="12">
        <f>G7</f>
        <v>28.342006046269507</v>
      </c>
      <c r="H16" s="12">
        <f>G9</f>
        <v>78.342006046269503</v>
      </c>
      <c r="I16" s="12">
        <f t="shared" ref="I16:I17" si="0">G16/H16</f>
        <v>0.36177278929429585</v>
      </c>
      <c r="J16" s="25">
        <f t="shared" ref="J16:J17" si="1">1/H16</f>
        <v>1.2764544214114085E-2</v>
      </c>
      <c r="K16" s="6">
        <f>G10</f>
        <v>-48.5</v>
      </c>
      <c r="L16" s="6">
        <f t="shared" ref="L16:L17" si="2">-J16*K16</f>
        <v>0.61908039438453311</v>
      </c>
      <c r="M16" s="6" t="s">
        <v>58</v>
      </c>
      <c r="N16" s="6" t="s">
        <v>58</v>
      </c>
      <c r="R16" s="5" t="s">
        <v>59</v>
      </c>
      <c r="S16" s="11">
        <f>(I16*S15)+L16</f>
        <v>0.79095532298999816</v>
      </c>
    </row>
    <row r="17" spans="3:21" ht="14.25" customHeight="1" x14ac:dyDescent="0.25">
      <c r="C17" s="33"/>
      <c r="F17" s="6">
        <v>1</v>
      </c>
      <c r="G17" s="12">
        <f>G16+(1-O33)*C6</f>
        <v>128.34200604626952</v>
      </c>
      <c r="H17" s="12">
        <f>H16-O33*C6</f>
        <v>78.342006046269503</v>
      </c>
      <c r="I17" s="12">
        <f t="shared" si="0"/>
        <v>1.6382272107057043</v>
      </c>
      <c r="J17" s="25">
        <f t="shared" si="1"/>
        <v>1.2764544214114085E-2</v>
      </c>
      <c r="K17" s="26">
        <f>K16+(C6*C8)</f>
        <v>1.5</v>
      </c>
      <c r="L17" s="27">
        <f t="shared" si="2"/>
        <v>-1.9146816321171128E-2</v>
      </c>
      <c r="M17" s="12">
        <f>((H17*K16)-(H16*K17))/((G16*H17)-(G17*H16))</f>
        <v>0.49999999999999994</v>
      </c>
      <c r="N17" s="12">
        <f>((G17*K16)-(G16*K17))/((G16*H17)-(G17*H16))</f>
        <v>0.79996678903168095</v>
      </c>
      <c r="R17" s="51" t="s">
        <v>60</v>
      </c>
      <c r="S17" s="52">
        <f>S16/(S16+($C$10*(1-S16)))</f>
        <v>0.41684343200647272</v>
      </c>
    </row>
    <row r="18" spans="3:21" ht="14.25" customHeight="1" x14ac:dyDescent="0.25">
      <c r="C18" s="33"/>
      <c r="F18" s="10"/>
      <c r="G18" s="10"/>
      <c r="H18" s="10"/>
      <c r="I18" s="10"/>
      <c r="J18" s="10"/>
      <c r="K18" s="10"/>
      <c r="L18" s="10"/>
      <c r="M18" s="10"/>
      <c r="N18" s="10"/>
      <c r="R18" s="5" t="s">
        <v>62</v>
      </c>
      <c r="S18" s="11">
        <f>(I17*S17)+L17</f>
        <v>0.66373743659578566</v>
      </c>
    </row>
    <row r="19" spans="3:21" ht="14.25" customHeight="1" x14ac:dyDescent="0.25">
      <c r="C19" s="33"/>
      <c r="R19" s="5" t="s">
        <v>63</v>
      </c>
      <c r="S19" s="11">
        <f>S18/(S18+($C$10*(1-S18)))</f>
        <v>0.2716149952044461</v>
      </c>
    </row>
    <row r="20" spans="3:21" ht="14.25" customHeight="1" x14ac:dyDescent="0.25">
      <c r="R20" s="5" t="s">
        <v>64</v>
      </c>
      <c r="S20" s="11">
        <f>(I17*S19)+L17</f>
        <v>0.42582025965845183</v>
      </c>
    </row>
    <row r="21" spans="3:21" ht="14.25" customHeight="1" x14ac:dyDescent="0.25">
      <c r="R21" s="5" t="s">
        <v>65</v>
      </c>
      <c r="S21" s="11">
        <f>S20/(S20+($C$10*(1-S20)))</f>
        <v>0.12288774792064258</v>
      </c>
    </row>
    <row r="22" spans="3:21" ht="14.25" customHeight="1" x14ac:dyDescent="0.25">
      <c r="R22" s="5" t="s">
        <v>66</v>
      </c>
      <c r="S22" s="11">
        <f>(I17*S21)+L17</f>
        <v>0.18217123618476888</v>
      </c>
    </row>
    <row r="23" spans="3:21" ht="14.25" customHeight="1" x14ac:dyDescent="0.25">
      <c r="R23" s="5" t="s">
        <v>67</v>
      </c>
      <c r="S23" s="11">
        <f>S22/(S22+($C$10*(1-S22)))</f>
        <v>4.0382262097504194E-2</v>
      </c>
    </row>
    <row r="24" spans="3:21" ht="14.25" customHeight="1" x14ac:dyDescent="0.25">
      <c r="R24" s="5" t="s">
        <v>68</v>
      </c>
      <c r="S24" s="11">
        <f>(I17*S23)+L17</f>
        <v>4.7008504276809859E-2</v>
      </c>
    </row>
    <row r="25" spans="3:21" ht="14.25" customHeight="1" x14ac:dyDescent="0.25">
      <c r="R25" s="48" t="s">
        <v>69</v>
      </c>
      <c r="S25" s="50">
        <f>S24/(S24+($C$10*(1-S24)))</f>
        <v>9.2328116314529928E-3</v>
      </c>
      <c r="T25" s="4" t="s">
        <v>79</v>
      </c>
    </row>
    <row r="26" spans="3:21" ht="14.25" customHeight="1" x14ac:dyDescent="0.25">
      <c r="R26" s="5" t="s">
        <v>70</v>
      </c>
      <c r="S26" s="11">
        <f>(I17*S25)+L17</f>
        <v>-4.0213730752047087E-3</v>
      </c>
    </row>
    <row r="27" spans="3:21" ht="14.25" customHeight="1" x14ac:dyDescent="0.25">
      <c r="R27" s="5" t="s">
        <v>71</v>
      </c>
      <c r="S27" s="11">
        <f>S26/(S26+($C$10*(1-S26)))</f>
        <v>-7.5724271092922411E-4</v>
      </c>
    </row>
    <row r="28" spans="3:21" ht="14.25" customHeight="1" x14ac:dyDescent="0.25">
      <c r="R28" s="5" t="s">
        <v>72</v>
      </c>
      <c r="S28" s="11">
        <f>(I17*S27)+L17</f>
        <v>-2.0387351935323938E-2</v>
      </c>
    </row>
    <row r="29" spans="3:21" ht="14.25" customHeight="1" x14ac:dyDescent="0.25">
      <c r="R29" s="5" t="s">
        <v>73</v>
      </c>
      <c r="S29" s="11">
        <f>S28/(S28+($C$10*(1-S28)))</f>
        <v>-3.7888995693454923E-3</v>
      </c>
      <c r="T29" s="45"/>
      <c r="U29" s="45"/>
    </row>
    <row r="30" spans="3:21" ht="14.25" customHeight="1" x14ac:dyDescent="0.25">
      <c r="T30" s="45"/>
      <c r="U30" s="45"/>
    </row>
    <row r="31" spans="3:21" ht="14.25" customHeight="1" x14ac:dyDescent="0.25">
      <c r="R31" s="5">
        <v>10</v>
      </c>
      <c r="S31" s="5" t="s">
        <v>82</v>
      </c>
      <c r="T31" s="45"/>
      <c r="U31" s="45"/>
    </row>
    <row r="32" spans="3:21" ht="14.25" customHeight="1" x14ac:dyDescent="0.25"/>
    <row r="33" spans="32:32" ht="14.25" customHeight="1" x14ac:dyDescent="0.25"/>
    <row r="34" spans="32:32" ht="14.25" customHeight="1" x14ac:dyDescent="0.25"/>
    <row r="35" spans="32:32" ht="14.25" customHeight="1" x14ac:dyDescent="0.25"/>
    <row r="36" spans="32:32" ht="14.25" customHeight="1" x14ac:dyDescent="0.25"/>
    <row r="37" spans="32:32" ht="14.25" customHeight="1" x14ac:dyDescent="0.25"/>
    <row r="38" spans="32:32" ht="14.25" customHeight="1" x14ac:dyDescent="0.25"/>
    <row r="39" spans="32:32" ht="14.25" customHeight="1" x14ac:dyDescent="0.25"/>
    <row r="40" spans="32:32" ht="14.25" customHeight="1" x14ac:dyDescent="0.25"/>
    <row r="41" spans="32:32" ht="14.25" customHeight="1" x14ac:dyDescent="0.25">
      <c r="AF41" s="11"/>
    </row>
    <row r="42" spans="32:32" ht="14.25" customHeight="1" x14ac:dyDescent="0.25">
      <c r="AF42" s="11"/>
    </row>
    <row r="43" spans="32:32" ht="14.25" customHeight="1" x14ac:dyDescent="0.25">
      <c r="AF43" s="11"/>
    </row>
    <row r="44" spans="32:32" ht="14.25" customHeight="1" x14ac:dyDescent="0.25">
      <c r="AF44" s="11"/>
    </row>
    <row r="45" spans="32:32" ht="14.25" customHeight="1" x14ac:dyDescent="0.25">
      <c r="AF45" s="11"/>
    </row>
    <row r="46" spans="32:32" ht="14.25" customHeight="1" x14ac:dyDescent="0.25">
      <c r="AF46" s="11"/>
    </row>
    <row r="47" spans="32:32" ht="14.25" customHeight="1" x14ac:dyDescent="0.25">
      <c r="AF47" s="11"/>
    </row>
    <row r="48" spans="32:32" ht="14.25" customHeight="1" x14ac:dyDescent="0.25">
      <c r="AF48" s="11"/>
    </row>
    <row r="49" spans="32:32" ht="14.25" customHeight="1" x14ac:dyDescent="0.25">
      <c r="AF49" s="11"/>
    </row>
    <row r="50" spans="32:32" ht="14.25" customHeight="1" x14ac:dyDescent="0.25">
      <c r="AF50" s="11"/>
    </row>
    <row r="51" spans="32:32" ht="14.25" customHeight="1" x14ac:dyDescent="0.25"/>
    <row r="52" spans="32:32" ht="14.25" customHeight="1" x14ac:dyDescent="0.25"/>
    <row r="53" spans="32:32" ht="14.25" customHeight="1" x14ac:dyDescent="0.25"/>
    <row r="54" spans="32:32" ht="14.25" customHeight="1" x14ac:dyDescent="0.25"/>
    <row r="55" spans="32:32" ht="14.25" customHeight="1" x14ac:dyDescent="0.25"/>
    <row r="56" spans="32:32" ht="14.25" customHeight="1" x14ac:dyDescent="0.25"/>
    <row r="57" spans="32:32" ht="14.25" customHeight="1" x14ac:dyDescent="0.25"/>
    <row r="58" spans="32:32" ht="14.25" customHeight="1" x14ac:dyDescent="0.25"/>
    <row r="59" spans="32:32" ht="14.25" customHeight="1" x14ac:dyDescent="0.25"/>
    <row r="60" spans="32:32" ht="14.25" customHeight="1" x14ac:dyDescent="0.25"/>
    <row r="61" spans="32:32" ht="14.25" customHeight="1" x14ac:dyDescent="0.25"/>
    <row r="62" spans="32:32" ht="14.25" customHeight="1" x14ac:dyDescent="0.25"/>
    <row r="63" spans="32:32" ht="14.25" customHeight="1" x14ac:dyDescent="0.25"/>
    <row r="64" spans="32:3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2">
    <mergeCell ref="B2:C2"/>
    <mergeCell ref="F2:N2"/>
    <mergeCell ref="P2:T2"/>
    <mergeCell ref="V2:Y2"/>
    <mergeCell ref="F3:G3"/>
    <mergeCell ref="Q3:R3"/>
    <mergeCell ref="F4:G4"/>
    <mergeCell ref="I4:J4"/>
    <mergeCell ref="B5:C5"/>
    <mergeCell ref="G12:H13"/>
    <mergeCell ref="I12:I13"/>
    <mergeCell ref="M12:N13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L12:L13"/>
  </mergeCells>
  <pageMargins left="0.511811024" right="0.511811024" top="0.78740157499999996" bottom="0.78740157499999996" header="0" footer="0"/>
  <pageSetup paperSize="9" orientation="portrait"/>
  <headerFooter>
    <oddFooter>&amp;L_x000D_#737373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Sistema Hexano-Octano</vt:lpstr>
      <vt:lpstr>Especificações de Transcal</vt:lpstr>
      <vt:lpstr>Rrop 0,491</vt:lpstr>
      <vt:lpstr>Rrop 0,510</vt:lpstr>
      <vt:lpstr>Rrop 0,529</vt:lpstr>
      <vt:lpstr>Rrop 0,548</vt:lpstr>
      <vt:lpstr>Rrop 0,567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Stéfany Mendes Louzada da Silva</dc:creator>
  <cp:lastModifiedBy>Bruna Stéfany Mendes Louzada da Silva</cp:lastModifiedBy>
  <dcterms:created xsi:type="dcterms:W3CDTF">2025-10-01T03:04:37Z</dcterms:created>
  <dcterms:modified xsi:type="dcterms:W3CDTF">2025-10-07T02:37:05Z</dcterms:modified>
</cp:coreProperties>
</file>