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84" windowWidth="22008" windowHeight="9504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A54" i="1"/>
  <c r="K38"/>
  <c r="F38"/>
  <c r="A50"/>
  <c r="A46"/>
  <c r="H33"/>
  <c r="L38"/>
  <c r="B38"/>
  <c r="C29"/>
  <c r="F19"/>
  <c r="D19"/>
  <c r="E19" s="1"/>
  <c r="B19"/>
  <c r="C19" s="1"/>
  <c r="A19"/>
  <c r="D24" l="1"/>
  <c r="E24" s="1"/>
  <c r="A38"/>
  <c r="G19"/>
  <c r="A24" s="1"/>
  <c r="G38" l="1"/>
  <c r="B24"/>
  <c r="B46"/>
  <c r="B29"/>
  <c r="C24"/>
  <c r="A29" s="1"/>
  <c r="F24"/>
  <c r="B54"/>
  <c r="B50"/>
  <c r="D39"/>
  <c r="D38"/>
  <c r="E38"/>
  <c r="J35" l="1"/>
  <c r="H38"/>
  <c r="J38" s="1"/>
  <c r="C38"/>
  <c r="I38"/>
  <c r="K35"/>
</calcChain>
</file>

<file path=xl/sharedStrings.xml><?xml version="1.0" encoding="utf-8"?>
<sst xmlns="http://schemas.openxmlformats.org/spreadsheetml/2006/main" count="76" uniqueCount="76">
  <si>
    <t>LineReg(%)</t>
  </si>
  <si>
    <t>Vo(ripple)(%)</t>
  </si>
  <si>
    <t>LoadReg(%)</t>
  </si>
  <si>
    <t>CONVERTER ELECTRİCAL SPECIFICATION</t>
  </si>
  <si>
    <t>PREDESIGN CHOICES</t>
  </si>
  <si>
    <t>Pin(W)</t>
  </si>
  <si>
    <t>Von(Mosf)</t>
  </si>
  <si>
    <t>DC primary current</t>
  </si>
  <si>
    <t>Total Rms Primary Current</t>
  </si>
  <si>
    <t>Peak Iprimary</t>
  </si>
  <si>
    <t>Iout(A)</t>
  </si>
  <si>
    <t>Mosfet Voltage(off)</t>
  </si>
  <si>
    <t>Pswitching</t>
  </si>
  <si>
    <t>Capacitive Losses</t>
  </si>
  <si>
    <t>DESIGN</t>
  </si>
  <si>
    <t>n(Turns Ratio)</t>
  </si>
  <si>
    <t>Ns</t>
  </si>
  <si>
    <t>Np</t>
  </si>
  <si>
    <t>COMPONENT CHARACTERISTICS</t>
  </si>
  <si>
    <t>PRELIMINARY CALCULATIONS</t>
  </si>
  <si>
    <t>OPERATING POINT Vin=Vdc(min)</t>
  </si>
  <si>
    <t>LOSS ESTIMATION</t>
  </si>
  <si>
    <t>CORE CHARACTERISTICS</t>
  </si>
  <si>
    <t>Pcond(Bunu sanki duty ile carpması da lazımdı)</t>
  </si>
  <si>
    <t>Note:Np(min) çıkınca primary ve secondary turn ratioyu gir</t>
  </si>
  <si>
    <t>Actual Flux Swing</t>
  </si>
  <si>
    <t xml:space="preserve">Rp </t>
  </si>
  <si>
    <t>Rs</t>
  </si>
  <si>
    <t>Secondary Diode Conduction Time(D')</t>
  </si>
  <si>
    <t>NOT: YANINDA YILDIZ KOYDUKLARIMLA OYNAYABİLİRİZ.</t>
  </si>
  <si>
    <t>n(expected)*</t>
  </si>
  <si>
    <t>transformer expected efficiency*</t>
  </si>
  <si>
    <t>Rds(On)(MOSFET)*</t>
  </si>
  <si>
    <t>Cdrain(MOSFET)*</t>
  </si>
  <si>
    <t>Bmax*</t>
  </si>
  <si>
    <t>Min Core Size(cm4)(Apmin)</t>
  </si>
  <si>
    <t>Vin(min)(V)</t>
  </si>
  <si>
    <t>Vin(max)(V)</t>
  </si>
  <si>
    <t>Vo(V)</t>
  </si>
  <si>
    <t>Po(W)</t>
  </si>
  <si>
    <t>*Check Pin&gt;Pin(transformer)</t>
  </si>
  <si>
    <t>Diode Voltage Drop*(V)</t>
  </si>
  <si>
    <t>Max Peak Primary Current(A)</t>
  </si>
  <si>
    <t>Vr(V)(Primary Side Reflected Voltage)*</t>
  </si>
  <si>
    <t>Dx(Max Duty Cycle)(0.65 max)</t>
  </si>
  <si>
    <t>Peak Isecondary</t>
  </si>
  <si>
    <t>Total RMS Secondary Current</t>
  </si>
  <si>
    <t>fsw*(Hz)</t>
  </si>
  <si>
    <t>Tc(Mosfet Turn off time)*(second)</t>
  </si>
  <si>
    <t>Pin(transformer)(W)</t>
  </si>
  <si>
    <t>Max Primary inductance(uH)</t>
  </si>
  <si>
    <t>Al(nH/T2)*</t>
  </si>
  <si>
    <t>Np(min)(2. sütun saturationdan kaçmak için)</t>
  </si>
  <si>
    <t>Path Length(mm)</t>
  </si>
  <si>
    <t>Permeability</t>
  </si>
  <si>
    <t>Lg(airgap length)(min)(mm)</t>
  </si>
  <si>
    <t>Window Area(mm2)</t>
  </si>
  <si>
    <t>Ae(mm2)</t>
  </si>
  <si>
    <t>Total Transformer Loss(W)</t>
  </si>
  <si>
    <t>Skin depth(mm)</t>
  </si>
  <si>
    <t>Ap(cm4)</t>
  </si>
  <si>
    <t>Average Length per Turn(mm)(BU BOBİNE BAĞLI)</t>
  </si>
  <si>
    <t>BAŞKA BİR NOTEDAN BULUNAN MİNİMUM PRİMARY VE SECONDARY</t>
  </si>
  <si>
    <t>Ap(Cumin)(mm2)</t>
  </si>
  <si>
    <t>As(Cumin)(mm2)</t>
  </si>
  <si>
    <t>Mosfet Selection</t>
  </si>
  <si>
    <t>Voltage Rating(clamp yapılarak düşürülebilir)</t>
  </si>
  <si>
    <t>Ne kadar düşük on resistance o kadar iyi.</t>
  </si>
  <si>
    <t>Diode Selection</t>
  </si>
  <si>
    <t>(schottky diode)</t>
  </si>
  <si>
    <t>Capacitor Selection</t>
  </si>
  <si>
    <t>Irating(A)</t>
  </si>
  <si>
    <t>Max ESR(ohm)</t>
  </si>
  <si>
    <t>Vrating(with %30 margin)(V)</t>
  </si>
  <si>
    <t>Current rating</t>
  </si>
  <si>
    <t>Cout(min)(uF)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</si>
</sst>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rgb="FF9C0006"/>
      <name val="Calibri"/>
      <family val="2"/>
      <charset val="162"/>
      <scheme val="minor"/>
    </font>
    <font>
      <b/>
      <sz val="11"/>
      <color rgb="FF006100"/>
      <name val="Calibri"/>
      <family val="2"/>
      <charset val="162"/>
      <scheme val="minor"/>
    </font>
    <font>
      <b/>
      <sz val="11"/>
      <color rgb="FF9C65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2" fillId="3" borderId="0" xfId="2"/>
    <xf numFmtId="0" fontId="2" fillId="3" borderId="0" xfId="2" applyAlignment="1">
      <alignment horizontal="center"/>
    </xf>
    <xf numFmtId="0" fontId="4" fillId="3" borderId="0" xfId="2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5" fillId="2" borderId="0" xfId="1" applyFont="1" applyAlignment="1">
      <alignment horizontal="center"/>
    </xf>
    <xf numFmtId="0" fontId="3" fillId="4" borderId="0" xfId="3"/>
    <xf numFmtId="0" fontId="3" fillId="4" borderId="0" xfId="3" applyAlignment="1">
      <alignment horizontal="center"/>
    </xf>
    <xf numFmtId="0" fontId="6" fillId="4" borderId="0" xfId="3" applyFont="1"/>
    <xf numFmtId="0" fontId="6" fillId="4" borderId="0" xfId="3" applyFont="1" applyAlignment="1">
      <alignment horizontal="center"/>
    </xf>
    <xf numFmtId="0" fontId="0" fillId="0" borderId="0" xfId="0" applyAlignment="1">
      <alignment wrapText="1"/>
    </xf>
    <xf numFmtId="11" fontId="2" fillId="3" borderId="0" xfId="2" applyNumberFormat="1" applyAlignment="1">
      <alignment horizontal="center"/>
    </xf>
    <xf numFmtId="11" fontId="1" fillId="2" borderId="0" xfId="1" applyNumberFormat="1" applyAlignment="1">
      <alignment horizontal="center"/>
    </xf>
    <xf numFmtId="11" fontId="1" fillId="2" borderId="0" xfId="1" applyNumberFormat="1"/>
    <xf numFmtId="0" fontId="2" fillId="3" borderId="0" xfId="2" applyFont="1" applyAlignment="1">
      <alignment horizontal="center"/>
    </xf>
    <xf numFmtId="0" fontId="5" fillId="2" borderId="0" xfId="1" applyFont="1"/>
  </cellXfs>
  <cellStyles count="4">
    <cellStyle name="İyi" xfId="1" builtinId="26"/>
    <cellStyle name="Kötü" xfId="2" builtinId="27"/>
    <cellStyle name="Normal" xfId="0" builtinId="0"/>
    <cellStyle name="Nötr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abSelected="1" topLeftCell="A25" workbookViewId="0">
      <selection activeCell="B54" sqref="B54"/>
    </sheetView>
  </sheetViews>
  <sheetFormatPr defaultRowHeight="14.4"/>
  <cols>
    <col min="1" max="1" width="39.21875" bestFit="1" customWidth="1"/>
    <col min="2" max="2" width="28.109375" customWidth="1"/>
    <col min="3" max="3" width="48.109375" bestFit="1" customWidth="1"/>
    <col min="4" max="4" width="49.33203125" bestFit="1" customWidth="1"/>
    <col min="5" max="5" width="39.33203125" bestFit="1" customWidth="1"/>
    <col min="6" max="6" width="41.21875" bestFit="1" customWidth="1"/>
    <col min="7" max="7" width="40.77734375" bestFit="1" customWidth="1"/>
    <col min="8" max="8" width="41.21875" bestFit="1" customWidth="1"/>
    <col min="9" max="9" width="20.44140625" bestFit="1" customWidth="1"/>
    <col min="10" max="10" width="22.44140625" bestFit="1" customWidth="1"/>
    <col min="11" max="11" width="17.33203125" bestFit="1" customWidth="1"/>
    <col min="12" max="12" width="39.44140625" bestFit="1" customWidth="1"/>
    <col min="14" max="14" width="19.77734375" customWidth="1"/>
    <col min="15" max="15" width="15.77734375" customWidth="1"/>
    <col min="16" max="16" width="18.109375" customWidth="1"/>
    <col min="17" max="17" width="10" customWidth="1"/>
  </cols>
  <sheetData>
    <row r="1" spans="1:8">
      <c r="C1" t="s">
        <v>29</v>
      </c>
    </row>
    <row r="2" spans="1:8">
      <c r="A2" s="2"/>
      <c r="B2" s="2"/>
      <c r="C2" s="2"/>
      <c r="D2" s="2"/>
      <c r="E2" s="3" t="s">
        <v>3</v>
      </c>
      <c r="F2" s="3"/>
      <c r="G2" s="2"/>
      <c r="H2" s="2"/>
    </row>
    <row r="3" spans="1:8">
      <c r="A3" s="3" t="s">
        <v>36</v>
      </c>
      <c r="B3" s="3" t="s">
        <v>37</v>
      </c>
      <c r="C3" s="3" t="s">
        <v>38</v>
      </c>
      <c r="D3" s="3" t="s">
        <v>39</v>
      </c>
      <c r="E3" s="3" t="s">
        <v>1</v>
      </c>
      <c r="F3" s="3" t="s">
        <v>0</v>
      </c>
      <c r="G3" s="3" t="s">
        <v>2</v>
      </c>
      <c r="H3" s="3" t="s">
        <v>30</v>
      </c>
    </row>
    <row r="4" spans="1:8">
      <c r="A4" s="2">
        <v>24</v>
      </c>
      <c r="B4" s="2">
        <v>48</v>
      </c>
      <c r="C4" s="2">
        <v>15</v>
      </c>
      <c r="D4" s="2">
        <v>60</v>
      </c>
      <c r="E4" s="2">
        <v>4</v>
      </c>
      <c r="F4" s="2">
        <v>2</v>
      </c>
      <c r="G4" s="2">
        <v>2</v>
      </c>
      <c r="H4" s="2">
        <v>0.8</v>
      </c>
    </row>
    <row r="5" spans="1:8">
      <c r="A5" s="4"/>
      <c r="B5" s="4"/>
      <c r="C5" s="4"/>
      <c r="D5" s="4"/>
      <c r="E5" s="4"/>
      <c r="F5" s="4"/>
      <c r="G5" s="4"/>
      <c r="H5" s="4"/>
    </row>
    <row r="6" spans="1:8">
      <c r="A6" s="4"/>
      <c r="B6" s="4"/>
      <c r="C6" s="4"/>
      <c r="D6" s="4"/>
      <c r="E6" s="4"/>
      <c r="F6" s="4"/>
      <c r="G6" s="4"/>
      <c r="H6" s="4"/>
    </row>
    <row r="7" spans="1:8">
      <c r="A7" s="5"/>
      <c r="B7" s="7" t="s">
        <v>4</v>
      </c>
      <c r="C7" s="6"/>
      <c r="D7" t="s">
        <v>40</v>
      </c>
      <c r="F7" s="4"/>
      <c r="G7" s="4"/>
      <c r="H7" s="4"/>
    </row>
    <row r="8" spans="1:8">
      <c r="A8" s="7" t="s">
        <v>47</v>
      </c>
      <c r="B8" s="7" t="s">
        <v>31</v>
      </c>
      <c r="C8" s="7" t="s">
        <v>43</v>
      </c>
      <c r="H8" s="4"/>
    </row>
    <row r="9" spans="1:8">
      <c r="A9" s="5">
        <v>40000</v>
      </c>
      <c r="B9" s="5">
        <v>0.83</v>
      </c>
      <c r="C9" s="5">
        <v>31</v>
      </c>
      <c r="H9" s="4"/>
    </row>
    <row r="12" spans="1:8">
      <c r="A12" s="8"/>
      <c r="B12" s="10" t="s">
        <v>18</v>
      </c>
      <c r="C12" s="8"/>
      <c r="D12" s="8"/>
    </row>
    <row r="13" spans="1:8">
      <c r="A13" s="11" t="s">
        <v>41</v>
      </c>
      <c r="B13" s="11" t="s">
        <v>32</v>
      </c>
      <c r="C13" s="11" t="s">
        <v>48</v>
      </c>
      <c r="D13" s="11" t="s">
        <v>33</v>
      </c>
    </row>
    <row r="14" spans="1:8">
      <c r="A14" s="9">
        <v>0.5</v>
      </c>
      <c r="B14" s="9">
        <v>0.05</v>
      </c>
      <c r="C14" s="9">
        <v>5.0000000000000001E-9</v>
      </c>
      <c r="D14" s="9">
        <v>1E-10</v>
      </c>
    </row>
    <row r="17" spans="1:8">
      <c r="A17" s="2"/>
      <c r="B17" s="2"/>
      <c r="C17" s="2"/>
      <c r="D17" s="3" t="s">
        <v>19</v>
      </c>
      <c r="E17" s="1"/>
      <c r="F17" s="2"/>
      <c r="G17" s="2"/>
    </row>
    <row r="18" spans="1:8">
      <c r="A18" s="3" t="s">
        <v>5</v>
      </c>
      <c r="B18" s="3" t="s">
        <v>10</v>
      </c>
      <c r="C18" s="3" t="s">
        <v>49</v>
      </c>
      <c r="D18" s="3" t="s">
        <v>6</v>
      </c>
      <c r="E18" s="3" t="s">
        <v>44</v>
      </c>
      <c r="F18" s="3" t="s">
        <v>11</v>
      </c>
      <c r="G18" s="3" t="s">
        <v>42</v>
      </c>
    </row>
    <row r="19" spans="1:8">
      <c r="A19" s="2">
        <f>(D4/H4)</f>
        <v>75</v>
      </c>
      <c r="B19" s="2">
        <f>D4/C4</f>
        <v>4</v>
      </c>
      <c r="C19" s="2">
        <f>((C4+A14)*B19)/B9</f>
        <v>74.698795180722897</v>
      </c>
      <c r="D19" s="2">
        <f>(A4+C9)/(1+((A4*C9)/(A19*B14)))</f>
        <v>0.27582748244734201</v>
      </c>
      <c r="E19" s="1">
        <f>C9/((A4-D19)+C9)</f>
        <v>0.56647727272727266</v>
      </c>
      <c r="F19" s="2">
        <f>B4+C9+(0.3*B4)</f>
        <v>93.4</v>
      </c>
      <c r="G19" s="2">
        <f>(C19/(A4-D19))*(2/E19)</f>
        <v>11.116550079742298</v>
      </c>
    </row>
    <row r="22" spans="1:8">
      <c r="A22" s="5"/>
      <c r="B22" s="7" t="s">
        <v>20</v>
      </c>
      <c r="C22" s="6"/>
      <c r="D22" s="5"/>
      <c r="E22" s="5"/>
      <c r="F22" s="6"/>
    </row>
    <row r="23" spans="1:8">
      <c r="A23" s="7" t="s">
        <v>9</v>
      </c>
      <c r="B23" s="7" t="s">
        <v>7</v>
      </c>
      <c r="C23" s="7" t="s">
        <v>8</v>
      </c>
      <c r="D23" s="7" t="s">
        <v>28</v>
      </c>
      <c r="E23" s="7" t="s">
        <v>45</v>
      </c>
      <c r="F23" s="7" t="s">
        <v>46</v>
      </c>
    </row>
    <row r="24" spans="1:8">
      <c r="A24" s="5">
        <f>G19</f>
        <v>11.116550079742298</v>
      </c>
      <c r="B24" s="5">
        <f>(E19*A24)/2</f>
        <v>3.1486364856542814</v>
      </c>
      <c r="C24" s="5">
        <f>A24*SQRT(E19/3)</f>
        <v>4.8305952135445738</v>
      </c>
      <c r="D24" s="5">
        <f>((A4-D19)/C9)*E19</f>
        <v>0.43352272727272728</v>
      </c>
      <c r="E24" s="5">
        <f>(2*B19)/D24</f>
        <v>18.453473132372213</v>
      </c>
      <c r="F24" s="5">
        <f>E24*SQRT(D24/3)</f>
        <v>7.0149313386750904</v>
      </c>
    </row>
    <row r="27" spans="1:8">
      <c r="A27" s="9"/>
      <c r="B27" s="11" t="s">
        <v>21</v>
      </c>
      <c r="C27" s="9"/>
    </row>
    <row r="28" spans="1:8">
      <c r="A28" s="11" t="s">
        <v>23</v>
      </c>
      <c r="B28" s="11" t="s">
        <v>12</v>
      </c>
      <c r="C28" s="11" t="s">
        <v>13</v>
      </c>
    </row>
    <row r="29" spans="1:8">
      <c r="A29" s="9">
        <f>(C24*C24)*B14</f>
        <v>1.1667325058559874</v>
      </c>
      <c r="B29" s="9">
        <f>(1/3)*(B4+C9)*A24*C14*A9</f>
        <v>5.8547163753309442E-2</v>
      </c>
      <c r="C29" s="9">
        <f>(1/2)*D14*(B4+C9)*(B4+C9)*A9</f>
        <v>1.2482E-2</v>
      </c>
    </row>
    <row r="31" spans="1:8">
      <c r="A31" s="2"/>
      <c r="B31" s="2"/>
      <c r="C31" s="2"/>
      <c r="D31" s="1"/>
      <c r="E31" s="3" t="s">
        <v>22</v>
      </c>
      <c r="F31" s="2"/>
      <c r="G31" s="1"/>
      <c r="H31" s="1"/>
    </row>
    <row r="32" spans="1:8">
      <c r="A32" s="3" t="s">
        <v>34</v>
      </c>
      <c r="B32" s="3" t="s">
        <v>51</v>
      </c>
      <c r="C32" s="3" t="s">
        <v>57</v>
      </c>
      <c r="D32" s="3" t="s">
        <v>53</v>
      </c>
      <c r="E32" s="3" t="s">
        <v>54</v>
      </c>
      <c r="F32" s="3" t="s">
        <v>61</v>
      </c>
      <c r="G32" s="3" t="s">
        <v>56</v>
      </c>
      <c r="H32" s="3" t="s">
        <v>60</v>
      </c>
    </row>
    <row r="33" spans="1:12">
      <c r="A33" s="2">
        <v>1</v>
      </c>
      <c r="B33" s="2">
        <v>146</v>
      </c>
      <c r="C33" s="13">
        <v>84</v>
      </c>
      <c r="D33" s="2">
        <v>69.400000000000006</v>
      </c>
      <c r="E33" s="2">
        <v>90</v>
      </c>
      <c r="F33" s="2">
        <v>50</v>
      </c>
      <c r="G33" s="16">
        <v>151</v>
      </c>
      <c r="H33" s="13">
        <f>C33*G33*0.001</f>
        <v>12.684000000000001</v>
      </c>
    </row>
    <row r="34" spans="1:12">
      <c r="J34" s="17" t="s">
        <v>62</v>
      </c>
      <c r="K34" s="17"/>
      <c r="L34" s="17"/>
    </row>
    <row r="35" spans="1:12">
      <c r="J35" s="6">
        <f>(C24/500)*100</f>
        <v>0.96611904270891469</v>
      </c>
      <c r="K35" s="6">
        <f>(F24/500)*100</f>
        <v>1.4029862677350182</v>
      </c>
    </row>
    <row r="36" spans="1:12">
      <c r="A36" s="5"/>
      <c r="B36" s="5"/>
      <c r="C36" s="7" t="s">
        <v>14</v>
      </c>
      <c r="D36" s="5"/>
      <c r="E36" s="5"/>
      <c r="F36" s="6"/>
      <c r="G36" s="6"/>
      <c r="H36" s="6"/>
      <c r="I36" s="6"/>
      <c r="J36" s="6"/>
      <c r="K36" s="6"/>
    </row>
    <row r="37" spans="1:12">
      <c r="A37" s="7" t="s">
        <v>50</v>
      </c>
      <c r="B37" s="7" t="s">
        <v>15</v>
      </c>
      <c r="C37" s="7" t="s">
        <v>35</v>
      </c>
      <c r="D37" s="7" t="s">
        <v>52</v>
      </c>
      <c r="E37" s="7" t="s">
        <v>55</v>
      </c>
      <c r="F37" s="7" t="s">
        <v>58</v>
      </c>
      <c r="G37" s="7" t="s">
        <v>25</v>
      </c>
      <c r="H37" s="7" t="s">
        <v>26</v>
      </c>
      <c r="I37" s="7" t="s">
        <v>27</v>
      </c>
      <c r="J37" s="7" t="s">
        <v>63</v>
      </c>
      <c r="K37" s="7" t="s">
        <v>64</v>
      </c>
      <c r="L37" s="7" t="s">
        <v>59</v>
      </c>
    </row>
    <row r="38" spans="1:12">
      <c r="A38" s="5">
        <f>((((A4-D19)*E19)*((A4-D19)*E19))/(2*A9*C19))*1000000</f>
        <v>30.223415648405215</v>
      </c>
      <c r="B38" s="5">
        <f>C9/(C4+A14)</f>
        <v>2</v>
      </c>
      <c r="C38" s="5">
        <f>(10^3)*(((A38*C24*0.00001)/((75^0.5)*0.4*A33))^1.316)</f>
        <v>3.6155610142144454E-2</v>
      </c>
      <c r="D38" s="14">
        <f>((A38*A24)/(A33*C33))</f>
        <v>3.9997632575757573</v>
      </c>
      <c r="E38" s="5">
        <f>((4*PI()*0.0000001*C33*0.000001*(A42*A42)/(0.000001*A38))-(D33*0.001/E33))*1000</f>
        <v>0.12298781150830691</v>
      </c>
      <c r="F38" s="5">
        <f>75/(23*((H33)^-0.37))</f>
        <v>8.3471503033509027</v>
      </c>
      <c r="G38" s="15">
        <f>(A38*0.01*A24)/(A42*C33*0.01)</f>
        <v>0.24998520359848486</v>
      </c>
      <c r="H38" s="6">
        <f>F38/(2*(C24^2))</f>
        <v>0.17885741293431512</v>
      </c>
      <c r="I38" s="6">
        <f>F38/(2*(F24^2))</f>
        <v>8.481279760462633E-2</v>
      </c>
      <c r="J38" s="6">
        <f>(((0.000002303)*A42*F33)/H38)*100</f>
        <v>1.0300942911863631</v>
      </c>
      <c r="K38" s="5">
        <f>(((0.000002303)*B42*F33)/I38)*100</f>
        <v>1.0861568371961718</v>
      </c>
      <c r="L38" s="5">
        <f>SQRT((1.678)/(PI()*A9*4*PI()*0.000001*0.00001))*0.01</f>
        <v>3.2597636623672845</v>
      </c>
    </row>
    <row r="39" spans="1:12">
      <c r="D39" s="5">
        <f>SQRT((A38*0.000001)/(B33*0.000000001))</f>
        <v>14.387831532998762</v>
      </c>
    </row>
    <row r="40" spans="1:12">
      <c r="D40" t="s">
        <v>24</v>
      </c>
      <c r="K40" s="12"/>
    </row>
    <row r="41" spans="1:12">
      <c r="A41" s="2" t="s">
        <v>17</v>
      </c>
      <c r="B41" s="2" t="s">
        <v>16</v>
      </c>
    </row>
    <row r="42" spans="1:12">
      <c r="A42" s="2">
        <v>16</v>
      </c>
      <c r="B42" s="2">
        <v>8</v>
      </c>
      <c r="I42" s="1"/>
    </row>
    <row r="43" spans="1:12">
      <c r="I43" s="1"/>
    </row>
    <row r="44" spans="1:12">
      <c r="A44" s="10"/>
      <c r="B44" s="11" t="s">
        <v>65</v>
      </c>
      <c r="C44" s="10"/>
      <c r="I44" s="1"/>
    </row>
    <row r="45" spans="1:12">
      <c r="A45" s="10" t="s">
        <v>66</v>
      </c>
      <c r="B45" s="10" t="s">
        <v>74</v>
      </c>
      <c r="C45" s="10" t="s">
        <v>67</v>
      </c>
    </row>
    <row r="46" spans="1:12">
      <c r="A46" s="8">
        <f>F19</f>
        <v>93.4</v>
      </c>
      <c r="B46" s="8">
        <f>A24</f>
        <v>11.116550079742298</v>
      </c>
      <c r="C46" s="8"/>
    </row>
    <row r="48" spans="1:12">
      <c r="A48" s="7"/>
      <c r="B48" s="7" t="s">
        <v>68</v>
      </c>
      <c r="C48" s="5" t="s">
        <v>69</v>
      </c>
    </row>
    <row r="49" spans="1:3">
      <c r="A49" s="7" t="s">
        <v>73</v>
      </c>
      <c r="B49" s="7" t="s">
        <v>71</v>
      </c>
      <c r="C49" s="5"/>
    </row>
    <row r="50" spans="1:3">
      <c r="A50" s="5">
        <f>(C4*(1+B4/C9))*1.3</f>
        <v>49.693548387096776</v>
      </c>
      <c r="B50" s="5">
        <f>E24</f>
        <v>18.453473132372213</v>
      </c>
      <c r="C50" s="5"/>
    </row>
    <row r="52" spans="1:3">
      <c r="A52" s="11" t="s">
        <v>70</v>
      </c>
      <c r="B52" s="11"/>
    </row>
    <row r="53" spans="1:3">
      <c r="A53" s="11" t="s">
        <v>75</v>
      </c>
      <c r="B53" s="11" t="s">
        <v>72</v>
      </c>
    </row>
    <row r="54" spans="1:3">
      <c r="A54" s="9">
        <f>((100*(B19*E19))/(C4*E4*A9))*100000</f>
        <v>9.4412878787878771</v>
      </c>
      <c r="B54" s="9">
        <f>(E4*C4)/(E24*100)</f>
        <v>3.2514204545454548E-2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Boran</dc:creator>
  <cp:lastModifiedBy>Boran</cp:lastModifiedBy>
  <dcterms:created xsi:type="dcterms:W3CDTF">2020-03-12T16:59:43Z</dcterms:created>
  <dcterms:modified xsi:type="dcterms:W3CDTF">2020-03-23T16:25:43Z</dcterms:modified>
</cp:coreProperties>
</file>