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52500\Desktop\"/>
    </mc:Choice>
  </mc:AlternateContent>
  <xr:revisionPtr revIDLastSave="0" documentId="13_ncr:1_{CDF8B282-79DB-4365-B65C-8DED0636B5CD}" xr6:coauthVersionLast="47" xr6:coauthVersionMax="47" xr10:uidLastSave="{00000000-0000-0000-0000-000000000000}"/>
  <bookViews>
    <workbookView xWindow="28740" yWindow="-15" windowWidth="28920" windowHeight="15720" activeTab="5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Pareto" sheetId="12" r:id="rId5"/>
    <sheet name="Semaine" sheetId="13" r:id="rId6"/>
    <sheet name="DétailTRS" sheetId="14" r:id="rId7"/>
    <sheet name="Traitement" sheetId="5" r:id="rId8"/>
    <sheet name="Feuil6" sheetId="6" r:id="rId9"/>
    <sheet name="Feuil7" sheetId="7" r:id="rId10"/>
    <sheet name="Feuil8" sheetId="8" r:id="rId11"/>
    <sheet name="Feuil9" sheetId="9" r:id="rId12"/>
    <sheet name="Feuil10" sheetId="10" r:id="rId13"/>
    <sheet name="Feuil11" sheetId="11" r:id="rId14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19" r:id="rId15"/>
    <pivotCache cacheId="25" r:id="rId16"/>
  </pivotCaches>
  <fileRecoveryPr repairLoad="1"/>
  <extLs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3" l="1"/>
  <c r="G15" i="13"/>
  <c r="G16" i="13"/>
  <c r="G17" i="13"/>
  <c r="AD8" i="14"/>
  <c r="V8" i="14"/>
  <c r="N8" i="14"/>
  <c r="F8" i="14"/>
  <c r="H114" i="3"/>
  <c r="H115" i="3"/>
  <c r="H116" i="3"/>
  <c r="H117" i="3"/>
  <c r="G84" i="2"/>
  <c r="G83" i="2"/>
  <c r="G82" i="2"/>
  <c r="H337" i="1"/>
  <c r="H338" i="1"/>
  <c r="H339" i="1"/>
  <c r="I339" i="1" s="1"/>
  <c r="H340" i="1"/>
  <c r="I340" i="1" s="1"/>
  <c r="H341" i="1"/>
  <c r="I341" i="1" s="1"/>
  <c r="H342" i="1"/>
  <c r="H343" i="1"/>
  <c r="I343" i="1" s="1"/>
  <c r="H344" i="1"/>
  <c r="H345" i="1"/>
  <c r="I345" i="1" s="1"/>
  <c r="H346" i="1"/>
  <c r="I346" i="1" s="1"/>
  <c r="H347" i="1"/>
  <c r="I347" i="1" s="1"/>
  <c r="H348" i="1"/>
  <c r="I348" i="1" s="1"/>
  <c r="I337" i="1"/>
  <c r="I338" i="1"/>
  <c r="I342" i="1"/>
  <c r="I344" i="1"/>
  <c r="AD7" i="14"/>
  <c r="V7" i="14"/>
  <c r="N7" i="14"/>
  <c r="F7" i="14"/>
  <c r="AD6" i="14"/>
  <c r="V6" i="14"/>
  <c r="N6" i="14"/>
  <c r="F6" i="14"/>
  <c r="L4" i="5"/>
  <c r="G4" i="5"/>
  <c r="H110" i="3" l="1"/>
  <c r="H111" i="3"/>
  <c r="H112" i="3"/>
  <c r="H113" i="3"/>
  <c r="G79" i="2"/>
  <c r="G80" i="2"/>
  <c r="G81" i="2"/>
  <c r="G78" i="2"/>
  <c r="H5" i="12"/>
  <c r="D6" i="12" s="1"/>
  <c r="D7" i="12" s="1"/>
  <c r="D8" i="12" s="1"/>
  <c r="G77" i="2"/>
  <c r="I327" i="1"/>
  <c r="H325" i="1"/>
  <c r="I325" i="1" s="1"/>
  <c r="H326" i="1"/>
  <c r="I326" i="1" s="1"/>
  <c r="H327" i="1"/>
  <c r="H328" i="1"/>
  <c r="H329" i="1"/>
  <c r="I329" i="1" s="1"/>
  <c r="H330" i="1"/>
  <c r="H331" i="1"/>
  <c r="H332" i="1"/>
  <c r="H333" i="1"/>
  <c r="I333" i="1" s="1"/>
  <c r="H334" i="1"/>
  <c r="H335" i="1"/>
  <c r="I335" i="1" s="1"/>
  <c r="H336" i="1"/>
  <c r="I336" i="1" s="1"/>
  <c r="I328" i="1"/>
  <c r="I330" i="1"/>
  <c r="I331" i="1"/>
  <c r="I332" i="1"/>
  <c r="I334" i="1"/>
  <c r="H106" i="3"/>
  <c r="H107" i="3"/>
  <c r="H108" i="3"/>
  <c r="H109" i="3"/>
  <c r="H313" i="1"/>
  <c r="H314" i="1"/>
  <c r="H315" i="1"/>
  <c r="H316" i="1"/>
  <c r="H317" i="1"/>
  <c r="H318" i="1"/>
  <c r="H319" i="1"/>
  <c r="H320" i="1"/>
  <c r="H321" i="1"/>
  <c r="H322" i="1"/>
  <c r="H323" i="1"/>
  <c r="H324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G7" i="13"/>
  <c r="G8" i="13"/>
  <c r="G9" i="13"/>
  <c r="G10" i="13"/>
  <c r="G11" i="13"/>
  <c r="G12" i="13"/>
  <c r="G13" i="13"/>
  <c r="G6" i="13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H310" i="1"/>
  <c r="H311" i="1"/>
  <c r="I311" i="1" s="1"/>
  <c r="H312" i="1"/>
  <c r="I312" i="1" s="1"/>
  <c r="I309" i="1"/>
  <c r="I310" i="1"/>
  <c r="AZ8" i="5"/>
  <c r="AZ4" i="5"/>
  <c r="AR5" i="5"/>
  <c r="AI6" i="5"/>
  <c r="Z7" i="5"/>
  <c r="AR7" i="5"/>
  <c r="AI4" i="5"/>
  <c r="AR6" i="5"/>
  <c r="AI7" i="5"/>
  <c r="Z4" i="5"/>
  <c r="AZ7" i="5"/>
  <c r="AR8" i="5"/>
  <c r="AR4" i="5"/>
  <c r="AI5" i="5"/>
  <c r="Z6" i="5"/>
  <c r="AZ6" i="5"/>
  <c r="AI8" i="5"/>
  <c r="Z5" i="5"/>
  <c r="AZ5" i="5"/>
  <c r="Z8" i="5"/>
  <c r="H297" i="1" l="1"/>
  <c r="I297" i="1" s="1"/>
  <c r="H296" i="1"/>
  <c r="I296" i="1" s="1"/>
  <c r="H295" i="1"/>
  <c r="I295" i="1" s="1"/>
  <c r="H98" i="3"/>
  <c r="H99" i="3"/>
  <c r="H100" i="3"/>
  <c r="H101" i="3"/>
  <c r="G72" i="2"/>
  <c r="H289" i="1"/>
  <c r="H290" i="1"/>
  <c r="H291" i="1"/>
  <c r="I291" i="1" s="1"/>
  <c r="H292" i="1"/>
  <c r="I292" i="1" s="1"/>
  <c r="H293" i="1"/>
  <c r="H294" i="1"/>
  <c r="I294" i="1" s="1"/>
  <c r="H298" i="1"/>
  <c r="I298" i="1" s="1"/>
  <c r="H299" i="1"/>
  <c r="I299" i="1" s="1"/>
  <c r="H300" i="1"/>
  <c r="I289" i="1"/>
  <c r="I290" i="1"/>
  <c r="I293" i="1"/>
  <c r="I300" i="1"/>
  <c r="H96" i="3"/>
  <c r="H94" i="3"/>
  <c r="H95" i="3"/>
  <c r="H97" i="3"/>
  <c r="G71" i="2"/>
  <c r="H285" i="1"/>
  <c r="I285" i="1" s="1"/>
  <c r="H284" i="1"/>
  <c r="I284" i="1" s="1"/>
  <c r="H283" i="1"/>
  <c r="I283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6" i="1"/>
  <c r="I286" i="1" s="1"/>
  <c r="H287" i="1"/>
  <c r="I287" i="1" s="1"/>
  <c r="H288" i="1"/>
  <c r="I288" i="1" s="1"/>
  <c r="H273" i="1"/>
  <c r="I273" i="1" s="1"/>
  <c r="H272" i="1"/>
  <c r="I272" i="1" s="1"/>
  <c r="H271" i="1"/>
  <c r="I271" i="1" s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4" i="1"/>
  <c r="I274" i="1" s="1"/>
  <c r="H275" i="1"/>
  <c r="I275" i="1" s="1"/>
  <c r="H276" i="1"/>
  <c r="I276" i="1" s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H259" i="1"/>
  <c r="I259" i="1" s="1"/>
  <c r="G66" i="2"/>
  <c r="G65" i="2"/>
  <c r="G64" i="2"/>
  <c r="H87" i="3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62" i="1"/>
  <c r="I262" i="1" s="1"/>
  <c r="H263" i="1"/>
  <c r="I263" i="1" s="1"/>
  <c r="H264" i="1"/>
  <c r="I264" i="1" s="1"/>
  <c r="H82" i="3"/>
  <c r="H83" i="3"/>
  <c r="H84" i="3"/>
  <c r="H85" i="3"/>
  <c r="H242" i="1"/>
  <c r="I242" i="1" s="1"/>
  <c r="H243" i="1"/>
  <c r="I243" i="1" s="1"/>
  <c r="H241" i="1"/>
  <c r="I241" i="1" s="1"/>
  <c r="H249" i="1"/>
  <c r="I249" i="1" s="1"/>
  <c r="H248" i="1"/>
  <c r="I248" i="1" s="1"/>
  <c r="H247" i="1"/>
  <c r="I247" i="1" s="1"/>
  <c r="H245" i="1"/>
  <c r="I245" i="1" s="1"/>
  <c r="H246" i="1"/>
  <c r="I246" i="1" s="1"/>
  <c r="H250" i="1"/>
  <c r="I250" i="1" s="1"/>
  <c r="H251" i="1"/>
  <c r="I251" i="1" s="1"/>
  <c r="H252" i="1"/>
  <c r="I252" i="1" s="1"/>
  <c r="I244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H237" i="1"/>
  <c r="H238" i="1"/>
  <c r="H239" i="1"/>
  <c r="H240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H220" i="1"/>
  <c r="H221" i="1"/>
  <c r="I221" i="1" s="1"/>
  <c r="H222" i="1"/>
  <c r="H223" i="1"/>
  <c r="I223" i="1" s="1"/>
  <c r="H224" i="1"/>
  <c r="I224" i="1" s="1"/>
  <c r="H225" i="1"/>
  <c r="I225" i="1" s="1"/>
  <c r="H226" i="1"/>
  <c r="H227" i="1"/>
  <c r="I227" i="1" s="1"/>
  <c r="H228" i="1"/>
  <c r="I228" i="1" s="1"/>
  <c r="I217" i="1"/>
  <c r="I218" i="1"/>
  <c r="I219" i="1"/>
  <c r="I220" i="1"/>
  <c r="I222" i="1"/>
  <c r="I226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I210" i="1" s="1"/>
  <c r="H214" i="1"/>
  <c r="I214" i="1" s="1"/>
  <c r="H215" i="1"/>
  <c r="I215" i="1" s="1"/>
  <c r="H216" i="1"/>
  <c r="I216" i="1" s="1"/>
  <c r="I206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I17" i="1"/>
  <c r="I22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  <c r="D9" i="12" l="1"/>
  <c r="D10" i="12" s="1"/>
  <c r="D11" i="12" s="1"/>
  <c r="D12" i="12" s="1"/>
  <c r="D13" i="12" s="1"/>
  <c r="D14" i="12" s="1"/>
  <c r="D15" i="12" s="1"/>
</calcChain>
</file>

<file path=xl/sharedStrings.xml><?xml version="1.0" encoding="utf-8"?>
<sst xmlns="http://schemas.openxmlformats.org/spreadsheetml/2006/main" count="1981" uniqueCount="144">
  <si>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</si>
  <si>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</si>
  <si>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</si>
  <si>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</si>
  <si>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</si>
  <si>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</si>
  <si>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</si>
  <si>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</si>
  <si>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</si>
  <si>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</si>
  <si>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</si>
  <si>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</si>
  <si>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</si>
  <si>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</si>
  <si>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</si>
  <si>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</si>
  <si>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</si>
  <si>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</si>
  <si>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</si>
  <si>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</si>
  <si>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</si>
  <si>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</si>
  <si>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</si>
  <si>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</si>
  <si>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</si>
  <si>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</si>
  <si>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</si>
  <si>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</si>
  <si>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</si>
  <si>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</si>
  <si>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</si>
  <si>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</si>
  <si>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</si>
  <si>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</si>
  <si>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</si>
  <si>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</si>
  <si>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</si>
  <si>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</si>
  <si>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</si>
  <si>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</si>
  <si>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</si>
  <si>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</si>
  <si>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</si>
  <si>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</si>
  <si>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</si>
  <si>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</si>
  <si>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</si>
  <si>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</si>
  <si>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</si>
  <si>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</si>
  <si>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</si>
  <si>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</si>
  <si>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</si>
  <si>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</si>
  <si>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</si>
  <si>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</si>
  <si>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</si>
  <si>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</si>
  <si>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</si>
  <si>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</si>
  <si>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</si>
  <si>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</si>
  <si>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</si>
  <si>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</si>
  <si>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</si>
  <si>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</si>
  <si>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</si>
  <si>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</si>
  <si>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</si>
  <si>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</si>
  <si>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</si>
  <si>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</si>
  <si>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</si>
  <si>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</si>
  <si>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</si>
  <si>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</si>
  <si>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</si>
  <si>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</si>
  <si>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</si>
  <si>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</si>
  <si>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</si>
  <si>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</si>
  <si>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</si>
  <si>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</si>
  <si>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</si>
  <si>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</si>
  <si>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</si>
  <si>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</si>
  <si>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</si>
  <si>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</si>
  <si>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</si>
  <si>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</si>
  <si>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</si>
  <si>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</si>
  <si>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</si>
  <si>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</si>
  <si>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</si>
  <si>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</si>
  <si>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</si>
  <si>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</si>
  <si>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</si>
  <si>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</si>
  <si>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</si>
  <si>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</si>
  <si>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</si>
  <si>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</si>
  <si>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</si>
  <si>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</si>
  <si>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</si>
  <si>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</si>
  <si>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</si>
  <si>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</si>
  <si>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</si>
  <si>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</si>
  <si>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</si>
  <si>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</si>
  <si>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</si>
  <si>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</si>
  <si>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</si>
  <si>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</si>
  <si>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</si>
  <si>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</si>
  <si>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</si>
  <si>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Réf1</t>
  </si>
  <si>
    <t>Objectif1</t>
  </si>
  <si>
    <t>Qté produite1</t>
  </si>
  <si>
    <t>Écart1</t>
  </si>
  <si>
    <t>TRS1</t>
  </si>
  <si>
    <t>Réf2</t>
  </si>
  <si>
    <t>Objectif2</t>
  </si>
  <si>
    <t>Qté produite2</t>
  </si>
  <si>
    <t>Écart2</t>
  </si>
  <si>
    <t>TRS2</t>
  </si>
  <si>
    <t>Réf3</t>
  </si>
  <si>
    <t>Objectif3</t>
  </si>
  <si>
    <t>Qté produite3</t>
  </si>
  <si>
    <t>Écart3</t>
  </si>
  <si>
    <t>TRS3</t>
  </si>
  <si>
    <t>Réf4</t>
  </si>
  <si>
    <t>Objectif4</t>
  </si>
  <si>
    <t>Qté produite4</t>
  </si>
  <si>
    <t>Écart4</t>
  </si>
  <si>
    <t>TRS4</t>
  </si>
  <si>
    <t>Semaine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</si>
</sst>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1" applyNumberFormat="1" applyFont="1" applyBorder="1"/>
    <xf numFmtId="1" fontId="0" fillId="0" borderId="0" xfId="1" applyNumberFormat="1" applyFont="1" applyBorder="1"/>
    <xf numFmtId="2" fontId="0" fillId="0" borderId="0" xfId="1" applyNumberFormat="1" applyFont="1" applyFill="1" applyBorder="1"/>
    <xf numFmtId="0" fontId="0" fillId="0" borderId="24" xfId="0" applyBorder="1"/>
    <xf numFmtId="9" fontId="0" fillId="0" borderId="24" xfId="1" applyFont="1" applyFill="1" applyBorder="1"/>
    <xf numFmtId="9" fontId="0" fillId="0" borderId="24" xfId="1" applyFont="1" applyBorder="1"/>
    <xf numFmtId="0" fontId="0" fillId="0" borderId="24" xfId="0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25" xfId="0" applyFont="1" applyFill="1" applyBorder="1"/>
    <xf numFmtId="0" fontId="0" fillId="0" borderId="25" xfId="0" applyFont="1" applyBorder="1"/>
    <xf numFmtId="0" fontId="0" fillId="0" borderId="25" xfId="0" applyFont="1" applyFill="1" applyBorder="1" applyAlignment="1">
      <alignment horizontal="left" vertical="center"/>
    </xf>
    <xf numFmtId="0" fontId="0" fillId="0" borderId="24" xfId="0" applyBorder="1" applyAlignment="1">
      <alignment horizontal="right"/>
    </xf>
    <xf numFmtId="0" fontId="0" fillId="0" borderId="0" xfId="0" applyAlignment="1">
      <alignment horizontal="right"/>
    </xf>
    <xf numFmtId="9" fontId="0" fillId="0" borderId="24" xfId="1" applyFont="1" applyFill="1" applyBorder="1" applyAlignment="1">
      <alignment horizontal="right"/>
    </xf>
    <xf numFmtId="0" fontId="0" fillId="0" borderId="24" xfId="0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25" xfId="0" applyFont="1" applyFill="1" applyBorder="1" applyAlignment="1">
      <alignment horizontal="right"/>
    </xf>
    <xf numFmtId="9" fontId="0" fillId="0" borderId="0" xfId="1" applyFont="1" applyFill="1" applyBorder="1" applyAlignment="1">
      <alignment horizontal="right"/>
    </xf>
    <xf numFmtId="0" fontId="0" fillId="0" borderId="0" xfId="1" applyNumberFormat="1" applyFont="1"/>
  </cellXfs>
  <cellStyles count="2">
    <cellStyle name="Normal" xfId="0" builtinId="0"/>
    <cellStyle name="Pourcentage" xfId="1" builtinId="5"/>
  </cellStyles>
  <dxfs count="188"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64" formatCode="0.0"/>
    </dxf>
    <dxf>
      <numFmt numFmtId="2" formatCode="0.0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2" formatCode="0.00"/>
    </dxf>
    <dxf>
      <numFmt numFmtId="1" formatCode="0"/>
    </dxf>
    <dxf>
      <fill>
        <patternFill patternType="none"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bgColor auto="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righ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righ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bgColor auto="1"/>
        </patternFill>
      </fill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microsoft.com/office/2011/relationships/timelineCache" Target="timelineCaches/timeline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2500</c:v>
                </c:pt>
                <c:pt idx="1">
                  <c:v>1823</c:v>
                </c:pt>
                <c:pt idx="2">
                  <c:v>420</c:v>
                </c:pt>
                <c:pt idx="3">
                  <c:v>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41.666666666666671</c:v>
                </c:pt>
                <c:pt idx="1">
                  <c:v>30.383333333333333</c:v>
                </c:pt>
                <c:pt idx="2">
                  <c:v>7</c:v>
                </c:pt>
                <c:pt idx="3">
                  <c:v>26.599999999999998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Traitement!$BD$4:$BD$17</c:f>
              <c:numCache>
                <c:formatCode>General</c:formatCode>
                <c:ptCount val="13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Traitement!$BC$4:$BC$17</c:f>
              <c:numCache>
                <c:formatCode>0%</c:formatCode>
                <c:ptCount val="13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Traitement!$BI$4:$BI$17</c:f>
              <c:numCache>
                <c:formatCode>General</c:formatCode>
                <c:ptCount val="13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Traitement!$BH$4:$BH$17</c:f>
              <c:numCache>
                <c:formatCode>0%</c:formatCode>
                <c:ptCount val="13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Traitement!$BN$4:$BN$17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Traitement!$BM$4:$BM$17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Traitement!$BS$4:$BS$17</c:f>
              <c:numCache>
                <c:formatCode>General</c:formatCode>
                <c:ptCount val="13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Traitement!$BR$4:$BR$17</c:f>
              <c:numCache>
                <c:formatCode>0%</c:formatCode>
                <c:ptCount val="13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Traitement!$BD$4:$BD$17</c:f>
              <c:numCache>
                <c:formatCode>General</c:formatCode>
                <c:ptCount val="13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Traitement!$BC$4:$BC$17</c:f>
              <c:numCache>
                <c:formatCode>0%</c:formatCode>
                <c:ptCount val="13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Traitement!$BI$4:$BI$17</c:f>
              <c:numCache>
                <c:formatCode>General</c:formatCode>
                <c:ptCount val="13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Traitement!$BH$4:$BH$17</c:f>
              <c:numCache>
                <c:formatCode>0%</c:formatCode>
                <c:ptCount val="13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Traitement!$BS$4:$BS$17</c:f>
              <c:numCache>
                <c:formatCode>General</c:formatCode>
                <c:ptCount val="13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Traitement!$BR$4:$BR$17</c:f>
              <c:numCache>
                <c:formatCode>0%</c:formatCode>
                <c:ptCount val="13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1310</c:v>
                </c:pt>
                <c:pt idx="3">
                  <c:v>1560</c:v>
                </c:pt>
                <c:pt idx="4">
                  <c:v>1333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2500</c:v>
                </c:pt>
                <c:pt idx="1">
                  <c:v>1823</c:v>
                </c:pt>
                <c:pt idx="2">
                  <c:v>420</c:v>
                </c:pt>
                <c:pt idx="3">
                  <c:v>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41.666666666666671</c:v>
                </c:pt>
                <c:pt idx="1">
                  <c:v>30.383333333333333</c:v>
                </c:pt>
                <c:pt idx="2">
                  <c:v>7</c:v>
                </c:pt>
                <c:pt idx="3">
                  <c:v>26.599999999999998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Traitement!$BD$4:$BD$17</c:f>
              <c:numCache>
                <c:formatCode>General</c:formatCode>
                <c:ptCount val="13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Traitement!$BC$4:$BC$17</c:f>
              <c:numCache>
                <c:formatCode>0%</c:formatCode>
                <c:ptCount val="13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Traitement!$BI$4:$BI$17</c:f>
              <c:numCache>
                <c:formatCode>General</c:formatCode>
                <c:ptCount val="13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Traitement!$BH$4:$BH$17</c:f>
              <c:numCache>
                <c:formatCode>0%</c:formatCode>
                <c:ptCount val="13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Traitement!$BN$4:$BN$17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Traitement!$BM$4:$BM$17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Traitement!$BS$4:$BS$17</c:f>
              <c:numCache>
                <c:formatCode>General</c:formatCode>
                <c:ptCount val="13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Traitement!$BR$4:$BR$17</c:f>
              <c:numCache>
                <c:formatCode>0%</c:formatCode>
                <c:ptCount val="13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1310</c:v>
                </c:pt>
                <c:pt idx="3">
                  <c:v>1560</c:v>
                </c:pt>
                <c:pt idx="4">
                  <c:v>1333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1206%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1512%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579%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1736%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143431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264971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70263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303591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51882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116572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21360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108091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195313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381543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91623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411682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79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105,65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4,4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1045210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257175</xdr:colOff>
      <xdr:row>16</xdr:row>
      <xdr:rowOff>177165</xdr:rowOff>
    </xdr:from>
    <xdr:to>
      <xdr:col>8</xdr:col>
      <xdr:colOff>799465</xdr:colOff>
      <xdr:row>24</xdr:row>
      <xdr:rowOff>154305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9070" y="3068955"/>
              <a:ext cx="186817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992505</xdr:colOff>
      <xdr:row>14</xdr:row>
      <xdr:rowOff>102870</xdr:rowOff>
    </xdr:from>
    <xdr:to>
      <xdr:col>16</xdr:col>
      <xdr:colOff>15875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5280" y="2634615"/>
              <a:ext cx="183324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10</xdr:col>
      <xdr:colOff>248285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1144905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87630</xdr:colOff>
      <xdr:row>22</xdr:row>
      <xdr:rowOff>112395</xdr:rowOff>
    </xdr:from>
    <xdr:to>
      <xdr:col>13</xdr:col>
      <xdr:colOff>520065</xdr:colOff>
      <xdr:row>24</xdr:row>
      <xdr:rowOff>163830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593830" y="4093845"/>
          <a:ext cx="432435" cy="41338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487680</xdr:colOff>
      <xdr:row>14</xdr:row>
      <xdr:rowOff>30480</xdr:rowOff>
    </xdr:from>
    <xdr:to>
      <xdr:col>13</xdr:col>
      <xdr:colOff>135255</xdr:colOff>
      <xdr:row>16</xdr:row>
      <xdr:rowOff>83820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260455" y="2564130"/>
          <a:ext cx="438150" cy="41529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</xdr:row>
      <xdr:rowOff>179070</xdr:rowOff>
    </xdr:from>
    <xdr:to>
      <xdr:col>13</xdr:col>
      <xdr:colOff>419100</xdr:colOff>
      <xdr:row>10</xdr:row>
      <xdr:rowOff>59055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544300" y="1445895"/>
          <a:ext cx="419100" cy="42291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123" y="5684791"/>
              <a:ext cx="11016615" cy="537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0.397102546296" createdVersion="8" refreshedVersion="8" minRefreshableVersion="3" recordCount="112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21T00:00:00" count="28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  <d v="2025-03-18T00:00:00"/>
        <d v="2025-03-19T00:00:00"/>
        <d v="2025-03-20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21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1/03/2025"/>
        </groupItems>
      </fieldGroup>
    </cacheField>
    <cacheField name="Mois (Date)" numFmtId="0" databaseField="0">
      <fieldGroup base="0">
        <rangePr groupBy="months" startDate="2025-02-05T00:00:00" endDate="2025-03-21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1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0.397103587966" createdVersion="8" refreshedVersion="8" minRefreshableVersion="3" recordCount="79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21T00:00:00" count="22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  <d v="2025-03-19T00:00:00"/>
        <d v="2025-03-20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  <r>
    <x v="25"/>
    <x v="0"/>
    <n v="0"/>
    <n v="0"/>
    <n v="0"/>
    <n v="0"/>
    <n v="0"/>
  </r>
  <r>
    <x v="25"/>
    <x v="1"/>
    <n v="0.66"/>
    <n v="0.73"/>
    <n v="11620"/>
    <n v="7700"/>
    <n v="19320"/>
  </r>
  <r>
    <x v="25"/>
    <x v="2"/>
    <n v="0.78"/>
    <n v="0.74"/>
    <n v="8970"/>
    <n v="3800"/>
    <n v="12770"/>
  </r>
  <r>
    <x v="25"/>
    <x v="3"/>
    <n v="0.83"/>
    <n v="0.82"/>
    <n v="14680"/>
    <n v="7100"/>
    <n v="21780"/>
  </r>
  <r>
    <x v="26"/>
    <x v="0"/>
    <n v="0.32"/>
    <n v="0.54"/>
    <n v="2210"/>
    <n v="3800"/>
    <n v="6010"/>
  </r>
  <r>
    <x v="26"/>
    <x v="1"/>
    <n v="0.7"/>
    <n v="0.66"/>
    <n v="12235"/>
    <n v="5200"/>
    <n v="17435"/>
  </r>
  <r>
    <x v="26"/>
    <x v="2"/>
    <n v="0.95"/>
    <n v="0.86"/>
    <n v="10930"/>
    <n v="4000"/>
    <n v="14930"/>
  </r>
  <r>
    <x v="26"/>
    <x v="3"/>
    <n v="0.9"/>
    <n v="0.91"/>
    <n v="15800"/>
    <n v="8300"/>
    <n v="24100"/>
  </r>
  <r>
    <x v="27"/>
    <x v="0"/>
    <n v="0.88"/>
    <n v="0.92"/>
    <n v="6484"/>
    <n v="3696"/>
    <n v="10180"/>
  </r>
  <r>
    <x v="27"/>
    <x v="1"/>
    <n v="0.48"/>
    <n v="0.55000000000000004"/>
    <n v="8485"/>
    <n v="6150"/>
    <n v="14635"/>
  </r>
  <r>
    <x v="27"/>
    <x v="2"/>
    <n v="0.56000000000000005"/>
    <n v="0.62"/>
    <n v="6425"/>
    <n v="4200"/>
    <n v="10625"/>
  </r>
  <r>
    <x v="27"/>
    <x v="3"/>
    <n v="0.92"/>
    <n v="0.86"/>
    <n v="16240"/>
    <n v="6600"/>
    <n v="228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  <r>
    <x v="20"/>
    <s v="Soir"/>
    <x v="3"/>
    <x v="6"/>
    <n v="40"/>
    <n v="0.66666666666666663"/>
    <s v="Mars"/>
  </r>
  <r>
    <x v="20"/>
    <s v="Après-midi"/>
    <x v="0"/>
    <x v="2"/>
    <n v="120"/>
    <n v="2"/>
    <s v="Mars"/>
  </r>
  <r>
    <x v="20"/>
    <s v="Soir"/>
    <x v="2"/>
    <x v="0"/>
    <n v="30"/>
    <n v="0.5"/>
    <s v="Mars"/>
  </r>
  <r>
    <x v="20"/>
    <s v="Soir"/>
    <x v="2"/>
    <x v="0"/>
    <n v="20"/>
    <n v="0.33333333333333331"/>
    <s v="Mars"/>
  </r>
  <r>
    <x v="20"/>
    <s v="Soir"/>
    <x v="2"/>
    <x v="0"/>
    <n v="10"/>
    <n v="0.16666666666666666"/>
    <s v="Mars"/>
  </r>
  <r>
    <x v="21"/>
    <s v="Après-midi"/>
    <x v="0"/>
    <x v="0"/>
    <n v="60"/>
    <n v="1"/>
    <s v="Mars"/>
  </r>
  <r>
    <x v="21"/>
    <s v="Soir"/>
    <x v="0"/>
    <x v="0"/>
    <n v="110"/>
    <n v="1.8333333333333333"/>
    <s v="Mars"/>
  </r>
  <r>
    <x v="21"/>
    <s v="Soir"/>
    <x v="2"/>
    <x v="0"/>
    <n v="90"/>
    <n v="1.5"/>
    <s v="Ma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2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1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32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2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1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32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2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19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17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4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1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32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1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19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17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4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2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121">
      <pivotArea collapsedLevelsAreSubtotals="1" fieldPosition="0">
        <references count="1">
          <reference field="3" count="0"/>
        </references>
      </pivotArea>
    </format>
    <format dxfId="120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2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122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19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17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4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1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32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2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19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17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4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5"/>
    <pivotTable tabId="5" name="Tableau croisé dynamique6"/>
    <pivotTable tabId="5" name="Tableau croisé dynamique7"/>
    <pivotTable tabId="5" name="Tableau croisé dynamique4"/>
  </pivotTables>
  <data>
    <tabular pivotCacheId="159577730">
      <items count="28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24" rowHeight="247650"/>
  <slicer name="Date 3" xr10:uid="{6D57016E-1CA8-41C9-8D62-7C4E19DED976}" cache="Segment_Date1" caption="Date arrets" startItem="18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startItem="18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48" totalsRowShown="0" headerRowDxfId="187" dataDxfId="186">
  <autoFilter ref="B12:N348" xr:uid="{3466EDAC-D66B-4C4E-9139-E81C6DDA4B82}"/>
  <tableColumns count="13">
    <tableColumn id="1" xr3:uid="{1D039082-F45C-42A3-A96D-5829EEFF21C4}" name="Date" dataDxfId="185"/>
    <tableColumn id="2" xr3:uid="{BBFA4997-538A-476D-BD76-263203FF6ABC}" name="Équipe" dataDxfId="184"/>
    <tableColumn id="3" xr3:uid="{9A20E0DF-9527-4B0D-A550-5EF7167ABF81}" name="Machine" dataDxfId="183"/>
    <tableColumn id="4" xr3:uid="{3B0ED0DB-3A3D-42B9-92CE-C7769A603883}" name="Reference" dataDxfId="182"/>
    <tableColumn id="5" xr3:uid="{60FF7E2E-7F53-4AC9-8137-2A5C65D24895}" name="Cadence" dataDxfId="181"/>
    <tableColumn id="6" xr3:uid="{06210FA9-A842-4E73-9D61-5F5A7ACE1E35}" name="Quantité" dataDxfId="180"/>
    <tableColumn id="7" xr3:uid="{01816378-CFEC-4708-A4F0-66CF1B5F1387}" name="Objectif" dataDxfId="179">
      <calculatedColumnFormula>F13*8</calculatedColumnFormula>
    </tableColumn>
    <tableColumn id="8" xr3:uid="{C4032EF7-3002-493D-8583-34A8B76258DE}" name="Écart pièces" dataDxfId="178">
      <calculatedColumnFormula>H13-G13</calculatedColumnFormula>
    </tableColumn>
    <tableColumn id="9" xr3:uid="{9DAE7675-70FD-445E-BDDB-E8E2238565B6}" name="Écart temps" dataDxfId="177"/>
    <tableColumn id="10" xr3:uid="{1438624C-19DD-48A8-B0D4-4C0454660192}" name="Nombre d'arrêt" dataDxfId="176"/>
    <tableColumn id="11" xr3:uid="{92F0ED0E-5E30-47AC-B9F1-963B5B62C863}" name="Durée arrêts" dataDxfId="175"/>
    <tableColumn id="12" xr3:uid="{21AA2E60-0434-4A20-BDBE-F1BA2A9CF39A}" name="TRS" dataDxfId="174" dataCellStyle="Pourcentage"/>
    <tableColumn id="13" xr3:uid="{19486378-4A9F-497E-9B1F-E475ECBA87F9}" name="Commentaire" dataDxfId="173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116" dataDxfId="115">
  <autoFilter ref="AI32:AK62" xr:uid="{5A5BA314-728F-41DF-B436-D7A736B66477}"/>
  <tableColumns count="3">
    <tableColumn id="1" xr3:uid="{DF8A1C01-18E8-494B-83B0-7679C44537BE}" name="Date" dataDxfId="114"/>
    <tableColumn id="2" xr3:uid="{430A7B71-3CE2-4D74-8DAF-18AED78B5B2D}" name="TRS" dataDxfId="113" dataCellStyle="Pourcentage"/>
    <tableColumn id="3" xr3:uid="{F1EF3F5F-838A-436F-8A45-EE6CDF2D8D01}" name="Qté" dataDxfId="1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84" totalsRowShown="0" headerRowDxfId="172" dataDxfId="171">
  <autoFilter ref="B5:H84" xr:uid="{C4480CF4-C52E-46FA-9FDF-CF9B3A0AF10E}"/>
  <tableColumns count="7">
    <tableColumn id="1" xr3:uid="{C8979906-7385-4F96-B2E7-4F8FC864FCF7}" name="Date" dataDxfId="170"/>
    <tableColumn id="2" xr3:uid="{C364A27F-09CB-402B-A1F2-43C609B28A7C}" name="Équipe" dataDxfId="169"/>
    <tableColumn id="3" xr3:uid="{1361715B-CE84-4C43-92F7-019565185AAA}" name="Machine" dataDxfId="168"/>
    <tableColumn id="4" xr3:uid="{E770DDB2-0CDE-42F9-A515-5F913C3C5CFA}" name="Arrêts" dataDxfId="167"/>
    <tableColumn id="5" xr3:uid="{95B5CA0A-A6B0-47A6-A582-77BA65A8C587}" name="Durées (m)" dataDxfId="166"/>
    <tableColumn id="6" xr3:uid="{43C12E68-90D4-42CF-BC19-E6722FF7D947}" name="Durées (h)" dataDxfId="165">
      <calculatedColumnFormula>Tableau2[[#This Row],[Durées (m)]]/60</calculatedColumnFormula>
    </tableColumn>
    <tableColumn id="8" xr3:uid="{FDF7BB73-1D0C-A241-A789-075E09936532}" name="pds" dataDxfId="16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17" totalsRowShown="0">
  <autoFilter ref="B5:H117" xr:uid="{894CCDAD-CDD6-465E-80D2-20AB554BBE4E}"/>
  <tableColumns count="7">
    <tableColumn id="1" xr3:uid="{7C267BB5-CF9B-4D47-8B80-1FB9E42CA5FD}" name="Date" dataDxfId="163"/>
    <tableColumn id="2" xr3:uid="{8A871C23-BE6F-4F7B-B503-1F0217DD11F8}" name="Machine"/>
    <tableColumn id="3" xr3:uid="{E32C80A4-959D-4B04-8450-5951FACD7F0D}" name="TRS 1" dataDxfId="162" dataCellStyle="Pourcentage"/>
    <tableColumn id="4" xr3:uid="{04FDCF70-8941-43FF-9DFD-7BB25B382D43}" name="TRS 2 " dataDxfId="161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160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159" dataDxfId="158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157"/>
    <tableColumn id="2" xr3:uid="{493BB54B-9250-2D4B-B6C7-D5E559092A71}" name="Durées (m)" dataDxfId="156"/>
    <tableColumn id="3" xr3:uid="{0482A10B-5D20-934F-9D71-A1713F93DF2F}" name="PC" dataDxfId="155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17" totalsRowShown="0">
  <autoFilter ref="B5:I17" xr:uid="{985E77F9-6971-5543-8E10-89E0F2951626}"/>
  <tableColumns count="8">
    <tableColumn id="1" xr3:uid="{5FF3DE14-D01D-CC49-850B-BCDA13E32092}" name="Semaine"/>
    <tableColumn id="2" xr3:uid="{D00B9277-446B-FC4B-A4F8-BAD0E1F999D5}" name="Machine " dataDxfId="154"/>
    <tableColumn id="3" xr3:uid="{B2D906ED-F0F7-9448-9AF1-A69813965A44}" name="Ref" dataDxfId="153"/>
    <tableColumn id="4" xr3:uid="{4D0E4E49-F3E9-404C-B205-D9C55910B9E1}" name="Objectif"/>
    <tableColumn id="5" xr3:uid="{1FB481F5-4815-6245-A5D3-BCA9454FBAEF}" name="Qté produite"/>
    <tableColumn id="6" xr3:uid="{6DAFD0A6-7665-B146-A89D-00902FC921DC}" name="Écart">
      <calculatedColumnFormula>E6-F6</calculatedColumnFormula>
    </tableColumn>
    <tableColumn id="7" xr3:uid="{EB814DC3-DAC7-6B45-999C-1AC4C9E7E41E}" name="TRS" dataDxfId="152" dataCellStyle="Pourcentage"/>
    <tableColumn id="8" xr3:uid="{8F9ADACA-4E38-DD4D-8A59-7195BFF9DABC}" name="Commmentai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ADA027-BDF3-4ADC-9AA0-BBF84EB0BBF6}" name="Tableau7" displayName="Tableau7" ref="B5:G8" totalsRowShown="0" headerRowDxfId="151" dataDxfId="150">
  <autoFilter ref="B5:G8" xr:uid="{C3ADA027-BDF3-4ADC-9AA0-BBF84EB0BBF6}"/>
  <tableColumns count="6">
    <tableColumn id="1" xr3:uid="{82110287-4DA2-4E23-AF4C-934F43091E8A}" name="Semaine" dataDxfId="111"/>
    <tableColumn id="2" xr3:uid="{CE4D20CE-F0F4-4148-A65C-4C15C2BDE80B}" name="Réf1" dataDxfId="110"/>
    <tableColumn id="3" xr3:uid="{5E479AA2-F31D-4499-AD73-8FAEA315829E}" name="Objectif1" dataDxfId="109"/>
    <tableColumn id="4" xr3:uid="{E3ECDC1D-9AB3-42B6-AEC7-8264A60A07CB}" name="Qté produite1" dataDxfId="108"/>
    <tableColumn id="5" xr3:uid="{2DCA57F5-2F35-4155-ACB0-0463D5E13466}" name="Écart1" dataDxfId="107">
      <calculatedColumnFormula>D6-E6</calculatedColumnFormula>
    </tableColumn>
    <tableColumn id="6" xr3:uid="{85FCF25C-40A4-4BCF-AF8F-0823FA6DFFA6}" name="TRS1" dataDxfId="106" dataCellStyle="Pou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561D414-1E8C-48BE-9676-72AE3EF37E0A}" name="Tableau8" displayName="Tableau8" ref="J5:O8" totalsRowShown="0" dataDxfId="149">
  <autoFilter ref="J5:O8" xr:uid="{F561D414-1E8C-48BE-9676-72AE3EF37E0A}"/>
  <tableColumns count="6">
    <tableColumn id="1" xr3:uid="{905EA822-D8FF-4F98-A0EF-3120D8EEBAD2}" name="Semaine"/>
    <tableColumn id="2" xr3:uid="{2DC4449D-8AF3-49F1-B542-5E50BA7ED098}" name="Réf2" dataDxfId="148"/>
    <tableColumn id="3" xr3:uid="{6165A164-8AE6-4F12-A639-C1F8D2F5D5ED}" name="Objectif2" dataDxfId="147"/>
    <tableColumn id="4" xr3:uid="{EF112BE0-C558-4396-8779-BA18D514B744}" name="Qté produite2" dataDxfId="146"/>
    <tableColumn id="5" xr3:uid="{DC6F2425-920F-4EBD-A310-FADCFF9685F2}" name="Écart2" dataDxfId="145">
      <calculatedColumnFormula>L6-M6</calculatedColumnFormula>
    </tableColumn>
    <tableColumn id="6" xr3:uid="{C00F0051-7E80-4D96-AB31-68207098773D}" name="TRS2" dataDxfId="144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464C823-5238-467F-AA0D-E974B9917A6B}" name="Tableau9" displayName="Tableau9" ref="R5:W8" totalsRowShown="0" headerRowDxfId="143" dataDxfId="142">
  <autoFilter ref="R5:W8" xr:uid="{5464C823-5238-467F-AA0D-E974B9917A6B}"/>
  <tableColumns count="6">
    <tableColumn id="1" xr3:uid="{5C74E9B3-1BA4-412D-BA84-1C917F00C0F7}" name="Semaine" dataDxfId="141"/>
    <tableColumn id="2" xr3:uid="{75D5B65C-9AC1-4508-BFC0-A55081496313}" name="Réf3" dataDxfId="140"/>
    <tableColumn id="3" xr3:uid="{F180D62A-866C-4FE3-82BF-01E2F39AB36E}" name="Objectif3" dataDxfId="139"/>
    <tableColumn id="4" xr3:uid="{213C728B-BEA4-410A-8F33-DCA051CD5FD5}" name="Qté produite3" dataDxfId="138"/>
    <tableColumn id="5" xr3:uid="{81F0C789-5C90-4D3F-A8A8-5DBB36A2334F}" name="Écart3" dataDxfId="137">
      <calculatedColumnFormula>T6-U6</calculatedColumnFormula>
    </tableColumn>
    <tableColumn id="6" xr3:uid="{4A25E099-B3ED-4CEE-B0CF-1BC8A9873B3F}" name="TRS3" dataDxfId="136" dataCellStyle="Pou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B2D2CA-EE62-4387-AEB5-385029A19158}" name="Tableau10" displayName="Tableau10" ref="Z5:AE8" totalsRowShown="0" headerRowDxfId="135" dataDxfId="134">
  <autoFilter ref="Z5:AE8" xr:uid="{CDB2D2CA-EE62-4387-AEB5-385029A19158}"/>
  <tableColumns count="6">
    <tableColumn id="1" xr3:uid="{01D3F3C2-43FD-4D50-AB4C-E28EB81072E7}" name="Semaine" dataDxfId="133"/>
    <tableColumn id="2" xr3:uid="{A3635632-E66D-4D5B-8284-84E4C64256AF}" name="Réf4" dataDxfId="132"/>
    <tableColumn id="3" xr3:uid="{CB8503F3-814B-4471-B077-A174D34DDA63}" name="Objectif4" dataDxfId="131"/>
    <tableColumn id="4" xr3:uid="{FDF250D7-445C-4579-B628-473FBC880E31}" name="Qté produite4" dataDxfId="130"/>
    <tableColumn id="5" xr3:uid="{0390E7E2-8F85-485A-BBDB-99421DD5C1DB}" name="Écart4" dataDxfId="129">
      <calculatedColumnFormula>AB6-AC6</calculatedColumnFormula>
    </tableColumn>
    <tableColumn id="6" xr3:uid="{0EA2FFEC-8C59-4675-BA59-DCB1DB3DEB16}" name="TRS4" dataDxfId="128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Normal="100" workbookViewId="0">
      <selection activeCell="Q50" sqref="Q50"/>
    </sheetView>
  </sheetViews>
  <sheetFormatPr baseColWidth="10" defaultRowHeight="14.4" x14ac:dyDescent="0.3"/>
  <sheetData>
    <row r="34" spans="1:1" x14ac:dyDescent="0.3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H45" sqref="H45"/>
    </sheetView>
  </sheetViews>
  <sheetFormatPr baseColWidth="10" defaultRowHeight="14.4" x14ac:dyDescent="0.3"/>
  <cols>
    <col min="6" max="6" width="30.44140625" customWidth="1"/>
    <col min="7" max="7" width="11.44140625" customWidth="1"/>
  </cols>
  <sheetData>
    <row r="35" spans="2:8" x14ac:dyDescent="0.3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3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3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J41" sqref="J41"/>
    </sheetView>
  </sheetViews>
  <sheetFormatPr baseColWidth="10" defaultRowHeight="14.4" x14ac:dyDescent="0.3"/>
  <cols>
    <col min="6" max="6" width="30" customWidth="1"/>
  </cols>
  <sheetData>
    <row r="34" spans="2:8" x14ac:dyDescent="0.3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3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3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4.4" x14ac:dyDescent="0.3"/>
  <cols>
    <col min="1" max="30" width="4.6640625" customWidth="1"/>
  </cols>
  <sheetData>
    <row r="4" spans="1:30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3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3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3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3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3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3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3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3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3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3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3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3">
      <c r="AI32" s="10" t="s">
        <v>0</v>
      </c>
      <c r="AJ32" s="10" t="s">
        <v>11</v>
      </c>
      <c r="AK32" s="10" t="s">
        <v>101</v>
      </c>
    </row>
    <row r="33" spans="35:37" x14ac:dyDescent="0.3">
      <c r="AI33" s="10">
        <v>1</v>
      </c>
      <c r="AJ33" s="67">
        <v>1</v>
      </c>
      <c r="AK33">
        <v>17600</v>
      </c>
    </row>
    <row r="34" spans="35:37" x14ac:dyDescent="0.3">
      <c r="AI34" s="10">
        <v>1</v>
      </c>
      <c r="AJ34" s="67">
        <v>1</v>
      </c>
      <c r="AK34">
        <v>17600</v>
      </c>
    </row>
    <row r="35" spans="35:37" x14ac:dyDescent="0.3">
      <c r="AI35" s="10">
        <v>1</v>
      </c>
      <c r="AJ35" s="67">
        <v>1</v>
      </c>
      <c r="AK35">
        <v>17600</v>
      </c>
    </row>
    <row r="36" spans="35:37" x14ac:dyDescent="0.3">
      <c r="AI36" s="10">
        <v>1</v>
      </c>
      <c r="AJ36" s="67">
        <v>1</v>
      </c>
      <c r="AK36">
        <v>17600</v>
      </c>
    </row>
    <row r="37" spans="35:37" x14ac:dyDescent="0.3">
      <c r="AI37" s="10">
        <v>1</v>
      </c>
      <c r="AJ37" s="67">
        <v>1</v>
      </c>
      <c r="AK37">
        <v>17600</v>
      </c>
    </row>
    <row r="38" spans="35:37" x14ac:dyDescent="0.3">
      <c r="AI38" s="10">
        <v>1</v>
      </c>
      <c r="AJ38" s="67">
        <v>1</v>
      </c>
      <c r="AK38">
        <v>17600</v>
      </c>
    </row>
    <row r="39" spans="35:37" x14ac:dyDescent="0.3">
      <c r="AI39" s="10">
        <v>1</v>
      </c>
      <c r="AJ39" s="67">
        <v>1</v>
      </c>
      <c r="AK39">
        <v>17600</v>
      </c>
    </row>
    <row r="40" spans="35:37" x14ac:dyDescent="0.3">
      <c r="AI40" s="10">
        <v>1</v>
      </c>
      <c r="AJ40" s="67">
        <v>1</v>
      </c>
      <c r="AK40">
        <v>17600</v>
      </c>
    </row>
    <row r="41" spans="35:37" x14ac:dyDescent="0.3">
      <c r="AI41" s="10">
        <v>1</v>
      </c>
      <c r="AJ41" s="67">
        <v>1</v>
      </c>
      <c r="AK41">
        <v>17600</v>
      </c>
    </row>
    <row r="42" spans="35:37" x14ac:dyDescent="0.3">
      <c r="AI42" s="10">
        <v>1</v>
      </c>
      <c r="AJ42" s="67">
        <v>1</v>
      </c>
      <c r="AK42">
        <v>17600</v>
      </c>
    </row>
    <row r="43" spans="35:37" x14ac:dyDescent="0.3">
      <c r="AI43" s="10">
        <v>1</v>
      </c>
      <c r="AJ43" s="67">
        <v>1</v>
      </c>
      <c r="AK43">
        <v>17600</v>
      </c>
    </row>
    <row r="44" spans="35:37" x14ac:dyDescent="0.3">
      <c r="AI44" s="10">
        <v>1</v>
      </c>
      <c r="AJ44" s="67">
        <v>1</v>
      </c>
      <c r="AK44">
        <v>17600</v>
      </c>
    </row>
    <row r="45" spans="35:37" x14ac:dyDescent="0.3">
      <c r="AI45" s="10">
        <v>1</v>
      </c>
      <c r="AJ45" s="67">
        <v>1</v>
      </c>
      <c r="AK45">
        <v>17600</v>
      </c>
    </row>
    <row r="46" spans="35:37" x14ac:dyDescent="0.3">
      <c r="AI46" s="10">
        <v>1</v>
      </c>
      <c r="AJ46" s="67">
        <v>1</v>
      </c>
      <c r="AK46">
        <v>17600</v>
      </c>
    </row>
    <row r="47" spans="35:37" x14ac:dyDescent="0.3">
      <c r="AI47" s="10">
        <v>1</v>
      </c>
      <c r="AJ47" s="67">
        <v>1</v>
      </c>
      <c r="AK47">
        <v>17600</v>
      </c>
    </row>
    <row r="48" spans="35:37" x14ac:dyDescent="0.3">
      <c r="AI48" s="10">
        <v>1</v>
      </c>
      <c r="AJ48" s="67">
        <v>1</v>
      </c>
      <c r="AK48">
        <v>17600</v>
      </c>
    </row>
    <row r="49" spans="35:37" x14ac:dyDescent="0.3">
      <c r="AI49" s="10">
        <v>1</v>
      </c>
      <c r="AJ49" s="67">
        <v>1</v>
      </c>
      <c r="AK49">
        <v>17600</v>
      </c>
    </row>
    <row r="50" spans="35:37" x14ac:dyDescent="0.3">
      <c r="AI50" s="10">
        <v>1</v>
      </c>
      <c r="AJ50" s="67">
        <v>1</v>
      </c>
      <c r="AK50">
        <v>17600</v>
      </c>
    </row>
    <row r="51" spans="35:37" x14ac:dyDescent="0.3">
      <c r="AI51" s="10">
        <v>1</v>
      </c>
      <c r="AJ51" s="67">
        <v>1</v>
      </c>
      <c r="AK51">
        <v>17600</v>
      </c>
    </row>
    <row r="52" spans="35:37" x14ac:dyDescent="0.3">
      <c r="AI52" s="10">
        <v>1</v>
      </c>
      <c r="AJ52" s="67">
        <v>1</v>
      </c>
      <c r="AK52">
        <v>17600</v>
      </c>
    </row>
    <row r="53" spans="35:37" x14ac:dyDescent="0.3">
      <c r="AI53" s="10">
        <v>1</v>
      </c>
      <c r="AJ53" s="67">
        <v>1</v>
      </c>
      <c r="AK53">
        <v>17600</v>
      </c>
    </row>
    <row r="54" spans="35:37" x14ac:dyDescent="0.3">
      <c r="AI54" s="10">
        <v>1</v>
      </c>
      <c r="AJ54" s="67">
        <v>1</v>
      </c>
      <c r="AK54">
        <v>17600</v>
      </c>
    </row>
    <row r="55" spans="35:37" x14ac:dyDescent="0.3">
      <c r="AI55" s="10">
        <v>1</v>
      </c>
      <c r="AJ55" s="67">
        <v>1</v>
      </c>
      <c r="AK55">
        <v>17600</v>
      </c>
    </row>
    <row r="56" spans="35:37" x14ac:dyDescent="0.3">
      <c r="AI56" s="10">
        <v>1</v>
      </c>
      <c r="AJ56" s="67">
        <v>1</v>
      </c>
      <c r="AK56">
        <v>17600</v>
      </c>
    </row>
    <row r="57" spans="35:37" x14ac:dyDescent="0.3">
      <c r="AI57" s="10">
        <v>1</v>
      </c>
      <c r="AJ57" s="67">
        <v>1</v>
      </c>
      <c r="AK57">
        <v>17600</v>
      </c>
    </row>
    <row r="58" spans="35:37" x14ac:dyDescent="0.3">
      <c r="AI58" s="10">
        <v>1</v>
      </c>
      <c r="AJ58" s="67">
        <v>1</v>
      </c>
      <c r="AK58">
        <v>17600</v>
      </c>
    </row>
    <row r="59" spans="35:37" x14ac:dyDescent="0.3">
      <c r="AI59" s="10">
        <v>1</v>
      </c>
      <c r="AJ59" s="67">
        <v>1</v>
      </c>
      <c r="AK59">
        <v>17600</v>
      </c>
    </row>
    <row r="60" spans="35:37" x14ac:dyDescent="0.3">
      <c r="AI60" s="10">
        <v>1</v>
      </c>
      <c r="AJ60" s="67">
        <v>1</v>
      </c>
      <c r="AK60">
        <v>17600</v>
      </c>
    </row>
    <row r="61" spans="35:37" x14ac:dyDescent="0.3">
      <c r="AI61" s="10">
        <v>1</v>
      </c>
      <c r="AJ61" s="67">
        <v>1</v>
      </c>
      <c r="AK61">
        <v>17600</v>
      </c>
    </row>
    <row r="62" spans="35:37" x14ac:dyDescent="0.3">
      <c r="AI62" s="10">
        <v>1</v>
      </c>
      <c r="AJ62" s="67">
        <v>1</v>
      </c>
      <c r="AK62">
        <v>17600</v>
      </c>
    </row>
    <row r="63" spans="35:37" x14ac:dyDescent="0.3">
      <c r="AI63" s="10"/>
      <c r="AJ63" s="79"/>
      <c r="AK63" s="10"/>
    </row>
    <row r="64" spans="35:37" x14ac:dyDescent="0.3">
      <c r="AI64" s="10"/>
      <c r="AJ64" s="79"/>
      <c r="AK64" s="10"/>
    </row>
    <row r="65" spans="35:37" x14ac:dyDescent="0.3">
      <c r="AI65" s="10"/>
      <c r="AJ65" s="79"/>
      <c r="AK65" s="10"/>
    </row>
    <row r="66" spans="35:37" x14ac:dyDescent="0.3">
      <c r="AI66" s="10"/>
      <c r="AJ66" s="79"/>
      <c r="AK66" s="10"/>
    </row>
    <row r="67" spans="35:37" x14ac:dyDescent="0.3">
      <c r="AI67" s="10"/>
      <c r="AJ67" s="79"/>
      <c r="AK67" s="10"/>
    </row>
    <row r="68" spans="35:37" x14ac:dyDescent="0.3">
      <c r="AI68" s="10"/>
      <c r="AJ68" s="79"/>
      <c r="AK68" s="10"/>
    </row>
    <row r="69" spans="35:37" x14ac:dyDescent="0.3">
      <c r="AI69" s="10"/>
      <c r="AJ69" s="79"/>
      <c r="AK69" s="10"/>
    </row>
    <row r="70" spans="35:37" x14ac:dyDescent="0.3">
      <c r="AI70" s="10"/>
      <c r="AJ70" s="79"/>
      <c r="AK70" s="10"/>
    </row>
    <row r="71" spans="35:37" x14ac:dyDescent="0.3">
      <c r="AI71" s="10"/>
      <c r="AJ71" s="79"/>
      <c r="AK71" s="10"/>
    </row>
    <row r="72" spans="35:37" x14ac:dyDescent="0.3">
      <c r="AI72" s="10"/>
      <c r="AJ72" s="79"/>
      <c r="AK72" s="10"/>
    </row>
    <row r="73" spans="35:37" x14ac:dyDescent="0.3">
      <c r="AI73" s="10"/>
      <c r="AJ73" s="79"/>
      <c r="AK73" s="10"/>
    </row>
    <row r="74" spans="35:37" x14ac:dyDescent="0.3">
      <c r="AI74" s="10"/>
      <c r="AJ74" s="79"/>
      <c r="AK74" s="10"/>
    </row>
    <row r="75" spans="35:37" x14ac:dyDescent="0.3">
      <c r="AI75" s="10"/>
      <c r="AJ75" s="79"/>
      <c r="AK75" s="10"/>
    </row>
    <row r="76" spans="35:37" x14ac:dyDescent="0.3">
      <c r="AI76" s="10"/>
      <c r="AJ76" s="79"/>
      <c r="AK76" s="10"/>
    </row>
    <row r="77" spans="35:37" x14ac:dyDescent="0.3">
      <c r="AI77" s="10"/>
      <c r="AJ77" s="79"/>
      <c r="AK77" s="10"/>
    </row>
    <row r="78" spans="35:37" x14ac:dyDescent="0.3">
      <c r="AI78" s="10"/>
      <c r="AJ78" s="79"/>
      <c r="AK78" s="10"/>
    </row>
    <row r="79" spans="35:37" x14ac:dyDescent="0.3">
      <c r="AI79" s="10"/>
      <c r="AJ79" s="79"/>
      <c r="AK79" s="10"/>
    </row>
    <row r="80" spans="35:37" x14ac:dyDescent="0.3">
      <c r="AI80" s="10"/>
      <c r="AJ80" s="79"/>
      <c r="AK80" s="10"/>
    </row>
    <row r="81" spans="35:37" x14ac:dyDescent="0.3">
      <c r="AI81" s="10"/>
      <c r="AJ81" s="79"/>
      <c r="AK81" s="10"/>
    </row>
    <row r="82" spans="35:37" x14ac:dyDescent="0.3">
      <c r="AI82" s="10"/>
      <c r="AJ82" s="79"/>
      <c r="AK82" s="10"/>
    </row>
    <row r="83" spans="35:37" x14ac:dyDescent="0.3">
      <c r="AI83" s="10"/>
      <c r="AJ83" s="79"/>
      <c r="AK83" s="10"/>
    </row>
    <row r="84" spans="35:37" x14ac:dyDescent="0.3">
      <c r="AI84" s="10"/>
      <c r="AJ84" s="79"/>
      <c r="AK84" s="10"/>
    </row>
    <row r="85" spans="35:37" x14ac:dyDescent="0.3">
      <c r="AI85" s="10"/>
      <c r="AJ85" s="79"/>
      <c r="AK85" s="10"/>
    </row>
    <row r="86" spans="35:37" x14ac:dyDescent="0.3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4.4" x14ac:dyDescent="0.3"/>
  <cols>
    <col min="2" max="2" width="19.6640625" customWidth="1"/>
    <col min="3" max="3" width="16.44140625" customWidth="1"/>
    <col min="4" max="4" width="18.77734375" customWidth="1"/>
    <col min="7" max="7" width="20.33203125" customWidth="1"/>
  </cols>
  <sheetData>
    <row r="5" spans="2:9" x14ac:dyDescent="0.3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3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3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3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3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3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3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3">
      <c r="B13" s="12" t="s">
        <v>105</v>
      </c>
      <c r="C13" s="6">
        <f>SOMME(C6:C12)</f>
        <v>1536</v>
      </c>
    </row>
    <row r="15" spans="2:9" x14ac:dyDescent="0.3">
      <c r="B15" s="12" t="s">
        <v>17</v>
      </c>
      <c r="C15" s="11">
        <v>560</v>
      </c>
    </row>
    <row r="16" spans="2:9" x14ac:dyDescent="0.3">
      <c r="B16" s="12" t="s">
        <v>93</v>
      </c>
      <c r="C16" s="11">
        <v>420</v>
      </c>
    </row>
    <row r="17" spans="2:3" x14ac:dyDescent="0.3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50" zoomScaleNormal="50" workbookViewId="0">
      <selection activeCell="H6" sqref="H6"/>
    </sheetView>
  </sheetViews>
  <sheetFormatPr baseColWidth="10" defaultRowHeight="14.4" x14ac:dyDescent="0.3"/>
  <cols>
    <col min="2" max="2" width="22.44140625" customWidth="1"/>
    <col min="7" max="7" width="25.44140625" customWidth="1"/>
  </cols>
  <sheetData>
    <row r="5" spans="2:9" x14ac:dyDescent="0.3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3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3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3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3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3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3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3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3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3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3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3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3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3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3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3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3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3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3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3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3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3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3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48"/>
  <sheetViews>
    <sheetView showGridLines="0" showRowColHeaders="0" workbookViewId="0">
      <pane ySplit="12" topLeftCell="A322" activePane="bottomLeft" state="frozen"/>
      <selection pane="bottomLeft" activeCell="G338" activeCellId="3" sqref="G325 G326 G337 G338"/>
    </sheetView>
  </sheetViews>
  <sheetFormatPr baseColWidth="10" defaultRowHeight="14.4" x14ac:dyDescent="0.3"/>
  <cols>
    <col min="2" max="2" width="13.77734375" customWidth="1"/>
    <col min="4" max="4" width="16.109375" customWidth="1"/>
    <col min="8" max="8" width="13.77734375" customWidth="1"/>
    <col min="9" max="9" width="13.109375" customWidth="1"/>
    <col min="10" max="10" width="12.77734375" customWidth="1"/>
    <col min="11" max="11" width="15.77734375" customWidth="1"/>
    <col min="12" max="12" width="13.33203125" customWidth="1"/>
    <col min="13" max="13" width="14.44140625" customWidth="1"/>
    <col min="14" max="14" width="27.44140625" customWidth="1"/>
  </cols>
  <sheetData>
    <row r="3" spans="2:19" x14ac:dyDescent="0.3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3">
      <c r="E4" s="18" t="s">
        <v>27</v>
      </c>
      <c r="F4" s="19">
        <f>C7</f>
        <v>720</v>
      </c>
      <c r="H4" s="14" t="s">
        <v>30</v>
      </c>
      <c r="I4" s="19">
        <f>C10/F5</f>
        <v>48085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100">
        <f>I10</f>
        <v>0.79129774305555556</v>
      </c>
      <c r="O4" s="55"/>
      <c r="P4" s="23"/>
      <c r="Q4" s="24" t="s">
        <v>32</v>
      </c>
      <c r="R4" s="25" t="s">
        <v>33</v>
      </c>
    </row>
    <row r="5" spans="2:19" x14ac:dyDescent="0.3">
      <c r="E5" s="18" t="s">
        <v>28</v>
      </c>
      <c r="F5" s="19">
        <f>F4/3600</f>
        <v>0.2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101"/>
      <c r="O5" s="20" t="s">
        <v>35</v>
      </c>
      <c r="P5" s="20"/>
      <c r="Q5" s="20">
        <f>L10-L4</f>
        <v>3840</v>
      </c>
      <c r="R5" s="26">
        <f>Q5*60</f>
        <v>230400</v>
      </c>
    </row>
    <row r="6" spans="2:19" x14ac:dyDescent="0.3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101"/>
      <c r="O6" s="20" t="s">
        <v>36</v>
      </c>
      <c r="P6" s="20"/>
      <c r="Q6" s="20">
        <f>L10-L5</f>
        <v>3840</v>
      </c>
      <c r="R6" s="27">
        <f>Q6*60</f>
        <v>230400</v>
      </c>
    </row>
    <row r="7" spans="2:19" x14ac:dyDescent="0.3">
      <c r="B7" s="14" t="s">
        <v>25</v>
      </c>
      <c r="C7" s="15">
        <v>720</v>
      </c>
      <c r="D7" s="16">
        <f>C7*K10</f>
        <v>46080</v>
      </c>
      <c r="E7" s="94" t="s">
        <v>44</v>
      </c>
      <c r="F7" s="95"/>
      <c r="H7" s="48" t="s">
        <v>45</v>
      </c>
      <c r="I7" s="49">
        <f>Q6/Q5</f>
        <v>1</v>
      </c>
      <c r="J7" s="37" t="s">
        <v>43</v>
      </c>
      <c r="K7" s="34">
        <f>L7/60</f>
        <v>13.356944444444444</v>
      </c>
      <c r="L7" s="34">
        <f>M7/60</f>
        <v>801.41666666666663</v>
      </c>
      <c r="M7" s="34">
        <f>I4</f>
        <v>48085</v>
      </c>
      <c r="N7" s="101"/>
      <c r="O7" s="20" t="s">
        <v>37</v>
      </c>
      <c r="P7" s="20"/>
      <c r="Q7" s="20">
        <f>Q6-L6</f>
        <v>3840</v>
      </c>
      <c r="R7" s="28">
        <f>Q7*60</f>
        <v>230400</v>
      </c>
    </row>
    <row r="8" spans="2:19" x14ac:dyDescent="0.3">
      <c r="B8" s="14" t="s">
        <v>26</v>
      </c>
      <c r="C8" s="17">
        <v>720</v>
      </c>
      <c r="D8" s="16">
        <f>C8*K10</f>
        <v>46080</v>
      </c>
      <c r="E8" s="96">
        <f>I10</f>
        <v>0.79129774305555556</v>
      </c>
      <c r="F8" s="97"/>
      <c r="H8" s="50" t="s">
        <v>46</v>
      </c>
      <c r="I8" s="51">
        <f>Q7/Q6</f>
        <v>1</v>
      </c>
      <c r="N8" s="101"/>
      <c r="O8" s="20" t="s">
        <v>38</v>
      </c>
      <c r="P8" s="20"/>
      <c r="Q8" s="20">
        <f>Q7-L7</f>
        <v>3038.5833333333335</v>
      </c>
      <c r="R8" s="29">
        <f>Q8*60</f>
        <v>182315</v>
      </c>
    </row>
    <row r="9" spans="2:19" x14ac:dyDescent="0.3">
      <c r="B9" t="s">
        <v>51</v>
      </c>
      <c r="C9">
        <f>D7-D8</f>
        <v>0</v>
      </c>
      <c r="E9" s="96"/>
      <c r="F9" s="97"/>
      <c r="H9" s="50" t="s">
        <v>47</v>
      </c>
      <c r="I9" s="51">
        <f>Q8/Q7</f>
        <v>0.79129774305555556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101"/>
      <c r="R9" s="30"/>
    </row>
    <row r="10" spans="2:19" x14ac:dyDescent="0.3">
      <c r="B10" s="20" t="s">
        <v>29</v>
      </c>
      <c r="C10" s="21">
        <v>9617</v>
      </c>
      <c r="E10" s="98"/>
      <c r="F10" s="99"/>
      <c r="H10" s="52" t="s">
        <v>44</v>
      </c>
      <c r="I10" s="53">
        <f>I7*I8*I9</f>
        <v>0.79129774305555556</v>
      </c>
      <c r="J10" s="43" t="s">
        <v>49</v>
      </c>
      <c r="K10" s="17">
        <v>64</v>
      </c>
      <c r="L10" s="19">
        <f>K10*60</f>
        <v>3840</v>
      </c>
      <c r="M10" s="54">
        <f>L10*60</f>
        <v>230400</v>
      </c>
      <c r="N10" s="102"/>
      <c r="O10" s="56" t="s">
        <v>34</v>
      </c>
      <c r="P10" s="22"/>
      <c r="Q10" s="31"/>
      <c r="R10" s="32">
        <f>R8/R5</f>
        <v>0.79129774305555556</v>
      </c>
    </row>
    <row r="11" spans="2:19" x14ac:dyDescent="0.3">
      <c r="H11" s="38"/>
      <c r="I11" s="39"/>
      <c r="N11" s="45"/>
      <c r="P11" s="38"/>
      <c r="Q11" s="40"/>
      <c r="R11" s="41"/>
      <c r="S11" s="41"/>
    </row>
    <row r="12" spans="2:19" x14ac:dyDescent="0.3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3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3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3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3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3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3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3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3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3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3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3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3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3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3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3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3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3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3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3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3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3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3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3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3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3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3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3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3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3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3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3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3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3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3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3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3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3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3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3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3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3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3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3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3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3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3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3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3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3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3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3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3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3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3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3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3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3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3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3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3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3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3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3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3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3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3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3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3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3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3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3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3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3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3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3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3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3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3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3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3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3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3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3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3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3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3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3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3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3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3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3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3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3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3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3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3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3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3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3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3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3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3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3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3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3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3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3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3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3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3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3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3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3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3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3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3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3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3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3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3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3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3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3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3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3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3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3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3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3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3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3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3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3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3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3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3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3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3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3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3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3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3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3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100</v>
      </c>
      <c r="M155" s="5">
        <v>0.32</v>
      </c>
      <c r="N155" s="10" t="s">
        <v>82</v>
      </c>
    </row>
    <row r="156" spans="2:14" x14ac:dyDescent="0.3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3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3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3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3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3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3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3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3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3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3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3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3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3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3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3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3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3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3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3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3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3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3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3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3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3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3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3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3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3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3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3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3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3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3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3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3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3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3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3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3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3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3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3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3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3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3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3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3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3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3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3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3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3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3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3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3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3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3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3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3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3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3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3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3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3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3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3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3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3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3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3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3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3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3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3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3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3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3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3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3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3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3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3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3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3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3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3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3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3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3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3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3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3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3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3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3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3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3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3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3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3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3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3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3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3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3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3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3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3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3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3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3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3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3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3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3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3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3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3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3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3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3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3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3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3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3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3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3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3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3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3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3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3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3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3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3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3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3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3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3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3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3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3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3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3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3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3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3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3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3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3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3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3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3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3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3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  <row r="313" spans="2:14" x14ac:dyDescent="0.3">
      <c r="B313" s="66">
        <v>45734</v>
      </c>
      <c r="C313" s="10" t="s">
        <v>3</v>
      </c>
      <c r="D313" s="2" t="s">
        <v>4</v>
      </c>
      <c r="E313" s="10" t="s">
        <v>79</v>
      </c>
      <c r="F313" s="3">
        <v>808</v>
      </c>
      <c r="G313" s="9">
        <v>0</v>
      </c>
      <c r="H313" s="8">
        <f t="shared" ref="H313:H324" si="36">F313*8</f>
        <v>6464</v>
      </c>
      <c r="I313" s="8">
        <f t="shared" ref="I313:I324" si="37">H313-G313</f>
        <v>6464</v>
      </c>
      <c r="J313" s="6">
        <v>0</v>
      </c>
      <c r="K313" s="7">
        <v>0</v>
      </c>
      <c r="L313" s="7">
        <v>0</v>
      </c>
      <c r="M313" s="5">
        <v>0</v>
      </c>
      <c r="N313" s="3"/>
    </row>
    <row r="314" spans="2:14" x14ac:dyDescent="0.3">
      <c r="B314" s="66">
        <v>45734</v>
      </c>
      <c r="C314" s="10" t="s">
        <v>7</v>
      </c>
      <c r="D314" s="2" t="s">
        <v>4</v>
      </c>
      <c r="E314" s="10" t="s">
        <v>79</v>
      </c>
      <c r="F314" s="3">
        <v>808</v>
      </c>
      <c r="G314" s="9">
        <v>0</v>
      </c>
      <c r="H314" s="8">
        <f t="shared" si="36"/>
        <v>6464</v>
      </c>
      <c r="I314" s="8">
        <f t="shared" si="37"/>
        <v>6464</v>
      </c>
      <c r="J314" s="6">
        <v>0</v>
      </c>
      <c r="K314" s="7">
        <v>0</v>
      </c>
      <c r="L314" s="7">
        <v>0</v>
      </c>
      <c r="M314" s="5">
        <v>0</v>
      </c>
      <c r="N314" s="3"/>
    </row>
    <row r="315" spans="2:14" x14ac:dyDescent="0.3">
      <c r="B315" s="66">
        <v>45734</v>
      </c>
      <c r="C315" s="10" t="s">
        <v>8</v>
      </c>
      <c r="D315" s="2" t="s">
        <v>4</v>
      </c>
      <c r="E315" s="10" t="s">
        <v>79</v>
      </c>
      <c r="F315" s="3">
        <v>808</v>
      </c>
      <c r="G315" s="9">
        <v>0</v>
      </c>
      <c r="H315" s="8">
        <f t="shared" si="36"/>
        <v>6464</v>
      </c>
      <c r="I315" s="8">
        <f t="shared" si="37"/>
        <v>6464</v>
      </c>
      <c r="J315" s="6">
        <v>0</v>
      </c>
      <c r="K315" s="7">
        <v>0</v>
      </c>
      <c r="L315" s="7">
        <v>0</v>
      </c>
      <c r="M315" s="5">
        <v>0</v>
      </c>
      <c r="N315" s="3"/>
    </row>
    <row r="316" spans="2:14" x14ac:dyDescent="0.3">
      <c r="B316" s="66">
        <v>45734</v>
      </c>
      <c r="C316" s="10" t="s">
        <v>3</v>
      </c>
      <c r="D316" s="2" t="s">
        <v>12</v>
      </c>
      <c r="E316" s="10" t="s">
        <v>13</v>
      </c>
      <c r="F316" s="3">
        <v>1100</v>
      </c>
      <c r="G316" s="9">
        <v>5810</v>
      </c>
      <c r="H316" s="8">
        <f t="shared" si="36"/>
        <v>8800</v>
      </c>
      <c r="I316" s="8">
        <f t="shared" si="37"/>
        <v>2990</v>
      </c>
      <c r="J316" s="6">
        <v>163</v>
      </c>
      <c r="K316" s="7">
        <v>0</v>
      </c>
      <c r="L316" s="7">
        <v>0</v>
      </c>
      <c r="M316" s="5">
        <v>0.66</v>
      </c>
      <c r="N316" s="3"/>
    </row>
    <row r="317" spans="2:14" x14ac:dyDescent="0.3">
      <c r="B317" s="66">
        <v>45734</v>
      </c>
      <c r="C317" s="10" t="s">
        <v>7</v>
      </c>
      <c r="D317" s="2" t="s">
        <v>12</v>
      </c>
      <c r="E317" s="10" t="s">
        <v>13</v>
      </c>
      <c r="F317" s="3">
        <v>1100</v>
      </c>
      <c r="G317" s="9">
        <v>5810</v>
      </c>
      <c r="H317" s="8">
        <f t="shared" si="36"/>
        <v>8800</v>
      </c>
      <c r="I317" s="8">
        <f t="shared" si="37"/>
        <v>2990</v>
      </c>
      <c r="J317" s="6">
        <v>163</v>
      </c>
      <c r="K317" s="7">
        <v>0</v>
      </c>
      <c r="L317" s="7">
        <v>0</v>
      </c>
      <c r="M317" s="5">
        <v>0.66</v>
      </c>
      <c r="N317" s="3"/>
    </row>
    <row r="318" spans="2:14" x14ac:dyDescent="0.3">
      <c r="B318" s="66">
        <v>45734</v>
      </c>
      <c r="C318" s="10" t="s">
        <v>8</v>
      </c>
      <c r="D318" s="2" t="s">
        <v>12</v>
      </c>
      <c r="E318" s="10" t="s">
        <v>13</v>
      </c>
      <c r="F318" s="3">
        <v>1100</v>
      </c>
      <c r="G318" s="9">
        <v>7700</v>
      </c>
      <c r="H318" s="8">
        <f t="shared" si="36"/>
        <v>8800</v>
      </c>
      <c r="I318" s="8">
        <f t="shared" si="37"/>
        <v>1100</v>
      </c>
      <c r="J318" s="6">
        <v>60</v>
      </c>
      <c r="K318" s="7">
        <v>0</v>
      </c>
      <c r="L318" s="7">
        <v>0</v>
      </c>
      <c r="M318" s="5">
        <v>0.88</v>
      </c>
      <c r="N318" s="3"/>
    </row>
    <row r="319" spans="2:14" x14ac:dyDescent="0.3">
      <c r="B319" s="66">
        <v>45734</v>
      </c>
      <c r="C319" s="10" t="s">
        <v>3</v>
      </c>
      <c r="D319" s="2" t="s">
        <v>14</v>
      </c>
      <c r="E319" s="10" t="s">
        <v>78</v>
      </c>
      <c r="F319" s="3">
        <v>720</v>
      </c>
      <c r="G319" s="9">
        <v>4485</v>
      </c>
      <c r="H319" s="8">
        <f t="shared" si="36"/>
        <v>5760</v>
      </c>
      <c r="I319" s="8">
        <f t="shared" si="37"/>
        <v>1275</v>
      </c>
      <c r="J319" s="6">
        <v>106</v>
      </c>
      <c r="K319" s="7">
        <v>0</v>
      </c>
      <c r="L319" s="7">
        <v>0</v>
      </c>
      <c r="M319" s="5">
        <v>0.78</v>
      </c>
      <c r="N319" s="3"/>
    </row>
    <row r="320" spans="2:14" x14ac:dyDescent="0.3">
      <c r="B320" s="66">
        <v>45734</v>
      </c>
      <c r="C320" s="10" t="s">
        <v>7</v>
      </c>
      <c r="D320" s="2" t="s">
        <v>14</v>
      </c>
      <c r="E320" s="10" t="s">
        <v>78</v>
      </c>
      <c r="F320" s="3">
        <v>720</v>
      </c>
      <c r="G320" s="9">
        <v>4485</v>
      </c>
      <c r="H320" s="8">
        <f t="shared" si="36"/>
        <v>5760</v>
      </c>
      <c r="I320" s="8">
        <f t="shared" si="37"/>
        <v>1275</v>
      </c>
      <c r="J320" s="6">
        <v>106</v>
      </c>
      <c r="K320" s="7">
        <v>0</v>
      </c>
      <c r="L320" s="7">
        <v>0</v>
      </c>
      <c r="M320" s="5">
        <v>0.78</v>
      </c>
      <c r="N320" s="3"/>
    </row>
    <row r="321" spans="2:14" x14ac:dyDescent="0.3">
      <c r="B321" s="66">
        <v>45734</v>
      </c>
      <c r="C321" s="10" t="s">
        <v>8</v>
      </c>
      <c r="D321" s="2" t="s">
        <v>14</v>
      </c>
      <c r="E321" s="10" t="s">
        <v>78</v>
      </c>
      <c r="F321" s="3">
        <v>720</v>
      </c>
      <c r="G321" s="9">
        <v>3800</v>
      </c>
      <c r="H321" s="8">
        <f t="shared" si="36"/>
        <v>5760</v>
      </c>
      <c r="I321" s="8">
        <f t="shared" si="37"/>
        <v>1960</v>
      </c>
      <c r="J321" s="6">
        <v>163</v>
      </c>
      <c r="K321" s="7">
        <v>0</v>
      </c>
      <c r="L321" s="7">
        <v>0</v>
      </c>
      <c r="M321" s="5">
        <v>0.66</v>
      </c>
      <c r="N321" s="3"/>
    </row>
    <row r="322" spans="2:14" x14ac:dyDescent="0.3">
      <c r="B322" s="66">
        <v>45734</v>
      </c>
      <c r="C322" s="10" t="s">
        <v>3</v>
      </c>
      <c r="D322" s="2" t="s">
        <v>15</v>
      </c>
      <c r="E322" s="10" t="s">
        <v>13</v>
      </c>
      <c r="F322" s="3">
        <v>1100</v>
      </c>
      <c r="G322" s="9">
        <v>7340</v>
      </c>
      <c r="H322" s="8">
        <f t="shared" si="36"/>
        <v>8800</v>
      </c>
      <c r="I322" s="8">
        <f t="shared" si="37"/>
        <v>1460</v>
      </c>
      <c r="J322" s="6">
        <v>79</v>
      </c>
      <c r="K322" s="7">
        <v>0</v>
      </c>
      <c r="L322" s="7">
        <v>0</v>
      </c>
      <c r="M322" s="5">
        <v>0.83</v>
      </c>
      <c r="N322" s="3"/>
    </row>
    <row r="323" spans="2:14" x14ac:dyDescent="0.3">
      <c r="B323" s="66">
        <v>45734</v>
      </c>
      <c r="C323" s="10" t="s">
        <v>7</v>
      </c>
      <c r="D323" s="2" t="s">
        <v>15</v>
      </c>
      <c r="E323" s="10" t="s">
        <v>13</v>
      </c>
      <c r="F323" s="3">
        <v>1100</v>
      </c>
      <c r="G323" s="9">
        <v>7340</v>
      </c>
      <c r="H323" s="8">
        <f t="shared" si="36"/>
        <v>8800</v>
      </c>
      <c r="I323" s="8">
        <f t="shared" si="37"/>
        <v>1460</v>
      </c>
      <c r="J323" s="6">
        <v>79</v>
      </c>
      <c r="K323" s="7">
        <v>0</v>
      </c>
      <c r="L323" s="7">
        <v>0</v>
      </c>
      <c r="M323" s="5">
        <v>0.83</v>
      </c>
      <c r="N323" s="3"/>
    </row>
    <row r="324" spans="2:14" x14ac:dyDescent="0.3">
      <c r="B324" s="66">
        <v>45734</v>
      </c>
      <c r="C324" s="10" t="s">
        <v>8</v>
      </c>
      <c r="D324" s="2" t="s">
        <v>15</v>
      </c>
      <c r="E324" s="10" t="s">
        <v>13</v>
      </c>
      <c r="F324" s="3">
        <v>1100</v>
      </c>
      <c r="G324" s="9">
        <v>7100</v>
      </c>
      <c r="H324" s="8">
        <f t="shared" si="36"/>
        <v>8800</v>
      </c>
      <c r="I324" s="8">
        <f t="shared" si="37"/>
        <v>1700</v>
      </c>
      <c r="J324" s="6">
        <v>93</v>
      </c>
      <c r="K324" s="7">
        <v>0</v>
      </c>
      <c r="L324" s="7">
        <v>0</v>
      </c>
      <c r="M324" s="5">
        <v>0.81</v>
      </c>
      <c r="N324" s="3"/>
    </row>
    <row r="325" spans="2:14" x14ac:dyDescent="0.3">
      <c r="B325" s="66">
        <v>45735</v>
      </c>
      <c r="C325" s="10" t="s">
        <v>3</v>
      </c>
      <c r="D325" s="2" t="s">
        <v>4</v>
      </c>
      <c r="E325" s="10">
        <v>80014027</v>
      </c>
      <c r="F325" s="3">
        <v>462</v>
      </c>
      <c r="G325" s="9">
        <v>0</v>
      </c>
      <c r="H325" s="8">
        <f t="shared" ref="H325:H336" si="38">F325*8</f>
        <v>3696</v>
      </c>
      <c r="I325" s="8">
        <f t="shared" ref="I325:I336" si="39">H325-G325</f>
        <v>3696</v>
      </c>
      <c r="J325" s="6">
        <v>0</v>
      </c>
      <c r="K325" s="7">
        <v>0</v>
      </c>
      <c r="L325" s="7">
        <v>0</v>
      </c>
      <c r="M325" s="5">
        <v>0</v>
      </c>
      <c r="N325" s="3"/>
    </row>
    <row r="326" spans="2:14" x14ac:dyDescent="0.3">
      <c r="B326" s="66">
        <v>45735</v>
      </c>
      <c r="C326" s="10" t="s">
        <v>7</v>
      </c>
      <c r="D326" s="2" t="s">
        <v>4</v>
      </c>
      <c r="E326" s="10">
        <v>80014027</v>
      </c>
      <c r="F326" s="3">
        <v>462</v>
      </c>
      <c r="G326" s="9">
        <v>2314</v>
      </c>
      <c r="H326" s="8">
        <f t="shared" si="38"/>
        <v>3696</v>
      </c>
      <c r="I326" s="8">
        <f t="shared" si="39"/>
        <v>1382</v>
      </c>
      <c r="J326" s="6">
        <v>179</v>
      </c>
      <c r="K326" s="7">
        <v>1</v>
      </c>
      <c r="L326" s="7">
        <v>40</v>
      </c>
      <c r="M326" s="5">
        <v>0.63</v>
      </c>
      <c r="N326" s="3"/>
    </row>
    <row r="327" spans="2:14" x14ac:dyDescent="0.3">
      <c r="B327" s="66">
        <v>45735</v>
      </c>
      <c r="C327" s="10" t="s">
        <v>8</v>
      </c>
      <c r="D327" s="2" t="s">
        <v>4</v>
      </c>
      <c r="E327" s="10">
        <v>80014027</v>
      </c>
      <c r="F327" s="3">
        <v>462</v>
      </c>
      <c r="G327" s="9">
        <v>3696</v>
      </c>
      <c r="H327" s="8">
        <f t="shared" si="38"/>
        <v>3696</v>
      </c>
      <c r="I327" s="8">
        <f t="shared" si="39"/>
        <v>0</v>
      </c>
      <c r="J327" s="6">
        <v>0</v>
      </c>
      <c r="K327" s="7">
        <v>0</v>
      </c>
      <c r="L327" s="7">
        <v>0</v>
      </c>
      <c r="M327" s="5">
        <v>1</v>
      </c>
      <c r="N327" s="3"/>
    </row>
    <row r="328" spans="2:14" x14ac:dyDescent="0.3">
      <c r="B328" s="66">
        <v>45735</v>
      </c>
      <c r="C328" s="10" t="s">
        <v>3</v>
      </c>
      <c r="D328" s="2" t="s">
        <v>12</v>
      </c>
      <c r="E328" s="10" t="s">
        <v>13</v>
      </c>
      <c r="F328" s="3">
        <v>1100</v>
      </c>
      <c r="G328" s="9">
        <v>6118</v>
      </c>
      <c r="H328" s="8">
        <f t="shared" si="38"/>
        <v>8800</v>
      </c>
      <c r="I328" s="8">
        <f t="shared" si="39"/>
        <v>2682</v>
      </c>
      <c r="J328" s="6">
        <v>146</v>
      </c>
      <c r="K328" s="7">
        <v>0</v>
      </c>
      <c r="L328" s="7">
        <v>0</v>
      </c>
      <c r="M328" s="5">
        <v>0.7</v>
      </c>
      <c r="N328" s="3"/>
    </row>
    <row r="329" spans="2:14" x14ac:dyDescent="0.3">
      <c r="B329" s="66">
        <v>45735</v>
      </c>
      <c r="C329" s="10" t="s">
        <v>7</v>
      </c>
      <c r="D329" s="2" t="s">
        <v>12</v>
      </c>
      <c r="E329" s="10" t="s">
        <v>13</v>
      </c>
      <c r="F329" s="3">
        <v>1100</v>
      </c>
      <c r="G329" s="9">
        <v>6117</v>
      </c>
      <c r="H329" s="8">
        <f t="shared" si="38"/>
        <v>8800</v>
      </c>
      <c r="I329" s="8">
        <f t="shared" si="39"/>
        <v>2683</v>
      </c>
      <c r="J329" s="6">
        <v>146</v>
      </c>
      <c r="K329" s="7">
        <v>0</v>
      </c>
      <c r="L329" s="7">
        <v>0</v>
      </c>
      <c r="M329" s="5">
        <v>0.7</v>
      </c>
      <c r="N329" s="3"/>
    </row>
    <row r="330" spans="2:14" x14ac:dyDescent="0.3">
      <c r="B330" s="66">
        <v>45735</v>
      </c>
      <c r="C330" s="10" t="s">
        <v>8</v>
      </c>
      <c r="D330" s="2" t="s">
        <v>12</v>
      </c>
      <c r="E330" s="10" t="s">
        <v>13</v>
      </c>
      <c r="F330" s="3">
        <v>1100</v>
      </c>
      <c r="G330" s="9">
        <v>5200</v>
      </c>
      <c r="H330" s="8">
        <f t="shared" si="38"/>
        <v>8800</v>
      </c>
      <c r="I330" s="8">
        <f t="shared" si="39"/>
        <v>3600</v>
      </c>
      <c r="J330" s="6">
        <v>0</v>
      </c>
      <c r="K330" s="7">
        <v>1</v>
      </c>
      <c r="L330" s="7">
        <v>120</v>
      </c>
      <c r="M330" s="5">
        <v>0.59</v>
      </c>
      <c r="N330" s="3"/>
    </row>
    <row r="331" spans="2:14" x14ac:dyDescent="0.3">
      <c r="B331" s="66">
        <v>45735</v>
      </c>
      <c r="C331" s="10" t="s">
        <v>3</v>
      </c>
      <c r="D331" s="2" t="s">
        <v>14</v>
      </c>
      <c r="E331" s="10" t="s">
        <v>78</v>
      </c>
      <c r="F331" s="3">
        <v>720</v>
      </c>
      <c r="G331" s="9">
        <v>5465</v>
      </c>
      <c r="H331" s="8">
        <f t="shared" si="38"/>
        <v>5760</v>
      </c>
      <c r="I331" s="8">
        <f t="shared" si="39"/>
        <v>295</v>
      </c>
      <c r="J331" s="6">
        <v>25</v>
      </c>
      <c r="K331" s="7">
        <v>0</v>
      </c>
      <c r="L331" s="7">
        <v>0</v>
      </c>
      <c r="M331" s="5">
        <v>0.95</v>
      </c>
      <c r="N331" s="3"/>
    </row>
    <row r="332" spans="2:14" x14ac:dyDescent="0.3">
      <c r="B332" s="66">
        <v>45735</v>
      </c>
      <c r="C332" s="10" t="s">
        <v>7</v>
      </c>
      <c r="D332" s="2" t="s">
        <v>14</v>
      </c>
      <c r="E332" s="10" t="s">
        <v>78</v>
      </c>
      <c r="F332" s="3">
        <v>720</v>
      </c>
      <c r="G332" s="9">
        <v>5465</v>
      </c>
      <c r="H332" s="8">
        <f t="shared" si="38"/>
        <v>5760</v>
      </c>
      <c r="I332" s="8">
        <f t="shared" si="39"/>
        <v>295</v>
      </c>
      <c r="J332" s="6">
        <v>25</v>
      </c>
      <c r="K332" s="7">
        <v>0</v>
      </c>
      <c r="L332" s="7">
        <v>0</v>
      </c>
      <c r="M332" s="5">
        <v>0.95</v>
      </c>
      <c r="N332" s="3"/>
    </row>
    <row r="333" spans="2:14" x14ac:dyDescent="0.3">
      <c r="B333" s="66">
        <v>45735</v>
      </c>
      <c r="C333" s="10" t="s">
        <v>8</v>
      </c>
      <c r="D333" s="2" t="s">
        <v>14</v>
      </c>
      <c r="E333" s="10" t="s">
        <v>78</v>
      </c>
      <c r="F333" s="3">
        <v>720</v>
      </c>
      <c r="G333" s="9">
        <v>4000</v>
      </c>
      <c r="H333" s="8">
        <f t="shared" si="38"/>
        <v>5760</v>
      </c>
      <c r="I333" s="8">
        <f t="shared" si="39"/>
        <v>1760</v>
      </c>
      <c r="J333" s="6">
        <v>0</v>
      </c>
      <c r="K333" s="7">
        <v>3</v>
      </c>
      <c r="L333" s="7">
        <v>60</v>
      </c>
      <c r="M333" s="5">
        <v>0.69</v>
      </c>
      <c r="N333" s="3"/>
    </row>
    <row r="334" spans="2:14" x14ac:dyDescent="0.3">
      <c r="B334" s="66">
        <v>45735</v>
      </c>
      <c r="C334" s="10" t="s">
        <v>3</v>
      </c>
      <c r="D334" s="2" t="s">
        <v>15</v>
      </c>
      <c r="E334" s="10" t="s">
        <v>13</v>
      </c>
      <c r="F334" s="3">
        <v>1100</v>
      </c>
      <c r="G334" s="9">
        <v>7900</v>
      </c>
      <c r="H334" s="8">
        <f t="shared" si="38"/>
        <v>8800</v>
      </c>
      <c r="I334" s="8">
        <f t="shared" si="39"/>
        <v>900</v>
      </c>
      <c r="J334" s="6">
        <v>50</v>
      </c>
      <c r="K334" s="7">
        <v>0</v>
      </c>
      <c r="L334" s="7">
        <v>0</v>
      </c>
      <c r="M334" s="5">
        <v>0.9</v>
      </c>
      <c r="N334" s="3"/>
    </row>
    <row r="335" spans="2:14" x14ac:dyDescent="0.3">
      <c r="B335" s="66">
        <v>45735</v>
      </c>
      <c r="C335" s="10" t="s">
        <v>7</v>
      </c>
      <c r="D335" s="2" t="s">
        <v>15</v>
      </c>
      <c r="E335" s="10" t="s">
        <v>13</v>
      </c>
      <c r="F335" s="3">
        <v>1100</v>
      </c>
      <c r="G335" s="9">
        <v>7900</v>
      </c>
      <c r="H335" s="8">
        <f t="shared" si="38"/>
        <v>8800</v>
      </c>
      <c r="I335" s="8">
        <f t="shared" si="39"/>
        <v>900</v>
      </c>
      <c r="J335" s="6">
        <v>50</v>
      </c>
      <c r="K335" s="7">
        <v>0</v>
      </c>
      <c r="L335" s="7">
        <v>0</v>
      </c>
      <c r="M335" s="5">
        <v>0.9</v>
      </c>
      <c r="N335" s="3"/>
    </row>
    <row r="336" spans="2:14" x14ac:dyDescent="0.3">
      <c r="B336" s="66">
        <v>45735</v>
      </c>
      <c r="C336" s="10" t="s">
        <v>8</v>
      </c>
      <c r="D336" s="2" t="s">
        <v>15</v>
      </c>
      <c r="E336" s="10" t="s">
        <v>13</v>
      </c>
      <c r="F336" s="3">
        <v>1100</v>
      </c>
      <c r="G336" s="9">
        <v>8300</v>
      </c>
      <c r="H336" s="8">
        <f t="shared" si="38"/>
        <v>8800</v>
      </c>
      <c r="I336" s="8">
        <f t="shared" si="39"/>
        <v>500</v>
      </c>
      <c r="J336" s="6">
        <v>27</v>
      </c>
      <c r="K336" s="7">
        <v>0</v>
      </c>
      <c r="L336" s="7">
        <v>0</v>
      </c>
      <c r="M336" s="5">
        <v>0.94</v>
      </c>
      <c r="N336" s="3"/>
    </row>
    <row r="337" spans="2:14" x14ac:dyDescent="0.3">
      <c r="B337" s="66">
        <v>45736</v>
      </c>
      <c r="C337" s="10" t="s">
        <v>3</v>
      </c>
      <c r="D337" s="2" t="s">
        <v>4</v>
      </c>
      <c r="E337" s="10">
        <v>80014027</v>
      </c>
      <c r="F337" s="3">
        <v>462</v>
      </c>
      <c r="G337" s="9">
        <v>3242</v>
      </c>
      <c r="H337" s="8">
        <f t="shared" ref="H337:H348" si="40">F337*8</f>
        <v>3696</v>
      </c>
      <c r="I337" s="8">
        <f t="shared" ref="I337:I348" si="41">H337-G337</f>
        <v>454</v>
      </c>
      <c r="J337" s="6">
        <v>59</v>
      </c>
      <c r="K337" s="7">
        <v>0</v>
      </c>
      <c r="L337" s="7">
        <v>0</v>
      </c>
      <c r="M337" s="5">
        <v>0.88</v>
      </c>
      <c r="N337" s="3"/>
    </row>
    <row r="338" spans="2:14" x14ac:dyDescent="0.3">
      <c r="B338" s="66">
        <v>45736</v>
      </c>
      <c r="C338" s="10" t="s">
        <v>7</v>
      </c>
      <c r="D338" s="2" t="s">
        <v>4</v>
      </c>
      <c r="E338" s="10">
        <v>80014027</v>
      </c>
      <c r="F338" s="3">
        <v>462</v>
      </c>
      <c r="G338" s="9">
        <v>3242</v>
      </c>
      <c r="H338" s="8">
        <f t="shared" si="40"/>
        <v>3696</v>
      </c>
      <c r="I338" s="8">
        <f t="shared" si="41"/>
        <v>454</v>
      </c>
      <c r="J338" s="6">
        <v>59</v>
      </c>
      <c r="K338" s="7">
        <v>0</v>
      </c>
      <c r="L338" s="7">
        <v>0</v>
      </c>
      <c r="M338" s="5">
        <v>0.88</v>
      </c>
      <c r="N338" s="3"/>
    </row>
    <row r="339" spans="2:14" x14ac:dyDescent="0.3">
      <c r="B339" s="66">
        <v>45736</v>
      </c>
      <c r="C339" s="10" t="s">
        <v>8</v>
      </c>
      <c r="D339" s="2" t="s">
        <v>4</v>
      </c>
      <c r="E339" s="10">
        <v>80014027</v>
      </c>
      <c r="F339" s="3">
        <v>462</v>
      </c>
      <c r="G339" s="9">
        <v>3696</v>
      </c>
      <c r="H339" s="8">
        <f t="shared" si="40"/>
        <v>3696</v>
      </c>
      <c r="I339" s="8">
        <f t="shared" si="41"/>
        <v>0</v>
      </c>
      <c r="J339" s="6">
        <v>0</v>
      </c>
      <c r="K339" s="7">
        <v>0</v>
      </c>
      <c r="L339" s="7">
        <v>0</v>
      </c>
      <c r="M339" s="5">
        <v>1</v>
      </c>
      <c r="N339" s="3"/>
    </row>
    <row r="340" spans="2:14" x14ac:dyDescent="0.3">
      <c r="B340" s="66">
        <v>45736</v>
      </c>
      <c r="C340" s="10" t="s">
        <v>3</v>
      </c>
      <c r="D340" s="2" t="s">
        <v>12</v>
      </c>
      <c r="E340" s="10" t="s">
        <v>13</v>
      </c>
      <c r="F340" s="3">
        <v>1100</v>
      </c>
      <c r="G340" s="9">
        <v>8046</v>
      </c>
      <c r="H340" s="8">
        <f t="shared" si="40"/>
        <v>8800</v>
      </c>
      <c r="I340" s="8">
        <f t="shared" si="41"/>
        <v>754</v>
      </c>
      <c r="J340" s="6">
        <v>5</v>
      </c>
      <c r="K340" s="7">
        <v>0</v>
      </c>
      <c r="L340" s="7">
        <v>0</v>
      </c>
      <c r="M340" s="5">
        <v>0.91</v>
      </c>
      <c r="N340" s="3"/>
    </row>
    <row r="341" spans="2:14" x14ac:dyDescent="0.3">
      <c r="B341" s="66">
        <v>45736</v>
      </c>
      <c r="C341" s="10" t="s">
        <v>7</v>
      </c>
      <c r="D341" s="2" t="s">
        <v>12</v>
      </c>
      <c r="E341" s="10" t="s">
        <v>13</v>
      </c>
      <c r="F341" s="3">
        <v>1100</v>
      </c>
      <c r="G341" s="9">
        <v>439</v>
      </c>
      <c r="H341" s="8">
        <f t="shared" si="40"/>
        <v>8800</v>
      </c>
      <c r="I341" s="8">
        <f t="shared" si="41"/>
        <v>8361</v>
      </c>
      <c r="J341" s="6">
        <v>456</v>
      </c>
      <c r="K341" s="7">
        <v>1</v>
      </c>
      <c r="L341" s="7">
        <v>60</v>
      </c>
      <c r="M341" s="5">
        <v>0.05</v>
      </c>
      <c r="N341" s="3"/>
    </row>
    <row r="342" spans="2:14" x14ac:dyDescent="0.3">
      <c r="B342" s="66">
        <v>45736</v>
      </c>
      <c r="C342" s="10" t="s">
        <v>8</v>
      </c>
      <c r="D342" s="2" t="s">
        <v>12</v>
      </c>
      <c r="E342" s="10" t="s">
        <v>13</v>
      </c>
      <c r="F342" s="3">
        <v>1100</v>
      </c>
      <c r="G342" s="9">
        <v>6150</v>
      </c>
      <c r="H342" s="8">
        <f t="shared" si="40"/>
        <v>8800</v>
      </c>
      <c r="I342" s="8">
        <f t="shared" si="41"/>
        <v>2650</v>
      </c>
      <c r="J342" s="6">
        <v>145</v>
      </c>
      <c r="K342" s="7">
        <v>1</v>
      </c>
      <c r="L342" s="7">
        <v>110</v>
      </c>
      <c r="M342" s="5">
        <v>0.7</v>
      </c>
      <c r="N342" s="3"/>
    </row>
    <row r="343" spans="2:14" x14ac:dyDescent="0.3">
      <c r="B343" s="66">
        <v>45736</v>
      </c>
      <c r="C343" s="10" t="s">
        <v>3</v>
      </c>
      <c r="D343" s="2" t="s">
        <v>14</v>
      </c>
      <c r="E343" s="10" t="s">
        <v>78</v>
      </c>
      <c r="F343" s="3">
        <v>720</v>
      </c>
      <c r="G343" s="9">
        <v>5760</v>
      </c>
      <c r="H343" s="8">
        <f t="shared" si="40"/>
        <v>5760</v>
      </c>
      <c r="I343" s="8">
        <f t="shared" si="41"/>
        <v>0</v>
      </c>
      <c r="J343" s="6">
        <v>0</v>
      </c>
      <c r="K343" s="7">
        <v>0</v>
      </c>
      <c r="L343" s="7">
        <v>0</v>
      </c>
      <c r="M343" s="5">
        <v>1</v>
      </c>
      <c r="N343" s="3"/>
    </row>
    <row r="344" spans="2:14" x14ac:dyDescent="0.3">
      <c r="B344" s="66">
        <v>45736</v>
      </c>
      <c r="C344" s="10" t="s">
        <v>7</v>
      </c>
      <c r="D344" s="2" t="s">
        <v>14</v>
      </c>
      <c r="E344" s="10" t="s">
        <v>78</v>
      </c>
      <c r="F344" s="3">
        <v>720</v>
      </c>
      <c r="G344" s="9">
        <v>665</v>
      </c>
      <c r="H344" s="8">
        <f t="shared" si="40"/>
        <v>5760</v>
      </c>
      <c r="I344" s="8">
        <f t="shared" si="41"/>
        <v>5095</v>
      </c>
      <c r="J344" s="6">
        <v>0</v>
      </c>
      <c r="K344" s="7">
        <v>1</v>
      </c>
      <c r="L344" s="7">
        <v>60</v>
      </c>
      <c r="M344" s="5">
        <v>0.12</v>
      </c>
      <c r="N344" s="3"/>
    </row>
    <row r="345" spans="2:14" x14ac:dyDescent="0.3">
      <c r="B345" s="66">
        <v>45736</v>
      </c>
      <c r="C345" s="10" t="s">
        <v>8</v>
      </c>
      <c r="D345" s="2" t="s">
        <v>14</v>
      </c>
      <c r="E345" s="10" t="s">
        <v>78</v>
      </c>
      <c r="F345" s="3">
        <v>720</v>
      </c>
      <c r="G345" s="9">
        <v>4200</v>
      </c>
      <c r="H345" s="8">
        <f t="shared" si="40"/>
        <v>5760</v>
      </c>
      <c r="I345" s="8">
        <f t="shared" si="41"/>
        <v>1560</v>
      </c>
      <c r="J345" s="6">
        <v>0</v>
      </c>
      <c r="K345" s="7">
        <v>1</v>
      </c>
      <c r="L345" s="7">
        <v>90</v>
      </c>
      <c r="M345" s="5">
        <v>0.73</v>
      </c>
      <c r="N345" s="3"/>
    </row>
    <row r="346" spans="2:14" x14ac:dyDescent="0.3">
      <c r="B346" s="66">
        <v>45736</v>
      </c>
      <c r="C346" s="10" t="s">
        <v>3</v>
      </c>
      <c r="D346" s="2" t="s">
        <v>15</v>
      </c>
      <c r="E346" s="10" t="s">
        <v>13</v>
      </c>
      <c r="F346" s="3">
        <v>1100</v>
      </c>
      <c r="G346" s="9">
        <v>8123</v>
      </c>
      <c r="H346" s="8">
        <f t="shared" si="40"/>
        <v>8800</v>
      </c>
      <c r="I346" s="8">
        <f t="shared" si="41"/>
        <v>677</v>
      </c>
      <c r="J346" s="6">
        <v>37</v>
      </c>
      <c r="K346" s="7">
        <v>0</v>
      </c>
      <c r="L346" s="7">
        <v>0</v>
      </c>
      <c r="M346" s="5">
        <v>0.92</v>
      </c>
      <c r="N346" s="3"/>
    </row>
    <row r="347" spans="2:14" x14ac:dyDescent="0.3">
      <c r="B347" s="66">
        <v>45736</v>
      </c>
      <c r="C347" s="10" t="s">
        <v>7</v>
      </c>
      <c r="D347" s="2" t="s">
        <v>15</v>
      </c>
      <c r="E347" s="10" t="s">
        <v>13</v>
      </c>
      <c r="F347" s="3">
        <v>1100</v>
      </c>
      <c r="G347" s="9">
        <v>8123</v>
      </c>
      <c r="H347" s="8">
        <f t="shared" si="40"/>
        <v>8800</v>
      </c>
      <c r="I347" s="8">
        <f t="shared" si="41"/>
        <v>677</v>
      </c>
      <c r="J347" s="6">
        <v>37</v>
      </c>
      <c r="K347" s="7">
        <v>0</v>
      </c>
      <c r="L347" s="7">
        <v>0</v>
      </c>
      <c r="M347" s="5">
        <v>0.92</v>
      </c>
      <c r="N347" s="3"/>
    </row>
    <row r="348" spans="2:14" x14ac:dyDescent="0.3">
      <c r="B348" s="66">
        <v>45736</v>
      </c>
      <c r="C348" s="10" t="s">
        <v>8</v>
      </c>
      <c r="D348" s="2" t="s">
        <v>15</v>
      </c>
      <c r="E348" s="10" t="s">
        <v>13</v>
      </c>
      <c r="F348" s="3">
        <v>1100</v>
      </c>
      <c r="G348" s="9">
        <v>6600</v>
      </c>
      <c r="H348" s="8">
        <f t="shared" si="40"/>
        <v>8800</v>
      </c>
      <c r="I348" s="8">
        <f t="shared" si="41"/>
        <v>2200</v>
      </c>
      <c r="J348" s="6">
        <v>120</v>
      </c>
      <c r="K348" s="7">
        <v>0</v>
      </c>
      <c r="L348" s="7">
        <v>0</v>
      </c>
      <c r="M348" s="5">
        <v>0.75</v>
      </c>
      <c r="N348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H84"/>
  <sheetViews>
    <sheetView workbookViewId="0">
      <pane ySplit="5" topLeftCell="A54" activePane="bottomLeft" state="frozen"/>
      <selection pane="bottomLeft" activeCell="M72" sqref="M72"/>
    </sheetView>
  </sheetViews>
  <sheetFormatPr baseColWidth="10" defaultRowHeight="14.4" x14ac:dyDescent="0.3"/>
  <cols>
    <col min="2" max="2" width="13.77734375" customWidth="1"/>
    <col min="4" max="4" width="16.109375" customWidth="1"/>
    <col min="5" max="5" width="24.109375" customWidth="1"/>
    <col min="6" max="6" width="15.44140625" customWidth="1"/>
    <col min="8" max="8" width="12.109375" customWidth="1"/>
    <col min="13" max="13" width="26.33203125" customWidth="1"/>
  </cols>
  <sheetData>
    <row r="5" spans="2:8" x14ac:dyDescent="0.3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3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3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3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3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3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3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3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3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3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3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3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3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3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3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3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3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3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3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3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3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3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3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3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3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3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3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3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8" x14ac:dyDescent="0.3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8" x14ac:dyDescent="0.3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8" x14ac:dyDescent="0.3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8" x14ac:dyDescent="0.3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8" x14ac:dyDescent="0.3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8" x14ac:dyDescent="0.3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8" x14ac:dyDescent="0.3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8" x14ac:dyDescent="0.3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8" x14ac:dyDescent="0.3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8" x14ac:dyDescent="0.3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8" x14ac:dyDescent="0.3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8" x14ac:dyDescent="0.3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8" x14ac:dyDescent="0.3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8" x14ac:dyDescent="0.3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8" x14ac:dyDescent="0.3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8" x14ac:dyDescent="0.3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</row>
    <row r="49" spans="2:8" x14ac:dyDescent="0.3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3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3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3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3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3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3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3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3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3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3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3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3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3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3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3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3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3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3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3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3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3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3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3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3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3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3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3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  <row r="77" spans="2:8" x14ac:dyDescent="0.3">
      <c r="B77" s="13">
        <v>45735</v>
      </c>
      <c r="C77" s="3" t="s">
        <v>8</v>
      </c>
      <c r="D77" s="3" t="s">
        <v>4</v>
      </c>
      <c r="E77" s="12" t="s">
        <v>17</v>
      </c>
      <c r="F77" s="11">
        <v>40</v>
      </c>
      <c r="G77" s="59">
        <f>Tableau2[[#This Row],[Durées (m)]]/60</f>
        <v>0.66666666666666663</v>
      </c>
      <c r="H77" s="3" t="s">
        <v>110</v>
      </c>
    </row>
    <row r="78" spans="2:8" x14ac:dyDescent="0.3">
      <c r="B78" s="13">
        <v>45735</v>
      </c>
      <c r="C78" s="3" t="s">
        <v>7</v>
      </c>
      <c r="D78" s="3" t="s">
        <v>12</v>
      </c>
      <c r="E78" s="12" t="s">
        <v>16</v>
      </c>
      <c r="F78" s="11">
        <v>120</v>
      </c>
      <c r="G78" s="59">
        <f>Tableau2[[#This Row],[Durées (m)]]/60</f>
        <v>2</v>
      </c>
      <c r="H78" s="3" t="s">
        <v>110</v>
      </c>
    </row>
    <row r="79" spans="2:8" x14ac:dyDescent="0.3">
      <c r="B79" s="13">
        <v>45735</v>
      </c>
      <c r="C79" s="3" t="s">
        <v>8</v>
      </c>
      <c r="D79" s="3" t="s">
        <v>14</v>
      </c>
      <c r="E79" s="12" t="s">
        <v>92</v>
      </c>
      <c r="F79" s="11">
        <v>30</v>
      </c>
      <c r="G79" s="59">
        <f>Tableau2[[#This Row],[Durées (m)]]/60</f>
        <v>0.5</v>
      </c>
      <c r="H79" s="3" t="s">
        <v>110</v>
      </c>
    </row>
    <row r="80" spans="2:8" x14ac:dyDescent="0.3">
      <c r="B80" s="13">
        <v>45735</v>
      </c>
      <c r="C80" s="3" t="s">
        <v>8</v>
      </c>
      <c r="D80" s="3" t="s">
        <v>14</v>
      </c>
      <c r="E80" s="12" t="s">
        <v>92</v>
      </c>
      <c r="F80" s="11">
        <v>20</v>
      </c>
      <c r="G80" s="59">
        <f>Tableau2[[#This Row],[Durées (m)]]/60</f>
        <v>0.33333333333333331</v>
      </c>
      <c r="H80" s="3" t="s">
        <v>110</v>
      </c>
    </row>
    <row r="81" spans="2:8" x14ac:dyDescent="0.3">
      <c r="B81" s="13">
        <v>45735</v>
      </c>
      <c r="C81" s="3" t="s">
        <v>8</v>
      </c>
      <c r="D81" s="3" t="s">
        <v>14</v>
      </c>
      <c r="E81" s="12" t="s">
        <v>92</v>
      </c>
      <c r="F81" s="11">
        <v>10</v>
      </c>
      <c r="G81" s="59">
        <f>Tableau2[[#This Row],[Durées (m)]]/60</f>
        <v>0.16666666666666666</v>
      </c>
      <c r="H81" s="3" t="s">
        <v>110</v>
      </c>
    </row>
    <row r="82" spans="2:8" x14ac:dyDescent="0.3">
      <c r="B82" s="13">
        <v>45736</v>
      </c>
      <c r="C82" s="3" t="s">
        <v>7</v>
      </c>
      <c r="D82" s="3" t="s">
        <v>12</v>
      </c>
      <c r="E82" s="12" t="s">
        <v>92</v>
      </c>
      <c r="F82" s="11">
        <v>60</v>
      </c>
      <c r="G82" s="59">
        <f>Tableau2[[#This Row],[Durées (m)]]/60</f>
        <v>1</v>
      </c>
      <c r="H82" s="3" t="s">
        <v>110</v>
      </c>
    </row>
    <row r="83" spans="2:8" x14ac:dyDescent="0.3">
      <c r="B83" s="13">
        <v>45736</v>
      </c>
      <c r="C83" s="3" t="s">
        <v>8</v>
      </c>
      <c r="D83" s="3" t="s">
        <v>12</v>
      </c>
      <c r="E83" s="12" t="s">
        <v>92</v>
      </c>
      <c r="F83" s="11">
        <v>110</v>
      </c>
      <c r="G83" s="59">
        <f>Tableau2[[#This Row],[Durées (m)]]/60</f>
        <v>1.8333333333333333</v>
      </c>
      <c r="H83" s="3" t="s">
        <v>110</v>
      </c>
    </row>
    <row r="84" spans="2:8" x14ac:dyDescent="0.3">
      <c r="B84" s="13">
        <v>45736</v>
      </c>
      <c r="C84" s="3" t="s">
        <v>8</v>
      </c>
      <c r="D84" s="3" t="s">
        <v>14</v>
      </c>
      <c r="E84" s="12" t="s">
        <v>92</v>
      </c>
      <c r="F84" s="11">
        <v>90</v>
      </c>
      <c r="G84" s="59">
        <f>Tableau2[[#This Row],[Durées (m)]]/60</f>
        <v>1.5</v>
      </c>
      <c r="H84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17"/>
  <sheetViews>
    <sheetView workbookViewId="0">
      <pane ySplit="5" topLeftCell="A78" activePane="bottomLeft" state="frozen"/>
      <selection pane="bottomLeft" activeCell="L89" sqref="L89"/>
    </sheetView>
  </sheetViews>
  <sheetFormatPr baseColWidth="10" defaultRowHeight="14.4" x14ac:dyDescent="0.3"/>
  <cols>
    <col min="3" max="3" width="14.109375" customWidth="1"/>
    <col min="4" max="4" width="8.109375" style="10" customWidth="1"/>
    <col min="5" max="5" width="8.77734375" style="10" customWidth="1"/>
    <col min="6" max="6" width="15.44140625" customWidth="1"/>
    <col min="7" max="7" width="12.6640625" customWidth="1"/>
    <col min="8" max="8" width="14.44140625" customWidth="1"/>
  </cols>
  <sheetData>
    <row r="5" spans="2:8" x14ac:dyDescent="0.3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3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3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3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3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3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3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3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3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3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3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3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3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3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3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3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3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3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3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3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3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3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3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3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3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3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3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3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3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3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3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3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3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3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3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3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3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3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3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3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3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3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3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3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3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3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3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3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3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3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3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3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3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3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3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3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3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3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3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3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3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3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3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3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3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3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3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3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3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3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3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3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3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3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3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3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3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3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3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3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3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3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3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3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3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3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3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3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3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3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3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3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3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3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3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3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3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3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3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3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3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  <row r="106" spans="2:8" x14ac:dyDescent="0.3">
      <c r="B106" s="58">
        <v>45734</v>
      </c>
      <c r="C106" t="s">
        <v>4</v>
      </c>
      <c r="D106" s="67">
        <v>0</v>
      </c>
      <c r="E106" s="67">
        <v>0</v>
      </c>
      <c r="F106">
        <v>0</v>
      </c>
      <c r="G106">
        <v>0</v>
      </c>
      <c r="H106" s="57">
        <f t="shared" ref="H106:H109" si="12">F106+G106</f>
        <v>0</v>
      </c>
    </row>
    <row r="107" spans="2:8" x14ac:dyDescent="0.3">
      <c r="B107" s="58">
        <v>45734</v>
      </c>
      <c r="C107" t="s">
        <v>12</v>
      </c>
      <c r="D107" s="67">
        <v>0.66</v>
      </c>
      <c r="E107" s="67">
        <v>0.73</v>
      </c>
      <c r="F107">
        <v>11620</v>
      </c>
      <c r="G107">
        <v>7700</v>
      </c>
      <c r="H107" s="57">
        <f t="shared" si="12"/>
        <v>19320</v>
      </c>
    </row>
    <row r="108" spans="2:8" x14ac:dyDescent="0.3">
      <c r="B108" s="58">
        <v>45734</v>
      </c>
      <c r="C108" t="s">
        <v>14</v>
      </c>
      <c r="D108" s="67">
        <v>0.78</v>
      </c>
      <c r="E108" s="67">
        <v>0.74</v>
      </c>
      <c r="F108">
        <v>8970</v>
      </c>
      <c r="G108">
        <v>3800</v>
      </c>
      <c r="H108" s="57">
        <f t="shared" si="12"/>
        <v>12770</v>
      </c>
    </row>
    <row r="109" spans="2:8" x14ac:dyDescent="0.3">
      <c r="B109" s="58">
        <v>45734</v>
      </c>
      <c r="C109" t="s">
        <v>15</v>
      </c>
      <c r="D109" s="67">
        <v>0.83</v>
      </c>
      <c r="E109" s="67">
        <v>0.82</v>
      </c>
      <c r="F109">
        <v>14680</v>
      </c>
      <c r="G109">
        <v>7100</v>
      </c>
      <c r="H109" s="57">
        <f t="shared" si="12"/>
        <v>21780</v>
      </c>
    </row>
    <row r="110" spans="2:8" x14ac:dyDescent="0.3">
      <c r="B110" s="58">
        <v>45735</v>
      </c>
      <c r="C110" t="s">
        <v>4</v>
      </c>
      <c r="D110" s="67">
        <v>0.32</v>
      </c>
      <c r="E110" s="67">
        <v>0.54</v>
      </c>
      <c r="F110">
        <v>2210</v>
      </c>
      <c r="G110">
        <v>3800</v>
      </c>
      <c r="H110" s="57">
        <f t="shared" ref="H110:H113" si="13">F110+G110</f>
        <v>6010</v>
      </c>
    </row>
    <row r="111" spans="2:8" x14ac:dyDescent="0.3">
      <c r="B111" s="58">
        <v>45735</v>
      </c>
      <c r="C111" t="s">
        <v>12</v>
      </c>
      <c r="D111" s="67">
        <v>0.7</v>
      </c>
      <c r="E111" s="67">
        <v>0.66</v>
      </c>
      <c r="F111">
        <v>12235</v>
      </c>
      <c r="G111">
        <v>5200</v>
      </c>
      <c r="H111" s="57">
        <f t="shared" si="13"/>
        <v>17435</v>
      </c>
    </row>
    <row r="112" spans="2:8" x14ac:dyDescent="0.3">
      <c r="B112" s="58">
        <v>45735</v>
      </c>
      <c r="C112" t="s">
        <v>14</v>
      </c>
      <c r="D112" s="67">
        <v>0.95</v>
      </c>
      <c r="E112" s="67">
        <v>0.86</v>
      </c>
      <c r="F112">
        <v>10930</v>
      </c>
      <c r="G112">
        <v>4000</v>
      </c>
      <c r="H112" s="57">
        <f t="shared" si="13"/>
        <v>14930</v>
      </c>
    </row>
    <row r="113" spans="2:8" x14ac:dyDescent="0.3">
      <c r="B113" s="58">
        <v>45735</v>
      </c>
      <c r="C113" t="s">
        <v>15</v>
      </c>
      <c r="D113" s="67">
        <v>0.9</v>
      </c>
      <c r="E113" s="67">
        <v>0.91</v>
      </c>
      <c r="F113">
        <v>15800</v>
      </c>
      <c r="G113">
        <v>8300</v>
      </c>
      <c r="H113" s="57">
        <f t="shared" si="13"/>
        <v>24100</v>
      </c>
    </row>
    <row r="114" spans="2:8" x14ac:dyDescent="0.3">
      <c r="B114" s="58">
        <v>45736</v>
      </c>
      <c r="C114" t="s">
        <v>4</v>
      </c>
      <c r="D114" s="67">
        <v>0.88</v>
      </c>
      <c r="E114" s="67">
        <v>0.92</v>
      </c>
      <c r="F114">
        <v>6484</v>
      </c>
      <c r="G114">
        <v>3696</v>
      </c>
      <c r="H114" s="57">
        <f t="shared" ref="H114:H117" si="14">F114+G114</f>
        <v>10180</v>
      </c>
    </row>
    <row r="115" spans="2:8" x14ac:dyDescent="0.3">
      <c r="B115" s="58">
        <v>45736</v>
      </c>
      <c r="C115" t="s">
        <v>12</v>
      </c>
      <c r="D115" s="67">
        <v>0.48</v>
      </c>
      <c r="E115" s="67">
        <v>0.55000000000000004</v>
      </c>
      <c r="F115">
        <v>8485</v>
      </c>
      <c r="G115">
        <v>6150</v>
      </c>
      <c r="H115" s="57">
        <f t="shared" si="14"/>
        <v>14635</v>
      </c>
    </row>
    <row r="116" spans="2:8" x14ac:dyDescent="0.3">
      <c r="B116" s="58">
        <v>45736</v>
      </c>
      <c r="C116" t="s">
        <v>14</v>
      </c>
      <c r="D116" s="67">
        <v>0.56000000000000005</v>
      </c>
      <c r="E116" s="67">
        <v>0.62</v>
      </c>
      <c r="F116">
        <v>6425</v>
      </c>
      <c r="G116">
        <v>4200</v>
      </c>
      <c r="H116" s="57">
        <f t="shared" si="14"/>
        <v>10625</v>
      </c>
    </row>
    <row r="117" spans="2:8" x14ac:dyDescent="0.3">
      <c r="B117" s="58">
        <v>45736</v>
      </c>
      <c r="C117" t="s">
        <v>15</v>
      </c>
      <c r="D117" s="67">
        <v>0.92</v>
      </c>
      <c r="E117" s="67">
        <v>0.86</v>
      </c>
      <c r="F117">
        <v>16240</v>
      </c>
      <c r="G117">
        <v>6600</v>
      </c>
      <c r="H117" s="57">
        <f t="shared" si="14"/>
        <v>22840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I30" sqref="I30"/>
    </sheetView>
  </sheetViews>
  <sheetFormatPr baseColWidth="10" defaultRowHeight="14.4" x14ac:dyDescent="0.3"/>
  <cols>
    <col min="2" max="2" width="20.33203125" customWidth="1"/>
    <col min="3" max="3" width="13.44140625" customWidth="1"/>
  </cols>
  <sheetData>
    <row r="5" spans="2:8" x14ac:dyDescent="0.3">
      <c r="B5" t="s">
        <v>19</v>
      </c>
      <c r="C5" t="s">
        <v>57</v>
      </c>
      <c r="D5" t="s">
        <v>107</v>
      </c>
      <c r="G5" s="12" t="s">
        <v>105</v>
      </c>
      <c r="H5">
        <f>SUM(Tableau5[Durées (m)])</f>
        <v>6369</v>
      </c>
    </row>
    <row r="6" spans="2:8" x14ac:dyDescent="0.3">
      <c r="B6" s="10" t="s">
        <v>92</v>
      </c>
      <c r="C6">
        <v>1630</v>
      </c>
      <c r="D6" s="89">
        <f>C6/H5</f>
        <v>0.25592714711885695</v>
      </c>
    </row>
    <row r="7" spans="2:8" x14ac:dyDescent="0.3">
      <c r="B7" s="10" t="s">
        <v>93</v>
      </c>
      <c r="C7">
        <v>1333</v>
      </c>
      <c r="D7" s="89">
        <f>D6+Tableau5[[#This Row],[Durées (m)]]/H5</f>
        <v>0.46522216988538234</v>
      </c>
    </row>
    <row r="8" spans="2:8" x14ac:dyDescent="0.3">
      <c r="B8" s="10" t="s">
        <v>17</v>
      </c>
      <c r="C8">
        <v>1270</v>
      </c>
      <c r="D8" s="89">
        <f>D7+Tableau5[[#This Row],[Durées (m)]]/H5</f>
        <v>0.66462552991050405</v>
      </c>
    </row>
    <row r="9" spans="2:8" x14ac:dyDescent="0.3">
      <c r="B9" s="10" t="s">
        <v>16</v>
      </c>
      <c r="C9">
        <v>1146</v>
      </c>
      <c r="D9" s="89">
        <f>D8+(C9/H5)</f>
        <v>0.84455958549222809</v>
      </c>
    </row>
    <row r="10" spans="2:8" x14ac:dyDescent="0.3">
      <c r="B10" s="10" t="s">
        <v>20</v>
      </c>
      <c r="C10">
        <v>310</v>
      </c>
      <c r="D10" s="89">
        <f>D9+(C10/H5)</f>
        <v>0.89323284660072233</v>
      </c>
    </row>
    <row r="11" spans="2:8" x14ac:dyDescent="0.3">
      <c r="B11" s="10" t="s">
        <v>95</v>
      </c>
      <c r="C11">
        <v>280</v>
      </c>
      <c r="D11" s="89">
        <f>D10+(C11/H5)</f>
        <v>0.93719579211807202</v>
      </c>
    </row>
    <row r="12" spans="2:8" x14ac:dyDescent="0.3">
      <c r="B12" s="10" t="s">
        <v>100</v>
      </c>
      <c r="C12">
        <v>140</v>
      </c>
      <c r="D12" s="89">
        <f>D11+(C12/H5)</f>
        <v>0.95917726487674682</v>
      </c>
    </row>
    <row r="13" spans="2:8" x14ac:dyDescent="0.3">
      <c r="B13" s="10" t="s">
        <v>103</v>
      </c>
      <c r="C13">
        <v>100</v>
      </c>
      <c r="D13" s="89">
        <f>D12+(C13/H5)</f>
        <v>0.97487831684722881</v>
      </c>
    </row>
    <row r="14" spans="2:8" x14ac:dyDescent="0.3">
      <c r="B14" s="10" t="s">
        <v>97</v>
      </c>
      <c r="C14">
        <v>100</v>
      </c>
      <c r="D14" s="89">
        <f>D13+(C14/H5)</f>
        <v>0.9905793688177108</v>
      </c>
    </row>
    <row r="15" spans="2:8" x14ac:dyDescent="0.3">
      <c r="B15" s="10" t="s">
        <v>96</v>
      </c>
      <c r="C15">
        <v>60</v>
      </c>
      <c r="D15" s="89">
        <f>D14+(C15/H5)</f>
        <v>1</v>
      </c>
    </row>
    <row r="16" spans="2:8" x14ac:dyDescent="0.3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17"/>
  <sheetViews>
    <sheetView tabSelected="1" workbookViewId="0">
      <selection activeCell="G29" sqref="G29"/>
    </sheetView>
  </sheetViews>
  <sheetFormatPr baseColWidth="10" defaultRowHeight="14.4" x14ac:dyDescent="0.3"/>
  <cols>
    <col min="3" max="3" width="14.109375" customWidth="1"/>
    <col min="6" max="6" width="13.44140625" customWidth="1"/>
  </cols>
  <sheetData>
    <row r="5" spans="2:9" x14ac:dyDescent="0.3">
      <c r="B5" s="83" t="s">
        <v>112</v>
      </c>
      <c r="C5" s="83" t="s">
        <v>113</v>
      </c>
      <c r="D5" s="83" t="s">
        <v>114</v>
      </c>
      <c r="E5" s="83" t="s">
        <v>10</v>
      </c>
      <c r="F5" s="83" t="s">
        <v>115</v>
      </c>
      <c r="G5" s="83" t="s">
        <v>116</v>
      </c>
      <c r="H5" s="83" t="s">
        <v>11</v>
      </c>
      <c r="I5" t="s">
        <v>119</v>
      </c>
    </row>
    <row r="6" spans="2:9" x14ac:dyDescent="0.3">
      <c r="B6" s="83" t="s">
        <v>117</v>
      </c>
      <c r="C6" s="83" t="s">
        <v>4</v>
      </c>
      <c r="D6" s="83" t="s">
        <v>5</v>
      </c>
      <c r="E6" s="83">
        <v>46400</v>
      </c>
      <c r="F6" s="83">
        <v>29693</v>
      </c>
      <c r="G6" s="83">
        <f>E6-F6</f>
        <v>16707</v>
      </c>
      <c r="H6" s="88">
        <v>64</v>
      </c>
    </row>
    <row r="7" spans="2:9" x14ac:dyDescent="0.3">
      <c r="B7" s="83" t="s">
        <v>117</v>
      </c>
      <c r="C7" s="84" t="s">
        <v>12</v>
      </c>
      <c r="D7" s="83" t="s">
        <v>13</v>
      </c>
      <c r="E7" s="83">
        <v>70400</v>
      </c>
      <c r="F7" s="83">
        <v>44608</v>
      </c>
      <c r="G7" s="83">
        <f t="shared" ref="G7:G13" si="0">E7-F7</f>
        <v>25792</v>
      </c>
      <c r="H7" s="87">
        <v>64</v>
      </c>
    </row>
    <row r="8" spans="2:9" x14ac:dyDescent="0.3">
      <c r="B8" s="83" t="s">
        <v>117</v>
      </c>
      <c r="C8" s="85" t="s">
        <v>14</v>
      </c>
      <c r="D8" s="86" t="s">
        <v>78</v>
      </c>
      <c r="E8" s="83">
        <v>46080</v>
      </c>
      <c r="F8" s="83">
        <v>0</v>
      </c>
      <c r="G8" s="83">
        <f t="shared" si="0"/>
        <v>46080</v>
      </c>
      <c r="H8" s="87">
        <v>0</v>
      </c>
    </row>
    <row r="9" spans="2:9" x14ac:dyDescent="0.3">
      <c r="B9" s="83" t="s">
        <v>117</v>
      </c>
      <c r="C9" s="85" t="s">
        <v>15</v>
      </c>
      <c r="D9" s="86" t="s">
        <v>13</v>
      </c>
      <c r="E9" s="83">
        <v>70400</v>
      </c>
      <c r="F9" s="83">
        <v>46539</v>
      </c>
      <c r="G9" s="83">
        <f t="shared" si="0"/>
        <v>23861</v>
      </c>
      <c r="H9" s="87">
        <v>66</v>
      </c>
    </row>
    <row r="10" spans="2:9" x14ac:dyDescent="0.3">
      <c r="B10" s="83" t="s">
        <v>118</v>
      </c>
      <c r="C10" s="83" t="s">
        <v>4</v>
      </c>
      <c r="D10" s="86" t="s">
        <v>79</v>
      </c>
      <c r="E10" s="83">
        <v>36360</v>
      </c>
      <c r="F10" s="83">
        <v>35638</v>
      </c>
      <c r="G10" s="83">
        <f t="shared" si="0"/>
        <v>722</v>
      </c>
      <c r="H10" s="87">
        <v>98</v>
      </c>
    </row>
    <row r="11" spans="2:9" x14ac:dyDescent="0.3">
      <c r="B11" s="83" t="s">
        <v>118</v>
      </c>
      <c r="C11" s="84" t="s">
        <v>12</v>
      </c>
      <c r="D11" s="83" t="s">
        <v>13</v>
      </c>
      <c r="E11" s="83">
        <v>70400</v>
      </c>
      <c r="F11" s="83">
        <v>51133</v>
      </c>
      <c r="G11" s="83">
        <f t="shared" si="0"/>
        <v>19267</v>
      </c>
      <c r="H11" s="87">
        <v>73</v>
      </c>
    </row>
    <row r="12" spans="2:9" x14ac:dyDescent="0.3">
      <c r="B12" s="83" t="s">
        <v>118</v>
      </c>
      <c r="C12" s="85" t="s">
        <v>14</v>
      </c>
      <c r="D12" s="86" t="s">
        <v>78</v>
      </c>
      <c r="E12" s="83">
        <v>46080</v>
      </c>
      <c r="F12" s="83">
        <v>0</v>
      </c>
      <c r="G12" s="83">
        <f t="shared" si="0"/>
        <v>46080</v>
      </c>
      <c r="H12" s="87">
        <v>0</v>
      </c>
    </row>
    <row r="13" spans="2:9" x14ac:dyDescent="0.3">
      <c r="B13" s="83" t="s">
        <v>118</v>
      </c>
      <c r="C13" s="85" t="s">
        <v>15</v>
      </c>
      <c r="D13" s="86" t="s">
        <v>13</v>
      </c>
      <c r="E13" s="83">
        <v>70400</v>
      </c>
      <c r="F13" s="83">
        <v>56086</v>
      </c>
      <c r="G13" s="83">
        <f t="shared" si="0"/>
        <v>14314</v>
      </c>
      <c r="H13" s="87">
        <v>80</v>
      </c>
    </row>
    <row r="14" spans="2:9" x14ac:dyDescent="0.3">
      <c r="B14" s="83" t="s">
        <v>143</v>
      </c>
      <c r="C14" s="85" t="s">
        <v>4</v>
      </c>
      <c r="D14" s="86">
        <v>80014027</v>
      </c>
      <c r="E14" s="83">
        <v>14784</v>
      </c>
      <c r="F14">
        <v>8798</v>
      </c>
      <c r="G14">
        <f t="shared" ref="G14:G17" si="1">E14-F14</f>
        <v>5986</v>
      </c>
      <c r="H14" s="113">
        <v>60</v>
      </c>
    </row>
    <row r="15" spans="2:9" x14ac:dyDescent="0.3">
      <c r="B15" s="83" t="s">
        <v>143</v>
      </c>
      <c r="C15" s="85" t="s">
        <v>12</v>
      </c>
      <c r="D15" s="86" t="s">
        <v>13</v>
      </c>
      <c r="E15" s="83">
        <v>70400</v>
      </c>
      <c r="F15">
        <v>38115</v>
      </c>
      <c r="G15">
        <f t="shared" si="1"/>
        <v>32285</v>
      </c>
      <c r="H15" s="113">
        <v>54</v>
      </c>
    </row>
    <row r="16" spans="2:9" x14ac:dyDescent="0.3">
      <c r="B16" s="83" t="s">
        <v>143</v>
      </c>
      <c r="C16" s="85" t="s">
        <v>14</v>
      </c>
      <c r="D16" s="86" t="s">
        <v>78</v>
      </c>
      <c r="E16" s="83">
        <v>46080</v>
      </c>
      <c r="F16">
        <v>36463</v>
      </c>
      <c r="G16">
        <f t="shared" si="1"/>
        <v>9617</v>
      </c>
      <c r="H16" s="113">
        <v>79</v>
      </c>
    </row>
    <row r="17" spans="2:8" x14ac:dyDescent="0.3">
      <c r="B17" s="83" t="s">
        <v>143</v>
      </c>
      <c r="C17" s="85" t="s">
        <v>15</v>
      </c>
      <c r="D17" s="86" t="s">
        <v>13</v>
      </c>
      <c r="E17" s="83">
        <v>70400</v>
      </c>
      <c r="F17">
        <v>56426</v>
      </c>
      <c r="G17">
        <f t="shared" si="1"/>
        <v>13974</v>
      </c>
      <c r="H17" s="113">
        <v>80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1FC-4991-4038-B11E-598C346657B5}">
  <dimension ref="B4:AE8"/>
  <sheetViews>
    <sheetView workbookViewId="0">
      <selection activeCell="J17" sqref="J17"/>
    </sheetView>
  </sheetViews>
  <sheetFormatPr baseColWidth="10" defaultRowHeight="14.4" x14ac:dyDescent="0.3"/>
  <sheetData>
    <row r="4" spans="2:31" x14ac:dyDescent="0.3">
      <c r="B4" t="s">
        <v>4</v>
      </c>
      <c r="J4" t="s">
        <v>120</v>
      </c>
      <c r="R4" t="s">
        <v>121</v>
      </c>
      <c r="Z4" t="s">
        <v>122</v>
      </c>
    </row>
    <row r="5" spans="2:31" x14ac:dyDescent="0.3">
      <c r="B5" t="s">
        <v>112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J5" t="s">
        <v>112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R5" t="s">
        <v>112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Z5" t="s">
        <v>112</v>
      </c>
      <c r="AA5" t="s">
        <v>138</v>
      </c>
      <c r="AB5" t="s">
        <v>139</v>
      </c>
      <c r="AC5" t="s">
        <v>140</v>
      </c>
      <c r="AD5" t="s">
        <v>141</v>
      </c>
      <c r="AE5" t="s">
        <v>142</v>
      </c>
    </row>
    <row r="6" spans="2:31" x14ac:dyDescent="0.3">
      <c r="B6" t="s">
        <v>117</v>
      </c>
      <c r="C6" s="106" t="s">
        <v>5</v>
      </c>
      <c r="D6" s="106">
        <v>46400</v>
      </c>
      <c r="E6" s="106">
        <v>29693</v>
      </c>
      <c r="F6" s="107">
        <f>D6-E6</f>
        <v>16707</v>
      </c>
      <c r="G6" s="108">
        <v>0.64</v>
      </c>
      <c r="J6" t="s">
        <v>117</v>
      </c>
      <c r="K6" s="90" t="s">
        <v>13</v>
      </c>
      <c r="L6" s="90">
        <v>70400</v>
      </c>
      <c r="M6" s="90">
        <v>44608</v>
      </c>
      <c r="N6" s="90">
        <f t="shared" ref="N6:N7" si="0">L6-M6</f>
        <v>25792</v>
      </c>
      <c r="O6" s="92">
        <v>0.64</v>
      </c>
      <c r="R6" t="s">
        <v>117</v>
      </c>
      <c r="S6" s="93" t="s">
        <v>78</v>
      </c>
      <c r="T6" s="90">
        <v>46080</v>
      </c>
      <c r="U6" s="90">
        <v>0</v>
      </c>
      <c r="V6" s="90">
        <f t="shared" ref="V6:V7" si="1">T6-U6</f>
        <v>46080</v>
      </c>
      <c r="W6" s="91">
        <v>0</v>
      </c>
      <c r="Z6" t="s">
        <v>117</v>
      </c>
      <c r="AA6" s="93" t="s">
        <v>13</v>
      </c>
      <c r="AB6" s="90">
        <v>70400</v>
      </c>
      <c r="AC6" s="90">
        <v>46539</v>
      </c>
      <c r="AD6" s="90">
        <f t="shared" ref="AD6:AD7" si="2">AB6-AC6</f>
        <v>23861</v>
      </c>
      <c r="AE6" s="91">
        <v>0.66</v>
      </c>
    </row>
    <row r="7" spans="2:31" x14ac:dyDescent="0.3">
      <c r="B7" t="s">
        <v>118</v>
      </c>
      <c r="C7" s="109" t="s">
        <v>79</v>
      </c>
      <c r="D7" s="106">
        <v>36360</v>
      </c>
      <c r="E7" s="106">
        <v>35638</v>
      </c>
      <c r="F7" s="107">
        <f>D7-E7</f>
        <v>722</v>
      </c>
      <c r="G7" s="108">
        <v>0.98</v>
      </c>
      <c r="J7" t="s">
        <v>118</v>
      </c>
      <c r="K7" s="90" t="s">
        <v>13</v>
      </c>
      <c r="L7" s="90">
        <v>70400</v>
      </c>
      <c r="M7" s="90">
        <v>51133</v>
      </c>
      <c r="N7" s="90">
        <f t="shared" si="0"/>
        <v>19267</v>
      </c>
      <c r="O7" s="92">
        <v>0.73</v>
      </c>
      <c r="R7" t="s">
        <v>118</v>
      </c>
      <c r="S7" s="93" t="s">
        <v>78</v>
      </c>
      <c r="T7" s="90">
        <v>46080</v>
      </c>
      <c r="U7" s="90">
        <v>0</v>
      </c>
      <c r="V7" s="90">
        <f t="shared" si="1"/>
        <v>46080</v>
      </c>
      <c r="W7" s="91">
        <v>0</v>
      </c>
      <c r="Z7" t="s">
        <v>118</v>
      </c>
      <c r="AA7" s="93" t="s">
        <v>13</v>
      </c>
      <c r="AB7" s="90">
        <v>70400</v>
      </c>
      <c r="AC7" s="90">
        <v>56086</v>
      </c>
      <c r="AD7" s="90">
        <f t="shared" si="2"/>
        <v>14314</v>
      </c>
      <c r="AE7" s="91">
        <v>0.8</v>
      </c>
    </row>
    <row r="8" spans="2:31" x14ac:dyDescent="0.3">
      <c r="B8" t="s">
        <v>143</v>
      </c>
      <c r="C8" s="110">
        <v>80014027</v>
      </c>
      <c r="D8" s="111">
        <v>14784</v>
      </c>
      <c r="E8" s="111">
        <v>8798</v>
      </c>
      <c r="F8" s="110">
        <f>D8-E8</f>
        <v>5986</v>
      </c>
      <c r="G8" s="112">
        <v>0.6</v>
      </c>
      <c r="J8" t="s">
        <v>143</v>
      </c>
      <c r="K8" s="104" t="s">
        <v>13</v>
      </c>
      <c r="L8" s="104">
        <v>70400</v>
      </c>
      <c r="M8" s="104">
        <v>38115</v>
      </c>
      <c r="N8" s="104">
        <f>L8-M8</f>
        <v>32285</v>
      </c>
      <c r="O8" s="92">
        <v>0.54</v>
      </c>
      <c r="R8" t="s">
        <v>143</v>
      </c>
      <c r="S8" s="105" t="s">
        <v>78</v>
      </c>
      <c r="T8" s="103">
        <v>46080</v>
      </c>
      <c r="U8" s="103">
        <v>36463</v>
      </c>
      <c r="V8" s="103">
        <f>T8-U8</f>
        <v>9617</v>
      </c>
      <c r="W8" s="91">
        <v>0.79</v>
      </c>
      <c r="Z8" t="s">
        <v>143</v>
      </c>
      <c r="AA8" s="105" t="s">
        <v>13</v>
      </c>
      <c r="AB8" s="103">
        <v>70400</v>
      </c>
      <c r="AC8" s="103">
        <v>56426</v>
      </c>
      <c r="AD8" s="103">
        <f>AB8-AC8</f>
        <v>13974</v>
      </c>
      <c r="AE8" s="91">
        <v>0.8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32"/>
  <sheetViews>
    <sheetView workbookViewId="0">
      <selection activeCell="L5" sqref="L5"/>
    </sheetView>
  </sheetViews>
  <sheetFormatPr baseColWidth="10" defaultRowHeight="14.4" x14ac:dyDescent="0.3"/>
  <cols>
    <col min="2" max="2" width="20.77734375" bestFit="1" customWidth="1"/>
    <col min="3" max="3" width="16.5546875" bestFit="1" customWidth="1"/>
    <col min="4" max="5" width="2.77734375" customWidth="1"/>
    <col min="7" max="7" width="4" customWidth="1"/>
    <col min="8" max="8" width="3.77734375" customWidth="1"/>
    <col min="9" max="9" width="22.77734375" bestFit="1" customWidth="1"/>
    <col min="10" max="10" width="20.77734375" bestFit="1" customWidth="1"/>
    <col min="11" max="11" width="8.6640625" customWidth="1"/>
    <col min="12" max="12" width="5.77734375" customWidth="1"/>
    <col min="13" max="13" width="4.44140625" customWidth="1"/>
    <col min="14" max="15" width="20.77734375" bestFit="1" customWidth="1"/>
    <col min="16" max="16" width="20.109375" bestFit="1" customWidth="1"/>
    <col min="17" max="18" width="2.77734375" customWidth="1"/>
    <col min="19" max="19" width="20.77734375" bestFit="1" customWidth="1"/>
    <col min="20" max="20" width="15.44140625" bestFit="1" customWidth="1"/>
    <col min="21" max="21" width="16" bestFit="1" customWidth="1"/>
    <col min="22" max="22" width="24.109375" bestFit="1" customWidth="1"/>
    <col min="23" max="23" width="21.109375" bestFit="1" customWidth="1"/>
    <col min="24" max="24" width="23" bestFit="1" customWidth="1"/>
    <col min="28" max="28" width="20.77734375" bestFit="1" customWidth="1"/>
    <col min="29" max="29" width="15.77734375" bestFit="1" customWidth="1"/>
    <col min="30" max="30" width="16" bestFit="1" customWidth="1"/>
    <col min="31" max="31" width="24.109375" bestFit="1" customWidth="1"/>
    <col min="32" max="32" width="21.109375" bestFit="1" customWidth="1"/>
    <col min="33" max="33" width="23" bestFit="1" customWidth="1"/>
    <col min="37" max="37" width="20.77734375" bestFit="1" customWidth="1"/>
    <col min="38" max="38" width="15.77734375" bestFit="1" customWidth="1"/>
    <col min="39" max="39" width="16" bestFit="1" customWidth="1"/>
    <col min="40" max="40" width="24.109375" bestFit="1" customWidth="1"/>
    <col min="41" max="41" width="21.109375" bestFit="1" customWidth="1"/>
    <col min="42" max="42" width="23" bestFit="1" customWidth="1"/>
    <col min="45" max="45" width="20.77734375" bestFit="1" customWidth="1"/>
    <col min="46" max="46" width="15.77734375" bestFit="1" customWidth="1"/>
    <col min="47" max="47" width="16" bestFit="1" customWidth="1"/>
    <col min="48" max="48" width="24.109375" bestFit="1" customWidth="1"/>
    <col min="49" max="49" width="21.109375" bestFit="1" customWidth="1"/>
    <col min="50" max="50" width="23" bestFit="1" customWidth="1"/>
    <col min="54" max="54" width="20.77734375" bestFit="1" customWidth="1"/>
    <col min="55" max="55" width="15.44140625" bestFit="1" customWidth="1"/>
    <col min="56" max="56" width="24.109375" bestFit="1" customWidth="1"/>
    <col min="59" max="59" width="20.77734375" bestFit="1" customWidth="1"/>
    <col min="60" max="60" width="15.77734375" bestFit="1" customWidth="1"/>
    <col min="61" max="61" width="24.109375" bestFit="1" customWidth="1"/>
    <col min="64" max="64" width="20.77734375" bestFit="1" customWidth="1"/>
    <col min="65" max="65" width="15.77734375" bestFit="1" customWidth="1"/>
    <col min="66" max="66" width="24.109375" bestFit="1" customWidth="1"/>
    <col min="69" max="69" width="20.77734375" bestFit="1" customWidth="1"/>
    <col min="70" max="70" width="15.77734375" bestFit="1" customWidth="1"/>
    <col min="71" max="71" width="24.109375" bestFit="1" customWidth="1"/>
  </cols>
  <sheetData>
    <row r="1" spans="2:71" x14ac:dyDescent="0.3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3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3">
      <c r="B4" s="61" t="s">
        <v>12</v>
      </c>
      <c r="C4" s="82">
        <v>29</v>
      </c>
      <c r="F4" t="s">
        <v>64</v>
      </c>
      <c r="G4">
        <f>GETPIVOTDATA("Arrêts",$B$3)</f>
        <v>79</v>
      </c>
      <c r="I4" s="61" t="s">
        <v>16</v>
      </c>
      <c r="J4" s="63">
        <v>1146</v>
      </c>
      <c r="K4" t="s">
        <v>65</v>
      </c>
      <c r="L4">
        <f>GETPIVOTDATA("Durées (m)",$I$3)/60</f>
        <v>105.65</v>
      </c>
      <c r="N4" s="61" t="s">
        <v>12</v>
      </c>
      <c r="O4" s="82">
        <v>2500</v>
      </c>
      <c r="P4" s="62">
        <v>41.666666666666671</v>
      </c>
      <c r="S4" s="64">
        <v>45693</v>
      </c>
      <c r="T4" s="65">
        <v>0.96</v>
      </c>
      <c r="U4" s="65">
        <v>0.96</v>
      </c>
      <c r="V4" s="82">
        <v>12600</v>
      </c>
      <c r="W4" s="82">
        <v>6800</v>
      </c>
      <c r="X4" s="82">
        <v>19400</v>
      </c>
      <c r="Y4" t="s">
        <v>71</v>
      </c>
      <c r="Z4" s="1">
        <f>GETPIVOTDATA("Somme de TRS 1",$S$3)</f>
        <v>12.060000000000002</v>
      </c>
      <c r="AB4" s="64">
        <v>45693</v>
      </c>
      <c r="AC4" s="65">
        <v>0.315</v>
      </c>
      <c r="AD4" s="65">
        <v>0.39</v>
      </c>
      <c r="AE4" s="82">
        <v>7250</v>
      </c>
      <c r="AF4" s="82">
        <v>4750</v>
      </c>
      <c r="AG4" s="82">
        <v>12000</v>
      </c>
      <c r="AH4" t="s">
        <v>71</v>
      </c>
      <c r="AI4" s="1">
        <f>GETPIVOTDATA("Somme de TRS 1",$AB$3)</f>
        <v>15.120000000000001</v>
      </c>
      <c r="AK4" s="64">
        <v>45693</v>
      </c>
      <c r="AL4" s="65">
        <v>0.81499999999999995</v>
      </c>
      <c r="AM4" s="65">
        <v>0.57599999999999996</v>
      </c>
      <c r="AN4" s="82">
        <v>9400</v>
      </c>
      <c r="AO4" s="82">
        <v>600</v>
      </c>
      <c r="AP4" s="82">
        <v>10000</v>
      </c>
      <c r="AQ4" t="s">
        <v>71</v>
      </c>
      <c r="AR4" s="1">
        <f>GETPIVOTDATA("Somme de TRS 1",$AK$3)</f>
        <v>5.7850000000000001</v>
      </c>
      <c r="AS4" s="64">
        <v>45693</v>
      </c>
      <c r="AT4" s="65">
        <v>0.76</v>
      </c>
      <c r="AU4" s="65">
        <v>0.84</v>
      </c>
      <c r="AV4" s="82">
        <v>13460</v>
      </c>
      <c r="AW4" s="82">
        <v>8950</v>
      </c>
      <c r="AX4" s="82">
        <v>22410</v>
      </c>
      <c r="AY4" t="s">
        <v>71</v>
      </c>
      <c r="AZ4" s="1">
        <f>GETPIVOTDATA("Somme de TRS 1",$AS$3)</f>
        <v>17.363000000000003</v>
      </c>
      <c r="BB4" s="64">
        <v>45719</v>
      </c>
      <c r="BC4" s="65">
        <v>0.88</v>
      </c>
      <c r="BD4" s="82">
        <v>10150</v>
      </c>
      <c r="BG4" s="64">
        <v>45719</v>
      </c>
      <c r="BH4" s="65">
        <v>0.74</v>
      </c>
      <c r="BI4" s="82">
        <v>13051</v>
      </c>
      <c r="BL4" s="64">
        <v>45719</v>
      </c>
      <c r="BM4" s="65">
        <v>0</v>
      </c>
      <c r="BN4" s="82">
        <v>0</v>
      </c>
      <c r="BQ4" s="64">
        <v>45719</v>
      </c>
      <c r="BR4" s="65">
        <v>0.81</v>
      </c>
      <c r="BS4" s="82">
        <v>14246</v>
      </c>
    </row>
    <row r="5" spans="2:71" x14ac:dyDescent="0.3">
      <c r="B5" s="61" t="s">
        <v>15</v>
      </c>
      <c r="C5" s="82">
        <v>32</v>
      </c>
      <c r="I5" s="61" t="s">
        <v>20</v>
      </c>
      <c r="J5" s="63">
        <v>310</v>
      </c>
      <c r="L5" s="62">
        <f>L4/24</f>
        <v>4.4020833333333336</v>
      </c>
      <c r="N5" s="61" t="s">
        <v>15</v>
      </c>
      <c r="O5" s="82">
        <v>1823</v>
      </c>
      <c r="P5" s="62">
        <v>30.383333333333333</v>
      </c>
      <c r="S5" s="64">
        <v>45694</v>
      </c>
      <c r="T5" s="65">
        <v>0.99</v>
      </c>
      <c r="U5" s="65">
        <v>0.99329999999999996</v>
      </c>
      <c r="V5" s="82">
        <v>12800</v>
      </c>
      <c r="W5" s="82">
        <v>7000</v>
      </c>
      <c r="X5" s="82">
        <v>19800</v>
      </c>
      <c r="Y5" t="s">
        <v>72</v>
      </c>
      <c r="Z5" s="1">
        <f>GETPIVOTDATA("Somme de TRS 2 ",$S$3)</f>
        <v>11.623300000000002</v>
      </c>
      <c r="AB5" s="64">
        <v>45694</v>
      </c>
      <c r="AC5" s="65">
        <v>0.63</v>
      </c>
      <c r="AD5" s="65">
        <v>0.67330000000000001</v>
      </c>
      <c r="AE5" s="82">
        <v>18600</v>
      </c>
      <c r="AF5" s="82">
        <v>6700</v>
      </c>
      <c r="AG5" s="82">
        <v>25300</v>
      </c>
      <c r="AH5" t="s">
        <v>72</v>
      </c>
      <c r="AI5" s="1">
        <f>GETPIVOTDATA("Somme de TRS 2 ",$AB$3)</f>
        <v>14.129300000000001</v>
      </c>
      <c r="AK5" s="64">
        <v>45694</v>
      </c>
      <c r="AL5" s="65">
        <v>0.85</v>
      </c>
      <c r="AM5" s="65">
        <v>0.63</v>
      </c>
      <c r="AN5" s="82">
        <v>14000</v>
      </c>
      <c r="AO5" s="82">
        <v>1200</v>
      </c>
      <c r="AP5" s="82">
        <v>15200</v>
      </c>
      <c r="AQ5" t="s">
        <v>72</v>
      </c>
      <c r="AR5" s="1">
        <f>GETPIVOTDATA("Somme de TRS 2 ",$AK$3)</f>
        <v>5.226</v>
      </c>
      <c r="AS5" s="64">
        <v>45694</v>
      </c>
      <c r="AT5" s="65">
        <v>0.88</v>
      </c>
      <c r="AU5" s="65">
        <v>0.63329999999999997</v>
      </c>
      <c r="AV5" s="82">
        <v>21250</v>
      </c>
      <c r="AW5" s="82">
        <v>1200</v>
      </c>
      <c r="AX5" s="82">
        <v>22450</v>
      </c>
      <c r="AY5" t="s">
        <v>72</v>
      </c>
      <c r="AZ5" s="1">
        <f>GETPIVOTDATA("Somme de TRS 2 ",$AS$3)</f>
        <v>15.042300000000003</v>
      </c>
      <c r="BB5" s="64">
        <v>45720</v>
      </c>
      <c r="BC5" s="65">
        <v>0.25</v>
      </c>
      <c r="BD5" s="82">
        <v>2888</v>
      </c>
      <c r="BG5" s="64">
        <v>45720</v>
      </c>
      <c r="BH5" s="65">
        <v>0.82</v>
      </c>
      <c r="BI5" s="82">
        <v>14372</v>
      </c>
      <c r="BL5" s="64">
        <v>45720</v>
      </c>
      <c r="BM5" s="65">
        <v>0</v>
      </c>
      <c r="BN5" s="82">
        <v>0</v>
      </c>
      <c r="BQ5" s="64">
        <v>45720</v>
      </c>
      <c r="BR5" s="65">
        <v>0.76</v>
      </c>
      <c r="BS5" s="82">
        <v>13345</v>
      </c>
    </row>
    <row r="6" spans="2:71" x14ac:dyDescent="0.3">
      <c r="B6" s="61" t="s">
        <v>14</v>
      </c>
      <c r="C6" s="82">
        <v>9</v>
      </c>
      <c r="I6" s="61" t="s">
        <v>17</v>
      </c>
      <c r="J6" s="63">
        <v>1310</v>
      </c>
      <c r="N6" s="61" t="s">
        <v>14</v>
      </c>
      <c r="O6" s="82">
        <v>420</v>
      </c>
      <c r="P6" s="62">
        <v>7</v>
      </c>
      <c r="S6" s="64">
        <v>45695</v>
      </c>
      <c r="T6" s="65">
        <v>0.75</v>
      </c>
      <c r="U6" s="65">
        <v>0.75</v>
      </c>
      <c r="V6" s="82">
        <v>4900</v>
      </c>
      <c r="W6" s="82">
        <v>0</v>
      </c>
      <c r="X6" s="82">
        <v>4900</v>
      </c>
      <c r="Y6" t="s">
        <v>73</v>
      </c>
      <c r="Z6">
        <f>GETPIVOTDATA("Somme de Quantité E1+E2",$S$3)</f>
        <v>143431</v>
      </c>
      <c r="AB6" s="64">
        <v>45695</v>
      </c>
      <c r="AC6" s="65">
        <v>0.51</v>
      </c>
      <c r="AD6" s="65">
        <v>0.51</v>
      </c>
      <c r="AE6" s="82">
        <v>4500</v>
      </c>
      <c r="AF6" s="82">
        <v>0</v>
      </c>
      <c r="AG6" s="82">
        <v>4500</v>
      </c>
      <c r="AH6" t="s">
        <v>73</v>
      </c>
      <c r="AI6">
        <f>GETPIVOTDATA("Somme de Quantité E1+E2",$AB$3)</f>
        <v>264971</v>
      </c>
      <c r="AK6" s="64">
        <v>45695</v>
      </c>
      <c r="AL6" s="65">
        <v>0.43</v>
      </c>
      <c r="AM6" s="65">
        <v>0.43</v>
      </c>
      <c r="AN6" s="82">
        <v>2500</v>
      </c>
      <c r="AO6" s="82">
        <v>0</v>
      </c>
      <c r="AP6" s="82">
        <v>2500</v>
      </c>
      <c r="AQ6" t="s">
        <v>73</v>
      </c>
      <c r="AR6">
        <f>GETPIVOTDATA("Somme de Quantité E1+E2",$AK$3)</f>
        <v>70263</v>
      </c>
      <c r="AS6" s="64">
        <v>45695</v>
      </c>
      <c r="AT6" s="65">
        <v>0.34</v>
      </c>
      <c r="AU6" s="65">
        <v>0.34</v>
      </c>
      <c r="AV6" s="82">
        <v>3000</v>
      </c>
      <c r="AW6" s="82">
        <v>0</v>
      </c>
      <c r="AX6" s="82">
        <v>3000</v>
      </c>
      <c r="AY6" t="s">
        <v>73</v>
      </c>
      <c r="AZ6">
        <f>GETPIVOTDATA("Somme de Quantité E1+E2",$AS$3)</f>
        <v>303591</v>
      </c>
      <c r="BB6" s="64">
        <v>45721</v>
      </c>
      <c r="BC6" s="65">
        <v>0.56999999999999995</v>
      </c>
      <c r="BD6" s="82">
        <v>7155</v>
      </c>
      <c r="BG6" s="64">
        <v>45721</v>
      </c>
      <c r="BH6" s="65">
        <v>0.73</v>
      </c>
      <c r="BI6" s="82">
        <v>12925</v>
      </c>
      <c r="BL6" s="64">
        <v>45721</v>
      </c>
      <c r="BM6" s="65">
        <v>0</v>
      </c>
      <c r="BN6" s="82">
        <v>0</v>
      </c>
      <c r="BQ6" s="64">
        <v>45721</v>
      </c>
      <c r="BR6" s="65">
        <v>0.67</v>
      </c>
      <c r="BS6" s="82">
        <v>11808</v>
      </c>
    </row>
    <row r="7" spans="2:71" x14ac:dyDescent="0.3">
      <c r="B7" s="61" t="s">
        <v>4</v>
      </c>
      <c r="C7" s="82">
        <v>9</v>
      </c>
      <c r="I7" s="61" t="s">
        <v>92</v>
      </c>
      <c r="J7" s="63">
        <v>1560</v>
      </c>
      <c r="N7" s="61" t="s">
        <v>4</v>
      </c>
      <c r="O7" s="82">
        <v>1596</v>
      </c>
      <c r="P7" s="62">
        <v>26.599999999999998</v>
      </c>
      <c r="S7" s="64">
        <v>45698</v>
      </c>
      <c r="T7" s="65">
        <v>0</v>
      </c>
      <c r="U7" s="65">
        <v>0</v>
      </c>
      <c r="V7" s="82">
        <v>0</v>
      </c>
      <c r="W7" s="82">
        <v>0</v>
      </c>
      <c r="X7" s="82">
        <v>0</v>
      </c>
      <c r="Y7" t="s">
        <v>74</v>
      </c>
      <c r="Z7">
        <f>GETPIVOTDATA("Somme de Quantité E3",$S$3)</f>
        <v>51882</v>
      </c>
      <c r="AB7" s="64">
        <v>45698</v>
      </c>
      <c r="AC7" s="65">
        <v>0.73</v>
      </c>
      <c r="AD7" s="65">
        <v>0.81</v>
      </c>
      <c r="AE7" s="82">
        <v>13250</v>
      </c>
      <c r="AF7" s="82">
        <v>8500</v>
      </c>
      <c r="AG7" s="82">
        <v>21750</v>
      </c>
      <c r="AH7" t="s">
        <v>74</v>
      </c>
      <c r="AI7">
        <f>GETPIVOTDATA("Somme de Quantité E3",$AB$3)</f>
        <v>116572</v>
      </c>
      <c r="AK7" s="64">
        <v>45698</v>
      </c>
      <c r="AL7" s="65">
        <v>0.52</v>
      </c>
      <c r="AM7" s="65">
        <v>0.45</v>
      </c>
      <c r="AN7" s="82">
        <v>7900</v>
      </c>
      <c r="AO7" s="82">
        <v>1800</v>
      </c>
      <c r="AP7" s="82">
        <v>9700</v>
      </c>
      <c r="AQ7" t="s">
        <v>74</v>
      </c>
      <c r="AR7">
        <f>GETPIVOTDATA("Somme de Quantité E3",$AK$3)</f>
        <v>21360</v>
      </c>
      <c r="AS7" s="64">
        <v>45698</v>
      </c>
      <c r="AT7" s="65">
        <v>0.28000000000000003</v>
      </c>
      <c r="AU7" s="65">
        <v>0.19</v>
      </c>
      <c r="AV7" s="82">
        <v>6400</v>
      </c>
      <c r="AW7" s="82">
        <v>0</v>
      </c>
      <c r="AX7" s="82">
        <v>6400</v>
      </c>
      <c r="AY7" t="s">
        <v>74</v>
      </c>
      <c r="AZ7">
        <f>GETPIVOTDATA("Somme de Quantité E3",$AS$3)</f>
        <v>108091</v>
      </c>
      <c r="BB7" s="64">
        <v>45722</v>
      </c>
      <c r="BC7" s="65">
        <v>0.82</v>
      </c>
      <c r="BD7" s="82">
        <v>9500</v>
      </c>
      <c r="BG7" s="64">
        <v>45722</v>
      </c>
      <c r="BH7" s="65">
        <v>0.24</v>
      </c>
      <c r="BI7" s="82">
        <v>4260</v>
      </c>
      <c r="BL7" s="64">
        <v>45722</v>
      </c>
      <c r="BM7" s="65">
        <v>0</v>
      </c>
      <c r="BN7" s="82">
        <v>0</v>
      </c>
      <c r="BQ7" s="64">
        <v>45722</v>
      </c>
      <c r="BR7" s="65">
        <v>0.41</v>
      </c>
      <c r="BS7" s="82">
        <v>7160</v>
      </c>
    </row>
    <row r="8" spans="2:71" x14ac:dyDescent="0.3">
      <c r="B8" s="61" t="s">
        <v>60</v>
      </c>
      <c r="C8" s="82">
        <v>79</v>
      </c>
      <c r="I8" s="61" t="s">
        <v>93</v>
      </c>
      <c r="J8" s="63">
        <v>1333</v>
      </c>
      <c r="N8" s="61" t="s">
        <v>60</v>
      </c>
      <c r="O8" s="82">
        <v>6339</v>
      </c>
      <c r="P8" s="82">
        <v>105.65</v>
      </c>
      <c r="S8" s="64">
        <v>45699</v>
      </c>
      <c r="T8" s="65">
        <v>0</v>
      </c>
      <c r="U8" s="65">
        <v>0</v>
      </c>
      <c r="V8" s="82">
        <v>0</v>
      </c>
      <c r="W8" s="82">
        <v>0</v>
      </c>
      <c r="X8" s="82">
        <v>0</v>
      </c>
      <c r="Y8" t="s">
        <v>75</v>
      </c>
      <c r="Z8">
        <f>GETPIVOTDATA("Somme de Quantité total",$S$3)</f>
        <v>195313</v>
      </c>
      <c r="AB8" s="64">
        <v>45699</v>
      </c>
      <c r="AC8" s="65">
        <v>0.33</v>
      </c>
      <c r="AD8" s="65">
        <v>0.22</v>
      </c>
      <c r="AE8" s="82">
        <v>5850</v>
      </c>
      <c r="AF8" s="82">
        <v>0</v>
      </c>
      <c r="AG8" s="82">
        <v>5850</v>
      </c>
      <c r="AH8" t="s">
        <v>75</v>
      </c>
      <c r="AI8">
        <f>GETPIVOTDATA("Somme de Quantité total",$AB$3)</f>
        <v>381543</v>
      </c>
      <c r="AK8" s="64">
        <v>45699</v>
      </c>
      <c r="AL8" s="65">
        <v>0</v>
      </c>
      <c r="AM8" s="65">
        <v>0</v>
      </c>
      <c r="AN8" s="82">
        <v>0</v>
      </c>
      <c r="AO8" s="82">
        <v>0</v>
      </c>
      <c r="AP8" s="82">
        <v>0</v>
      </c>
      <c r="AQ8" t="s">
        <v>75</v>
      </c>
      <c r="AR8">
        <f>GETPIVOTDATA("Somme de Quantité total",$AK$3)</f>
        <v>91623</v>
      </c>
      <c r="AS8" s="64">
        <v>45699</v>
      </c>
      <c r="AT8" s="65">
        <v>7.0000000000000007E-2</v>
      </c>
      <c r="AU8" s="65">
        <v>0.05</v>
      </c>
      <c r="AV8" s="82">
        <v>2340</v>
      </c>
      <c r="AW8" s="82">
        <v>0</v>
      </c>
      <c r="AX8" s="82">
        <v>2340</v>
      </c>
      <c r="AY8" t="s">
        <v>75</v>
      </c>
      <c r="AZ8">
        <f>GETPIVOTDATA("Somme de Quantité total",$AS$3)</f>
        <v>411682</v>
      </c>
      <c r="BB8" s="64">
        <v>45723</v>
      </c>
      <c r="BC8" s="65">
        <v>1</v>
      </c>
      <c r="BD8" s="82">
        <v>13726</v>
      </c>
      <c r="BG8" s="64">
        <v>45723</v>
      </c>
      <c r="BH8" s="65">
        <v>1</v>
      </c>
      <c r="BI8" s="82">
        <v>7460</v>
      </c>
      <c r="BL8" s="64">
        <v>45723</v>
      </c>
      <c r="BM8" s="65">
        <v>0</v>
      </c>
      <c r="BN8" s="82">
        <v>0</v>
      </c>
      <c r="BQ8" s="64">
        <v>45723</v>
      </c>
      <c r="BR8" s="65">
        <v>1</v>
      </c>
      <c r="BS8" s="82">
        <v>7935</v>
      </c>
    </row>
    <row r="9" spans="2:71" x14ac:dyDescent="0.3">
      <c r="I9" s="61" t="s">
        <v>95</v>
      </c>
      <c r="J9" s="63">
        <v>280</v>
      </c>
      <c r="S9" s="64">
        <v>45700</v>
      </c>
      <c r="T9" s="65">
        <v>0</v>
      </c>
      <c r="U9" s="65">
        <v>0</v>
      </c>
      <c r="V9" s="82">
        <v>0</v>
      </c>
      <c r="W9" s="82">
        <v>0</v>
      </c>
      <c r="X9" s="82">
        <v>0</v>
      </c>
      <c r="AB9" s="64">
        <v>45700</v>
      </c>
      <c r="AC9" s="65">
        <v>0</v>
      </c>
      <c r="AD9" s="65">
        <v>0</v>
      </c>
      <c r="AE9" s="82">
        <v>0</v>
      </c>
      <c r="AF9" s="82">
        <v>0</v>
      </c>
      <c r="AG9" s="82">
        <v>0</v>
      </c>
      <c r="AK9" s="64">
        <v>45700</v>
      </c>
      <c r="AL9" s="65">
        <v>0</v>
      </c>
      <c r="AM9" s="65">
        <v>0</v>
      </c>
      <c r="AN9" s="82">
        <v>0</v>
      </c>
      <c r="AO9" s="82">
        <v>0</v>
      </c>
      <c r="AP9" s="82">
        <v>0</v>
      </c>
      <c r="AS9" s="64">
        <v>45700</v>
      </c>
      <c r="AT9" s="65">
        <v>0.39</v>
      </c>
      <c r="AU9" s="65">
        <v>0.26</v>
      </c>
      <c r="AV9" s="82">
        <v>6900</v>
      </c>
      <c r="AW9" s="82">
        <v>0</v>
      </c>
      <c r="AX9" s="82">
        <v>6900</v>
      </c>
      <c r="BB9" s="64">
        <v>45726</v>
      </c>
      <c r="BC9" s="65">
        <v>0</v>
      </c>
      <c r="BD9" s="82">
        <v>0</v>
      </c>
      <c r="BG9" s="64">
        <v>45726</v>
      </c>
      <c r="BH9" s="65">
        <v>0.62</v>
      </c>
      <c r="BI9" s="82">
        <v>10800</v>
      </c>
      <c r="BL9" s="64">
        <v>45726</v>
      </c>
      <c r="BM9" s="65">
        <v>0</v>
      </c>
      <c r="BN9" s="82">
        <v>0</v>
      </c>
      <c r="BQ9" s="64">
        <v>45726</v>
      </c>
      <c r="BR9" s="65">
        <v>0.66</v>
      </c>
      <c r="BS9" s="82">
        <v>11500</v>
      </c>
    </row>
    <row r="10" spans="2:71" x14ac:dyDescent="0.3">
      <c r="I10" s="61" t="s">
        <v>96</v>
      </c>
      <c r="J10" s="63">
        <v>60</v>
      </c>
      <c r="S10" s="64">
        <v>45701</v>
      </c>
      <c r="T10" s="65">
        <v>0</v>
      </c>
      <c r="U10" s="65">
        <v>0</v>
      </c>
      <c r="V10" s="82">
        <v>0</v>
      </c>
      <c r="W10" s="82">
        <v>0</v>
      </c>
      <c r="X10" s="82">
        <v>0</v>
      </c>
      <c r="AB10" s="64">
        <v>45701</v>
      </c>
      <c r="AC10" s="65">
        <v>0.14000000000000001</v>
      </c>
      <c r="AD10" s="65">
        <v>9.2999999999999999E-2</v>
      </c>
      <c r="AE10" s="82">
        <v>5200</v>
      </c>
      <c r="AF10" s="82">
        <v>0</v>
      </c>
      <c r="AG10" s="82">
        <v>5200</v>
      </c>
      <c r="AK10" s="64">
        <v>45701</v>
      </c>
      <c r="AL10" s="65">
        <v>0</v>
      </c>
      <c r="AM10" s="65">
        <v>0</v>
      </c>
      <c r="AN10" s="82">
        <v>0</v>
      </c>
      <c r="AO10" s="82">
        <v>0</v>
      </c>
      <c r="AP10" s="82">
        <v>0</v>
      </c>
      <c r="AS10" s="64">
        <v>45701</v>
      </c>
      <c r="AT10" s="65">
        <v>0.41</v>
      </c>
      <c r="AU10" s="65">
        <v>0.27300000000000002</v>
      </c>
      <c r="AV10" s="82">
        <v>7180</v>
      </c>
      <c r="AW10" s="82">
        <v>0</v>
      </c>
      <c r="AX10" s="82">
        <v>7180</v>
      </c>
      <c r="BB10" s="64">
        <v>45727</v>
      </c>
      <c r="BC10" s="65">
        <v>0.96</v>
      </c>
      <c r="BD10" s="82">
        <v>10050</v>
      </c>
      <c r="BG10" s="64">
        <v>45727</v>
      </c>
      <c r="BH10" s="65">
        <v>0.82</v>
      </c>
      <c r="BI10" s="82">
        <v>14403</v>
      </c>
      <c r="BL10" s="64">
        <v>45727</v>
      </c>
      <c r="BM10" s="65">
        <v>0</v>
      </c>
      <c r="BN10" s="82">
        <v>0</v>
      </c>
      <c r="BQ10" s="64">
        <v>45727</v>
      </c>
      <c r="BR10" s="65">
        <v>0.9</v>
      </c>
      <c r="BS10" s="82">
        <v>15776</v>
      </c>
    </row>
    <row r="11" spans="2:71" x14ac:dyDescent="0.3">
      <c r="I11" s="61" t="s">
        <v>97</v>
      </c>
      <c r="J11" s="63">
        <v>100</v>
      </c>
      <c r="S11" s="64">
        <v>45702</v>
      </c>
      <c r="T11" s="65">
        <v>0</v>
      </c>
      <c r="U11" s="65">
        <v>0</v>
      </c>
      <c r="V11" s="82">
        <v>0</v>
      </c>
      <c r="W11" s="82">
        <v>0</v>
      </c>
      <c r="X11" s="82">
        <v>0</v>
      </c>
      <c r="AB11" s="64">
        <v>45702</v>
      </c>
      <c r="AC11" s="65">
        <v>0.245</v>
      </c>
      <c r="AD11" s="65">
        <v>0.16300000000000001</v>
      </c>
      <c r="AE11" s="82">
        <v>4340</v>
      </c>
      <c r="AF11" s="82">
        <v>0</v>
      </c>
      <c r="AG11" s="82">
        <v>4340</v>
      </c>
      <c r="AK11" s="64">
        <v>45702</v>
      </c>
      <c r="AL11" s="65">
        <v>0</v>
      </c>
      <c r="AM11" s="65">
        <v>0</v>
      </c>
      <c r="AN11" s="82">
        <v>0</v>
      </c>
      <c r="AO11" s="82">
        <v>0</v>
      </c>
      <c r="AP11" s="82">
        <v>0</v>
      </c>
      <c r="AS11" s="64">
        <v>45702</v>
      </c>
      <c r="AT11" s="65">
        <v>0.253</v>
      </c>
      <c r="AU11" s="65">
        <v>0.126</v>
      </c>
      <c r="AV11" s="82">
        <v>3320</v>
      </c>
      <c r="AW11" s="82">
        <v>0</v>
      </c>
      <c r="AX11" s="82">
        <v>3320</v>
      </c>
      <c r="BB11" s="64">
        <v>45728</v>
      </c>
      <c r="BC11" s="65">
        <v>0.98</v>
      </c>
      <c r="BD11" s="82">
        <v>12660</v>
      </c>
      <c r="BG11" s="64">
        <v>45728</v>
      </c>
      <c r="BH11" s="65">
        <v>0.84</v>
      </c>
      <c r="BI11" s="82">
        <v>14750</v>
      </c>
      <c r="BL11" s="64">
        <v>45728</v>
      </c>
      <c r="BM11" s="65">
        <v>0</v>
      </c>
      <c r="BN11" s="82">
        <v>0</v>
      </c>
      <c r="BQ11" s="64">
        <v>45728</v>
      </c>
      <c r="BR11" s="65">
        <v>0.81</v>
      </c>
      <c r="BS11" s="82">
        <v>14340</v>
      </c>
    </row>
    <row r="12" spans="2:71" x14ac:dyDescent="0.3">
      <c r="I12" s="61" t="s">
        <v>100</v>
      </c>
      <c r="J12" s="63">
        <v>140</v>
      </c>
      <c r="S12" s="64">
        <v>45705</v>
      </c>
      <c r="T12" s="65">
        <v>0</v>
      </c>
      <c r="U12" s="65">
        <v>0</v>
      </c>
      <c r="V12" s="82">
        <v>0</v>
      </c>
      <c r="W12" s="82">
        <v>0</v>
      </c>
      <c r="X12" s="82">
        <v>0</v>
      </c>
      <c r="AB12" s="64">
        <v>45705</v>
      </c>
      <c r="AC12" s="65">
        <v>0.36</v>
      </c>
      <c r="AD12" s="65">
        <v>0.24</v>
      </c>
      <c r="AE12" s="82">
        <v>6400</v>
      </c>
      <c r="AF12" s="82">
        <v>0</v>
      </c>
      <c r="AG12" s="82">
        <v>6400</v>
      </c>
      <c r="AK12" s="64">
        <v>45705</v>
      </c>
      <c r="AL12" s="65">
        <v>0</v>
      </c>
      <c r="AM12" s="65">
        <v>0</v>
      </c>
      <c r="AN12" s="82">
        <v>0</v>
      </c>
      <c r="AO12" s="82">
        <v>0</v>
      </c>
      <c r="AP12" s="82">
        <v>0</v>
      </c>
      <c r="AS12" s="64">
        <v>45705</v>
      </c>
      <c r="AT12" s="65">
        <v>0.42</v>
      </c>
      <c r="AU12" s="65">
        <v>0.28000000000000003</v>
      </c>
      <c r="AV12" s="82">
        <v>7350</v>
      </c>
      <c r="AW12" s="82">
        <v>0</v>
      </c>
      <c r="AX12" s="82">
        <v>7350</v>
      </c>
      <c r="BB12" s="64">
        <v>45729</v>
      </c>
      <c r="BC12" s="65">
        <v>1</v>
      </c>
      <c r="BD12" s="82">
        <v>12928</v>
      </c>
      <c r="BG12" s="64">
        <v>45729</v>
      </c>
      <c r="BH12" s="65">
        <v>0.64</v>
      </c>
      <c r="BI12" s="82">
        <v>11180</v>
      </c>
      <c r="BL12" s="64">
        <v>45729</v>
      </c>
      <c r="BM12" s="65">
        <v>0</v>
      </c>
      <c r="BN12" s="82">
        <v>0</v>
      </c>
      <c r="BQ12" s="64">
        <v>45729</v>
      </c>
      <c r="BR12" s="65">
        <v>0.82</v>
      </c>
      <c r="BS12" s="82">
        <v>14470</v>
      </c>
    </row>
    <row r="13" spans="2:71" x14ac:dyDescent="0.3">
      <c r="I13" s="61" t="s">
        <v>103</v>
      </c>
      <c r="J13" s="63">
        <v>100</v>
      </c>
      <c r="S13" s="64">
        <v>45706</v>
      </c>
      <c r="T13" s="65">
        <v>0.33</v>
      </c>
      <c r="U13" s="65">
        <v>0.22</v>
      </c>
      <c r="V13" s="82">
        <v>2960</v>
      </c>
      <c r="W13" s="82">
        <v>0</v>
      </c>
      <c r="X13" s="82">
        <v>2960</v>
      </c>
      <c r="AB13" s="64">
        <v>45706</v>
      </c>
      <c r="AC13" s="65">
        <v>0.77</v>
      </c>
      <c r="AD13" s="65">
        <v>0.51</v>
      </c>
      <c r="AE13" s="82">
        <v>13500</v>
      </c>
      <c r="AF13" s="82">
        <v>0</v>
      </c>
      <c r="AG13" s="82">
        <v>13500</v>
      </c>
      <c r="AK13" s="64">
        <v>45706</v>
      </c>
      <c r="AL13" s="65">
        <v>0</v>
      </c>
      <c r="AM13" s="65">
        <v>0</v>
      </c>
      <c r="AN13" s="82">
        <v>0</v>
      </c>
      <c r="AO13" s="82">
        <v>0</v>
      </c>
      <c r="AP13" s="82">
        <v>0</v>
      </c>
      <c r="AS13" s="64">
        <v>45706</v>
      </c>
      <c r="AT13" s="65">
        <v>0.71</v>
      </c>
      <c r="AU13" s="65">
        <v>0.47</v>
      </c>
      <c r="AV13" s="82">
        <v>12500</v>
      </c>
      <c r="AW13" s="82">
        <v>0</v>
      </c>
      <c r="AX13" s="82">
        <v>12500</v>
      </c>
      <c r="BB13" s="64">
        <v>45733</v>
      </c>
      <c r="BC13" s="65">
        <v>0</v>
      </c>
      <c r="BD13" s="82">
        <v>0</v>
      </c>
      <c r="BG13" s="64">
        <v>45733</v>
      </c>
      <c r="BH13" s="65">
        <v>0.33</v>
      </c>
      <c r="BI13" s="82">
        <v>5775</v>
      </c>
      <c r="BL13" s="64">
        <v>45733</v>
      </c>
      <c r="BM13" s="65">
        <v>0.88</v>
      </c>
      <c r="BN13" s="82">
        <v>10138</v>
      </c>
      <c r="BQ13" s="64">
        <v>45733</v>
      </c>
      <c r="BR13" s="65">
        <v>0.55000000000000004</v>
      </c>
      <c r="BS13" s="82">
        <v>9700</v>
      </c>
    </row>
    <row r="14" spans="2:71" x14ac:dyDescent="0.3">
      <c r="I14" s="61" t="s">
        <v>60</v>
      </c>
      <c r="J14" s="82">
        <v>6339</v>
      </c>
      <c r="S14" s="64">
        <v>45707</v>
      </c>
      <c r="T14" s="65">
        <v>0.48</v>
      </c>
      <c r="U14" s="65">
        <v>0.36</v>
      </c>
      <c r="V14" s="82">
        <v>4220</v>
      </c>
      <c r="W14" s="82">
        <v>580</v>
      </c>
      <c r="X14" s="82">
        <v>4800</v>
      </c>
      <c r="AB14" s="64">
        <v>45707</v>
      </c>
      <c r="AC14" s="65">
        <v>0.64</v>
      </c>
      <c r="AD14" s="65">
        <v>0.75</v>
      </c>
      <c r="AE14" s="82">
        <v>11200</v>
      </c>
      <c r="AF14" s="82">
        <v>8600</v>
      </c>
      <c r="AG14" s="82">
        <v>19800</v>
      </c>
      <c r="AK14" s="64">
        <v>45707</v>
      </c>
      <c r="AL14" s="65">
        <v>0</v>
      </c>
      <c r="AM14" s="65">
        <v>0</v>
      </c>
      <c r="AN14" s="82">
        <v>0</v>
      </c>
      <c r="AO14" s="82">
        <v>0</v>
      </c>
      <c r="AP14" s="82">
        <v>0</v>
      </c>
      <c r="AS14" s="64">
        <v>45707</v>
      </c>
      <c r="AT14" s="65">
        <v>0.56999999999999995</v>
      </c>
      <c r="AU14" s="65">
        <v>0.69</v>
      </c>
      <c r="AV14" s="82">
        <v>10000</v>
      </c>
      <c r="AW14" s="82">
        <v>8400</v>
      </c>
      <c r="AX14" s="82">
        <v>18400</v>
      </c>
      <c r="BB14" s="64">
        <v>45734</v>
      </c>
      <c r="BC14" s="65">
        <v>0</v>
      </c>
      <c r="BD14" s="82">
        <v>0</v>
      </c>
      <c r="BG14" s="64">
        <v>45734</v>
      </c>
      <c r="BH14" s="65">
        <v>0.66</v>
      </c>
      <c r="BI14" s="82">
        <v>11620</v>
      </c>
      <c r="BL14" s="64">
        <v>45734</v>
      </c>
      <c r="BM14" s="65">
        <v>0.78</v>
      </c>
      <c r="BN14" s="82">
        <v>8970</v>
      </c>
      <c r="BQ14" s="64">
        <v>45734</v>
      </c>
      <c r="BR14" s="65">
        <v>0.83</v>
      </c>
      <c r="BS14" s="82">
        <v>14680</v>
      </c>
    </row>
    <row r="15" spans="2:71" x14ac:dyDescent="0.3">
      <c r="S15" s="64">
        <v>45708</v>
      </c>
      <c r="T15" s="65">
        <v>0.89</v>
      </c>
      <c r="U15" s="65">
        <v>0.68</v>
      </c>
      <c r="V15" s="82">
        <v>18200</v>
      </c>
      <c r="W15" s="82">
        <v>1200</v>
      </c>
      <c r="X15" s="82">
        <v>19400</v>
      </c>
      <c r="AB15" s="64">
        <v>45708</v>
      </c>
      <c r="AC15" s="65">
        <v>0.85</v>
      </c>
      <c r="AD15" s="65">
        <v>0.56999999999999995</v>
      </c>
      <c r="AE15" s="82">
        <v>14950</v>
      </c>
      <c r="AF15" s="82">
        <v>0</v>
      </c>
      <c r="AG15" s="82">
        <v>14950</v>
      </c>
      <c r="AK15" s="64">
        <v>45708</v>
      </c>
      <c r="AL15" s="65">
        <v>0</v>
      </c>
      <c r="AM15" s="65">
        <v>0</v>
      </c>
      <c r="AN15" s="82">
        <v>0</v>
      </c>
      <c r="AO15" s="82">
        <v>0</v>
      </c>
      <c r="AP15" s="82">
        <v>0</v>
      </c>
      <c r="AS15" s="64">
        <v>45708</v>
      </c>
      <c r="AT15" s="65">
        <v>0.55000000000000004</v>
      </c>
      <c r="AU15" s="65">
        <v>0.36</v>
      </c>
      <c r="AV15" s="82">
        <v>11425</v>
      </c>
      <c r="AW15" s="82">
        <v>0</v>
      </c>
      <c r="AX15" s="82">
        <v>11425</v>
      </c>
      <c r="BB15" s="64">
        <v>45735</v>
      </c>
      <c r="BC15" s="65">
        <v>0.32</v>
      </c>
      <c r="BD15" s="82">
        <v>2210</v>
      </c>
      <c r="BG15" s="64">
        <v>45735</v>
      </c>
      <c r="BH15" s="65">
        <v>0.7</v>
      </c>
      <c r="BI15" s="82">
        <v>12235</v>
      </c>
      <c r="BL15" s="64">
        <v>45735</v>
      </c>
      <c r="BM15" s="65">
        <v>0.95</v>
      </c>
      <c r="BN15" s="82">
        <v>10930</v>
      </c>
      <c r="BQ15" s="64">
        <v>45735</v>
      </c>
      <c r="BR15" s="65">
        <v>0.9</v>
      </c>
      <c r="BS15" s="82">
        <v>15800</v>
      </c>
    </row>
    <row r="16" spans="2:71" x14ac:dyDescent="0.3">
      <c r="S16" s="64">
        <v>45709</v>
      </c>
      <c r="T16" s="65">
        <v>0</v>
      </c>
      <c r="U16" s="65">
        <v>0</v>
      </c>
      <c r="V16" s="82">
        <v>0</v>
      </c>
      <c r="W16" s="82">
        <v>0</v>
      </c>
      <c r="X16" s="82">
        <v>0</v>
      </c>
      <c r="AB16" s="64">
        <v>45709</v>
      </c>
      <c r="AC16" s="65">
        <v>0</v>
      </c>
      <c r="AD16" s="65">
        <v>0</v>
      </c>
      <c r="AE16" s="82">
        <v>0</v>
      </c>
      <c r="AF16" s="82">
        <v>0</v>
      </c>
      <c r="AG16" s="82">
        <v>0</v>
      </c>
      <c r="AK16" s="64">
        <v>45709</v>
      </c>
      <c r="AL16" s="65">
        <v>0</v>
      </c>
      <c r="AM16" s="65">
        <v>0</v>
      </c>
      <c r="AN16" s="82">
        <v>0</v>
      </c>
      <c r="AO16" s="82">
        <v>0</v>
      </c>
      <c r="AP16" s="82">
        <v>0</v>
      </c>
      <c r="AS16" s="64">
        <v>45709</v>
      </c>
      <c r="AT16" s="65">
        <v>0.56999999999999995</v>
      </c>
      <c r="AU16" s="65">
        <v>0.56999999999999995</v>
      </c>
      <c r="AV16" s="82">
        <v>10066</v>
      </c>
      <c r="AW16" s="82">
        <v>5033</v>
      </c>
      <c r="AX16" s="82">
        <v>15099</v>
      </c>
      <c r="BB16" s="64">
        <v>45736</v>
      </c>
      <c r="BC16" s="65">
        <v>0.88</v>
      </c>
      <c r="BD16" s="82">
        <v>6484</v>
      </c>
      <c r="BG16" s="64">
        <v>45736</v>
      </c>
      <c r="BH16" s="65">
        <v>0.48</v>
      </c>
      <c r="BI16" s="82">
        <v>8485</v>
      </c>
      <c r="BL16" s="64">
        <v>45736</v>
      </c>
      <c r="BM16" s="65">
        <v>0.56000000000000005</v>
      </c>
      <c r="BN16" s="82">
        <v>6425</v>
      </c>
      <c r="BQ16" s="64">
        <v>45736</v>
      </c>
      <c r="BR16" s="65">
        <v>0.92</v>
      </c>
      <c r="BS16" s="82">
        <v>16240</v>
      </c>
    </row>
    <row r="17" spans="19:71" x14ac:dyDescent="0.3">
      <c r="S17" s="64">
        <v>45712</v>
      </c>
      <c r="T17" s="65">
        <v>0</v>
      </c>
      <c r="U17" s="65">
        <v>0</v>
      </c>
      <c r="V17" s="82">
        <v>0</v>
      </c>
      <c r="W17" s="82">
        <v>0</v>
      </c>
      <c r="X17" s="82">
        <v>0</v>
      </c>
      <c r="AB17" s="64">
        <v>45712</v>
      </c>
      <c r="AC17" s="65">
        <v>0.73</v>
      </c>
      <c r="AD17" s="65">
        <v>0.49</v>
      </c>
      <c r="AE17" s="82">
        <v>14000</v>
      </c>
      <c r="AF17" s="82">
        <v>0</v>
      </c>
      <c r="AG17" s="82">
        <v>14000</v>
      </c>
      <c r="AK17" s="64">
        <v>45712</v>
      </c>
      <c r="AL17" s="65">
        <v>0</v>
      </c>
      <c r="AM17" s="65">
        <v>0</v>
      </c>
      <c r="AN17" s="82">
        <v>0</v>
      </c>
      <c r="AO17" s="82">
        <v>0</v>
      </c>
      <c r="AP17" s="82">
        <v>0</v>
      </c>
      <c r="AS17" s="64">
        <v>45712</v>
      </c>
      <c r="AT17" s="65">
        <v>0.83</v>
      </c>
      <c r="AU17" s="65">
        <v>0.55000000000000004</v>
      </c>
      <c r="AV17" s="82">
        <v>15000</v>
      </c>
      <c r="AW17" s="82">
        <v>0</v>
      </c>
      <c r="AX17" s="82">
        <v>15000</v>
      </c>
      <c r="BB17" s="64" t="s">
        <v>60</v>
      </c>
      <c r="BC17" s="65">
        <v>7.6599999999999993</v>
      </c>
      <c r="BD17" s="82">
        <v>87751</v>
      </c>
      <c r="BG17" s="64" t="s">
        <v>60</v>
      </c>
      <c r="BH17" s="65">
        <v>8.620000000000001</v>
      </c>
      <c r="BI17" s="82">
        <v>141316</v>
      </c>
      <c r="BL17" s="64" t="s">
        <v>60</v>
      </c>
      <c r="BM17" s="65">
        <v>3.1700000000000004</v>
      </c>
      <c r="BN17" s="82">
        <v>36463</v>
      </c>
      <c r="BQ17" s="64" t="s">
        <v>60</v>
      </c>
      <c r="BR17" s="65">
        <v>10.040000000000001</v>
      </c>
      <c r="BS17" s="82">
        <v>167000</v>
      </c>
    </row>
    <row r="18" spans="19:71" x14ac:dyDescent="0.3">
      <c r="S18" s="64">
        <v>45713</v>
      </c>
      <c r="T18" s="65">
        <v>0</v>
      </c>
      <c r="U18" s="65">
        <v>0</v>
      </c>
      <c r="V18" s="82">
        <v>0</v>
      </c>
      <c r="W18" s="82">
        <v>0</v>
      </c>
      <c r="X18" s="82">
        <v>0</v>
      </c>
      <c r="AB18" s="64">
        <v>45713</v>
      </c>
      <c r="AC18" s="65">
        <v>0.25</v>
      </c>
      <c r="AD18" s="65">
        <v>0.16</v>
      </c>
      <c r="AE18" s="82">
        <v>4615</v>
      </c>
      <c r="AF18" s="82">
        <v>0</v>
      </c>
      <c r="AG18" s="82">
        <v>4615</v>
      </c>
      <c r="AK18" s="64">
        <v>45713</v>
      </c>
      <c r="AL18" s="65">
        <v>0</v>
      </c>
      <c r="AM18" s="65">
        <v>0</v>
      </c>
      <c r="AN18" s="82">
        <v>0</v>
      </c>
      <c r="AO18" s="82">
        <v>0</v>
      </c>
      <c r="AP18" s="82">
        <v>0</v>
      </c>
      <c r="AS18" s="64">
        <v>45713</v>
      </c>
      <c r="AT18" s="65">
        <v>0.28999999999999998</v>
      </c>
      <c r="AU18" s="65">
        <v>0.19</v>
      </c>
      <c r="AV18" s="82">
        <v>6400</v>
      </c>
      <c r="AW18" s="82">
        <v>0</v>
      </c>
      <c r="AX18" s="82">
        <v>6400</v>
      </c>
    </row>
    <row r="19" spans="19:71" x14ac:dyDescent="0.3">
      <c r="S19" s="64">
        <v>45719</v>
      </c>
      <c r="T19" s="65">
        <v>0.88</v>
      </c>
      <c r="U19" s="65">
        <v>0.76</v>
      </c>
      <c r="V19" s="82">
        <v>10150</v>
      </c>
      <c r="W19" s="82">
        <v>3000</v>
      </c>
      <c r="X19" s="82">
        <v>13150</v>
      </c>
      <c r="AB19" s="64">
        <v>45719</v>
      </c>
      <c r="AC19" s="65">
        <v>0.74</v>
      </c>
      <c r="AD19" s="65">
        <v>0.82</v>
      </c>
      <c r="AE19" s="82">
        <v>13051</v>
      </c>
      <c r="AF19" s="82">
        <v>8600</v>
      </c>
      <c r="AG19" s="82">
        <v>21651</v>
      </c>
      <c r="AK19" s="64">
        <v>45719</v>
      </c>
      <c r="AL19" s="65">
        <v>0</v>
      </c>
      <c r="AM19" s="65">
        <v>0</v>
      </c>
      <c r="AN19" s="82">
        <v>0</v>
      </c>
      <c r="AO19" s="82">
        <v>0</v>
      </c>
      <c r="AP19" s="82">
        <v>0</v>
      </c>
      <c r="AS19" s="64">
        <v>45719</v>
      </c>
      <c r="AT19" s="65">
        <v>0.81</v>
      </c>
      <c r="AU19" s="65">
        <v>0.87</v>
      </c>
      <c r="AV19" s="82">
        <v>14246</v>
      </c>
      <c r="AW19" s="82">
        <v>8600</v>
      </c>
      <c r="AX19" s="82">
        <v>22846</v>
      </c>
    </row>
    <row r="20" spans="19:71" x14ac:dyDescent="0.3">
      <c r="S20" s="64">
        <v>45720</v>
      </c>
      <c r="T20" s="65">
        <v>0.25</v>
      </c>
      <c r="U20" s="65">
        <v>0.2</v>
      </c>
      <c r="V20" s="82">
        <v>2888</v>
      </c>
      <c r="W20" s="82">
        <v>530</v>
      </c>
      <c r="X20" s="82">
        <v>3418</v>
      </c>
      <c r="AB20" s="64">
        <v>45720</v>
      </c>
      <c r="AC20" s="65">
        <v>0.82</v>
      </c>
      <c r="AD20" s="65">
        <v>0.87</v>
      </c>
      <c r="AE20" s="82">
        <v>14372</v>
      </c>
      <c r="AF20" s="82">
        <v>8700</v>
      </c>
      <c r="AG20" s="82">
        <v>23072</v>
      </c>
      <c r="AK20" s="64">
        <v>45720</v>
      </c>
      <c r="AL20" s="65">
        <v>0</v>
      </c>
      <c r="AM20" s="65">
        <v>0</v>
      </c>
      <c r="AN20" s="82">
        <v>0</v>
      </c>
      <c r="AO20" s="82">
        <v>0</v>
      </c>
      <c r="AP20" s="82">
        <v>0</v>
      </c>
      <c r="AS20" s="64">
        <v>45720</v>
      </c>
      <c r="AT20" s="65">
        <v>0.76</v>
      </c>
      <c r="AU20" s="65">
        <v>0.73</v>
      </c>
      <c r="AV20" s="82">
        <v>13345</v>
      </c>
      <c r="AW20" s="82">
        <v>6000</v>
      </c>
      <c r="AX20" s="82">
        <v>19345</v>
      </c>
    </row>
    <row r="21" spans="19:71" x14ac:dyDescent="0.3">
      <c r="S21" s="64">
        <v>45721</v>
      </c>
      <c r="T21" s="65">
        <v>0.56999999999999995</v>
      </c>
      <c r="U21" s="65">
        <v>0.57999999999999996</v>
      </c>
      <c r="V21" s="82">
        <v>7155</v>
      </c>
      <c r="W21" s="82">
        <v>3474</v>
      </c>
      <c r="X21" s="82">
        <v>10629</v>
      </c>
      <c r="AB21" s="64">
        <v>45721</v>
      </c>
      <c r="AC21" s="65">
        <v>0.73</v>
      </c>
      <c r="AD21" s="65">
        <v>0.77</v>
      </c>
      <c r="AE21" s="82">
        <v>12925</v>
      </c>
      <c r="AF21" s="82">
        <v>7452</v>
      </c>
      <c r="AG21" s="82">
        <v>20377</v>
      </c>
      <c r="AK21" s="64">
        <v>45721</v>
      </c>
      <c r="AL21" s="65">
        <v>0</v>
      </c>
      <c r="AM21" s="65">
        <v>0</v>
      </c>
      <c r="AN21" s="82">
        <v>0</v>
      </c>
      <c r="AO21" s="82">
        <v>0</v>
      </c>
      <c r="AP21" s="82">
        <v>0</v>
      </c>
      <c r="AS21" s="64">
        <v>45721</v>
      </c>
      <c r="AT21" s="65">
        <v>0.67</v>
      </c>
      <c r="AU21" s="65">
        <v>0.55000000000000004</v>
      </c>
      <c r="AV21" s="82">
        <v>11808</v>
      </c>
      <c r="AW21" s="82">
        <v>2598</v>
      </c>
      <c r="AX21" s="82">
        <v>14406</v>
      </c>
    </row>
    <row r="22" spans="19:71" x14ac:dyDescent="0.3">
      <c r="S22" s="64">
        <v>45722</v>
      </c>
      <c r="T22" s="65">
        <v>0.82</v>
      </c>
      <c r="U22" s="65">
        <v>0.72</v>
      </c>
      <c r="V22" s="82">
        <v>9500</v>
      </c>
      <c r="W22" s="82">
        <v>3000</v>
      </c>
      <c r="X22" s="82">
        <v>12500</v>
      </c>
      <c r="AB22" s="64">
        <v>45722</v>
      </c>
      <c r="AC22" s="65">
        <v>0.24</v>
      </c>
      <c r="AD22" s="65">
        <v>0.49</v>
      </c>
      <c r="AE22" s="82">
        <v>4260</v>
      </c>
      <c r="AF22" s="82">
        <v>8800</v>
      </c>
      <c r="AG22" s="82">
        <v>13060</v>
      </c>
      <c r="AK22" s="64">
        <v>45722</v>
      </c>
      <c r="AL22" s="65">
        <v>0</v>
      </c>
      <c r="AM22" s="65">
        <v>0</v>
      </c>
      <c r="AN22" s="82">
        <v>0</v>
      </c>
      <c r="AO22" s="82">
        <v>0</v>
      </c>
      <c r="AP22" s="82">
        <v>0</v>
      </c>
      <c r="AS22" s="64">
        <v>45722</v>
      </c>
      <c r="AT22" s="65">
        <v>0.41</v>
      </c>
      <c r="AU22" s="65">
        <v>0.61</v>
      </c>
      <c r="AV22" s="82">
        <v>7160</v>
      </c>
      <c r="AW22" s="82">
        <v>8800</v>
      </c>
      <c r="AX22" s="82">
        <v>15960</v>
      </c>
    </row>
    <row r="23" spans="19:71" x14ac:dyDescent="0.3">
      <c r="S23" s="64">
        <v>45723</v>
      </c>
      <c r="T23" s="65">
        <v>1</v>
      </c>
      <c r="U23" s="65">
        <v>1</v>
      </c>
      <c r="V23" s="82">
        <v>13726</v>
      </c>
      <c r="W23" s="82">
        <v>0</v>
      </c>
      <c r="X23" s="82">
        <v>13726</v>
      </c>
      <c r="AB23" s="64">
        <v>45723</v>
      </c>
      <c r="AC23" s="65">
        <v>1</v>
      </c>
      <c r="AD23" s="65">
        <v>0</v>
      </c>
      <c r="AE23" s="82">
        <v>7460</v>
      </c>
      <c r="AF23" s="82">
        <v>0</v>
      </c>
      <c r="AG23" s="82">
        <v>7460</v>
      </c>
      <c r="AK23" s="64">
        <v>45723</v>
      </c>
      <c r="AL23" s="65">
        <v>0</v>
      </c>
      <c r="AM23" s="65">
        <v>0</v>
      </c>
      <c r="AN23" s="82">
        <v>0</v>
      </c>
      <c r="AO23" s="82">
        <v>0</v>
      </c>
      <c r="AP23" s="82">
        <v>0</v>
      </c>
      <c r="AS23" s="64">
        <v>45723</v>
      </c>
      <c r="AT23" s="65">
        <v>1</v>
      </c>
      <c r="AU23" s="65">
        <v>0</v>
      </c>
      <c r="AV23" s="82">
        <v>7935</v>
      </c>
      <c r="AW23" s="82">
        <v>0</v>
      </c>
      <c r="AX23" s="82">
        <v>7935</v>
      </c>
    </row>
    <row r="24" spans="19:71" x14ac:dyDescent="0.3">
      <c r="S24" s="64">
        <v>45726</v>
      </c>
      <c r="T24" s="65">
        <v>0</v>
      </c>
      <c r="U24" s="65">
        <v>0</v>
      </c>
      <c r="V24" s="82">
        <v>0</v>
      </c>
      <c r="W24" s="82">
        <v>0</v>
      </c>
      <c r="X24" s="82">
        <v>0</v>
      </c>
      <c r="AB24" s="64">
        <v>45726</v>
      </c>
      <c r="AC24" s="65">
        <v>0.62</v>
      </c>
      <c r="AD24" s="65">
        <v>0.86</v>
      </c>
      <c r="AE24" s="82">
        <v>10800</v>
      </c>
      <c r="AF24" s="82">
        <v>7570</v>
      </c>
      <c r="AG24" s="82">
        <v>18370</v>
      </c>
      <c r="AK24" s="64">
        <v>45726</v>
      </c>
      <c r="AL24" s="65">
        <v>0</v>
      </c>
      <c r="AM24" s="65">
        <v>0</v>
      </c>
      <c r="AN24" s="82">
        <v>0</v>
      </c>
      <c r="AO24" s="82">
        <v>0</v>
      </c>
      <c r="AP24" s="82">
        <v>0</v>
      </c>
      <c r="AS24" s="64">
        <v>45726</v>
      </c>
      <c r="AT24" s="65">
        <v>0.66</v>
      </c>
      <c r="AU24" s="65">
        <v>0.66</v>
      </c>
      <c r="AV24" s="82">
        <v>11500</v>
      </c>
      <c r="AW24" s="82">
        <v>5980</v>
      </c>
      <c r="AX24" s="82">
        <v>17480</v>
      </c>
    </row>
    <row r="25" spans="19:71" x14ac:dyDescent="0.3">
      <c r="S25" s="64">
        <v>45727</v>
      </c>
      <c r="T25" s="65">
        <v>0.96</v>
      </c>
      <c r="U25" s="65">
        <v>0.97</v>
      </c>
      <c r="V25" s="82">
        <v>10050</v>
      </c>
      <c r="W25" s="82">
        <v>6315</v>
      </c>
      <c r="X25" s="82">
        <v>16365</v>
      </c>
      <c r="AB25" s="64">
        <v>45727</v>
      </c>
      <c r="AC25" s="65">
        <v>0.82</v>
      </c>
      <c r="AD25" s="65">
        <v>0.86</v>
      </c>
      <c r="AE25" s="82">
        <v>14403</v>
      </c>
      <c r="AF25" s="82">
        <v>8385</v>
      </c>
      <c r="AG25" s="82">
        <v>22788</v>
      </c>
      <c r="AK25" s="64">
        <v>45727</v>
      </c>
      <c r="AL25" s="65">
        <v>0</v>
      </c>
      <c r="AM25" s="65">
        <v>0</v>
      </c>
      <c r="AN25" s="82">
        <v>0</v>
      </c>
      <c r="AO25" s="82">
        <v>0</v>
      </c>
      <c r="AP25" s="82">
        <v>0</v>
      </c>
      <c r="AS25" s="64">
        <v>45727</v>
      </c>
      <c r="AT25" s="65">
        <v>0.9</v>
      </c>
      <c r="AU25" s="65">
        <v>0.91</v>
      </c>
      <c r="AV25" s="82">
        <v>15776</v>
      </c>
      <c r="AW25" s="82">
        <v>8200</v>
      </c>
      <c r="AX25" s="82">
        <v>23976</v>
      </c>
    </row>
    <row r="26" spans="19:71" x14ac:dyDescent="0.3">
      <c r="S26" s="64">
        <v>45728</v>
      </c>
      <c r="T26" s="65">
        <v>0.98</v>
      </c>
      <c r="U26" s="65">
        <v>0.99</v>
      </c>
      <c r="V26" s="82">
        <v>12660</v>
      </c>
      <c r="W26" s="82">
        <v>6470</v>
      </c>
      <c r="X26" s="82">
        <v>19130</v>
      </c>
      <c r="AB26" s="64">
        <v>45728</v>
      </c>
      <c r="AC26" s="65">
        <v>0.84</v>
      </c>
      <c r="AD26" s="65">
        <v>0.87</v>
      </c>
      <c r="AE26" s="82">
        <v>14750</v>
      </c>
      <c r="AF26" s="82">
        <v>8275</v>
      </c>
      <c r="AG26" s="82">
        <v>23025</v>
      </c>
      <c r="AK26" s="64">
        <v>45728</v>
      </c>
      <c r="AL26" s="65">
        <v>0</v>
      </c>
      <c r="AM26" s="65">
        <v>0</v>
      </c>
      <c r="AN26" s="82">
        <v>0</v>
      </c>
      <c r="AO26" s="82">
        <v>0</v>
      </c>
      <c r="AP26" s="82">
        <v>0</v>
      </c>
      <c r="AS26" s="64">
        <v>45728</v>
      </c>
      <c r="AT26" s="65">
        <v>0.81</v>
      </c>
      <c r="AU26" s="65">
        <v>0.82</v>
      </c>
      <c r="AV26" s="82">
        <v>14340</v>
      </c>
      <c r="AW26" s="82">
        <v>7395</v>
      </c>
      <c r="AX26" s="82">
        <v>21735</v>
      </c>
    </row>
    <row r="27" spans="19:71" x14ac:dyDescent="0.3">
      <c r="S27" s="64">
        <v>45729</v>
      </c>
      <c r="T27" s="65">
        <v>1</v>
      </c>
      <c r="U27" s="65">
        <v>0.98</v>
      </c>
      <c r="V27" s="82">
        <v>12928</v>
      </c>
      <c r="W27" s="82">
        <v>6017</v>
      </c>
      <c r="X27" s="82">
        <v>18945</v>
      </c>
      <c r="AB27" s="64">
        <v>45729</v>
      </c>
      <c r="AC27" s="65">
        <v>0.64</v>
      </c>
      <c r="AD27" s="65">
        <v>0.64</v>
      </c>
      <c r="AE27" s="82">
        <v>11180</v>
      </c>
      <c r="AF27" s="82">
        <v>5590</v>
      </c>
      <c r="AG27" s="82">
        <v>16770</v>
      </c>
      <c r="AK27" s="64">
        <v>45729</v>
      </c>
      <c r="AL27" s="65">
        <v>0</v>
      </c>
      <c r="AM27" s="65">
        <v>0</v>
      </c>
      <c r="AN27" s="82">
        <v>0</v>
      </c>
      <c r="AO27" s="82">
        <v>0</v>
      </c>
      <c r="AP27" s="82">
        <v>0</v>
      </c>
      <c r="AS27" s="64">
        <v>45729</v>
      </c>
      <c r="AT27" s="65">
        <v>0.82</v>
      </c>
      <c r="AU27" s="65">
        <v>0.82</v>
      </c>
      <c r="AV27" s="82">
        <v>14470</v>
      </c>
      <c r="AW27" s="82">
        <v>7235</v>
      </c>
      <c r="AX27" s="82">
        <v>21705</v>
      </c>
    </row>
    <row r="28" spans="19:71" x14ac:dyDescent="0.3">
      <c r="S28" s="64">
        <v>45733</v>
      </c>
      <c r="T28" s="65">
        <v>0</v>
      </c>
      <c r="U28" s="65">
        <v>0</v>
      </c>
      <c r="V28" s="82">
        <v>0</v>
      </c>
      <c r="W28" s="82">
        <v>0</v>
      </c>
      <c r="X28" s="82">
        <v>0</v>
      </c>
      <c r="AB28" s="64">
        <v>45733</v>
      </c>
      <c r="AC28" s="65">
        <v>0.33</v>
      </c>
      <c r="AD28" s="65">
        <v>0.43</v>
      </c>
      <c r="AE28" s="82">
        <v>5775</v>
      </c>
      <c r="AF28" s="82">
        <v>5600</v>
      </c>
      <c r="AG28" s="82">
        <v>11375</v>
      </c>
      <c r="AK28" s="64">
        <v>45733</v>
      </c>
      <c r="AL28" s="65">
        <v>0.88</v>
      </c>
      <c r="AM28" s="65">
        <v>0.92</v>
      </c>
      <c r="AN28" s="82">
        <v>10138</v>
      </c>
      <c r="AO28" s="82">
        <v>5760</v>
      </c>
      <c r="AP28" s="82">
        <v>15898</v>
      </c>
      <c r="AS28" s="64">
        <v>45733</v>
      </c>
      <c r="AT28" s="65">
        <v>0.55000000000000004</v>
      </c>
      <c r="AU28" s="65">
        <v>0.66</v>
      </c>
      <c r="AV28" s="82">
        <v>9700</v>
      </c>
      <c r="AW28" s="82">
        <v>7700</v>
      </c>
      <c r="AX28" s="82">
        <v>17400</v>
      </c>
    </row>
    <row r="29" spans="19:71" x14ac:dyDescent="0.3">
      <c r="S29" s="64">
        <v>45734</v>
      </c>
      <c r="T29" s="65">
        <v>0</v>
      </c>
      <c r="U29" s="65">
        <v>0</v>
      </c>
      <c r="V29" s="82">
        <v>0</v>
      </c>
      <c r="W29" s="82">
        <v>0</v>
      </c>
      <c r="X29" s="82">
        <v>0</v>
      </c>
      <c r="AB29" s="64">
        <v>45734</v>
      </c>
      <c r="AC29" s="65">
        <v>0.66</v>
      </c>
      <c r="AD29" s="65">
        <v>0.73</v>
      </c>
      <c r="AE29" s="82">
        <v>11620</v>
      </c>
      <c r="AF29" s="82">
        <v>7700</v>
      </c>
      <c r="AG29" s="82">
        <v>19320</v>
      </c>
      <c r="AK29" s="64">
        <v>45734</v>
      </c>
      <c r="AL29" s="65">
        <v>0.78</v>
      </c>
      <c r="AM29" s="65">
        <v>0.74</v>
      </c>
      <c r="AN29" s="82">
        <v>8970</v>
      </c>
      <c r="AO29" s="82">
        <v>3800</v>
      </c>
      <c r="AP29" s="82">
        <v>12770</v>
      </c>
      <c r="AS29" s="64">
        <v>45734</v>
      </c>
      <c r="AT29" s="65">
        <v>0.83</v>
      </c>
      <c r="AU29" s="65">
        <v>0.82</v>
      </c>
      <c r="AV29" s="82">
        <v>14680</v>
      </c>
      <c r="AW29" s="82">
        <v>7100</v>
      </c>
      <c r="AX29" s="82">
        <v>21780</v>
      </c>
    </row>
    <row r="30" spans="19:71" x14ac:dyDescent="0.3">
      <c r="S30" s="64">
        <v>45735</v>
      </c>
      <c r="T30" s="65">
        <v>0.32</v>
      </c>
      <c r="U30" s="65">
        <v>0.54</v>
      </c>
      <c r="V30" s="82">
        <v>2210</v>
      </c>
      <c r="W30" s="82">
        <v>3800</v>
      </c>
      <c r="X30" s="82">
        <v>6010</v>
      </c>
      <c r="AB30" s="64">
        <v>45735</v>
      </c>
      <c r="AC30" s="65">
        <v>0.7</v>
      </c>
      <c r="AD30" s="65">
        <v>0.66</v>
      </c>
      <c r="AE30" s="82">
        <v>12235</v>
      </c>
      <c r="AF30" s="82">
        <v>5200</v>
      </c>
      <c r="AG30" s="82">
        <v>17435</v>
      </c>
      <c r="AK30" s="64">
        <v>45735</v>
      </c>
      <c r="AL30" s="65">
        <v>0.95</v>
      </c>
      <c r="AM30" s="65">
        <v>0.86</v>
      </c>
      <c r="AN30" s="82">
        <v>10930</v>
      </c>
      <c r="AO30" s="82">
        <v>4000</v>
      </c>
      <c r="AP30" s="82">
        <v>14930</v>
      </c>
      <c r="AS30" s="64">
        <v>45735</v>
      </c>
      <c r="AT30" s="65">
        <v>0.9</v>
      </c>
      <c r="AU30" s="65">
        <v>0.91</v>
      </c>
      <c r="AV30" s="82">
        <v>15800</v>
      </c>
      <c r="AW30" s="82">
        <v>8300</v>
      </c>
      <c r="AX30" s="82">
        <v>24100</v>
      </c>
    </row>
    <row r="31" spans="19:71" x14ac:dyDescent="0.3">
      <c r="S31" s="64">
        <v>45736</v>
      </c>
      <c r="T31" s="65">
        <v>0.88</v>
      </c>
      <c r="U31" s="65">
        <v>0.92</v>
      </c>
      <c r="V31" s="82">
        <v>6484</v>
      </c>
      <c r="W31" s="82">
        <v>3696</v>
      </c>
      <c r="X31" s="82">
        <v>10180</v>
      </c>
      <c r="AB31" s="64">
        <v>45736</v>
      </c>
      <c r="AC31" s="65">
        <v>0.48</v>
      </c>
      <c r="AD31" s="65">
        <v>0.55000000000000004</v>
      </c>
      <c r="AE31" s="82">
        <v>8485</v>
      </c>
      <c r="AF31" s="82">
        <v>6150</v>
      </c>
      <c r="AG31" s="82">
        <v>14635</v>
      </c>
      <c r="AK31" s="64">
        <v>45736</v>
      </c>
      <c r="AL31" s="65">
        <v>0.56000000000000005</v>
      </c>
      <c r="AM31" s="65">
        <v>0.62</v>
      </c>
      <c r="AN31" s="82">
        <v>6425</v>
      </c>
      <c r="AO31" s="82">
        <v>4200</v>
      </c>
      <c r="AP31" s="82">
        <v>10625</v>
      </c>
      <c r="AS31" s="64">
        <v>45736</v>
      </c>
      <c r="AT31" s="65">
        <v>0.92</v>
      </c>
      <c r="AU31" s="65">
        <v>0.86</v>
      </c>
      <c r="AV31" s="82">
        <v>16240</v>
      </c>
      <c r="AW31" s="82">
        <v>6600</v>
      </c>
      <c r="AX31" s="82">
        <v>22840</v>
      </c>
    </row>
    <row r="32" spans="19:71" x14ac:dyDescent="0.3">
      <c r="S32" s="64" t="s">
        <v>60</v>
      </c>
      <c r="T32" s="65">
        <v>12.060000000000002</v>
      </c>
      <c r="U32" s="65">
        <v>11.623300000000002</v>
      </c>
      <c r="V32" s="82">
        <v>143431</v>
      </c>
      <c r="W32" s="82">
        <v>51882</v>
      </c>
      <c r="X32" s="82">
        <v>195313</v>
      </c>
      <c r="AB32" s="64" t="s">
        <v>60</v>
      </c>
      <c r="AC32" s="65">
        <v>15.120000000000001</v>
      </c>
      <c r="AD32" s="65">
        <v>14.129300000000001</v>
      </c>
      <c r="AE32" s="82">
        <v>264971</v>
      </c>
      <c r="AF32" s="82">
        <v>116572</v>
      </c>
      <c r="AG32" s="82">
        <v>381543</v>
      </c>
      <c r="AK32" s="64" t="s">
        <v>60</v>
      </c>
      <c r="AL32" s="65">
        <v>5.7850000000000001</v>
      </c>
      <c r="AM32" s="65">
        <v>5.226</v>
      </c>
      <c r="AN32" s="82">
        <v>70263</v>
      </c>
      <c r="AO32" s="82">
        <v>21360</v>
      </c>
      <c r="AP32" s="82">
        <v>91623</v>
      </c>
      <c r="AS32" s="64" t="s">
        <v>60</v>
      </c>
      <c r="AT32" s="65">
        <v>17.363000000000003</v>
      </c>
      <c r="AU32" s="65">
        <v>15.042300000000003</v>
      </c>
      <c r="AV32" s="82">
        <v>303591</v>
      </c>
      <c r="AW32" s="82">
        <v>108091</v>
      </c>
      <c r="AX32" s="82">
        <v>411682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topLeftCell="A2" workbookViewId="0">
      <selection activeCell="K39" sqref="K39"/>
    </sheetView>
  </sheetViews>
  <sheetFormatPr baseColWidth="10" defaultRowHeight="14.4" x14ac:dyDescent="0.3"/>
  <cols>
    <col min="6" max="6" width="29.44140625" customWidth="1"/>
  </cols>
  <sheetData>
    <row r="35" spans="2:8" x14ac:dyDescent="0.3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3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TDB</vt:lpstr>
      <vt:lpstr>Données</vt:lpstr>
      <vt:lpstr>Arrêts</vt:lpstr>
      <vt:lpstr>TRS Machine</vt:lpstr>
      <vt:lpstr>Pareto</vt:lpstr>
      <vt:lpstr>Semaine</vt:lpstr>
      <vt:lpstr>DétailTRS</vt:lpstr>
      <vt:lpstr>Traitement</vt:lpstr>
      <vt:lpstr>Feuil6</vt:lpstr>
      <vt:lpstr>Feuil7</vt:lpstr>
      <vt:lpstr>Feuil8</vt:lpstr>
      <vt:lpstr>Feuil9</vt:lpstr>
      <vt:lpstr>Feuil10</vt:lpstr>
      <vt:lpstr>Feuil11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Olivier Youmbi</cp:lastModifiedBy>
  <cp:lastPrinted>2025-03-12T09:09:46Z</cp:lastPrinted>
  <dcterms:created xsi:type="dcterms:W3CDTF">2025-03-03T09:02:42Z</dcterms:created>
  <dcterms:modified xsi:type="dcterms:W3CDTF">2025-03-24T08:53:43Z</dcterms:modified>
</cp:coreProperties>
</file>