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F44C5A96-4944-4612-AAE2-6336D872294A}" xr6:coauthVersionLast="47" xr6:coauthVersionMax="47" xr10:uidLastSave="{00000000-0000-0000-0000-000000000000}"/>
  <bookViews>
    <workbookView xWindow="28740" yWindow="-15" windowWidth="28920" windowHeight="15720" firstSheet="8" activeTab="6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Semaine" sheetId="13" r:id="rId6"/>
    <sheet name="DétailsTRS" sheetId="14" r:id="rId7"/>
    <sheet name="Traitement" sheetId="5" r:id="rId8"/>
    <sheet name="Feuil6" sheetId="6" r:id="rId9"/>
    <sheet name="Feuil7" sheetId="7" r:id="rId10"/>
    <sheet name="Feuil8" sheetId="8" r:id="rId11"/>
    <sheet name="Feuil9" sheetId="9" r:id="rId12"/>
    <sheet name="Feuil10" sheetId="10" r:id="rId13"/>
    <sheet name="Feuil11" sheetId="11" r:id="rId14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0" r:id="rId15"/>
    <pivotCache cacheId="1" r:id="rId16"/>
  </pivotCaches>
  <extLs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" i="14" l="1"/>
  <c r="V7" i="14"/>
  <c r="N7" i="14"/>
  <c r="F7" i="14"/>
  <c r="AD6" i="14"/>
  <c r="V6" i="14"/>
  <c r="N6" i="14"/>
  <c r="F6" i="14"/>
  <c r="D8" i="12" l="1"/>
  <c r="D7" i="12"/>
  <c r="H110" i="3"/>
  <c r="H111" i="3"/>
  <c r="H112" i="3"/>
  <c r="H113" i="3"/>
  <c r="D6" i="12"/>
  <c r="G79" i="2"/>
  <c r="G80" i="2"/>
  <c r="G81" i="2"/>
  <c r="G78" i="2"/>
  <c r="H5" i="12"/>
  <c r="G77" i="2"/>
  <c r="I327" i="1"/>
  <c r="H325" i="1"/>
  <c r="I325" i="1" s="1"/>
  <c r="H326" i="1"/>
  <c r="I326" i="1" s="1"/>
  <c r="H327" i="1"/>
  <c r="H328" i="1"/>
  <c r="H329" i="1"/>
  <c r="H330" i="1"/>
  <c r="H331" i="1"/>
  <c r="H332" i="1"/>
  <c r="H333" i="1"/>
  <c r="H334" i="1"/>
  <c r="H335" i="1"/>
  <c r="H336" i="1"/>
  <c r="I328" i="1"/>
  <c r="I329" i="1"/>
  <c r="I330" i="1"/>
  <c r="I331" i="1"/>
  <c r="I332" i="1"/>
  <c r="I333" i="1"/>
  <c r="I334" i="1"/>
  <c r="I335" i="1"/>
  <c r="I336" i="1"/>
  <c r="H106" i="3"/>
  <c r="H107" i="3"/>
  <c r="H108" i="3"/>
  <c r="H109" i="3"/>
  <c r="H313" i="1"/>
  <c r="H314" i="1"/>
  <c r="H315" i="1"/>
  <c r="H316" i="1"/>
  <c r="H317" i="1"/>
  <c r="H318" i="1"/>
  <c r="H319" i="1"/>
  <c r="H320" i="1"/>
  <c r="H321" i="1"/>
  <c r="H322" i="1"/>
  <c r="H323" i="1"/>
  <c r="H324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G7" i="13"/>
  <c r="G8" i="13"/>
  <c r="G9" i="13"/>
  <c r="G10" i="13"/>
  <c r="G11" i="13"/>
  <c r="G12" i="13"/>
  <c r="G13" i="13"/>
  <c r="G6" i="13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H304" i="1"/>
  <c r="H305" i="1"/>
  <c r="I305" i="1" s="1"/>
  <c r="H306" i="1"/>
  <c r="H307" i="1"/>
  <c r="I307" i="1" s="1"/>
  <c r="H308" i="1"/>
  <c r="H309" i="1"/>
  <c r="H310" i="1"/>
  <c r="H311" i="1"/>
  <c r="I311" i="1" s="1"/>
  <c r="H312" i="1"/>
  <c r="I303" i="1"/>
  <c r="I304" i="1"/>
  <c r="I306" i="1"/>
  <c r="I308" i="1"/>
  <c r="I309" i="1"/>
  <c r="I310" i="1"/>
  <c r="I312" i="1"/>
  <c r="AZ8" i="5"/>
  <c r="AZ7" i="5"/>
  <c r="AZ6" i="5"/>
  <c r="AZ5" i="5"/>
  <c r="AZ4" i="5"/>
  <c r="AR8" i="5"/>
  <c r="AR7" i="5"/>
  <c r="AR6" i="5"/>
  <c r="AR5" i="5"/>
  <c r="AR4" i="5"/>
  <c r="AI8" i="5"/>
  <c r="AI7" i="5"/>
  <c r="AI6" i="5"/>
  <c r="AI5" i="5"/>
  <c r="AI4" i="5"/>
  <c r="Z8" i="5"/>
  <c r="Z7" i="5"/>
  <c r="Z6" i="5"/>
  <c r="Z5" i="5"/>
  <c r="Z4" i="5"/>
  <c r="H297" i="1" l="1"/>
  <c r="I297" i="1" s="1"/>
  <c r="H296" i="1"/>
  <c r="I296" i="1" s="1"/>
  <c r="I295" i="1"/>
  <c r="H295" i="1"/>
  <c r="H98" i="3"/>
  <c r="H99" i="3"/>
  <c r="H100" i="3"/>
  <c r="H101" i="3"/>
  <c r="G72" i="2"/>
  <c r="H289" i="1"/>
  <c r="H290" i="1"/>
  <c r="H291" i="1"/>
  <c r="H292" i="1"/>
  <c r="H293" i="1"/>
  <c r="H294" i="1"/>
  <c r="H298" i="1"/>
  <c r="H299" i="1"/>
  <c r="H300" i="1"/>
  <c r="I289" i="1"/>
  <c r="I290" i="1"/>
  <c r="I291" i="1"/>
  <c r="I292" i="1"/>
  <c r="I293" i="1"/>
  <c r="I294" i="1"/>
  <c r="I298" i="1"/>
  <c r="I299" i="1"/>
  <c r="I300" i="1"/>
  <c r="H96" i="3"/>
  <c r="H94" i="3"/>
  <c r="H95" i="3"/>
  <c r="H97" i="3"/>
  <c r="G71" i="2"/>
  <c r="I285" i="1"/>
  <c r="H285" i="1"/>
  <c r="I284" i="1"/>
  <c r="H284" i="1"/>
  <c r="I283" i="1"/>
  <c r="H283" i="1"/>
  <c r="H277" i="1"/>
  <c r="H278" i="1"/>
  <c r="H279" i="1"/>
  <c r="H280" i="1"/>
  <c r="H281" i="1"/>
  <c r="H282" i="1"/>
  <c r="H286" i="1"/>
  <c r="H287" i="1"/>
  <c r="H288" i="1"/>
  <c r="I277" i="1"/>
  <c r="I278" i="1"/>
  <c r="I279" i="1"/>
  <c r="I280" i="1"/>
  <c r="I281" i="1"/>
  <c r="I282" i="1"/>
  <c r="I286" i="1"/>
  <c r="I287" i="1"/>
  <c r="I288" i="1"/>
  <c r="I273" i="1"/>
  <c r="H273" i="1"/>
  <c r="I272" i="1"/>
  <c r="H272" i="1"/>
  <c r="I271" i="1"/>
  <c r="H271" i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H269" i="1"/>
  <c r="H270" i="1"/>
  <c r="H274" i="1"/>
  <c r="H275" i="1"/>
  <c r="H276" i="1"/>
  <c r="I268" i="1"/>
  <c r="I269" i="1"/>
  <c r="I270" i="1"/>
  <c r="I274" i="1"/>
  <c r="I275" i="1"/>
  <c r="I276" i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I259" i="1"/>
  <c r="H259" i="1"/>
  <c r="G66" i="2"/>
  <c r="G65" i="2"/>
  <c r="G64" i="2"/>
  <c r="H87" i="3"/>
  <c r="H253" i="1"/>
  <c r="H254" i="1"/>
  <c r="H255" i="1"/>
  <c r="H256" i="1"/>
  <c r="H257" i="1"/>
  <c r="H258" i="1"/>
  <c r="H262" i="1"/>
  <c r="H263" i="1"/>
  <c r="H264" i="1"/>
  <c r="I253" i="1"/>
  <c r="I254" i="1"/>
  <c r="I255" i="1"/>
  <c r="I256" i="1"/>
  <c r="I257" i="1"/>
  <c r="I258" i="1"/>
  <c r="I262" i="1"/>
  <c r="I263" i="1"/>
  <c r="I264" i="1"/>
  <c r="H82" i="3"/>
  <c r="H83" i="3"/>
  <c r="H84" i="3"/>
  <c r="H85" i="3"/>
  <c r="H242" i="1"/>
  <c r="I242" i="1" s="1"/>
  <c r="H243" i="1"/>
  <c r="H241" i="1"/>
  <c r="I241" i="1" s="1"/>
  <c r="H249" i="1"/>
  <c r="I249" i="1" s="1"/>
  <c r="H248" i="1"/>
  <c r="I248" i="1" s="1"/>
  <c r="I247" i="1"/>
  <c r="H247" i="1"/>
  <c r="I243" i="1"/>
  <c r="H245" i="1"/>
  <c r="H246" i="1"/>
  <c r="H250" i="1"/>
  <c r="H251" i="1"/>
  <c r="H252" i="1"/>
  <c r="I244" i="1"/>
  <c r="I245" i="1"/>
  <c r="I246" i="1"/>
  <c r="I250" i="1"/>
  <c r="I251" i="1"/>
  <c r="I252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H222" i="1"/>
  <c r="H223" i="1"/>
  <c r="H224" i="1"/>
  <c r="H225" i="1"/>
  <c r="H226" i="1"/>
  <c r="H227" i="1"/>
  <c r="H228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H214" i="1"/>
  <c r="I214" i="1" s="1"/>
  <c r="H215" i="1"/>
  <c r="I215" i="1" s="1"/>
  <c r="H216" i="1"/>
  <c r="I216" i="1" s="1"/>
  <c r="I206" i="1"/>
  <c r="I210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H190" i="1"/>
  <c r="I190" i="1" s="1"/>
  <c r="H191" i="1"/>
  <c r="I191" i="1" s="1"/>
  <c r="H192" i="1"/>
  <c r="I192" i="1" s="1"/>
  <c r="I17" i="1"/>
  <c r="I18" i="1"/>
  <c r="I22" i="1"/>
  <c r="I101" i="1"/>
  <c r="I133" i="1"/>
  <c r="I189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<sst xmlns="http://schemas.openxmlformats.org/spreadsheetml/2006/main" count="1914" uniqueCount="143">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</sst>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1" applyNumberFormat="1" applyFont="1" applyBorder="1"/>
    <xf numFmtId="1" fontId="0" fillId="0" borderId="0" xfId="1" applyNumberFormat="1" applyFont="1" applyBorder="1"/>
    <xf numFmtId="2" fontId="0" fillId="0" borderId="0" xfId="1" applyNumberFormat="1" applyFont="1" applyFill="1" applyBorder="1"/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4" xfId="0" applyBorder="1"/>
    <xf numFmtId="9" fontId="0" fillId="0" borderId="24" xfId="1" applyFont="1" applyFill="1" applyBorder="1"/>
    <xf numFmtId="9" fontId="0" fillId="0" borderId="24" xfId="1" applyFont="1" applyBorder="1"/>
    <xf numFmtId="0" fontId="0" fillId="0" borderId="24" xfId="0" applyBorder="1" applyAlignment="1">
      <alignment horizontal="left" vertical="center"/>
    </xf>
  </cellXfs>
  <cellStyles count="2">
    <cellStyle name="Normal" xfId="0" builtinId="0"/>
    <cellStyle name="Pourcentage" xfId="1" builtinId="5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11/relationships/timelineCache" Target="timelineCaches/timeline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27</c:v>
                </c:pt>
                <c:pt idx="1">
                  <c:v>32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2330</c:v>
                </c:pt>
                <c:pt idx="1">
                  <c:v>1823</c:v>
                </c:pt>
                <c:pt idx="2">
                  <c:v>330</c:v>
                </c:pt>
                <c:pt idx="3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38.833333333333336</c:v>
                </c:pt>
                <c:pt idx="1">
                  <c:v>30.383333333333333</c:v>
                </c:pt>
                <c:pt idx="2">
                  <c:v>5.5</c:v>
                </c:pt>
                <c:pt idx="3">
                  <c:v>26.599999999999998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Traitement!$BD$4:$BD$16</c:f>
              <c:numCache>
                <c:formatCode>General</c:formatCode>
                <c:ptCount val="12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Traitement!$BC$4:$BC$16</c:f>
              <c:numCache>
                <c:formatCode>0%</c:formatCode>
                <c:ptCount val="12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Traitement!$BI$4:$BI$16</c:f>
              <c:numCache>
                <c:formatCode>General</c:formatCode>
                <c:ptCount val="12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Traitement!$BH$4:$BH$16</c:f>
              <c:numCache>
                <c:formatCode>0%</c:formatCode>
                <c:ptCount val="12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Traitement!$BN$4:$BN$16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Traitement!$BM$4:$BM$16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Traitement!$BS$4:$BS$16</c:f>
              <c:numCache>
                <c:formatCode>General</c:formatCode>
                <c:ptCount val="12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Traitement!$BR$4:$BR$16</c:f>
              <c:numCache>
                <c:formatCode>0%</c:formatCode>
                <c:ptCount val="12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Traitement!$BD$4:$BD$16</c:f>
              <c:numCache>
                <c:formatCode>General</c:formatCode>
                <c:ptCount val="12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Traitement!$BC$4:$BC$16</c:f>
              <c:numCache>
                <c:formatCode>0%</c:formatCode>
                <c:ptCount val="12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Traitement!$BI$4:$BI$16</c:f>
              <c:numCache>
                <c:formatCode>General</c:formatCode>
                <c:ptCount val="12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Traitement!$BH$4:$BH$16</c:f>
              <c:numCache>
                <c:formatCode>0%</c:formatCode>
                <c:ptCount val="12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Traitement!$BS$4:$BS$16</c:f>
              <c:numCache>
                <c:formatCode>General</c:formatCode>
                <c:ptCount val="12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Traitement!$BR$4:$BR$16</c:f>
              <c:numCache>
                <c:formatCode>0%</c:formatCode>
                <c:ptCount val="12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1310</c:v>
                </c:pt>
                <c:pt idx="3">
                  <c:v>1300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2330</c:v>
                </c:pt>
                <c:pt idx="1">
                  <c:v>1823</c:v>
                </c:pt>
                <c:pt idx="2">
                  <c:v>330</c:v>
                </c:pt>
                <c:pt idx="3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38.833333333333336</c:v>
                </c:pt>
                <c:pt idx="1">
                  <c:v>30.383333333333333</c:v>
                </c:pt>
                <c:pt idx="2">
                  <c:v>5.5</c:v>
                </c:pt>
                <c:pt idx="3">
                  <c:v>26.599999999999998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Traitement!$BD$4:$BD$16</c:f>
              <c:numCache>
                <c:formatCode>General</c:formatCode>
                <c:ptCount val="12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Traitement!$BC$4:$BC$16</c:f>
              <c:numCache>
                <c:formatCode>0%</c:formatCode>
                <c:ptCount val="12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Traitement!$BI$4:$BI$16</c:f>
              <c:numCache>
                <c:formatCode>General</c:formatCode>
                <c:ptCount val="12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Traitement!$BH$4:$BH$16</c:f>
              <c:numCache>
                <c:formatCode>0%</c:formatCode>
                <c:ptCount val="12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Traitement!$BN$4:$BN$16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Traitement!$BM$4:$BM$16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Traitement!$BS$4:$BS$16</c:f>
              <c:numCache>
                <c:formatCode>General</c:formatCode>
                <c:ptCount val="12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Traitement!$BQ$4:$BQ$16</c:f>
              <c:strCache>
                <c:ptCount val="12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</c:strCache>
            </c:strRef>
          </c:cat>
          <c:val>
            <c:numRef>
              <c:f>Traitement!$BR$4:$BR$16</c:f>
              <c:numCache>
                <c:formatCode>0%</c:formatCode>
                <c:ptCount val="12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27</c:v>
                </c:pt>
                <c:pt idx="1">
                  <c:v>32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[CALCUL_TRS1.xlsx]Traitement!Tableau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1310</c:v>
                </c:pt>
                <c:pt idx="3">
                  <c:v>1300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66%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83%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11620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14680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7700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3800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7100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19320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12770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21780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71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97,65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4,1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>
    <xdr:from>
      <xdr:col>14</xdr:col>
      <xdr:colOff>617220</xdr:colOff>
      <xdr:row>3</xdr:row>
      <xdr:rowOff>171450</xdr:rowOff>
    </xdr:from>
    <xdr:to>
      <xdr:col>15</xdr:col>
      <xdr:colOff>691515</xdr:colOff>
      <xdr:row>5</xdr:row>
      <xdr:rowOff>85725</xdr:rowOff>
    </xdr:to>
    <xdr:sp macro="" textlink="Traitement!Z4">
      <xdr:nvSpPr>
        <xdr:cNvPr id="53" name="ZoneTexte 52">
          <a:extLst>
            <a:ext uri="{FF2B5EF4-FFF2-40B4-BE49-F238E27FC236}">
              <a16:creationId xmlns:a16="http://schemas.microsoft.com/office/drawing/2014/main" id="{2B54CA37-3B4F-88C5-E5AE-954316E1D50A}"/>
            </a:ext>
          </a:extLst>
        </xdr:cNvPr>
        <xdr:cNvSpPr txBox="1"/>
      </xdr:nvSpPr>
      <xdr:spPr>
        <a:xfrm>
          <a:off x="11685270" y="714375"/>
          <a:ext cx="86487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D91A38B-6A7F-4D5A-A9A4-89AC8355AACE}" type="TxLink">
            <a:rPr lang="en-US" sz="1100" b="0" i="0" u="none" strike="noStrike">
              <a:solidFill>
                <a:schemeClr val="bg1"/>
              </a:solidFill>
              <a:latin typeface="Aptos Narrow"/>
            </a:rPr>
            <a:pPr algn="ctr"/>
            <a:t>0%</a:t>
          </a:fld>
          <a:endParaRPr lang="fr-FR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609600</xdr:colOff>
      <xdr:row>5</xdr:row>
      <xdr:rowOff>179070</xdr:rowOff>
    </xdr:from>
    <xdr:to>
      <xdr:col>9</xdr:col>
      <xdr:colOff>913765</xdr:colOff>
      <xdr:row>13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5" y="1082040"/>
              <a:ext cx="1844040" cy="142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16</xdr:col>
      <xdr:colOff>19685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244475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1144905</xdr:colOff>
      <xdr:row>42</xdr:row>
      <xdr:rowOff>55245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87630</xdr:colOff>
      <xdr:row>22</xdr:row>
      <xdr:rowOff>112395</xdr:rowOff>
    </xdr:from>
    <xdr:to>
      <xdr:col>13</xdr:col>
      <xdr:colOff>520065</xdr:colOff>
      <xdr:row>24</xdr:row>
      <xdr:rowOff>163830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593830" y="4093845"/>
          <a:ext cx="432435" cy="41338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487680</xdr:colOff>
      <xdr:row>14</xdr:row>
      <xdr:rowOff>30480</xdr:rowOff>
    </xdr:from>
    <xdr:to>
      <xdr:col>13</xdr:col>
      <xdr:colOff>135255</xdr:colOff>
      <xdr:row>16</xdr:row>
      <xdr:rowOff>83820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260455" y="2564130"/>
          <a:ext cx="438150" cy="41529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</xdr:row>
      <xdr:rowOff>179070</xdr:rowOff>
    </xdr:from>
    <xdr:to>
      <xdr:col>13</xdr:col>
      <xdr:colOff>419100</xdr:colOff>
      <xdr:row>10</xdr:row>
      <xdr:rowOff>59055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44300" y="1445895"/>
          <a:ext cx="419100" cy="42291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36.403565277775" createdVersion="8" refreshedVersion="8" minRefreshableVersion="3" recordCount="108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0T00:00:00" count="27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0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/03/2025"/>
        </groupItems>
      </fieldGroup>
    </cacheField>
    <cacheField name="Mois (Date)" numFmtId="0" databaseField="0">
      <fieldGroup base="0">
        <rangePr groupBy="months" startDate="2025-02-05T00:00:00" endDate="2025-03-20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36.403568518515" createdVersion="8" refreshedVersion="8" minRefreshableVersion="3" recordCount="76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0T00:00:00" count="21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2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h="1" x="2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3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2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h="1" x="2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4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6" firstHeaderRow="0" firstDataRow="1" firstDataCol="1" rowPageCount="1" colPageCount="1"/>
  <pivotFields count="9">
    <pivotField axis="axisRow"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3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59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37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6" firstHeaderRow="0" firstDataRow="1" firstDataCol="1" rowPageCount="1" colPageCount="1"/>
  <pivotFields count="9">
    <pivotField axis="axisRow"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3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59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2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h="1" x="2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3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6" firstHeaderRow="0" firstDataRow="1" firstDataCol="1" rowPageCount="1" colPageCount="1"/>
  <pivotFields count="9">
    <pivotField axis="axisRow"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3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59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42">
      <pivotArea collapsedLevelsAreSubtotals="1" fieldPosition="0">
        <references count="1">
          <reference field="3" count="0"/>
        </references>
      </pivotArea>
    </format>
    <format dxfId="41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6" firstHeaderRow="0" firstDataRow="1" firstDataCol="1" rowPageCount="1" colPageCount="1"/>
  <pivotFields count="9">
    <pivotField axis="axisRow"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3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59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2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h="1" x="2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4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27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 s="1"/>
        <i x="26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1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2" rowHeight="247650"/>
  <slicer name="Date 3" xr10:uid="{6D57016E-1CA8-41C9-8D62-7C4E19DED976}" cache="Segment_Date1" caption="Date arrets" startItem="16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36" totalsRowShown="0" headerRowDxfId="81" dataDxfId="80">
  <autoFilter ref="B12:N336" xr:uid="{3466EDAC-D66B-4C4E-9139-E81C6DDA4B82}"/>
  <tableColumns count="13">
    <tableColumn id="1" xr3:uid="{1D039082-F45C-42A3-A96D-5829EEFF21C4}" name="Date" dataDxfId="79"/>
    <tableColumn id="2" xr3:uid="{BBFA4997-538A-476D-BD76-263203FF6ABC}" name="Équipe" dataDxfId="78"/>
    <tableColumn id="3" xr3:uid="{9A20E0DF-9527-4B0D-A550-5EF7167ABF81}" name="Machine" dataDxfId="77"/>
    <tableColumn id="4" xr3:uid="{3B0ED0DB-3A3D-42B9-92CE-C7769A603883}" name="Reference" dataDxfId="76"/>
    <tableColumn id="5" xr3:uid="{60FF7E2E-7F53-4AC9-8137-2A5C65D24895}" name="Cadence" dataDxfId="75"/>
    <tableColumn id="6" xr3:uid="{06210FA9-A842-4E73-9D61-5F5A7ACE1E35}" name="Quantité" dataDxfId="74"/>
    <tableColumn id="7" xr3:uid="{01816378-CFEC-4708-A4F0-66CF1B5F1387}" name="Objectif" dataDxfId="73">
      <calculatedColumnFormula>F13*8</calculatedColumnFormula>
    </tableColumn>
    <tableColumn id="8" xr3:uid="{C4032EF7-3002-493D-8583-34A8B76258DE}" name="Écart pièces" dataDxfId="72">
      <calculatedColumnFormula>H13-G13</calculatedColumnFormula>
    </tableColumn>
    <tableColumn id="9" xr3:uid="{9DAE7675-70FD-445E-BDDB-E8E2238565B6}" name="Écart temps" dataDxfId="71"/>
    <tableColumn id="10" xr3:uid="{1438624C-19DD-48A8-B0D4-4C0454660192}" name="Nombre d'arrêt" dataDxfId="70"/>
    <tableColumn id="11" xr3:uid="{92F0ED0E-5E30-47AC-B9F1-963B5B62C863}" name="Durée arrêts" dataDxfId="69"/>
    <tableColumn id="12" xr3:uid="{21AA2E60-0434-4A20-BDBE-F1BA2A9CF39A}" name="TRS" dataDxfId="68" dataCellStyle="Pourcentage"/>
    <tableColumn id="13" xr3:uid="{19486378-4A9F-497E-9B1F-E475ECBA87F9}" name="Commentaire" dataDxfId="6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34" dataDxfId="33">
  <autoFilter ref="AI32:AK62" xr:uid="{5A5BA314-728F-41DF-B436-D7A736B66477}"/>
  <tableColumns count="3">
    <tableColumn id="1" xr3:uid="{DF8A1C01-18E8-494B-83B0-7679C44537BE}" name="Date" dataDxfId="32"/>
    <tableColumn id="2" xr3:uid="{430A7B71-3CE2-4D74-8DAF-18AED78B5B2D}" name="TRS" dataDxfId="31" dataCellStyle="Pourcentage"/>
    <tableColumn id="3" xr3:uid="{F1EF3F5F-838A-436F-8A45-EE6CDF2D8D01}" name="Qté" dataDxfId="3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81" totalsRowShown="0" headerRowDxfId="66" dataDxfId="65">
  <autoFilter ref="B5:H81" xr:uid="{C4480CF4-C52E-46FA-9FDF-CF9B3A0AF10E}"/>
  <tableColumns count="7">
    <tableColumn id="1" xr3:uid="{C8979906-7385-4F96-B2E7-4F8FC864FCF7}" name="Date" dataDxfId="64"/>
    <tableColumn id="2" xr3:uid="{C364A27F-09CB-402B-A1F2-43C609B28A7C}" name="Équipe" dataDxfId="63"/>
    <tableColumn id="3" xr3:uid="{1361715B-CE84-4C43-92F7-019565185AAA}" name="Machine" dataDxfId="62"/>
    <tableColumn id="4" xr3:uid="{E770DDB2-0CDE-42F9-A515-5F913C3C5CFA}" name="Arrêts" dataDxfId="61"/>
    <tableColumn id="5" xr3:uid="{95B5CA0A-A6B0-47A6-A582-77BA65A8C587}" name="Durées (m)" dataDxfId="60"/>
    <tableColumn id="6" xr3:uid="{43C12E68-90D4-42CF-BC19-E6722FF7D947}" name="Durées (h)" dataDxfId="59">
      <calculatedColumnFormula>Tableau2[[#This Row],[Durées (m)]]/60</calculatedColumnFormula>
    </tableColumn>
    <tableColumn id="8" xr3:uid="{FDF7BB73-1D0C-A241-A789-075E09936532}" name="pds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13" totalsRowShown="0">
  <autoFilter ref="B5:H113" xr:uid="{894CCDAD-CDD6-465E-80D2-20AB554BBE4E}"/>
  <tableColumns count="7">
    <tableColumn id="1" xr3:uid="{7C267BB5-CF9B-4D47-8B80-1FB9E42CA5FD}" name="Date" dataDxfId="57"/>
    <tableColumn id="2" xr3:uid="{8A871C23-BE6F-4F7B-B503-1F0217DD11F8}" name="Machine"/>
    <tableColumn id="3" xr3:uid="{E32C80A4-959D-4B04-8450-5951FACD7F0D}" name="TRS 1" dataDxfId="56" dataCellStyle="Pourcentage"/>
    <tableColumn id="4" xr3:uid="{04FDCF70-8941-43FF-9DFD-7BB25B382D43}" name="TRS 2 " dataDxfId="55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54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53" dataDxfId="52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51"/>
    <tableColumn id="2" xr3:uid="{493BB54B-9250-2D4B-B6C7-D5E559092A71}" name="Durées (m)" dataDxfId="50"/>
    <tableColumn id="3" xr3:uid="{0482A10B-5D20-934F-9D71-A1713F93DF2F}" name="PC" dataDxfId="49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13" totalsRowShown="0">
  <autoFilter ref="B5:I13" xr:uid="{985E77F9-6971-5543-8E10-89E0F2951626}"/>
  <tableColumns count="8">
    <tableColumn id="1" xr3:uid="{5FF3DE14-D01D-CC49-850B-BCDA13E32092}" name="Semaine"/>
    <tableColumn id="2" xr3:uid="{D00B9277-446B-FC4B-A4F8-BAD0E1F999D5}" name="Machine " dataDxfId="48"/>
    <tableColumn id="3" xr3:uid="{B2D906ED-F0F7-9448-9AF1-A69813965A44}" name="Ref" dataDxfId="47"/>
    <tableColumn id="4" xr3:uid="{4D0E4E49-F3E9-404C-B205-D9C55910B9E1}" name="Objectif"/>
    <tableColumn id="5" xr3:uid="{1FB481F5-4815-6245-A5D3-BCA9454FBAEF}" name="Qté produite"/>
    <tableColumn id="6" xr3:uid="{6DAFD0A6-7665-B146-A89D-00902FC921DC}" name="Écart">
      <calculatedColumnFormula>E6-F6</calculatedColumnFormula>
    </tableColumn>
    <tableColumn id="7" xr3:uid="{EB814DC3-DAC7-6B45-999C-1AC4C9E7E41E}" name="TRS" dataDxfId="46" dataCellStyle="Pourcentage"/>
    <tableColumn id="8" xr3:uid="{8F9ADACA-4E38-DD4D-8A59-7195BFF9DABC}" name="Commmentai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ADA027-BDF3-4ADC-9AA0-BBF84EB0BBF6}" name="Tableau7" displayName="Tableau7" ref="B5:G7" totalsRowShown="0" headerRowDxfId="29" dataDxfId="28">
  <autoFilter ref="B5:G7" xr:uid="{C3ADA027-BDF3-4ADC-9AA0-BBF84EB0BBF6}"/>
  <tableColumns count="6">
    <tableColumn id="1" xr3:uid="{82110287-4DA2-4E23-AF4C-934F43091E8A}" name="Semaine" dataDxfId="27"/>
    <tableColumn id="2" xr3:uid="{CE4D20CE-F0F4-4148-A65C-4C15C2BDE80B}" name="Réf1" dataDxfId="26"/>
    <tableColumn id="3" xr3:uid="{5E479AA2-F31D-4499-AD73-8FAEA315829E}" name="Objectif1" dataDxfId="25"/>
    <tableColumn id="4" xr3:uid="{E3ECDC1D-9AB3-42B6-AEC7-8264A60A07CB}" name="Qté produite1" dataDxfId="24"/>
    <tableColumn id="5" xr3:uid="{2DCA57F5-2F35-4155-ACB0-0463D5E13466}" name="Écart1" dataDxfId="23">
      <calculatedColumnFormula>D6-E6</calculatedColumnFormula>
    </tableColumn>
    <tableColumn id="6" xr3:uid="{85FCF25C-40A4-4BCF-AF8F-0823FA6DFFA6}" name="TRS1" dataDxfId="2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61D414-1E8C-48BE-9676-72AE3EF37E0A}" name="Tableau8" displayName="Tableau8" ref="J5:O7" totalsRowShown="0" dataDxfId="21">
  <autoFilter ref="J5:O7" xr:uid="{F561D414-1E8C-48BE-9676-72AE3EF37E0A}"/>
  <tableColumns count="6">
    <tableColumn id="1" xr3:uid="{905EA822-D8FF-4F98-A0EF-3120D8EEBAD2}" name="Semaine"/>
    <tableColumn id="2" xr3:uid="{2DC4449D-8AF3-49F1-B542-5E50BA7ED098}" name="Réf2" dataDxfId="20"/>
    <tableColumn id="3" xr3:uid="{6165A164-8AE6-4F12-A639-C1F8D2F5D5ED}" name="Objectif2" dataDxfId="19"/>
    <tableColumn id="4" xr3:uid="{EF112BE0-C558-4396-8779-BA18D514B744}" name="Qté produite2" dataDxfId="18"/>
    <tableColumn id="5" xr3:uid="{DC6F2425-920F-4EBD-A310-FADCFF9685F2}" name="Écart2" dataDxfId="17">
      <calculatedColumnFormula>L6-M6</calculatedColumnFormula>
    </tableColumn>
    <tableColumn id="6" xr3:uid="{C00F0051-7E80-4D96-AB31-68207098773D}" name="TRS2" dataDxfId="16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64C823-5238-467F-AA0D-E974B9917A6B}" name="Tableau9" displayName="Tableau9" ref="R5:W7" totalsRowShown="0" headerRowDxfId="15" dataDxfId="14">
  <autoFilter ref="R5:W7" xr:uid="{5464C823-5238-467F-AA0D-E974B9917A6B}"/>
  <tableColumns count="6">
    <tableColumn id="1" xr3:uid="{5C74E9B3-1BA4-412D-BA84-1C917F00C0F7}" name="Semaine" dataDxfId="13"/>
    <tableColumn id="2" xr3:uid="{75D5B65C-9AC1-4508-BFC0-A55081496313}" name="Réf3" dataDxfId="12"/>
    <tableColumn id="3" xr3:uid="{F180D62A-866C-4FE3-82BF-01E2F39AB36E}" name="Objectif3" dataDxfId="11"/>
    <tableColumn id="4" xr3:uid="{213C728B-BEA4-410A-8F33-DCA051CD5FD5}" name="Qté produite3" dataDxfId="10"/>
    <tableColumn id="5" xr3:uid="{81F0C789-5C90-4D3F-A8A8-5DBB36A2334F}" name="Écart3" dataDxfId="9">
      <calculatedColumnFormula>T6-U6</calculatedColumnFormula>
    </tableColumn>
    <tableColumn id="6" xr3:uid="{4A25E099-B3ED-4CEE-B0CF-1BC8A9873B3F}" name="TRS3" dataDxfId="8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B2D2CA-EE62-4387-AEB5-385029A19158}" name="Tableau10" displayName="Tableau10" ref="Z5:AE7" totalsRowShown="0" headerRowDxfId="7" dataDxfId="6">
  <autoFilter ref="Z5:AE7" xr:uid="{CDB2D2CA-EE62-4387-AEB5-385029A19158}"/>
  <tableColumns count="6">
    <tableColumn id="1" xr3:uid="{01D3F3C2-43FD-4D50-AB4C-E28EB81072E7}" name="Semaine" dataDxfId="5"/>
    <tableColumn id="2" xr3:uid="{A3635632-E66D-4D5B-8284-84E4C64256AF}" name="Réf4" dataDxfId="4"/>
    <tableColumn id="3" xr3:uid="{CB8503F3-814B-4471-B077-A174D34DDA63}" name="Objectif4" dataDxfId="3"/>
    <tableColumn id="4" xr3:uid="{FDF250D7-445C-4579-B628-473FBC880E31}" name="Qté produite4" dataDxfId="2"/>
    <tableColumn id="5" xr3:uid="{0390E7E2-8F85-485A-BBDB-99421DD5C1DB}" name="Écart4" dataDxfId="1">
      <calculatedColumnFormula>AB6-AC6</calculatedColumnFormula>
    </tableColumn>
    <tableColumn id="6" xr3:uid="{0EA2FFEC-8C59-4675-BA59-DCB1DB3DEB16}" name="TRS4" dataDxfId="0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Normal="100" workbookViewId="0">
      <selection activeCell="B6" sqref="B6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H45" sqref="H45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J41" sqref="J41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36"/>
  <sheetViews>
    <sheetView showGridLines="0" showRowColHeaders="0" topLeftCell="I1" workbookViewId="0">
      <pane ySplit="12" topLeftCell="A305" activePane="bottomLeft" state="frozen"/>
      <selection pane="bottomLeft" activeCell="B313" sqref="B313:N336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1100</v>
      </c>
      <c r="H4" s="14" t="s">
        <v>30</v>
      </c>
      <c r="I4" s="19">
        <f>C10/F5</f>
        <v>1636.3636363636363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96">
        <f>I10</f>
        <v>0.94318181818181823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0.30555555555555558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97"/>
      <c r="O5" s="20" t="s">
        <v>35</v>
      </c>
      <c r="P5" s="20"/>
      <c r="Q5" s="20">
        <f>L10-L4</f>
        <v>480</v>
      </c>
      <c r="R5" s="26">
        <f>Q5*60</f>
        <v>28800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97"/>
      <c r="O6" s="20" t="s">
        <v>36</v>
      </c>
      <c r="P6" s="20"/>
      <c r="Q6" s="20">
        <f>L10-L5</f>
        <v>480</v>
      </c>
      <c r="R6" s="27">
        <f>Q6*60</f>
        <v>28800</v>
      </c>
    </row>
    <row r="7" spans="2:19" x14ac:dyDescent="0.3">
      <c r="B7" s="14" t="s">
        <v>25</v>
      </c>
      <c r="C7" s="15">
        <v>1100</v>
      </c>
      <c r="D7" s="16">
        <f>C7*K10</f>
        <v>8800</v>
      </c>
      <c r="E7" s="90" t="s">
        <v>44</v>
      </c>
      <c r="F7" s="91"/>
      <c r="H7" s="48" t="s">
        <v>45</v>
      </c>
      <c r="I7" s="49">
        <f>Q6/Q5</f>
        <v>1</v>
      </c>
      <c r="J7" s="37" t="s">
        <v>43</v>
      </c>
      <c r="K7" s="34">
        <f>L7/60</f>
        <v>0.45454545454545447</v>
      </c>
      <c r="L7" s="34">
        <f>M7/60</f>
        <v>27.27272727272727</v>
      </c>
      <c r="M7" s="34">
        <f>I4</f>
        <v>1636.3636363636363</v>
      </c>
      <c r="N7" s="97"/>
      <c r="O7" s="20" t="s">
        <v>37</v>
      </c>
      <c r="P7" s="20"/>
      <c r="Q7" s="20">
        <f>Q6-L6</f>
        <v>480</v>
      </c>
      <c r="R7" s="28">
        <f>Q7*60</f>
        <v>28800</v>
      </c>
    </row>
    <row r="8" spans="2:19" x14ac:dyDescent="0.3">
      <c r="B8" s="14" t="s">
        <v>26</v>
      </c>
      <c r="C8" s="17">
        <v>1100</v>
      </c>
      <c r="D8" s="16">
        <f>C8*K10</f>
        <v>8800</v>
      </c>
      <c r="E8" s="92">
        <f>I10</f>
        <v>0.94318181818181823</v>
      </c>
      <c r="F8" s="93"/>
      <c r="H8" s="50" t="s">
        <v>46</v>
      </c>
      <c r="I8" s="51">
        <f>Q7/Q6</f>
        <v>1</v>
      </c>
      <c r="N8" s="97"/>
      <c r="O8" s="20" t="s">
        <v>38</v>
      </c>
      <c r="P8" s="20"/>
      <c r="Q8" s="20">
        <f>Q7-L7</f>
        <v>452.72727272727275</v>
      </c>
      <c r="R8" s="29">
        <f>Q8*60</f>
        <v>27163.636363636364</v>
      </c>
    </row>
    <row r="9" spans="2:19" x14ac:dyDescent="0.3">
      <c r="B9" t="s">
        <v>51</v>
      </c>
      <c r="C9">
        <f>D7-D8</f>
        <v>0</v>
      </c>
      <c r="E9" s="92"/>
      <c r="F9" s="93"/>
      <c r="H9" s="50" t="s">
        <v>47</v>
      </c>
      <c r="I9" s="51">
        <f>Q8/Q7</f>
        <v>0.94318181818181823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97"/>
      <c r="R9" s="30"/>
    </row>
    <row r="10" spans="2:19" x14ac:dyDescent="0.3">
      <c r="B10" s="20" t="s">
        <v>29</v>
      </c>
      <c r="C10" s="21">
        <v>500</v>
      </c>
      <c r="E10" s="94"/>
      <c r="F10" s="95"/>
      <c r="H10" s="52" t="s">
        <v>44</v>
      </c>
      <c r="I10" s="53">
        <f>I7*I8*I9</f>
        <v>0.94318181818181823</v>
      </c>
      <c r="J10" s="43" t="s">
        <v>49</v>
      </c>
      <c r="K10" s="17">
        <v>8</v>
      </c>
      <c r="L10" s="19">
        <f>K10*60</f>
        <v>480</v>
      </c>
      <c r="M10" s="54">
        <f>L10*60</f>
        <v>28800</v>
      </c>
      <c r="N10" s="98"/>
      <c r="O10" s="56" t="s">
        <v>34</v>
      </c>
      <c r="P10" s="22"/>
      <c r="Q10" s="31"/>
      <c r="R10" s="32">
        <f>R8/R5</f>
        <v>0.94318181818181823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81"/>
  <sheetViews>
    <sheetView workbookViewId="0">
      <pane ySplit="5" topLeftCell="A54" activePane="bottomLeft" state="frozen"/>
      <selection pane="bottomLeft" activeCell="B77" sqref="B77:H81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8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8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8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8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8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8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8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8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8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8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8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8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8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8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8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8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13"/>
  <sheetViews>
    <sheetView workbookViewId="0">
      <pane ySplit="5" topLeftCell="A78" activePane="bottomLeft" state="frozen"/>
      <selection pane="bottomLeft" activeCell="B106" sqref="B106:H113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B5" sqref="B5:D15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6109</v>
      </c>
    </row>
    <row r="6" spans="2:8" x14ac:dyDescent="0.3">
      <c r="B6" s="10" t="s">
        <v>92</v>
      </c>
      <c r="C6">
        <v>1370</v>
      </c>
      <c r="D6" s="89">
        <f>C6/H5</f>
        <v>0.22425928957276151</v>
      </c>
    </row>
    <row r="7" spans="2:8" x14ac:dyDescent="0.3">
      <c r="B7" s="10" t="s">
        <v>93</v>
      </c>
      <c r="C7">
        <v>1333</v>
      </c>
      <c r="D7" s="89">
        <f>D6+Tableau5[[#This Row],[Durées (m)]]/H5</f>
        <v>0.44246194139793749</v>
      </c>
    </row>
    <row r="8" spans="2:8" x14ac:dyDescent="0.3">
      <c r="B8" s="10" t="s">
        <v>17</v>
      </c>
      <c r="C8">
        <v>1270</v>
      </c>
      <c r="D8" s="89">
        <f>D7+Tableau5[[#This Row],[Durées (m)]]/H5</f>
        <v>0.65035193976100836</v>
      </c>
    </row>
    <row r="9" spans="2:8" x14ac:dyDescent="0.3">
      <c r="B9" s="10" t="s">
        <v>16</v>
      </c>
      <c r="C9">
        <v>1146</v>
      </c>
      <c r="D9" s="89">
        <f>D8+(C9/H5)</f>
        <v>0.83794401702406285</v>
      </c>
    </row>
    <row r="10" spans="2:8" x14ac:dyDescent="0.3">
      <c r="B10" s="10" t="s">
        <v>20</v>
      </c>
      <c r="C10">
        <v>310</v>
      </c>
      <c r="D10" s="89">
        <f>D9+(C10/H5)</f>
        <v>0.88868881977410374</v>
      </c>
    </row>
    <row r="11" spans="2:8" x14ac:dyDescent="0.3">
      <c r="B11" s="10" t="s">
        <v>95</v>
      </c>
      <c r="C11">
        <v>280</v>
      </c>
      <c r="D11" s="89">
        <f>D10+(C11/H5)</f>
        <v>0.93452283516123746</v>
      </c>
    </row>
    <row r="12" spans="2:8" x14ac:dyDescent="0.3">
      <c r="B12" s="10" t="s">
        <v>100</v>
      </c>
      <c r="C12">
        <v>140</v>
      </c>
      <c r="D12" s="89">
        <f>D11+(C12/H5)</f>
        <v>0.95743984285480432</v>
      </c>
    </row>
    <row r="13" spans="2:8" x14ac:dyDescent="0.3">
      <c r="B13" s="10" t="s">
        <v>103</v>
      </c>
      <c r="C13">
        <v>100</v>
      </c>
      <c r="D13" s="89">
        <f>D12+(C13/H5)</f>
        <v>0.97380913406449499</v>
      </c>
    </row>
    <row r="14" spans="2:8" x14ac:dyDescent="0.3">
      <c r="B14" s="10" t="s">
        <v>97</v>
      </c>
      <c r="C14">
        <v>100</v>
      </c>
      <c r="D14" s="89">
        <f>D13+(C14/H5)</f>
        <v>0.99017842527418565</v>
      </c>
    </row>
    <row r="15" spans="2:8" x14ac:dyDescent="0.3">
      <c r="B15" s="10" t="s">
        <v>96</v>
      </c>
      <c r="C15">
        <v>60</v>
      </c>
      <c r="D15" s="89">
        <f>D14+(C15/H5)</f>
        <v>1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13"/>
  <sheetViews>
    <sheetView workbookViewId="0">
      <selection activeCell="D22" sqref="D22"/>
    </sheetView>
  </sheetViews>
  <sheetFormatPr baseColWidth="10" defaultRowHeight="14.4" x14ac:dyDescent="0.3"/>
  <cols>
    <col min="3" max="3" width="14.109375" customWidth="1"/>
    <col min="6" max="6" width="13.44140625" customWidth="1"/>
  </cols>
  <sheetData>
    <row r="5" spans="2:9" x14ac:dyDescent="0.3">
      <c r="B5" s="83" t="s">
        <v>112</v>
      </c>
      <c r="C5" s="83" t="s">
        <v>113</v>
      </c>
      <c r="D5" s="83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83" t="s">
        <v>117</v>
      </c>
      <c r="C6" s="83" t="s">
        <v>4</v>
      </c>
      <c r="D6" s="83" t="s">
        <v>5</v>
      </c>
      <c r="E6" s="83">
        <v>46400</v>
      </c>
      <c r="F6" s="83">
        <v>29693</v>
      </c>
      <c r="G6" s="83">
        <f>E6-F6</f>
        <v>16707</v>
      </c>
      <c r="H6" s="88">
        <v>64</v>
      </c>
    </row>
    <row r="7" spans="2:9" x14ac:dyDescent="0.3">
      <c r="B7" s="83" t="s">
        <v>117</v>
      </c>
      <c r="C7" s="84" t="s">
        <v>12</v>
      </c>
      <c r="D7" s="83" t="s">
        <v>13</v>
      </c>
      <c r="E7" s="83">
        <v>70400</v>
      </c>
      <c r="F7" s="83">
        <v>44608</v>
      </c>
      <c r="G7" s="83">
        <f t="shared" ref="G7:G13" si="0">E7-F7</f>
        <v>25792</v>
      </c>
      <c r="H7" s="87">
        <v>64</v>
      </c>
    </row>
    <row r="8" spans="2:9" x14ac:dyDescent="0.3">
      <c r="B8" s="83" t="s">
        <v>117</v>
      </c>
      <c r="C8" s="85" t="s">
        <v>14</v>
      </c>
      <c r="D8" s="86" t="s">
        <v>78</v>
      </c>
      <c r="E8" s="83">
        <v>46080</v>
      </c>
      <c r="F8" s="83">
        <v>0</v>
      </c>
      <c r="G8" s="83">
        <f t="shared" si="0"/>
        <v>46080</v>
      </c>
      <c r="H8" s="87">
        <v>0</v>
      </c>
    </row>
    <row r="9" spans="2:9" x14ac:dyDescent="0.3">
      <c r="B9" s="83" t="s">
        <v>117</v>
      </c>
      <c r="C9" s="85" t="s">
        <v>15</v>
      </c>
      <c r="D9" s="86" t="s">
        <v>13</v>
      </c>
      <c r="E9" s="83">
        <v>70400</v>
      </c>
      <c r="F9" s="83">
        <v>46539</v>
      </c>
      <c r="G9" s="83">
        <f t="shared" si="0"/>
        <v>23861</v>
      </c>
      <c r="H9" s="87">
        <v>66</v>
      </c>
    </row>
    <row r="10" spans="2:9" x14ac:dyDescent="0.3">
      <c r="B10" s="83" t="s">
        <v>118</v>
      </c>
      <c r="C10" s="83" t="s">
        <v>4</v>
      </c>
      <c r="D10" s="86" t="s">
        <v>79</v>
      </c>
      <c r="E10" s="83">
        <v>36360</v>
      </c>
      <c r="F10" s="83">
        <v>35638</v>
      </c>
      <c r="G10" s="83">
        <f t="shared" si="0"/>
        <v>722</v>
      </c>
      <c r="H10" s="87">
        <v>98</v>
      </c>
    </row>
    <row r="11" spans="2:9" x14ac:dyDescent="0.3">
      <c r="B11" s="83" t="s">
        <v>118</v>
      </c>
      <c r="C11" s="84" t="s">
        <v>12</v>
      </c>
      <c r="D11" s="83" t="s">
        <v>13</v>
      </c>
      <c r="E11" s="83">
        <v>70400</v>
      </c>
      <c r="F11" s="83">
        <v>51133</v>
      </c>
      <c r="G11" s="83">
        <f t="shared" si="0"/>
        <v>19267</v>
      </c>
      <c r="H11" s="87">
        <v>73</v>
      </c>
    </row>
    <row r="12" spans="2:9" x14ac:dyDescent="0.3">
      <c r="B12" s="83" t="s">
        <v>118</v>
      </c>
      <c r="C12" s="85" t="s">
        <v>14</v>
      </c>
      <c r="D12" s="86" t="s">
        <v>78</v>
      </c>
      <c r="E12" s="83">
        <v>46080</v>
      </c>
      <c r="F12" s="83">
        <v>0</v>
      </c>
      <c r="G12" s="83">
        <f t="shared" si="0"/>
        <v>46080</v>
      </c>
      <c r="H12" s="87">
        <v>0</v>
      </c>
    </row>
    <row r="13" spans="2:9" x14ac:dyDescent="0.3">
      <c r="B13" s="83" t="s">
        <v>118</v>
      </c>
      <c r="C13" s="85" t="s">
        <v>15</v>
      </c>
      <c r="D13" s="86" t="s">
        <v>13</v>
      </c>
      <c r="E13" s="83">
        <v>70400</v>
      </c>
      <c r="F13" s="83">
        <v>56086</v>
      </c>
      <c r="G13" s="83">
        <f t="shared" si="0"/>
        <v>14314</v>
      </c>
      <c r="H13" s="87">
        <v>80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E7"/>
  <sheetViews>
    <sheetView tabSelected="1" workbookViewId="0">
      <selection activeCell="D21" sqref="D21"/>
    </sheetView>
  </sheetViews>
  <sheetFormatPr baseColWidth="10" defaultRowHeight="14.4" x14ac:dyDescent="0.3"/>
  <sheetData>
    <row r="4" spans="2:31" x14ac:dyDescent="0.3">
      <c r="B4" t="s">
        <v>4</v>
      </c>
      <c r="J4" t="s">
        <v>120</v>
      </c>
      <c r="R4" t="s">
        <v>121</v>
      </c>
      <c r="Z4" t="s">
        <v>122</v>
      </c>
    </row>
    <row r="5" spans="2:31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</row>
    <row r="6" spans="2:31" x14ac:dyDescent="0.3">
      <c r="B6" t="s">
        <v>117</v>
      </c>
      <c r="C6" s="99" t="s">
        <v>5</v>
      </c>
      <c r="D6" s="99">
        <v>46400</v>
      </c>
      <c r="E6" s="99">
        <v>29693</v>
      </c>
      <c r="F6">
        <f>D6-E6</f>
        <v>16707</v>
      </c>
      <c r="G6" s="100">
        <v>0.64</v>
      </c>
      <c r="J6" t="s">
        <v>117</v>
      </c>
      <c r="K6" s="99" t="s">
        <v>13</v>
      </c>
      <c r="L6" s="99">
        <v>70400</v>
      </c>
      <c r="M6" s="99">
        <v>44608</v>
      </c>
      <c r="N6" s="99">
        <f t="shared" ref="N6:N7" si="0">L6-M6</f>
        <v>25792</v>
      </c>
      <c r="O6" s="101">
        <v>0.64</v>
      </c>
      <c r="R6" t="s">
        <v>117</v>
      </c>
      <c r="S6" s="102" t="s">
        <v>78</v>
      </c>
      <c r="T6" s="99">
        <v>46080</v>
      </c>
      <c r="U6" s="99">
        <v>0</v>
      </c>
      <c r="V6" s="99">
        <f t="shared" ref="V6:V7" si="1">T6-U6</f>
        <v>46080</v>
      </c>
      <c r="W6" s="100">
        <v>0</v>
      </c>
      <c r="Z6" t="s">
        <v>117</v>
      </c>
      <c r="AA6" s="102" t="s">
        <v>13</v>
      </c>
      <c r="AB6" s="99">
        <v>70400</v>
      </c>
      <c r="AC6" s="99">
        <v>46539</v>
      </c>
      <c r="AD6" s="99">
        <f t="shared" ref="AD6:AD7" si="2">AB6-AC6</f>
        <v>23861</v>
      </c>
      <c r="AE6" s="100">
        <v>0.66</v>
      </c>
    </row>
    <row r="7" spans="2:31" x14ac:dyDescent="0.3">
      <c r="B7" t="s">
        <v>118</v>
      </c>
      <c r="C7" s="102" t="s">
        <v>79</v>
      </c>
      <c r="D7" s="99">
        <v>36360</v>
      </c>
      <c r="E7" s="99">
        <v>35638</v>
      </c>
      <c r="F7">
        <f>D7-E7</f>
        <v>722</v>
      </c>
      <c r="G7" s="100">
        <v>0.98</v>
      </c>
      <c r="J7" t="s">
        <v>118</v>
      </c>
      <c r="K7" s="99" t="s">
        <v>13</v>
      </c>
      <c r="L7" s="99">
        <v>70400</v>
      </c>
      <c r="M7" s="99">
        <v>51133</v>
      </c>
      <c r="N7" s="99">
        <f t="shared" si="0"/>
        <v>19267</v>
      </c>
      <c r="O7" s="101">
        <v>0.73</v>
      </c>
      <c r="R7" t="s">
        <v>118</v>
      </c>
      <c r="S7" s="102" t="s">
        <v>78</v>
      </c>
      <c r="T7" s="99">
        <v>46080</v>
      </c>
      <c r="U7" s="99">
        <v>0</v>
      </c>
      <c r="V7" s="99">
        <f t="shared" si="1"/>
        <v>46080</v>
      </c>
      <c r="W7" s="100">
        <v>0</v>
      </c>
      <c r="Z7" t="s">
        <v>118</v>
      </c>
      <c r="AA7" s="102" t="s">
        <v>13</v>
      </c>
      <c r="AB7" s="99">
        <v>70400</v>
      </c>
      <c r="AC7" s="99">
        <v>56086</v>
      </c>
      <c r="AD7" s="99">
        <f t="shared" si="2"/>
        <v>14314</v>
      </c>
      <c r="AE7" s="100">
        <v>0.8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16"/>
  <sheetViews>
    <sheetView topLeftCell="AQ1" workbookViewId="0">
      <selection activeCell="AZ9" sqref="AZ9"/>
    </sheetView>
  </sheetViews>
  <sheetFormatPr baseColWidth="10" defaultRowHeight="14.4" x14ac:dyDescent="0.3"/>
  <cols>
    <col min="2" max="2" width="20.77734375" bestFit="1" customWidth="1"/>
    <col min="3" max="3" width="16.5546875" bestFit="1" customWidth="1"/>
    <col min="4" max="5" width="2.77734375" customWidth="1"/>
    <col min="7" max="7" width="4" customWidth="1"/>
    <col min="8" max="8" width="3.77734375" customWidth="1"/>
    <col min="9" max="9" width="22.77734375" bestFit="1" customWidth="1"/>
    <col min="10" max="10" width="20.77734375" bestFit="1" customWidth="1"/>
    <col min="11" max="11" width="8.6640625" customWidth="1"/>
    <col min="12" max="12" width="5.77734375" customWidth="1"/>
    <col min="13" max="13" width="4.44140625" customWidth="1"/>
    <col min="14" max="15" width="20.77734375" bestFit="1" customWidth="1"/>
    <col min="16" max="16" width="20.109375" bestFit="1" customWidth="1"/>
    <col min="17" max="18" width="2.77734375" customWidth="1"/>
    <col min="19" max="19" width="20.77734375" bestFit="1" customWidth="1"/>
    <col min="20" max="20" width="15.44140625" bestFit="1" customWidth="1"/>
    <col min="21" max="21" width="16" bestFit="1" customWidth="1"/>
    <col min="22" max="22" width="24.109375" bestFit="1" customWidth="1"/>
    <col min="23" max="23" width="21.109375" bestFit="1" customWidth="1"/>
    <col min="24" max="24" width="23" bestFit="1" customWidth="1"/>
    <col min="28" max="28" width="20.77734375" bestFit="1" customWidth="1"/>
    <col min="29" max="29" width="15.77734375" bestFit="1" customWidth="1"/>
    <col min="30" max="30" width="16" bestFit="1" customWidth="1"/>
    <col min="31" max="31" width="24.109375" bestFit="1" customWidth="1"/>
    <col min="32" max="32" width="21.109375" bestFit="1" customWidth="1"/>
    <col min="33" max="33" width="23" bestFit="1" customWidth="1"/>
    <col min="37" max="37" width="20.77734375" bestFit="1" customWidth="1"/>
    <col min="38" max="38" width="15.77734375" bestFit="1" customWidth="1"/>
    <col min="39" max="39" width="16" bestFit="1" customWidth="1"/>
    <col min="40" max="40" width="24.109375" bestFit="1" customWidth="1"/>
    <col min="41" max="41" width="21.109375" bestFit="1" customWidth="1"/>
    <col min="42" max="42" width="23" bestFit="1" customWidth="1"/>
    <col min="45" max="45" width="20.77734375" bestFit="1" customWidth="1"/>
    <col min="46" max="46" width="15.77734375" bestFit="1" customWidth="1"/>
    <col min="47" max="47" width="16" bestFit="1" customWidth="1"/>
    <col min="48" max="48" width="24.109375" bestFit="1" customWidth="1"/>
    <col min="49" max="49" width="21.109375" bestFit="1" customWidth="1"/>
    <col min="50" max="50" width="23" bestFit="1" customWidth="1"/>
    <col min="54" max="54" width="20.77734375" bestFit="1" customWidth="1"/>
    <col min="55" max="55" width="15.44140625" bestFit="1" customWidth="1"/>
    <col min="56" max="56" width="24.109375" bestFit="1" customWidth="1"/>
    <col min="59" max="59" width="20.77734375" bestFit="1" customWidth="1"/>
    <col min="60" max="60" width="15.77734375" bestFit="1" customWidth="1"/>
    <col min="61" max="61" width="24.109375" bestFit="1" customWidth="1"/>
    <col min="64" max="64" width="20.77734375" bestFit="1" customWidth="1"/>
    <col min="65" max="65" width="15.77734375" bestFit="1" customWidth="1"/>
    <col min="66" max="66" width="24.109375" bestFit="1" customWidth="1"/>
    <col min="69" max="69" width="20.77734375" bestFit="1" customWidth="1"/>
    <col min="70" max="70" width="15.77734375" bestFit="1" customWidth="1"/>
    <col min="71" max="71" width="24.109375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27</v>
      </c>
      <c r="F4" t="s">
        <v>64</v>
      </c>
      <c r="G4">
        <v>71</v>
      </c>
      <c r="I4" s="61" t="s">
        <v>16</v>
      </c>
      <c r="J4" s="63">
        <v>1146</v>
      </c>
      <c r="K4" t="s">
        <v>65</v>
      </c>
      <c r="L4">
        <v>97.65</v>
      </c>
      <c r="N4" s="61" t="s">
        <v>12</v>
      </c>
      <c r="O4" s="82">
        <v>2330</v>
      </c>
      <c r="P4" s="62">
        <v>38.833333333333336</v>
      </c>
      <c r="S4" s="64">
        <v>45734</v>
      </c>
      <c r="T4" s="65">
        <v>0</v>
      </c>
      <c r="U4" s="65">
        <v>0</v>
      </c>
      <c r="V4" s="82">
        <v>0</v>
      </c>
      <c r="W4" s="82">
        <v>0</v>
      </c>
      <c r="X4" s="82">
        <v>0</v>
      </c>
      <c r="Y4" t="s">
        <v>71</v>
      </c>
      <c r="Z4" s="1">
        <f>GETPIVOTDATA("Somme de TRS 1",$S$3)</f>
        <v>0</v>
      </c>
      <c r="AB4" s="64">
        <v>45734</v>
      </c>
      <c r="AC4" s="65">
        <v>0.66</v>
      </c>
      <c r="AD4" s="65">
        <v>0.73</v>
      </c>
      <c r="AE4" s="82">
        <v>11620</v>
      </c>
      <c r="AF4" s="82">
        <v>7700</v>
      </c>
      <c r="AG4" s="82">
        <v>19320</v>
      </c>
      <c r="AH4" t="s">
        <v>71</v>
      </c>
      <c r="AI4" s="1">
        <f>GETPIVOTDATA("Somme de TRS 1",$AB$3)</f>
        <v>0.66</v>
      </c>
      <c r="AK4" s="64">
        <v>45734</v>
      </c>
      <c r="AL4" s="65">
        <v>0.78</v>
      </c>
      <c r="AM4" s="65">
        <v>0.74</v>
      </c>
      <c r="AN4" s="82">
        <v>8970</v>
      </c>
      <c r="AO4" s="82">
        <v>3800</v>
      </c>
      <c r="AP4" s="82">
        <v>12770</v>
      </c>
      <c r="AQ4" t="s">
        <v>71</v>
      </c>
      <c r="AR4" s="1">
        <f>GETPIVOTDATA("Somme de TRS 1",$AK$3)</f>
        <v>0.78</v>
      </c>
      <c r="AS4" s="64">
        <v>45734</v>
      </c>
      <c r="AT4" s="65">
        <v>0.83</v>
      </c>
      <c r="AU4" s="65">
        <v>0.82</v>
      </c>
      <c r="AV4" s="82">
        <v>14680</v>
      </c>
      <c r="AW4" s="82">
        <v>7100</v>
      </c>
      <c r="AX4" s="82">
        <v>21780</v>
      </c>
      <c r="AY4" t="s">
        <v>71</v>
      </c>
      <c r="AZ4" s="1">
        <f>GETPIVOTDATA("Somme de TRS 1",$AS$3)</f>
        <v>0.83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32</v>
      </c>
      <c r="I5" s="61" t="s">
        <v>20</v>
      </c>
      <c r="J5" s="63">
        <v>310</v>
      </c>
      <c r="L5" s="62">
        <f>L4/24</f>
        <v>4.0687500000000005</v>
      </c>
      <c r="N5" s="61" t="s">
        <v>15</v>
      </c>
      <c r="O5" s="82">
        <v>1823</v>
      </c>
      <c r="P5" s="62">
        <v>30.383333333333333</v>
      </c>
      <c r="S5" s="64" t="s">
        <v>60</v>
      </c>
      <c r="T5" s="65">
        <v>0</v>
      </c>
      <c r="U5" s="65">
        <v>0</v>
      </c>
      <c r="V5" s="82">
        <v>0</v>
      </c>
      <c r="W5" s="82">
        <v>0</v>
      </c>
      <c r="X5" s="82">
        <v>0</v>
      </c>
      <c r="Y5" t="s">
        <v>72</v>
      </c>
      <c r="Z5" s="1">
        <f>GETPIVOTDATA("Somme de TRS 2 ",$S$3)</f>
        <v>0</v>
      </c>
      <c r="AB5" s="64" t="s">
        <v>60</v>
      </c>
      <c r="AC5" s="65">
        <v>0.66</v>
      </c>
      <c r="AD5" s="65">
        <v>0.73</v>
      </c>
      <c r="AE5" s="82">
        <v>11620</v>
      </c>
      <c r="AF5" s="82">
        <v>7700</v>
      </c>
      <c r="AG5" s="82">
        <v>19320</v>
      </c>
      <c r="AH5" t="s">
        <v>72</v>
      </c>
      <c r="AI5" s="1">
        <f>GETPIVOTDATA("Somme de TRS 2 ",$AB$3)</f>
        <v>0.73</v>
      </c>
      <c r="AK5" s="64" t="s">
        <v>60</v>
      </c>
      <c r="AL5" s="65">
        <v>0.78</v>
      </c>
      <c r="AM5" s="65">
        <v>0.74</v>
      </c>
      <c r="AN5" s="82">
        <v>8970</v>
      </c>
      <c r="AO5" s="82">
        <v>3800</v>
      </c>
      <c r="AP5" s="82">
        <v>12770</v>
      </c>
      <c r="AQ5" t="s">
        <v>72</v>
      </c>
      <c r="AR5" s="1">
        <f>GETPIVOTDATA("Somme de TRS 2 ",$AK$3)</f>
        <v>0.74</v>
      </c>
      <c r="AS5" s="64" t="s">
        <v>60</v>
      </c>
      <c r="AT5" s="65">
        <v>0.83</v>
      </c>
      <c r="AU5" s="65">
        <v>0.82</v>
      </c>
      <c r="AV5" s="82">
        <v>14680</v>
      </c>
      <c r="AW5" s="82">
        <v>7100</v>
      </c>
      <c r="AX5" s="82">
        <v>21780</v>
      </c>
      <c r="AY5" t="s">
        <v>72</v>
      </c>
      <c r="AZ5" s="1">
        <f>GETPIVOTDATA("Somme de TRS 2 ",$AS$3)</f>
        <v>0.82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8</v>
      </c>
      <c r="I6" s="61" t="s">
        <v>17</v>
      </c>
      <c r="J6" s="63">
        <v>1310</v>
      </c>
      <c r="N6" s="61" t="s">
        <v>14</v>
      </c>
      <c r="O6" s="82">
        <v>330</v>
      </c>
      <c r="P6" s="62">
        <v>5.5</v>
      </c>
      <c r="Y6" t="s">
        <v>73</v>
      </c>
      <c r="Z6">
        <f>GETPIVOTDATA("Somme de Quantité E1+E2",$S$3)</f>
        <v>0</v>
      </c>
      <c r="AH6" t="s">
        <v>73</v>
      </c>
      <c r="AI6">
        <f>GETPIVOTDATA("Somme de Quantité E1+E2",$AB$3)</f>
        <v>11620</v>
      </c>
      <c r="AQ6" t="s">
        <v>73</v>
      </c>
      <c r="AR6">
        <f>GETPIVOTDATA("Somme de Quantité E1+E2",$AK$3)</f>
        <v>8970</v>
      </c>
      <c r="AY6" t="s">
        <v>73</v>
      </c>
      <c r="AZ6">
        <f>GETPIVOTDATA("Somme de Quantité E1+E2",$AS$3)</f>
        <v>14680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9</v>
      </c>
      <c r="I7" s="61" t="s">
        <v>92</v>
      </c>
      <c r="J7" s="63">
        <v>1300</v>
      </c>
      <c r="N7" s="61" t="s">
        <v>4</v>
      </c>
      <c r="O7" s="82">
        <v>1596</v>
      </c>
      <c r="P7" s="62">
        <v>26.599999999999998</v>
      </c>
      <c r="Y7" t="s">
        <v>74</v>
      </c>
      <c r="Z7">
        <f>GETPIVOTDATA("Somme de Quantité E3",$S$3)</f>
        <v>0</v>
      </c>
      <c r="AH7" t="s">
        <v>74</v>
      </c>
      <c r="AI7">
        <f>GETPIVOTDATA("Somme de Quantité E3",$AB$3)</f>
        <v>7700</v>
      </c>
      <c r="AQ7" t="s">
        <v>74</v>
      </c>
      <c r="AR7">
        <f>GETPIVOTDATA("Somme de Quantité E3",$AK$3)</f>
        <v>3800</v>
      </c>
      <c r="AY7" t="s">
        <v>74</v>
      </c>
      <c r="AZ7">
        <f>GETPIVOTDATA("Somme de Quantité E3",$AS$3)</f>
        <v>7100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76</v>
      </c>
      <c r="I8" s="61" t="s">
        <v>93</v>
      </c>
      <c r="J8" s="63">
        <v>1333</v>
      </c>
      <c r="N8" s="61" t="s">
        <v>60</v>
      </c>
      <c r="O8" s="82">
        <v>6079</v>
      </c>
      <c r="P8" s="82">
        <v>101.31666666666666</v>
      </c>
      <c r="Y8" t="s">
        <v>75</v>
      </c>
      <c r="Z8">
        <f>GETPIVOTDATA("Somme de Quantité total",$S$3)</f>
        <v>0</v>
      </c>
      <c r="AH8" t="s">
        <v>75</v>
      </c>
      <c r="AI8">
        <f>GETPIVOTDATA("Somme de Quantité total",$AB$3)</f>
        <v>19320</v>
      </c>
      <c r="AQ8" t="s">
        <v>75</v>
      </c>
      <c r="AR8">
        <f>GETPIVOTDATA("Somme de Quantité total",$AK$3)</f>
        <v>12770</v>
      </c>
      <c r="AY8" t="s">
        <v>75</v>
      </c>
      <c r="AZ8">
        <f>GETPIVOTDATA("Somme de Quantité total",$AS$3)</f>
        <v>21780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6079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BB16" s="64" t="s">
        <v>60</v>
      </c>
      <c r="BC16" s="65">
        <v>6.7799999999999994</v>
      </c>
      <c r="BD16" s="82">
        <v>81267</v>
      </c>
      <c r="BG16" s="64" t="s">
        <v>60</v>
      </c>
      <c r="BH16" s="65">
        <v>8.14</v>
      </c>
      <c r="BI16" s="82">
        <v>132831</v>
      </c>
      <c r="BL16" s="64" t="s">
        <v>60</v>
      </c>
      <c r="BM16" s="65">
        <v>2.6100000000000003</v>
      </c>
      <c r="BN16" s="82">
        <v>30038</v>
      </c>
      <c r="BQ16" s="64" t="s">
        <v>60</v>
      </c>
      <c r="BR16" s="65">
        <v>9.120000000000001</v>
      </c>
      <c r="BS16" s="82">
        <v>150760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K39" sqref="K39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TDB</vt:lpstr>
      <vt:lpstr>Données</vt:lpstr>
      <vt:lpstr>Arrêts</vt:lpstr>
      <vt:lpstr>TRS Machine</vt:lpstr>
      <vt:lpstr>Pareto</vt:lpstr>
      <vt:lpstr>Semaine</vt:lpstr>
      <vt:lpstr>DétailsTRS</vt:lpstr>
      <vt:lpstr>Traitement</vt:lpstr>
      <vt:lpstr>Feuil6</vt:lpstr>
      <vt:lpstr>Feuil7</vt:lpstr>
      <vt:lpstr>Feuil8</vt:lpstr>
      <vt:lpstr>Feuil9</vt:lpstr>
      <vt:lpstr>Feuil10</vt:lpstr>
      <vt:lpstr>Feuil11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2025-03-12T09:09:46Z</cp:lastPrinted>
  <dcterms:created xsi:type="dcterms:W3CDTF">2025-03-03T09:02:42Z</dcterms:created>
  <dcterms:modified xsi:type="dcterms:W3CDTF">2025-03-20T11:19:17Z</dcterms:modified>
</cp:coreProperties>
</file>