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/>
  <xr:revisionPtr revIDLastSave="0" documentId="8_{E3FEA26D-AA36-4DA5-B96A-26A1332652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1" i="1" l="1"/>
  <c r="D252" i="1"/>
  <c r="Q243" i="1"/>
  <c r="P243" i="1"/>
  <c r="R232" i="1"/>
  <c r="P240" i="1"/>
  <c r="P239" i="1"/>
  <c r="Q230" i="1"/>
  <c r="Q232" i="1"/>
  <c r="R229" i="1"/>
  <c r="Q229" i="1"/>
  <c r="Q227" i="1" s="1"/>
  <c r="P238" i="1" s="1"/>
  <c r="R228" i="1"/>
  <c r="Q228" i="1"/>
  <c r="E212" i="1"/>
  <c r="B222" i="1"/>
  <c r="A222" i="1"/>
  <c r="C222" i="1"/>
  <c r="R227" i="1"/>
  <c r="D97" i="1"/>
  <c r="C212" i="1"/>
  <c r="E114" i="1"/>
  <c r="E115" i="1"/>
  <c r="D137" i="1" s="1"/>
  <c r="D136" i="1"/>
  <c r="P227" i="1"/>
  <c r="P229" i="1"/>
  <c r="N228" i="1"/>
  <c r="Q242" i="1"/>
  <c r="P242" i="1"/>
  <c r="P228" i="1" l="1"/>
  <c r="K227" i="1"/>
  <c r="J238" i="1" s="1"/>
  <c r="O227" i="1"/>
  <c r="B216" i="1"/>
  <c r="C185" i="1"/>
  <c r="N185" i="1"/>
  <c r="M185" i="1"/>
  <c r="C207" i="1"/>
  <c r="C84" i="1"/>
  <c r="D78" i="1"/>
  <c r="D83" i="1"/>
  <c r="D82" i="1"/>
  <c r="D73" i="1"/>
  <c r="D72" i="1"/>
  <c r="D71" i="1"/>
  <c r="B185" i="1" l="1"/>
  <c r="H228" i="1"/>
  <c r="J228" i="1"/>
  <c r="L228" i="1"/>
  <c r="N238" i="1"/>
  <c r="H231" i="1"/>
  <c r="I231" i="1"/>
  <c r="J231" i="1"/>
  <c r="K231" i="1"/>
  <c r="L231" i="1"/>
  <c r="M231" i="1"/>
  <c r="N231" i="1"/>
  <c r="O231" i="1"/>
  <c r="P231" i="1"/>
  <c r="Q231" i="1"/>
  <c r="R231" i="1"/>
  <c r="H196" i="1"/>
  <c r="I196" i="1"/>
  <c r="J196" i="1"/>
  <c r="K196" i="1"/>
  <c r="L196" i="1"/>
  <c r="M196" i="1"/>
  <c r="N196" i="1"/>
  <c r="O196" i="1"/>
  <c r="P196" i="1"/>
  <c r="Q196" i="1"/>
  <c r="G196" i="1"/>
  <c r="G195" i="1"/>
  <c r="H195" i="1"/>
  <c r="I195" i="1"/>
  <c r="J195" i="1"/>
  <c r="K195" i="1"/>
  <c r="L195" i="1"/>
  <c r="M195" i="1"/>
  <c r="N195" i="1"/>
  <c r="O195" i="1"/>
  <c r="P195" i="1"/>
  <c r="Q195" i="1"/>
  <c r="G194" i="1"/>
  <c r="H194" i="1"/>
  <c r="I194" i="1"/>
  <c r="J194" i="1"/>
  <c r="K194" i="1"/>
  <c r="L194" i="1"/>
  <c r="M194" i="1"/>
  <c r="N194" i="1"/>
  <c r="O194" i="1"/>
  <c r="P194" i="1"/>
  <c r="Q194" i="1"/>
  <c r="B217" i="1"/>
  <c r="D91" i="1"/>
  <c r="D90" i="1"/>
  <c r="D87" i="1"/>
  <c r="D206" i="1" s="1"/>
  <c r="E124" i="1"/>
  <c r="D80" i="1"/>
  <c r="D81" i="1"/>
  <c r="D74" i="1"/>
  <c r="D75" i="1"/>
  <c r="D76" i="1"/>
  <c r="D77" i="1"/>
  <c r="D79" i="1"/>
  <c r="D29" i="1"/>
  <c r="G8" i="1"/>
  <c r="C29" i="1" s="1"/>
  <c r="G5" i="1"/>
  <c r="B29" i="1" s="1"/>
  <c r="E20" i="1"/>
  <c r="D8" i="1"/>
  <c r="N184" i="1"/>
  <c r="M184" i="1" s="1"/>
  <c r="L184" i="1" s="1"/>
  <c r="K184" i="1" s="1"/>
  <c r="J184" i="1" s="1"/>
  <c r="I184" i="1" s="1"/>
  <c r="H184" i="1" s="1"/>
  <c r="G184" i="1" s="1"/>
  <c r="F184" i="1" s="1"/>
  <c r="E184" i="1" s="1"/>
  <c r="D184" i="1" s="1"/>
  <c r="N183" i="1"/>
  <c r="M183" i="1" s="1"/>
  <c r="L183" i="1" s="1"/>
  <c r="K183" i="1" s="1"/>
  <c r="J183" i="1" s="1"/>
  <c r="I183" i="1" s="1"/>
  <c r="H183" i="1" s="1"/>
  <c r="G183" i="1" s="1"/>
  <c r="F183" i="1" s="1"/>
  <c r="E183" i="1" s="1"/>
  <c r="D183" i="1" s="1"/>
  <c r="C183" i="1" s="1"/>
  <c r="B183" i="1" s="1"/>
  <c r="N182" i="1"/>
  <c r="M182" i="1" s="1"/>
  <c r="L182" i="1" s="1"/>
  <c r="K182" i="1" s="1"/>
  <c r="J182" i="1" s="1"/>
  <c r="I182" i="1" s="1"/>
  <c r="H182" i="1" s="1"/>
  <c r="G182" i="1" s="1"/>
  <c r="F182" i="1" s="1"/>
  <c r="E182" i="1" s="1"/>
  <c r="D182" i="1" s="1"/>
  <c r="C182" i="1" s="1"/>
  <c r="B182" i="1" s="1"/>
  <c r="C184" i="1" l="1"/>
  <c r="B184" i="1" s="1"/>
  <c r="D207" i="1"/>
  <c r="E136" i="1"/>
  <c r="C152" i="1"/>
  <c r="E152" i="1"/>
  <c r="B157" i="1"/>
  <c r="E206" i="1" l="1"/>
  <c r="C171" i="1"/>
  <c r="B171" i="1" s="1"/>
  <c r="D217" i="1"/>
  <c r="D216" i="1"/>
  <c r="J229" i="1" l="1"/>
  <c r="B218" i="1"/>
  <c r="H229" i="1"/>
  <c r="H227" i="1" s="1"/>
  <c r="N229" i="1"/>
  <c r="L229" i="1"/>
  <c r="D156" i="1"/>
  <c r="E196" i="1" s="1"/>
  <c r="E156" i="1"/>
  <c r="F196" i="1" s="1"/>
  <c r="C156" i="1"/>
  <c r="D196" i="1" s="1"/>
  <c r="D130" i="1"/>
  <c r="D126" i="1"/>
  <c r="D122" i="1"/>
  <c r="C122" i="1" s="1"/>
  <c r="D131" i="1"/>
  <c r="D127" i="1"/>
  <c r="D123" i="1"/>
  <c r="E153" i="1"/>
  <c r="E146" i="1"/>
  <c r="D146" i="1" s="1"/>
  <c r="C146" i="1" s="1"/>
  <c r="E149" i="1"/>
  <c r="D149" i="1" s="1"/>
  <c r="C149" i="1" s="1"/>
  <c r="E207" i="1"/>
  <c r="A212" i="1" l="1"/>
  <c r="D229" i="1"/>
  <c r="C196" i="1"/>
  <c r="B196" i="1" s="1"/>
  <c r="D153" i="1"/>
  <c r="F194" i="1"/>
  <c r="C136" i="1"/>
  <c r="F136" i="1" s="1"/>
  <c r="C64" i="1"/>
  <c r="E128" i="1"/>
  <c r="E132" i="1"/>
  <c r="D197" i="1"/>
  <c r="E232" i="1" s="1"/>
  <c r="C137" i="1"/>
  <c r="F137" i="1" s="1"/>
  <c r="G137" i="1" s="1"/>
  <c r="H137" i="1" s="1"/>
  <c r="C130" i="1"/>
  <c r="F130" i="1" s="1"/>
  <c r="C131" i="1"/>
  <c r="F131" i="1" s="1"/>
  <c r="C127" i="1"/>
  <c r="F127" i="1" s="1"/>
  <c r="C123" i="1"/>
  <c r="F123" i="1" s="1"/>
  <c r="D105" i="1"/>
  <c r="E22" i="1"/>
  <c r="D10" i="1"/>
  <c r="C229" i="1" l="1"/>
  <c r="F132" i="1"/>
  <c r="I227" i="1"/>
  <c r="H238" i="1" s="1"/>
  <c r="J227" i="1"/>
  <c r="L227" i="1"/>
  <c r="M227" i="1"/>
  <c r="N227" i="1"/>
  <c r="C153" i="1"/>
  <c r="D194" i="1" s="1"/>
  <c r="E194" i="1"/>
  <c r="F22" i="1"/>
  <c r="G180" i="1"/>
  <c r="H180" i="1"/>
  <c r="I180" i="1"/>
  <c r="E180" i="1"/>
  <c r="J180" i="1"/>
  <c r="F180" i="1"/>
  <c r="K180" i="1"/>
  <c r="L180" i="1"/>
  <c r="M180" i="1"/>
  <c r="D180" i="1"/>
  <c r="N180" i="1"/>
  <c r="L170" i="1"/>
  <c r="I170" i="1"/>
  <c r="D170" i="1"/>
  <c r="H170" i="1"/>
  <c r="N170" i="1"/>
  <c r="M170" i="1"/>
  <c r="E170" i="1"/>
  <c r="K170" i="1"/>
  <c r="F170" i="1"/>
  <c r="G170" i="1"/>
  <c r="J170" i="1"/>
  <c r="G131" i="1"/>
  <c r="H131" i="1" s="1"/>
  <c r="G130" i="1"/>
  <c r="G127" i="1"/>
  <c r="H127" i="1" s="1"/>
  <c r="G123" i="1"/>
  <c r="H123" i="1" s="1"/>
  <c r="B149" i="1"/>
  <c r="C180" i="1" l="1"/>
  <c r="H130" i="1"/>
  <c r="H132" i="1" s="1"/>
  <c r="E155" i="1" s="1"/>
  <c r="G132" i="1"/>
  <c r="L238" i="1"/>
  <c r="K238" i="1"/>
  <c r="I238" i="1"/>
  <c r="G238" i="1"/>
  <c r="M238" i="1"/>
  <c r="D228" i="1"/>
  <c r="D227" i="1"/>
  <c r="C194" i="1"/>
  <c r="B194" i="1" s="1"/>
  <c r="B153" i="1"/>
  <c r="B180" i="1"/>
  <c r="C170" i="1"/>
  <c r="B170" i="1" s="1"/>
  <c r="D84" i="1"/>
  <c r="E17" i="1"/>
  <c r="C147" i="1" s="1"/>
  <c r="B52" i="1"/>
  <c r="C52" i="1"/>
  <c r="F52" i="1"/>
  <c r="C164" i="1"/>
  <c r="F51" i="1"/>
  <c r="C51" i="1"/>
  <c r="B51" i="1"/>
  <c r="D38" i="1"/>
  <c r="D39" i="1"/>
  <c r="C227" i="1" l="1"/>
  <c r="C228" i="1"/>
  <c r="O238" i="1"/>
  <c r="Q238" i="1"/>
  <c r="B32" i="1"/>
  <c r="C148" i="1" s="1"/>
  <c r="C145" i="1" s="1"/>
  <c r="F20" i="1"/>
  <c r="D165" i="1"/>
  <c r="D52" i="1"/>
  <c r="C151" i="1" s="1"/>
  <c r="D51" i="1"/>
  <c r="E197" i="1"/>
  <c r="F232" i="1" s="1"/>
  <c r="F197" i="1"/>
  <c r="G232" i="1" s="1"/>
  <c r="D32" i="1"/>
  <c r="B156" i="1"/>
  <c r="D152" i="1"/>
  <c r="B146" i="1"/>
  <c r="C32" i="1"/>
  <c r="D166" i="1" s="1"/>
  <c r="C126" i="1"/>
  <c r="F126" i="1" s="1"/>
  <c r="F128" i="1" s="1"/>
  <c r="D5" i="1"/>
  <c r="C238" i="1" l="1"/>
  <c r="B238" i="1" s="1"/>
  <c r="D192" i="1"/>
  <c r="M181" i="1"/>
  <c r="M179" i="1" s="1"/>
  <c r="M178" i="1" s="1"/>
  <c r="M177" i="1" s="1"/>
  <c r="P199" i="1" s="1"/>
  <c r="N181" i="1"/>
  <c r="N179" i="1" s="1"/>
  <c r="N178" i="1" s="1"/>
  <c r="N177" i="1" s="1"/>
  <c r="E181" i="1"/>
  <c r="E179" i="1" s="1"/>
  <c r="E178" i="1" s="1"/>
  <c r="F181" i="1"/>
  <c r="F179" i="1" s="1"/>
  <c r="F178" i="1" s="1"/>
  <c r="F177" i="1" s="1"/>
  <c r="G181" i="1"/>
  <c r="G179" i="1" s="1"/>
  <c r="G178" i="1" s="1"/>
  <c r="G177" i="1" s="1"/>
  <c r="H181" i="1"/>
  <c r="H179" i="1" s="1"/>
  <c r="H178" i="1" s="1"/>
  <c r="H177" i="1" s="1"/>
  <c r="I181" i="1"/>
  <c r="I179" i="1" s="1"/>
  <c r="I178" i="1" s="1"/>
  <c r="I177" i="1" s="1"/>
  <c r="J181" i="1"/>
  <c r="J179" i="1" s="1"/>
  <c r="J178" i="1" s="1"/>
  <c r="J177" i="1" s="1"/>
  <c r="K181" i="1"/>
  <c r="K179" i="1" s="1"/>
  <c r="K178" i="1" s="1"/>
  <c r="K177" i="1" s="1"/>
  <c r="L181" i="1"/>
  <c r="L179" i="1" s="1"/>
  <c r="L178" i="1" s="1"/>
  <c r="L177" i="1" s="1"/>
  <c r="D181" i="1"/>
  <c r="M166" i="1"/>
  <c r="E52" i="1"/>
  <c r="E151" i="1"/>
  <c r="E150" i="1" s="1"/>
  <c r="F193" i="1" s="1"/>
  <c r="D151" i="1"/>
  <c r="D150" i="1" s="1"/>
  <c r="E193" i="1" s="1"/>
  <c r="C150" i="1"/>
  <c r="D193" i="1" s="1"/>
  <c r="F122" i="1"/>
  <c r="F124" i="1" s="1"/>
  <c r="F133" i="1" s="1"/>
  <c r="F17" i="1"/>
  <c r="E51" i="1"/>
  <c r="L165" i="1"/>
  <c r="K165" i="1"/>
  <c r="J165" i="1"/>
  <c r="I165" i="1"/>
  <c r="E165" i="1"/>
  <c r="H165" i="1"/>
  <c r="G165" i="1"/>
  <c r="F165" i="1"/>
  <c r="B152" i="1"/>
  <c r="E147" i="1"/>
  <c r="D147" i="1"/>
  <c r="C193" i="1" l="1"/>
  <c r="B193" i="1" s="1"/>
  <c r="G122" i="1"/>
  <c r="E177" i="1"/>
  <c r="H199" i="1" s="1"/>
  <c r="C181" i="1"/>
  <c r="B181" i="1" s="1"/>
  <c r="D179" i="1"/>
  <c r="B150" i="1"/>
  <c r="G126" i="1"/>
  <c r="B151" i="1"/>
  <c r="M165" i="1"/>
  <c r="N165" i="1"/>
  <c r="L199" i="1"/>
  <c r="N199" i="1"/>
  <c r="M199" i="1"/>
  <c r="G166" i="1"/>
  <c r="G163" i="1" s="1"/>
  <c r="N166" i="1"/>
  <c r="L166" i="1"/>
  <c r="L163" i="1" s="1"/>
  <c r="I166" i="1"/>
  <c r="I163" i="1" s="1"/>
  <c r="K166" i="1"/>
  <c r="K163" i="1" s="1"/>
  <c r="F166" i="1"/>
  <c r="F163" i="1" s="1"/>
  <c r="H166" i="1"/>
  <c r="H163" i="1" s="1"/>
  <c r="E166" i="1"/>
  <c r="E163" i="1" s="1"/>
  <c r="J166" i="1"/>
  <c r="J163" i="1" s="1"/>
  <c r="E148" i="1"/>
  <c r="E145" i="1" s="1"/>
  <c r="F192" i="1" s="1"/>
  <c r="B147" i="1"/>
  <c r="H126" i="1" l="1"/>
  <c r="H128" i="1" s="1"/>
  <c r="D155" i="1" s="1"/>
  <c r="D154" i="1" s="1"/>
  <c r="E195" i="1" s="1"/>
  <c r="G128" i="1"/>
  <c r="D178" i="1"/>
  <c r="D177" i="1" s="1"/>
  <c r="G199" i="1" s="1"/>
  <c r="H122" i="1"/>
  <c r="H124" i="1" s="1"/>
  <c r="C155" i="1" s="1"/>
  <c r="C154" i="1" s="1"/>
  <c r="D191" i="1" s="1"/>
  <c r="E231" i="1" s="1"/>
  <c r="E230" i="1" s="1"/>
  <c r="D239" i="1" s="1"/>
  <c r="G124" i="1"/>
  <c r="G133" i="1" s="1"/>
  <c r="E154" i="1"/>
  <c r="F195" i="1" s="1"/>
  <c r="C179" i="1"/>
  <c r="B179" i="1" s="1"/>
  <c r="K199" i="1"/>
  <c r="C167" i="1"/>
  <c r="B167" i="1" s="1"/>
  <c r="J199" i="1"/>
  <c r="D163" i="1"/>
  <c r="O199" i="1"/>
  <c r="D148" i="1"/>
  <c r="B148" i="1" s="1"/>
  <c r="C166" i="1"/>
  <c r="N163" i="1"/>
  <c r="D240" i="1" l="1"/>
  <c r="C178" i="1"/>
  <c r="E144" i="1"/>
  <c r="F191" i="1"/>
  <c r="H133" i="1"/>
  <c r="B155" i="1"/>
  <c r="F190" i="1"/>
  <c r="G231" i="1"/>
  <c r="G230" i="1" s="1"/>
  <c r="C165" i="1"/>
  <c r="B165" i="1" s="1"/>
  <c r="C177" i="1"/>
  <c r="I199" i="1"/>
  <c r="C199" i="1" s="1"/>
  <c r="D145" i="1"/>
  <c r="Q199" i="1"/>
  <c r="B166" i="1"/>
  <c r="M163" i="1"/>
  <c r="C144" i="1" l="1"/>
  <c r="D195" i="1"/>
  <c r="C195" i="1" s="1"/>
  <c r="B195" i="1" s="1"/>
  <c r="F239" i="1"/>
  <c r="F240" i="1" s="1"/>
  <c r="G233" i="1"/>
  <c r="B199" i="1"/>
  <c r="B154" i="1"/>
  <c r="D190" i="1"/>
  <c r="B145" i="1"/>
  <c r="E192" i="1"/>
  <c r="C192" i="1" s="1"/>
  <c r="B192" i="1" s="1"/>
  <c r="B178" i="1"/>
  <c r="B177" i="1" s="1"/>
  <c r="B164" i="1"/>
  <c r="D144" i="1"/>
  <c r="B144" i="1" s="1"/>
  <c r="C198" i="1"/>
  <c r="C163" i="1"/>
  <c r="B163" i="1" s="1"/>
  <c r="E191" i="1"/>
  <c r="F231" i="1" s="1"/>
  <c r="F230" i="1" s="1"/>
  <c r="F233" i="1" l="1"/>
  <c r="E239" i="1"/>
  <c r="C191" i="1"/>
  <c r="B191" i="1" s="1"/>
  <c r="C197" i="1"/>
  <c r="B197" i="1" s="1"/>
  <c r="E190" i="1"/>
  <c r="E240" i="1" l="1"/>
  <c r="C240" i="1" s="1"/>
  <c r="D231" i="1"/>
  <c r="C231" i="1" s="1"/>
  <c r="C190" i="1"/>
  <c r="C244" i="1" l="1"/>
  <c r="P244" i="1" s="1"/>
  <c r="C243" i="1"/>
  <c r="E233" i="1"/>
  <c r="G136" i="1"/>
  <c r="D244" i="1" l="1"/>
  <c r="E244" i="1" s="1"/>
  <c r="F244" i="1" s="1"/>
  <c r="D241" i="1"/>
  <c r="E241" i="1" s="1"/>
  <c r="F241" i="1" s="1"/>
  <c r="H136" i="1"/>
  <c r="D169" i="1" s="1"/>
  <c r="D168" i="1" s="1"/>
  <c r="E169" i="1"/>
  <c r="E168" i="1" s="1"/>
  <c r="E162" i="1" s="1"/>
  <c r="H198" i="1" s="1"/>
  <c r="H197" i="1" s="1"/>
  <c r="I169" i="1"/>
  <c r="I168" i="1" s="1"/>
  <c r="I162" i="1" s="1"/>
  <c r="L198" i="1" s="1"/>
  <c r="L197" i="1" s="1"/>
  <c r="G169" i="1"/>
  <c r="G168" i="1" s="1"/>
  <c r="G162" i="1" s="1"/>
  <c r="J198" i="1" s="1"/>
  <c r="J197" i="1" s="1"/>
  <c r="K169" i="1" l="1"/>
  <c r="K168" i="1" s="1"/>
  <c r="K162" i="1" s="1"/>
  <c r="N198" i="1" s="1"/>
  <c r="N197" i="1" s="1"/>
  <c r="M169" i="1"/>
  <c r="M168" i="1" s="1"/>
  <c r="M162" i="1" s="1"/>
  <c r="P198" i="1" s="1"/>
  <c r="N169" i="1"/>
  <c r="N168" i="1" s="1"/>
  <c r="N162" i="1" s="1"/>
  <c r="Q198" i="1" s="1"/>
  <c r="Q197" i="1" s="1"/>
  <c r="J169" i="1"/>
  <c r="J168" i="1" s="1"/>
  <c r="J162" i="1" s="1"/>
  <c r="M198" i="1" s="1"/>
  <c r="M197" i="1" s="1"/>
  <c r="M190" i="1" s="1"/>
  <c r="F169" i="1"/>
  <c r="F168" i="1" s="1"/>
  <c r="F162" i="1" s="1"/>
  <c r="I198" i="1" s="1"/>
  <c r="I197" i="1" s="1"/>
  <c r="J232" i="1" s="1"/>
  <c r="J230" i="1" s="1"/>
  <c r="L169" i="1"/>
  <c r="L168" i="1" s="1"/>
  <c r="L162" i="1" s="1"/>
  <c r="O198" i="1" s="1"/>
  <c r="O197" i="1" s="1"/>
  <c r="O190" i="1" s="1"/>
  <c r="H169" i="1"/>
  <c r="H168" i="1" s="1"/>
  <c r="H162" i="1" s="1"/>
  <c r="K198" i="1" s="1"/>
  <c r="K197" i="1" s="1"/>
  <c r="K190" i="1" s="1"/>
  <c r="L190" i="1"/>
  <c r="M232" i="1"/>
  <c r="M230" i="1" s="1"/>
  <c r="J190" i="1"/>
  <c r="K232" i="1"/>
  <c r="K230" i="1" s="1"/>
  <c r="H190" i="1"/>
  <c r="I232" i="1"/>
  <c r="N190" i="1"/>
  <c r="O232" i="1"/>
  <c r="O230" i="1" s="1"/>
  <c r="Q190" i="1"/>
  <c r="R230" i="1"/>
  <c r="P197" i="1"/>
  <c r="B198" i="1"/>
  <c r="D162" i="1"/>
  <c r="G198" i="1" s="1"/>
  <c r="P232" i="1" l="1"/>
  <c r="P230" i="1" s="1"/>
  <c r="I190" i="1"/>
  <c r="N232" i="1"/>
  <c r="N230" i="1" s="1"/>
  <c r="C169" i="1"/>
  <c r="B169" i="1" s="1"/>
  <c r="Q239" i="1"/>
  <c r="Q240" i="1" s="1"/>
  <c r="R233" i="1"/>
  <c r="O239" i="1"/>
  <c r="P233" i="1"/>
  <c r="M239" i="1"/>
  <c r="M240" i="1" s="1"/>
  <c r="N233" i="1"/>
  <c r="L239" i="1"/>
  <c r="L240" i="1" s="1"/>
  <c r="M233" i="1"/>
  <c r="J239" i="1"/>
  <c r="J240" i="1" s="1"/>
  <c r="K233" i="1"/>
  <c r="I239" i="1"/>
  <c r="I240" i="1" s="1"/>
  <c r="J233" i="1"/>
  <c r="N239" i="1"/>
  <c r="N240" i="1" s="1"/>
  <c r="O233" i="1"/>
  <c r="L232" i="1"/>
  <c r="L230" i="1" s="1"/>
  <c r="Q233" i="1"/>
  <c r="I230" i="1"/>
  <c r="G197" i="1"/>
  <c r="H232" i="1" s="1"/>
  <c r="D232" i="1" s="1"/>
  <c r="C232" i="1" s="1"/>
  <c r="C168" i="1"/>
  <c r="P190" i="1"/>
  <c r="B190" i="1"/>
  <c r="H239" i="1" l="1"/>
  <c r="H240" i="1" s="1"/>
  <c r="I233" i="1"/>
  <c r="O240" i="1"/>
  <c r="K239" i="1"/>
  <c r="K240" i="1" s="1"/>
  <c r="L233" i="1"/>
  <c r="H230" i="1"/>
  <c r="G190" i="1"/>
  <c r="B168" i="1"/>
  <c r="B162" i="1" s="1"/>
  <c r="C162" i="1"/>
  <c r="G239" i="1" l="1"/>
  <c r="C239" i="1" s="1"/>
  <c r="H233" i="1"/>
  <c r="D230" i="1"/>
  <c r="C230" i="1" s="1"/>
  <c r="D233" i="1" l="1"/>
  <c r="C233" i="1" s="1"/>
  <c r="G240" i="1"/>
  <c r="B239" i="1"/>
  <c r="G241" i="1" l="1"/>
  <c r="H241" i="1" s="1"/>
  <c r="I241" i="1" s="1"/>
  <c r="J241" i="1" s="1"/>
  <c r="K241" i="1" s="1"/>
  <c r="L241" i="1" s="1"/>
  <c r="M241" i="1" s="1"/>
  <c r="N241" i="1" s="1"/>
  <c r="G244" i="1"/>
  <c r="H244" i="1" s="1"/>
  <c r="I244" i="1" s="1"/>
  <c r="J244" i="1" s="1"/>
  <c r="K244" i="1" s="1"/>
  <c r="L244" i="1" s="1"/>
  <c r="M244" i="1" s="1"/>
  <c r="N244" i="1" s="1"/>
  <c r="O244" i="1" s="1"/>
  <c r="O241" i="1" l="1"/>
  <c r="C241" i="1" s="1"/>
  <c r="P241" i="1" s="1"/>
  <c r="Q241" i="1" s="1"/>
  <c r="B241" i="1" s="1"/>
  <c r="B240" i="1"/>
  <c r="Q244" i="1" l="1"/>
  <c r="B243" i="1"/>
  <c r="B244" i="1" l="1"/>
  <c r="C249" i="1" s="1"/>
</calcChain>
</file>

<file path=xl/sharedStrings.xml><?xml version="1.0" encoding="utf-8"?>
<sst xmlns="http://schemas.openxmlformats.org/spreadsheetml/2006/main" count="415" uniqueCount="254">
  <si>
    <t>Таблица 1 - Расходы на оборудование</t>
  </si>
  <si>
    <t>Наименование оборудования</t>
  </si>
  <si>
    <t>Кол-во единиц</t>
  </si>
  <si>
    <t>Стоимость, руб./ед.</t>
  </si>
  <si>
    <t>Общая стоимость, руб.</t>
  </si>
  <si>
    <t>Срок полезного использования, мес.</t>
  </si>
  <si>
    <t>Период ввода, мес.</t>
  </si>
  <si>
    <t>Суммарная установочная мощность, Квт/ч.</t>
  </si>
  <si>
    <t>Характеристика</t>
  </si>
  <si>
    <t>Этап разработки</t>
  </si>
  <si>
    <t>Этап эксплуатации</t>
  </si>
  <si>
    <t>1. Оборудование,  используемое системой, в т. ч.</t>
  </si>
  <si>
    <t>2. Общесистемное оборудование, в т. ч.</t>
  </si>
  <si>
    <t>Таблица 2 - Расчет амортизационных отчислений оборудования</t>
  </si>
  <si>
    <t>Срок полезного использования</t>
  </si>
  <si>
    <t>Амортизация, руб.</t>
  </si>
  <si>
    <t>месяц</t>
  </si>
  <si>
    <t>год</t>
  </si>
  <si>
    <t>Арендные платежи, руб.</t>
  </si>
  <si>
    <t>Договор, арендодатель</t>
  </si>
  <si>
    <t>Вид работ</t>
  </si>
  <si>
    <t>Продолжительность, дней</t>
  </si>
  <si>
    <t>Продолжительность, час/мес.</t>
  </si>
  <si>
    <t>Итого:</t>
  </si>
  <si>
    <t>2. Этап эксплуатации</t>
  </si>
  <si>
    <t>2.1 Работа с системой</t>
  </si>
  <si>
    <t>2.2 Общесистемные расходы</t>
  </si>
  <si>
    <t>2.2.1 Общесистемное оборудование</t>
  </si>
  <si>
    <t>Наименование расходов</t>
  </si>
  <si>
    <t>Оборудование, используемое системой</t>
  </si>
  <si>
    <t>Общесистемное оборудование</t>
  </si>
  <si>
    <t>1. Стоимость расходных материалов, руб./мес.</t>
  </si>
  <si>
    <t>2. Коэфициент использования электроустановок</t>
  </si>
  <si>
    <t>3. Суммарная установочная мощность, Квт</t>
  </si>
  <si>
    <t>5. Цена одного Квт/ч, руб.</t>
  </si>
  <si>
    <t>Наименование ПО</t>
  </si>
  <si>
    <t>Стоимость ПО, руб.</t>
  </si>
  <si>
    <t>Кол-во, ед.</t>
  </si>
  <si>
    <t>Период ввода в эксплуатацию</t>
  </si>
  <si>
    <t>Срок использования, мес.</t>
  </si>
  <si>
    <t>1 ПО, используемое системой, в т.ч</t>
  </si>
  <si>
    <t>Списание стоимости ПО, руб.</t>
  </si>
  <si>
    <t>1. ПО, используемое системой</t>
  </si>
  <si>
    <t>2. Общесистемное ПО</t>
  </si>
  <si>
    <t>1. ПО,  используемое системой, в т. ч.</t>
  </si>
  <si>
    <t>2. Общесистемное ПО, в т. ч.</t>
  </si>
  <si>
    <t>Этап ЖЦ проекта</t>
  </si>
  <si>
    <t>Должность</t>
  </si>
  <si>
    <t>Кол-во штатных единиц</t>
  </si>
  <si>
    <t>Часовая тарифная ставка</t>
  </si>
  <si>
    <t>1.Работа с системой</t>
  </si>
  <si>
    <t>2. Общесистемный персонал</t>
  </si>
  <si>
    <t>Количество штатных единиц, чел</t>
  </si>
  <si>
    <t>Оклад, руб/мес</t>
  </si>
  <si>
    <t>Часовая тарифная ставка, руб/час</t>
  </si>
  <si>
    <t>Трудоемкость, час/мес</t>
  </si>
  <si>
    <t>Расходы на оплату труда, руб</t>
  </si>
  <si>
    <t>Страховые взносы в социальные фонды (30,2%)</t>
  </si>
  <si>
    <t>Итого РОТ, руб/мес</t>
  </si>
  <si>
    <t>Этап разработки   (1 месяц)</t>
  </si>
  <si>
    <t>Этап разработки    (2 месяц)</t>
  </si>
  <si>
    <t>Этап эксплуатации (помесячно)</t>
  </si>
  <si>
    <t>1. Персонал,  работающий с системой, в т.ч.</t>
  </si>
  <si>
    <t>2. Общисистемный персонал, в т.ч.</t>
  </si>
  <si>
    <t>Всего</t>
  </si>
  <si>
    <t>В том числе по периодам (месяцам) разработки системы</t>
  </si>
  <si>
    <t>1 месяц</t>
  </si>
  <si>
    <t xml:space="preserve"> Условно-прямые расходы, руб.</t>
  </si>
  <si>
    <t>1. Расходы на оборудование, руб.</t>
  </si>
  <si>
    <t>3. Административные расходы, руб.</t>
  </si>
  <si>
    <t>Наименование</t>
  </si>
  <si>
    <t>в т.ч. по периодам эксплуатации системы</t>
  </si>
  <si>
    <t>Итого  за 1 год</t>
  </si>
  <si>
    <t>2 –ой год</t>
  </si>
  <si>
    <t>3-ий год</t>
  </si>
  <si>
    <t>Условно-прямые расходы, руб.</t>
  </si>
  <si>
    <t>2. Расходы на программное обеспечение (ПО), руб.</t>
  </si>
  <si>
    <t>4. Расходы на операции ИС, руб.</t>
  </si>
  <si>
    <t>5. Расходы на связь и коммуникации, руб.</t>
  </si>
  <si>
    <t>1-ый год</t>
  </si>
  <si>
    <t>2-ой год</t>
  </si>
  <si>
    <t>2 мес</t>
  </si>
  <si>
    <t>3 мес</t>
  </si>
  <si>
    <t>4 мес</t>
  </si>
  <si>
    <t>5 мес</t>
  </si>
  <si>
    <t>6 мес</t>
  </si>
  <si>
    <t>7 мес</t>
  </si>
  <si>
    <t>8 мес</t>
  </si>
  <si>
    <t>9 мес</t>
  </si>
  <si>
    <t>10 мес</t>
  </si>
  <si>
    <t>11 мес</t>
  </si>
  <si>
    <t>12 мес</t>
  </si>
  <si>
    <t>Условно-косвенные расходы по подсистеме (системе), руб.</t>
  </si>
  <si>
    <t>1. Косвенные расходы на общесистемное оборудование, руб.</t>
  </si>
  <si>
    <t>2. Косвенные расходы на общесистемное программное обеспечение (ПО), руб.</t>
  </si>
  <si>
    <t>3. Косвенные административные расходы, руб.</t>
  </si>
  <si>
    <t>4. Косвенные расходы на операции ИС, руб.</t>
  </si>
  <si>
    <t>5. Косвенные расходы на связь и коммуникации для рассматриваемой подсистемы (системы), руб.</t>
  </si>
  <si>
    <t>Всего(1 год)</t>
  </si>
  <si>
    <t>1 мес</t>
  </si>
  <si>
    <t>Общая сумма расходов (ССВ)</t>
  </si>
  <si>
    <t>1.Расходы на этапе разработки</t>
  </si>
  <si>
    <t>2.Расходы на этапе эксплуатации</t>
  </si>
  <si>
    <t>2.1.Условно-прямые расходы</t>
  </si>
  <si>
    <t>2.2.Условно-косвенные расходы</t>
  </si>
  <si>
    <t>1.1.ПК</t>
  </si>
  <si>
    <t>Этап разработки    (3 месяц)</t>
  </si>
  <si>
    <t>2 месяц</t>
  </si>
  <si>
    <t>3 месяц</t>
  </si>
  <si>
    <t>4.1. Расходы на операции, связанные с разработкой ИС</t>
  </si>
  <si>
    <t>Всего (9 месяцев)</t>
  </si>
  <si>
    <r>
      <t xml:space="preserve">1.1.  </t>
    </r>
    <r>
      <rPr>
        <sz val="11"/>
        <color theme="1"/>
        <rFont val="Times New Roman"/>
        <family val="1"/>
        <charset val="204"/>
      </rPr>
      <t>Расходы на закупку оборудования, руб.</t>
    </r>
  </si>
  <si>
    <t>1.2.  Сумма амортизации капитальных вложений, руб.</t>
  </si>
  <si>
    <r>
      <t xml:space="preserve">1.2.  </t>
    </r>
    <r>
      <rPr>
        <sz val="11"/>
        <color rgb="FF000000"/>
        <rFont val="Times New Roman"/>
        <family val="1"/>
        <charset val="204"/>
      </rPr>
      <t>Сумма амортизации капитальных вложений, руб.</t>
    </r>
  </si>
  <si>
    <r>
      <t xml:space="preserve">2. Расходы на  </t>
    </r>
    <r>
      <rPr>
        <sz val="11"/>
        <color theme="1"/>
        <rFont val="Times New Roman"/>
        <family val="1"/>
        <charset val="204"/>
      </rPr>
      <t xml:space="preserve">программное обеспечение </t>
    </r>
    <r>
      <rPr>
        <sz val="11"/>
        <color rgb="FF000000"/>
        <rFont val="Times New Roman"/>
        <family val="1"/>
        <charset val="204"/>
      </rPr>
      <t>, руб.</t>
    </r>
  </si>
  <si>
    <t>4. Трудоемкость выполнения работы системой, ч. в мес.</t>
  </si>
  <si>
    <t>1.1 Adobe Substance 3D Painter</t>
  </si>
  <si>
    <t>Подписка, Adobe</t>
  </si>
  <si>
    <t>3D-художник</t>
  </si>
  <si>
    <t>(ранее введен, срок экспл. 24 мес.)</t>
  </si>
  <si>
    <t>Итого 1 месяц:</t>
  </si>
  <si>
    <t>Итого 2 месяц:</t>
  </si>
  <si>
    <t>Итого 3 месяц:</t>
  </si>
  <si>
    <t>1.1. Расходы на закупку оборудования, руб.</t>
  </si>
  <si>
    <t>4 мес.</t>
  </si>
  <si>
    <t>5 мес.</t>
  </si>
  <si>
    <t>6 мес.</t>
  </si>
  <si>
    <t>7 мес.</t>
  </si>
  <si>
    <t>8 мес.</t>
  </si>
  <si>
    <t>9 мес.</t>
  </si>
  <si>
    <t>10 мес.</t>
  </si>
  <si>
    <t>11 мес.</t>
  </si>
  <si>
    <t>12 мес.</t>
  </si>
  <si>
    <t>3.1. Расходы на оплату труда пользователей системы, руб.</t>
  </si>
  <si>
    <t>-</t>
  </si>
  <si>
    <t xml:space="preserve">1. ПО, в т.ч. </t>
  </si>
  <si>
    <t>1.1. Blender</t>
  </si>
  <si>
    <t>1.3. Adobe Substance 3D Painter</t>
  </si>
  <si>
    <t>1. ПО, в т.ч.</t>
  </si>
  <si>
    <t>1. Оборудование, в т.ч.</t>
  </si>
  <si>
    <t>1.1 ПК</t>
  </si>
  <si>
    <t>1.1. Blender 3D</t>
  </si>
  <si>
    <t>Полигональное моделирование трехмерных моделей окружения и персонажей</t>
  </si>
  <si>
    <t>Текстурирование разработанных моделей</t>
  </si>
  <si>
    <t>Экспорт в игровой движок</t>
  </si>
  <si>
    <t>Эскизное проектирование трехмерных моделей окружения и персонажей</t>
  </si>
  <si>
    <t>Анимация трехмерных моделей персонажей</t>
  </si>
  <si>
    <t>UV-развертка разработанных моделей</t>
  </si>
  <si>
    <t>2.1 Роутер</t>
  </si>
  <si>
    <t>1.4 UnrealEngine 5</t>
  </si>
  <si>
    <t>1.5 Microsoft Visual Studio 2022</t>
  </si>
  <si>
    <t>Этап жизненного цикла - исполнительное лицо</t>
  </si>
  <si>
    <t>1. Этап разработки - 3D-моделлер</t>
  </si>
  <si>
    <t>Планирование вредрения здания Проектной школы</t>
  </si>
  <si>
    <t>Проектирование внедрения здания Проектной школы</t>
  </si>
  <si>
    <t>Создание прототипа Проектной школы на игровом движке</t>
  </si>
  <si>
    <t xml:space="preserve">Тестирование </t>
  </si>
  <si>
    <t>Level-дизайнер</t>
  </si>
  <si>
    <t>Сопровождение</t>
  </si>
  <si>
    <t>Программист</t>
  </si>
  <si>
    <t>Операция</t>
  </si>
  <si>
    <t>Отклонение</t>
  </si>
  <si>
    <t>1 сотрудник</t>
  </si>
  <si>
    <t>Эксплутация</t>
  </si>
  <si>
    <t>Отв. За профориентационную работу</t>
  </si>
  <si>
    <t>Командировки</t>
  </si>
  <si>
    <t>Сопровождение системы</t>
  </si>
  <si>
    <t>10 сотрудников</t>
  </si>
  <si>
    <t>1. Этап разработки - Level-дизайнер</t>
  </si>
  <si>
    <t>Ответственный за профориентационную работу</t>
  </si>
  <si>
    <t>На всем протяжении жизни проекта</t>
  </si>
  <si>
    <t>Роутер</t>
  </si>
  <si>
    <t>2.1. Сумма ежегодного списания затрат на ПО, руб.</t>
  </si>
  <si>
    <t>2.2 Затраты на аренду ПО, руб.</t>
  </si>
  <si>
    <t>5.1 Оплата интернета</t>
  </si>
  <si>
    <t>До внедрения продукта</t>
  </si>
  <si>
    <t>После внедрения продукта</t>
  </si>
  <si>
    <t>Командировочные расходы</t>
  </si>
  <si>
    <t>До внедрения продукта, руб</t>
  </si>
  <si>
    <t>После внедрения продукта, руб</t>
  </si>
  <si>
    <t>Годовая экономия командировочных расходов, руб/год</t>
  </si>
  <si>
    <t xml:space="preserve">Оклад, руб./мес. </t>
  </si>
  <si>
    <t>Таблица 3 - Расходы на эксплуатацию оборудования</t>
  </si>
  <si>
    <t>Таблица 4 - Расходы на Программное обеспечение</t>
  </si>
  <si>
    <t>Таблица 5 - Расчет списания стоимости ПО</t>
  </si>
  <si>
    <t>Таблица 6 - Расходы на аренду ПО</t>
  </si>
  <si>
    <t>Таблица 7 – Продолжительность выполнения работ (Согласно диаграмме Ганта)</t>
  </si>
  <si>
    <t>Таблица 8 - Штатное расписание</t>
  </si>
  <si>
    <t>Таблица 9 – Расходы на оплату труда</t>
  </si>
  <si>
    <t>Таблица 10 – Расчет затрат на этапе разработки</t>
  </si>
  <si>
    <t>Таблица 11 – Расчет расходов на этапе эксплуатации - Расчет условно-прямых расходов</t>
  </si>
  <si>
    <t>Таблица 12 – Расчет расходов на этапе эксплуатации -Расчет условно-косвенных расходов</t>
  </si>
  <si>
    <t>Таблица 13 – Расчет совокупной стоимости владения</t>
  </si>
  <si>
    <t>1.3.  Расходы на эксплуатацию оборудования, руб.</t>
  </si>
  <si>
    <t>1.4.  Стоимость аренды оборудования</t>
  </si>
  <si>
    <t>1.3.  Расходы на эксплуатацию оборудования, руб.</t>
  </si>
  <si>
    <t>3.2 Расходы на операции ИС, руб.</t>
  </si>
  <si>
    <t>4. Расходы на связь и коммуникации, руб.</t>
  </si>
  <si>
    <t>Условно-косвенные расходы по подсистеме (системе) с учетом коэффициента участия(0,001), руб.</t>
  </si>
  <si>
    <t>1.1. Сумма амортизации капитальных вложений в общесистемное оборудование, руб.</t>
  </si>
  <si>
    <t>1.2. Расходы на эксплуатацию общесистемного оборудования, руб</t>
  </si>
  <si>
    <t>Командировки 1 раз в 2 мес</t>
  </si>
  <si>
    <t xml:space="preserve">После внедрения проекта, трудоемкость пользователей снизится на 320 чаc/мес (на 10 пользователей). </t>
  </si>
  <si>
    <t xml:space="preserve">Прямой эк. эффект достигается засчет снижения суммарной трудоемкости пользователей и экономии на командировочных расходах </t>
  </si>
  <si>
    <t>Таблица 14 – Расчёт трудоёмкости операционных работ пользователя</t>
  </si>
  <si>
    <t>1. Доходы, в т. ч.</t>
  </si>
  <si>
    <t>2. Расходы, в т. ч.</t>
  </si>
  <si>
    <t>3. Профицит (+) или дефицит (-) бюджета проекта</t>
  </si>
  <si>
    <t>2.1 Расходы, связанные с разработкой ИТ проекта</t>
  </si>
  <si>
    <t>1.1 Годовая экономия (прямые факторы)</t>
  </si>
  <si>
    <t>1.2 Годовая экономия (косвенные факторы)</t>
  </si>
  <si>
    <t>2.2 Эксплуатационные расходы</t>
  </si>
  <si>
    <t>Таблица 17 – Бюджет проекта</t>
  </si>
  <si>
    <t>1.1 Расходы на оборудование, руб.</t>
  </si>
  <si>
    <r>
      <t xml:space="preserve">1.2 Расходы на  </t>
    </r>
    <r>
      <rPr>
        <sz val="11"/>
        <color theme="1"/>
        <rFont val="Times New Roman"/>
        <family val="1"/>
        <charset val="204"/>
      </rPr>
      <t xml:space="preserve">программное обеспечение </t>
    </r>
    <r>
      <rPr>
        <sz val="11"/>
        <color rgb="FF000000"/>
        <rFont val="Times New Roman"/>
        <family val="1"/>
        <charset val="204"/>
      </rPr>
      <t>, руб.</t>
    </r>
  </si>
  <si>
    <t>1.3 Административные расходы, руб.</t>
  </si>
  <si>
    <t>1.4 Расходы на операции ИС, руб.</t>
  </si>
  <si>
    <t>1.5 Расходы на связь и коммуникации, руб.</t>
  </si>
  <si>
    <t>Планирование внедрения здания Проектной школы</t>
  </si>
  <si>
    <t>Модель процессора -  Intel Core i7-14700 Материнская плата - LGA-1700 Оперативная память - DDR 5 16 GB Видеокарта - RTX 3060 Ti</t>
  </si>
  <si>
    <t>WiFi роутер Kenetic Viva</t>
  </si>
  <si>
    <t>Эскизное проектирование 3D-моделей</t>
  </si>
  <si>
    <t>Формирование ТЗ на разработку трехмерного контента</t>
  </si>
  <si>
    <t>Формирование чек-листа оценки качества на разработку трехмерного контента</t>
  </si>
  <si>
    <t>Оценка качества трехмерного контента</t>
  </si>
  <si>
    <t>Устранение выявленных дефектов трехмерного контента</t>
  </si>
  <si>
    <t>Значение</t>
  </si>
  <si>
    <t>руб.</t>
  </si>
  <si>
    <t>%</t>
  </si>
  <si>
    <t>индекс</t>
  </si>
  <si>
    <t>лет</t>
  </si>
  <si>
    <t>Таблица 18 – Денежные потоки</t>
  </si>
  <si>
    <t>Притоки (Доходы), руб.</t>
  </si>
  <si>
    <t>Оттоки (расходы), руб.</t>
  </si>
  <si>
    <t>Чистый денежный поток</t>
  </si>
  <si>
    <t>Чистый денежный поток нарастающем итогом,
руб.</t>
  </si>
  <si>
    <t>Единицы измерения</t>
  </si>
  <si>
    <t>Чистая приведенная стоимость (NPV)</t>
  </si>
  <si>
    <t>Внутренняя норма доходности (IRR)</t>
  </si>
  <si>
    <t>Рентабельность (PI)</t>
  </si>
  <si>
    <t>Дисконтированный срок окупаемости (DPP)</t>
  </si>
  <si>
    <t>Таблица 19 – показатели эффективности ИТ-проектов</t>
  </si>
  <si>
    <t>Коэффициент дисконтирования 1 / (1+r) ^ t, r = 25%</t>
  </si>
  <si>
    <t>Дисконтированные денежные потоки, руб. (NPV)</t>
  </si>
  <si>
    <t>Дисконтированые денежные потоки нарастающем итогом, 
руб. (NPV)</t>
  </si>
  <si>
    <t>Таблица 15 - Эгод (прям)</t>
  </si>
  <si>
    <t>Отклонение 10 сотр</t>
  </si>
  <si>
    <t>Тсм</t>
  </si>
  <si>
    <t>Эгод</t>
  </si>
  <si>
    <t>Таблица 15 – Эгод (косв)</t>
  </si>
  <si>
    <t>Таблица 16 – Эгод</t>
  </si>
  <si>
    <t>Эгод (косв)</t>
  </si>
  <si>
    <t>Эгод (прям)</t>
  </si>
  <si>
    <t>Эмес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</si>
</sst>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0.0"/>
  </numFmts>
  <fonts count="15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Calibri "/>
      <charset val="204"/>
    </font>
    <font>
      <sz val="10"/>
      <color rgb="FF212529"/>
      <name val="Calibri 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name val="Open Sans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4" fontId="6" fillId="0" borderId="0" applyFont="0" applyFill="0" applyBorder="0" applyAlignment="0" applyProtection="0"/>
    <xf numFmtId="0" fontId="10" fillId="0" borderId="0"/>
    <xf numFmtId="0" fontId="11" fillId="0" borderId="0" applyBorder="0" applyProtection="0"/>
    <xf numFmtId="0" fontId="12" fillId="0" borderId="0"/>
    <xf numFmtId="0" fontId="13" fillId="0" borderId="0"/>
    <xf numFmtId="0" fontId="10" fillId="0" borderId="0"/>
    <xf numFmtId="9" fontId="10" fillId="0" borderId="0" applyBorder="0" applyProtection="0"/>
  </cellStyleXfs>
  <cellXfs count="290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left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/>
    </xf>
    <xf numFmtId="1" fontId="1" fillId="2" borderId="12" xfId="0" applyNumberFormat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1" fontId="2" fillId="2" borderId="7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1" fontId="2" fillId="2" borderId="14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wrapText="1"/>
    </xf>
    <xf numFmtId="0" fontId="1" fillId="2" borderId="11" xfId="0" applyFont="1" applyFill="1" applyBorder="1" applyAlignment="1">
      <alignment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left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1" fontId="1" fillId="2" borderId="18" xfId="0" applyNumberFormat="1" applyFont="1" applyFill="1" applyBorder="1" applyAlignment="1">
      <alignment horizontal="center" vertical="center" wrapText="1"/>
    </xf>
    <xf numFmtId="1" fontId="1" fillId="2" borderId="19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5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vertical="top" wrapText="1"/>
    </xf>
    <xf numFmtId="1" fontId="5" fillId="2" borderId="1" xfId="0" applyNumberFormat="1" applyFont="1" applyFill="1" applyBorder="1" applyAlignment="1">
      <alignment horizontal="center" vertical="center" wrapText="1"/>
    </xf>
    <xf numFmtId="164" fontId="5" fillId="2" borderId="10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wrapText="1"/>
    </xf>
    <xf numFmtId="0" fontId="2" fillId="2" borderId="32" xfId="0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40" xfId="0" applyNumberFormat="1" applyFont="1" applyFill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 vertical="center" wrapText="1"/>
    </xf>
    <xf numFmtId="3" fontId="3" fillId="2" borderId="2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left" vertical="top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left" vertical="center" wrapText="1"/>
    </xf>
    <xf numFmtId="1" fontId="2" fillId="2" borderId="9" xfId="0" applyNumberFormat="1" applyFont="1" applyFill="1" applyBorder="1" applyAlignment="1">
      <alignment horizontal="left" vertical="center" wrapText="1"/>
    </xf>
    <xf numFmtId="1" fontId="2" fillId="2" borderId="6" xfId="0" applyNumberFormat="1" applyFont="1" applyFill="1" applyBorder="1" applyAlignment="1">
      <alignment horizontal="left" vertical="center" wrapText="1"/>
    </xf>
    <xf numFmtId="1" fontId="2" fillId="2" borderId="1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0" fillId="2" borderId="0" xfId="0" applyFill="1"/>
    <xf numFmtId="0" fontId="2" fillId="2" borderId="23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horizontal="right" vertical="center" wrapText="1"/>
    </xf>
    <xf numFmtId="164" fontId="2" fillId="2" borderId="18" xfId="0" applyNumberFormat="1" applyFont="1" applyFill="1" applyBorder="1" applyAlignment="1">
      <alignment horizontal="center" vertical="center" wrapText="1"/>
    </xf>
    <xf numFmtId="164" fontId="2" fillId="2" borderId="1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2" fillId="2" borderId="34" xfId="0" applyFont="1" applyFill="1" applyBorder="1" applyAlignment="1">
      <alignment vertical="center" wrapText="1"/>
    </xf>
    <xf numFmtId="1" fontId="1" fillId="2" borderId="35" xfId="0" applyNumberFormat="1" applyFont="1" applyFill="1" applyBorder="1" applyAlignment="1">
      <alignment horizontal="center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37" xfId="0" applyNumberFormat="1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5" xfId="0" applyFont="1" applyFill="1" applyBorder="1" applyAlignment="1">
      <alignment vertical="center" wrapText="1"/>
    </xf>
    <xf numFmtId="1" fontId="1" fillId="2" borderId="38" xfId="0" applyNumberFormat="1" applyFont="1" applyFill="1" applyBorder="1" applyAlignment="1">
      <alignment horizontal="center"/>
    </xf>
    <xf numFmtId="1" fontId="2" fillId="2" borderId="38" xfId="0" applyNumberFormat="1" applyFont="1" applyFill="1" applyBorder="1" applyAlignment="1">
      <alignment horizontal="center" vertical="center" wrapText="1"/>
    </xf>
    <xf numFmtId="1" fontId="2" fillId="2" borderId="39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top" wrapText="1"/>
    </xf>
    <xf numFmtId="164" fontId="1" fillId="2" borderId="0" xfId="0" applyNumberFormat="1" applyFont="1" applyFill="1"/>
    <xf numFmtId="164" fontId="1" fillId="2" borderId="1" xfId="0" applyNumberFormat="1" applyFont="1" applyFill="1" applyBorder="1"/>
    <xf numFmtId="0" fontId="2" fillId="2" borderId="9" xfId="0" applyFont="1" applyFill="1" applyBorder="1" applyAlignment="1">
      <alignment horizontal="left" vertical="top" wrapText="1"/>
    </xf>
    <xf numFmtId="0" fontId="2" fillId="2" borderId="23" xfId="0" applyFont="1" applyFill="1" applyBorder="1" applyAlignment="1">
      <alignment horizontal="left" vertical="center" wrapText="1"/>
    </xf>
    <xf numFmtId="0" fontId="2" fillId="2" borderId="25" xfId="0" applyFont="1" applyFill="1" applyBorder="1" applyAlignment="1">
      <alignment horizontal="left" vertical="center" wrapText="1"/>
    </xf>
    <xf numFmtId="0" fontId="1" fillId="2" borderId="23" xfId="0" applyFont="1" applyFill="1" applyBorder="1"/>
    <xf numFmtId="0" fontId="1" fillId="2" borderId="6" xfId="0" applyFont="1" applyFill="1" applyBorder="1" applyAlignment="1">
      <alignment wrapText="1"/>
    </xf>
    <xf numFmtId="0" fontId="1" fillId="2" borderId="9" xfId="0" applyFont="1" applyFill="1" applyBorder="1" applyAlignment="1">
      <alignment wrapText="1"/>
    </xf>
    <xf numFmtId="0" fontId="1" fillId="2" borderId="34" xfId="0" applyFont="1" applyFill="1" applyBorder="1" applyAlignment="1">
      <alignment wrapText="1"/>
    </xf>
    <xf numFmtId="1" fontId="2" fillId="2" borderId="41" xfId="0" applyNumberFormat="1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3" fontId="2" fillId="2" borderId="24" xfId="0" applyNumberFormat="1" applyFont="1" applyFill="1" applyBorder="1" applyAlignment="1">
      <alignment horizontal="center" vertical="center" wrapText="1"/>
    </xf>
    <xf numFmtId="3" fontId="3" fillId="2" borderId="2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1" fontId="2" fillId="2" borderId="8" xfId="0" applyNumberFormat="1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left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58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2" borderId="35" xfId="0" applyNumberFormat="1" applyFont="1" applyFill="1" applyBorder="1" applyAlignment="1">
      <alignment horizontal="center" vertical="center" wrapText="1"/>
    </xf>
    <xf numFmtId="1" fontId="1" fillId="2" borderId="1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0" fontId="7" fillId="2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/>
    </xf>
    <xf numFmtId="2" fontId="7" fillId="2" borderId="10" xfId="0" applyNumberFormat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horizontal="center" vertical="center"/>
    </xf>
    <xf numFmtId="1" fontId="7" fillId="2" borderId="16" xfId="0" applyNumberFormat="1" applyFont="1" applyFill="1" applyBorder="1" applyAlignment="1">
      <alignment horizontal="center" vertical="center"/>
    </xf>
    <xf numFmtId="9" fontId="8" fillId="2" borderId="10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34" xfId="0" applyNumberFormat="1" applyBorder="1"/>
    <xf numFmtId="0" fontId="0" fillId="0" borderId="35" xfId="0" applyBorder="1"/>
    <xf numFmtId="1" fontId="0" fillId="0" borderId="37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1" fontId="1" fillId="2" borderId="35" xfId="0" applyNumberFormat="1" applyFont="1" applyFill="1" applyBorder="1" applyAlignment="1">
      <alignment horizontal="center" vertical="center"/>
    </xf>
    <xf numFmtId="0" fontId="1" fillId="2" borderId="37" xfId="0" applyFont="1" applyFill="1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left" vertical="top"/>
    </xf>
    <xf numFmtId="0" fontId="1" fillId="2" borderId="33" xfId="0" applyFont="1" applyFill="1" applyBorder="1" applyAlignment="1">
      <alignment horizontal="left" vertical="top"/>
    </xf>
    <xf numFmtId="0" fontId="1" fillId="2" borderId="43" xfId="0" applyFont="1" applyFill="1" applyBorder="1" applyAlignment="1">
      <alignment horizontal="left" vertical="top"/>
    </xf>
    <xf numFmtId="0" fontId="1" fillId="2" borderId="48" xfId="0" applyFont="1" applyFill="1" applyBorder="1" applyAlignment="1">
      <alignment horizontal="left" vertical="top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0" xfId="0" applyFont="1" applyFill="1" applyAlignment="1">
      <alignment horizontal="left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left" vertical="top"/>
    </xf>
    <xf numFmtId="0" fontId="1" fillId="2" borderId="47" xfId="0" applyFont="1" applyFill="1" applyBorder="1" applyAlignment="1">
      <alignment horizontal="left" vertical="top"/>
    </xf>
    <xf numFmtId="0" fontId="1" fillId="2" borderId="31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horizontal="center" vertical="center" wrapText="1"/>
    </xf>
    <xf numFmtId="0" fontId="1" fillId="2" borderId="60" xfId="0" applyFont="1" applyFill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center" vertical="center" wrapText="1"/>
    </xf>
    <xf numFmtId="0" fontId="1" fillId="2" borderId="6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1" fontId="2" fillId="2" borderId="32" xfId="0" applyNumberFormat="1" applyFont="1" applyFill="1" applyBorder="1" applyAlignment="1">
      <alignment horizontal="center" vertical="center" wrapText="1"/>
    </xf>
    <xf numFmtId="1" fontId="2" fillId="2" borderId="38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8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left" vertical="top" wrapText="1"/>
    </xf>
    <xf numFmtId="0" fontId="2" fillId="2" borderId="46" xfId="0" applyFont="1" applyFill="1" applyBorder="1" applyAlignment="1">
      <alignment horizontal="left" vertical="top" wrapText="1"/>
    </xf>
    <xf numFmtId="0" fontId="2" fillId="2" borderId="47" xfId="0" applyFont="1" applyFill="1" applyBorder="1" applyAlignment="1">
      <alignment horizontal="left" vertical="top" wrapText="1"/>
    </xf>
    <xf numFmtId="0" fontId="2" fillId="2" borderId="44" xfId="0" applyFont="1" applyFill="1" applyBorder="1" applyAlignment="1">
      <alignment horizontal="left" vertical="center" wrapText="1"/>
    </xf>
    <xf numFmtId="0" fontId="2" fillId="2" borderId="46" xfId="0" applyFont="1" applyFill="1" applyBorder="1" applyAlignment="1">
      <alignment horizontal="left" vertical="center" wrapText="1"/>
    </xf>
    <xf numFmtId="0" fontId="2" fillId="2" borderId="47" xfId="0" applyFont="1" applyFill="1" applyBorder="1" applyAlignment="1">
      <alignment horizontal="left"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64" fontId="2" fillId="2" borderId="23" xfId="0" applyNumberFormat="1" applyFont="1" applyFill="1" applyBorder="1" applyAlignment="1">
      <alignment horizontal="center" vertical="center" wrapText="1"/>
    </xf>
    <xf numFmtId="164" fontId="2" fillId="2" borderId="2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1" fontId="2" fillId="2" borderId="26" xfId="0" applyNumberFormat="1" applyFont="1" applyFill="1" applyBorder="1" applyAlignment="1">
      <alignment horizontal="center" vertical="center" wrapText="1"/>
    </xf>
    <xf numFmtId="1" fontId="2" fillId="2" borderId="27" xfId="0" applyNumberFormat="1" applyFont="1" applyFill="1" applyBorder="1" applyAlignment="1">
      <alignment horizontal="center" vertical="center" wrapText="1"/>
    </xf>
    <xf numFmtId="1" fontId="2" fillId="2" borderId="28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1" xfId="0" applyNumberFormat="1" applyFont="1" applyFill="1" applyBorder="1" applyAlignment="1">
      <alignment horizontal="center" vertical="center" wrapText="1"/>
    </xf>
    <xf numFmtId="1" fontId="2" fillId="2" borderId="22" xfId="0" applyNumberFormat="1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 wrapText="1"/>
    </xf>
  </cellXfs>
  <cellStyles count="8">
    <cellStyle name="Гиперссылка 2" xfId="3" xr:uid="{B1737DC2-D51C-4412-8F5C-43529651E55F}"/>
    <cellStyle name="Денежный 2" xfId="1" xr:uid="{66F80F51-CA65-46E6-993B-C931D0FA9F8D}"/>
    <cellStyle name="Обычный" xfId="0" builtinId="0"/>
    <cellStyle name="Обычный 2" xfId="4" xr:uid="{360CE3AD-1C98-479C-A406-C6081469C4D3}"/>
    <cellStyle name="Обычный 3" xfId="5" xr:uid="{24C9E10E-4ED8-43D2-8069-0F8297C14695}"/>
    <cellStyle name="Обычный 4" xfId="6" xr:uid="{CDED7A1C-7E53-43F8-B826-D279E0F22185}"/>
    <cellStyle name="Обычный 5" xfId="2" xr:uid="{C76ECA5C-5850-49A9-9FB6-EE0E13AB73DF}"/>
    <cellStyle name="Процентный 2" xfId="7" xr:uid="{6C4FC468-119D-4041-94D1-C472E067DE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52"/>
  <sheetViews>
    <sheetView tabSelected="1" topLeftCell="A230" zoomScale="85" zoomScaleNormal="85" workbookViewId="0">
      <selection activeCell="F248" sqref="F248"/>
    </sheetView>
  </sheetViews>
  <sheetFormatPr defaultColWidth="9.140625" defaultRowHeight="15"/>
  <cols>
    <col min="1" max="1" width="37.7109375" customWidth="1"/>
    <col min="2" max="2" width="24.85546875" customWidth="1"/>
    <col min="3" max="3" width="32.42578125" customWidth="1"/>
    <col min="4" max="4" width="20.7109375" customWidth="1"/>
    <col min="5" max="5" width="18" customWidth="1"/>
    <col min="6" max="6" width="15.42578125" customWidth="1"/>
    <col min="7" max="7" width="13.5703125" customWidth="1"/>
    <col min="8" max="8" width="24.85546875" customWidth="1"/>
    <col min="9" max="12" width="17" bestFit="1" customWidth="1"/>
    <col min="13" max="14" width="18.140625" bestFit="1" customWidth="1"/>
    <col min="15" max="15" width="10.7109375" bestFit="1" customWidth="1"/>
    <col min="16" max="17" width="13.7109375" bestFit="1" customWidth="1"/>
    <col min="18" max="19" width="11.5703125" bestFit="1" customWidth="1"/>
  </cols>
  <sheetData>
    <row r="1" spans="1:18" s="4" customFormat="1" ht="15.75" thickBot="1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8" s="4" customFormat="1" ht="60.75" thickBot="1">
      <c r="A2" s="78" t="s">
        <v>1</v>
      </c>
      <c r="B2" s="79" t="s">
        <v>2</v>
      </c>
      <c r="C2" s="79" t="s">
        <v>3</v>
      </c>
      <c r="D2" s="79" t="s">
        <v>4</v>
      </c>
      <c r="E2" s="79" t="s">
        <v>5</v>
      </c>
      <c r="F2" s="79" t="s">
        <v>6</v>
      </c>
      <c r="G2" s="79" t="s">
        <v>7</v>
      </c>
      <c r="H2" s="80" t="s">
        <v>8</v>
      </c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8" s="4" customFormat="1" ht="15.75" thickBot="1">
      <c r="A3" s="238" t="s">
        <v>9</v>
      </c>
      <c r="B3" s="239"/>
      <c r="C3" s="239"/>
      <c r="D3" s="239"/>
      <c r="E3" s="239"/>
      <c r="F3" s="239"/>
      <c r="G3" s="239"/>
      <c r="H3" s="240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s="4" customFormat="1">
      <c r="A4" s="81" t="s">
        <v>139</v>
      </c>
      <c r="B4" s="241"/>
      <c r="C4" s="242"/>
      <c r="D4" s="242"/>
      <c r="E4" s="242"/>
      <c r="F4" s="242"/>
      <c r="G4" s="242"/>
      <c r="H4" s="243"/>
      <c r="I4" s="77"/>
      <c r="J4" s="77"/>
      <c r="K4" s="77"/>
      <c r="L4" s="77"/>
      <c r="M4" s="77"/>
      <c r="N4" s="77"/>
      <c r="O4" s="77"/>
      <c r="P4" s="77"/>
      <c r="Q4" s="77"/>
      <c r="R4" s="77"/>
    </row>
    <row r="5" spans="1:18" s="4" customFormat="1" ht="79.5" customHeight="1" thickBot="1">
      <c r="A5" s="82" t="s">
        <v>105</v>
      </c>
      <c r="B5" s="83">
        <v>6</v>
      </c>
      <c r="C5" s="73">
        <v>75000</v>
      </c>
      <c r="D5" s="84">
        <f>C5*B5</f>
        <v>450000</v>
      </c>
      <c r="E5" s="83">
        <v>60</v>
      </c>
      <c r="F5" s="85" t="s">
        <v>119</v>
      </c>
      <c r="G5" s="84">
        <f>0.15*B5</f>
        <v>0.89999999999999991</v>
      </c>
      <c r="H5" s="204" t="s">
        <v>219</v>
      </c>
      <c r="I5" s="77"/>
      <c r="J5" s="77"/>
      <c r="K5" s="77"/>
      <c r="L5" s="77"/>
      <c r="M5" s="77"/>
      <c r="N5" s="77"/>
      <c r="O5" s="77"/>
      <c r="P5" s="77"/>
      <c r="Q5" s="77"/>
      <c r="R5" s="77"/>
    </row>
    <row r="6" spans="1:18" s="4" customFormat="1" ht="15.75" thickBot="1">
      <c r="A6" s="238" t="s">
        <v>10</v>
      </c>
      <c r="B6" s="239"/>
      <c r="C6" s="239"/>
      <c r="D6" s="239"/>
      <c r="E6" s="239"/>
      <c r="F6" s="239"/>
      <c r="G6" s="239"/>
      <c r="H6" s="240"/>
      <c r="I6" s="77"/>
      <c r="J6" s="77"/>
      <c r="K6" s="77"/>
      <c r="L6" s="77"/>
      <c r="M6" s="77"/>
      <c r="N6" s="77"/>
      <c r="O6" s="77"/>
      <c r="P6" s="77"/>
      <c r="Q6" s="77"/>
      <c r="R6" s="77"/>
    </row>
    <row r="7" spans="1:18" s="4" customFormat="1" ht="36" customHeight="1">
      <c r="A7" s="86" t="s">
        <v>11</v>
      </c>
      <c r="B7" s="241"/>
      <c r="C7" s="242"/>
      <c r="D7" s="242"/>
      <c r="E7" s="242"/>
      <c r="F7" s="242"/>
      <c r="G7" s="242"/>
      <c r="H7" s="243"/>
      <c r="I7" s="77"/>
      <c r="J7" s="77"/>
      <c r="K7" s="77"/>
      <c r="L7" s="77"/>
      <c r="M7" s="77"/>
      <c r="N7" s="77"/>
      <c r="O7" s="77"/>
      <c r="P7" s="77"/>
      <c r="Q7" s="77"/>
      <c r="R7" s="77"/>
    </row>
    <row r="8" spans="1:18" s="4" customFormat="1" ht="76.5" customHeight="1" thickBot="1">
      <c r="A8" s="27" t="s">
        <v>140</v>
      </c>
      <c r="B8" s="9">
        <v>10</v>
      </c>
      <c r="C8" s="73">
        <v>25000</v>
      </c>
      <c r="D8" s="9">
        <f>B8*C8</f>
        <v>250000</v>
      </c>
      <c r="E8" s="9">
        <v>60</v>
      </c>
      <c r="F8" s="9" t="s">
        <v>119</v>
      </c>
      <c r="G8" s="84">
        <f>0.15*B8</f>
        <v>1.5</v>
      </c>
      <c r="H8" s="204" t="s">
        <v>219</v>
      </c>
      <c r="I8" s="77"/>
      <c r="J8" s="77"/>
      <c r="K8" s="77"/>
      <c r="L8" s="77"/>
      <c r="M8" s="77"/>
      <c r="N8" s="77"/>
      <c r="O8" s="77"/>
      <c r="P8" s="77"/>
      <c r="Q8" s="77"/>
      <c r="R8" s="77"/>
    </row>
    <row r="9" spans="1:18" s="4" customFormat="1" ht="30">
      <c r="A9" s="87" t="s">
        <v>12</v>
      </c>
      <c r="B9" s="241"/>
      <c r="C9" s="242"/>
      <c r="D9" s="242"/>
      <c r="E9" s="242"/>
      <c r="F9" s="242"/>
      <c r="G9" s="242"/>
      <c r="H9" s="243"/>
      <c r="I9" s="77"/>
      <c r="J9" s="77"/>
      <c r="K9" s="77"/>
      <c r="L9" s="77"/>
      <c r="M9" s="77"/>
      <c r="N9" s="77"/>
      <c r="O9" s="77"/>
      <c r="P9" s="77"/>
      <c r="Q9" s="77"/>
      <c r="R9" s="77"/>
    </row>
    <row r="10" spans="1:18" s="4" customFormat="1" ht="45.75" thickBot="1">
      <c r="A10" s="27" t="s">
        <v>148</v>
      </c>
      <c r="B10" s="9">
        <v>1</v>
      </c>
      <c r="C10" s="9">
        <v>2200</v>
      </c>
      <c r="D10" s="88">
        <f>B10*C10</f>
        <v>2200</v>
      </c>
      <c r="E10" s="9">
        <v>60</v>
      </c>
      <c r="F10" s="9" t="s">
        <v>119</v>
      </c>
      <c r="G10" s="9">
        <v>1.4999999999999999E-2</v>
      </c>
      <c r="H10" s="205" t="s">
        <v>220</v>
      </c>
      <c r="I10" s="77"/>
      <c r="J10" s="77"/>
      <c r="K10" s="77"/>
      <c r="L10" s="77"/>
      <c r="M10" s="77"/>
      <c r="N10" s="77"/>
      <c r="O10" s="77"/>
      <c r="P10" s="77"/>
      <c r="Q10" s="77"/>
      <c r="R10" s="77"/>
    </row>
    <row r="11" spans="1:18" s="4" customFormat="1">
      <c r="A11" s="76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</row>
    <row r="12" spans="1:18" s="4" customFormat="1" ht="15.75" thickBot="1">
      <c r="A12" s="76" t="s">
        <v>13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</row>
    <row r="13" spans="1:18" s="4" customFormat="1" ht="59.25" customHeight="1">
      <c r="A13" s="252" t="s">
        <v>1</v>
      </c>
      <c r="B13" s="247" t="s">
        <v>2</v>
      </c>
      <c r="C13" s="247" t="s">
        <v>3</v>
      </c>
      <c r="D13" s="247" t="s">
        <v>14</v>
      </c>
      <c r="E13" s="247" t="s">
        <v>15</v>
      </c>
      <c r="F13" s="262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</row>
    <row r="14" spans="1:18" s="4" customFormat="1" ht="15.75" thickBot="1">
      <c r="A14" s="253"/>
      <c r="B14" s="248"/>
      <c r="C14" s="248"/>
      <c r="D14" s="248"/>
      <c r="E14" s="9" t="s">
        <v>16</v>
      </c>
      <c r="F14" s="10" t="s">
        <v>17</v>
      </c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</row>
    <row r="15" spans="1:18" s="4" customFormat="1" ht="15.75" thickBot="1">
      <c r="A15" s="238" t="s">
        <v>9</v>
      </c>
      <c r="B15" s="239"/>
      <c r="C15" s="239"/>
      <c r="D15" s="239"/>
      <c r="E15" s="239"/>
      <c r="F15" s="240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</row>
    <row r="16" spans="1:18" s="4" customFormat="1">
      <c r="A16" s="89" t="s">
        <v>139</v>
      </c>
      <c r="B16" s="272"/>
      <c r="C16" s="273"/>
      <c r="D16" s="273"/>
      <c r="E16" s="273"/>
      <c r="F16" s="274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</row>
    <row r="17" spans="1:18" s="4" customFormat="1" ht="15.75" thickBot="1">
      <c r="A17" s="90" t="s">
        <v>105</v>
      </c>
      <c r="B17" s="20">
        <v>6</v>
      </c>
      <c r="C17" s="20">
        <v>75000</v>
      </c>
      <c r="D17" s="20">
        <v>60</v>
      </c>
      <c r="E17" s="20">
        <f>IFERROR(C17*B17/D17,"-")</f>
        <v>7500</v>
      </c>
      <c r="F17" s="21">
        <f>IFERROR(E17*12,"-")</f>
        <v>90000</v>
      </c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</row>
    <row r="18" spans="1:18" s="4" customFormat="1" ht="15.75" thickBot="1">
      <c r="A18" s="276" t="s">
        <v>10</v>
      </c>
      <c r="B18" s="277"/>
      <c r="C18" s="277"/>
      <c r="D18" s="277"/>
      <c r="E18" s="277"/>
      <c r="F18" s="278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</row>
    <row r="19" spans="1:18" s="4" customFormat="1" ht="30">
      <c r="A19" s="89" t="s">
        <v>11</v>
      </c>
      <c r="B19" s="272"/>
      <c r="C19" s="273"/>
      <c r="D19" s="273"/>
      <c r="E19" s="273"/>
      <c r="F19" s="274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</row>
    <row r="20" spans="1:18" s="4" customFormat="1" ht="15.75" thickBot="1">
      <c r="A20" s="90" t="s">
        <v>140</v>
      </c>
      <c r="B20" s="20">
        <v>10</v>
      </c>
      <c r="C20" s="20">
        <v>25000</v>
      </c>
      <c r="D20" s="20">
        <v>60</v>
      </c>
      <c r="E20" s="20">
        <f>IFERROR(C20*B20/D20,"-")</f>
        <v>4166.666666666667</v>
      </c>
      <c r="F20" s="21">
        <f>IFERROR(E20*12,"-")</f>
        <v>50000</v>
      </c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</row>
    <row r="21" spans="1:18" s="4" customFormat="1" ht="30">
      <c r="A21" s="91" t="s">
        <v>12</v>
      </c>
      <c r="B21" s="272"/>
      <c r="C21" s="273"/>
      <c r="D21" s="273"/>
      <c r="E21" s="273"/>
      <c r="F21" s="274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</row>
    <row r="22" spans="1:18" s="4" customFormat="1" ht="15.75" thickBot="1">
      <c r="A22" s="92" t="s">
        <v>148</v>
      </c>
      <c r="B22" s="41">
        <v>1</v>
      </c>
      <c r="C22" s="41">
        <v>2200</v>
      </c>
      <c r="D22" s="41">
        <v>60</v>
      </c>
      <c r="E22" s="41">
        <f>IFERROR(C22*B22/D22,"-")</f>
        <v>36.666666666666664</v>
      </c>
      <c r="F22" s="42">
        <f>IFERROR(E22*12,"-")</f>
        <v>440</v>
      </c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</row>
    <row r="23" spans="1:18" s="4" customFormat="1">
      <c r="A23" s="93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</row>
    <row r="24" spans="1:18" s="4" customFormat="1" ht="15.75" thickBot="1">
      <c r="A24" s="76" t="s">
        <v>182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</row>
    <row r="25" spans="1:18" s="4" customFormat="1">
      <c r="A25" s="252" t="s">
        <v>28</v>
      </c>
      <c r="B25" s="247" t="s">
        <v>9</v>
      </c>
      <c r="C25" s="247" t="s">
        <v>10</v>
      </c>
      <c r="D25" s="262"/>
      <c r="E25" s="94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</row>
    <row r="26" spans="1:18" s="4" customFormat="1" ht="30.75" thickBot="1">
      <c r="A26" s="253"/>
      <c r="B26" s="248"/>
      <c r="C26" s="9" t="s">
        <v>29</v>
      </c>
      <c r="D26" s="10" t="s">
        <v>30</v>
      </c>
      <c r="E26" s="94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</row>
    <row r="27" spans="1:18" s="4" customFormat="1" ht="30">
      <c r="A27" s="87" t="s">
        <v>31</v>
      </c>
      <c r="B27" s="5">
        <v>0</v>
      </c>
      <c r="C27" s="5">
        <v>0</v>
      </c>
      <c r="D27" s="17">
        <v>0</v>
      </c>
      <c r="E27" s="94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</row>
    <row r="28" spans="1:18" s="4" customFormat="1" ht="30">
      <c r="A28" s="95" t="s">
        <v>32</v>
      </c>
      <c r="B28" s="6">
        <v>0.9</v>
      </c>
      <c r="C28" s="6">
        <v>0.9</v>
      </c>
      <c r="D28" s="7">
        <v>0.9</v>
      </c>
      <c r="E28" s="94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</row>
    <row r="29" spans="1:18" s="4" customFormat="1" ht="30">
      <c r="A29" s="95" t="s">
        <v>33</v>
      </c>
      <c r="B29" s="6">
        <f>G5</f>
        <v>0.89999999999999991</v>
      </c>
      <c r="C29" s="6">
        <f>G8</f>
        <v>1.5</v>
      </c>
      <c r="D29" s="7">
        <f>G10</f>
        <v>1.4999999999999999E-2</v>
      </c>
      <c r="E29" s="94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</row>
    <row r="30" spans="1:18" s="4" customFormat="1" ht="30">
      <c r="A30" s="95" t="s">
        <v>115</v>
      </c>
      <c r="B30" s="18">
        <v>132</v>
      </c>
      <c r="C30" s="6">
        <v>6</v>
      </c>
      <c r="D30" s="7">
        <v>6</v>
      </c>
      <c r="E30" s="94"/>
      <c r="F30" s="96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</row>
    <row r="31" spans="1:18" s="4" customFormat="1" ht="15.75" thickBot="1">
      <c r="A31" s="97" t="s">
        <v>34</v>
      </c>
      <c r="B31" s="83">
        <v>7.2</v>
      </c>
      <c r="C31" s="83">
        <v>7.2</v>
      </c>
      <c r="D31" s="83">
        <v>7.2</v>
      </c>
      <c r="E31" s="94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</row>
    <row r="32" spans="1:18" s="4" customFormat="1" ht="15.75" thickBot="1">
      <c r="A32" s="98" t="s">
        <v>23</v>
      </c>
      <c r="B32" s="99">
        <f>B27+B28*B29*B30*B31</f>
        <v>769.82399999999996</v>
      </c>
      <c r="C32" s="99">
        <f>C27+C28*C29*C30*C31</f>
        <v>58.320000000000014</v>
      </c>
      <c r="D32" s="100">
        <f>D27+D28*D29*D30*D31</f>
        <v>0.58320000000000005</v>
      </c>
      <c r="E32" s="94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</row>
    <row r="33" spans="1:18" s="4" customFormat="1">
      <c r="A33" s="93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</row>
    <row r="34" spans="1:18" s="4" customFormat="1" ht="15.75" thickBot="1">
      <c r="A34" s="76" t="s">
        <v>183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</row>
    <row r="35" spans="1:18" s="4" customFormat="1" ht="45.75" thickBot="1">
      <c r="A35" s="78" t="s">
        <v>35</v>
      </c>
      <c r="B35" s="79" t="s">
        <v>36</v>
      </c>
      <c r="C35" s="79" t="s">
        <v>37</v>
      </c>
      <c r="D35" s="79" t="s">
        <v>4</v>
      </c>
      <c r="E35" s="79" t="s">
        <v>38</v>
      </c>
      <c r="F35" s="80" t="s">
        <v>39</v>
      </c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</row>
    <row r="36" spans="1:18" s="4" customFormat="1" ht="15.75" thickBot="1">
      <c r="A36" s="267" t="s">
        <v>9</v>
      </c>
      <c r="B36" s="268"/>
      <c r="C36" s="268"/>
      <c r="D36" s="268"/>
      <c r="E36" s="268"/>
      <c r="F36" s="269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</row>
    <row r="37" spans="1:18" s="4" customFormat="1">
      <c r="A37" s="87" t="s">
        <v>135</v>
      </c>
      <c r="B37" s="241"/>
      <c r="C37" s="242"/>
      <c r="D37" s="242"/>
      <c r="E37" s="242"/>
      <c r="F37" s="243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</row>
    <row r="38" spans="1:18" s="4" customFormat="1">
      <c r="A38" s="101" t="s">
        <v>141</v>
      </c>
      <c r="B38" s="102">
        <v>0</v>
      </c>
      <c r="C38" s="20">
        <v>1</v>
      </c>
      <c r="D38" s="20">
        <f>C38*B38</f>
        <v>0</v>
      </c>
      <c r="E38" s="20">
        <v>0</v>
      </c>
      <c r="F38" s="21">
        <v>60</v>
      </c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</row>
    <row r="39" spans="1:18" s="4" customFormat="1">
      <c r="A39" s="95" t="s">
        <v>137</v>
      </c>
      <c r="B39" s="102">
        <v>9524.74</v>
      </c>
      <c r="C39" s="20">
        <v>1</v>
      </c>
      <c r="D39" s="20">
        <f>C39*B39</f>
        <v>9524.74</v>
      </c>
      <c r="E39" s="20">
        <v>0</v>
      </c>
      <c r="F39" s="21">
        <v>60</v>
      </c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</row>
    <row r="40" spans="1:18" s="4" customFormat="1">
      <c r="A40" s="95" t="s">
        <v>149</v>
      </c>
      <c r="B40" s="102">
        <v>0</v>
      </c>
      <c r="C40" s="20">
        <v>3</v>
      </c>
      <c r="D40" s="20">
        <v>0</v>
      </c>
      <c r="E40" s="20">
        <v>0</v>
      </c>
      <c r="F40" s="21">
        <v>60</v>
      </c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</row>
    <row r="41" spans="1:18" s="4" customFormat="1" ht="15.75" thickBot="1">
      <c r="A41" s="103" t="s">
        <v>150</v>
      </c>
      <c r="B41" s="104">
        <v>0</v>
      </c>
      <c r="C41" s="105">
        <v>3</v>
      </c>
      <c r="D41" s="105">
        <v>0</v>
      </c>
      <c r="E41" s="105">
        <v>0</v>
      </c>
      <c r="F41" s="106">
        <v>60</v>
      </c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</row>
    <row r="42" spans="1:18" s="4" customFormat="1" ht="15.75" thickBot="1">
      <c r="A42" s="267" t="s">
        <v>10</v>
      </c>
      <c r="B42" s="268"/>
      <c r="C42" s="268"/>
      <c r="D42" s="268"/>
      <c r="E42" s="268"/>
      <c r="F42" s="269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</row>
    <row r="43" spans="1:18" s="4" customFormat="1">
      <c r="A43" s="86" t="s">
        <v>40</v>
      </c>
      <c r="B43" s="241"/>
      <c r="C43" s="242"/>
      <c r="D43" s="242"/>
      <c r="E43" s="242"/>
      <c r="F43" s="243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</row>
    <row r="44" spans="1:18" s="4" customFormat="1" ht="15.75" thickBot="1">
      <c r="A44" s="27" t="s">
        <v>134</v>
      </c>
      <c r="B44" s="9" t="s">
        <v>134</v>
      </c>
      <c r="C44" s="9" t="s">
        <v>134</v>
      </c>
      <c r="D44" s="9" t="s">
        <v>134</v>
      </c>
      <c r="E44" s="9" t="s">
        <v>134</v>
      </c>
      <c r="F44" s="10" t="s">
        <v>134</v>
      </c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</row>
    <row r="45" spans="1:18" s="4" customFormat="1" ht="15.75" customHeight="1">
      <c r="A45" s="93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</row>
    <row r="46" spans="1:18" s="4" customFormat="1" ht="15.75" thickBot="1">
      <c r="A46" s="76" t="s">
        <v>184</v>
      </c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</row>
    <row r="47" spans="1:18" s="4" customFormat="1">
      <c r="A47" s="252" t="s">
        <v>35</v>
      </c>
      <c r="B47" s="247" t="s">
        <v>3</v>
      </c>
      <c r="C47" s="247" t="s">
        <v>2</v>
      </c>
      <c r="D47" s="247" t="s">
        <v>41</v>
      </c>
      <c r="E47" s="247"/>
      <c r="F47" s="262" t="s">
        <v>39</v>
      </c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</row>
    <row r="48" spans="1:18" s="4" customFormat="1" ht="15.75" thickBot="1">
      <c r="A48" s="284"/>
      <c r="B48" s="266"/>
      <c r="C48" s="266"/>
      <c r="D48" s="83" t="s">
        <v>16</v>
      </c>
      <c r="E48" s="83" t="s">
        <v>17</v>
      </c>
      <c r="F48" s="263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</row>
    <row r="49" spans="1:18" s="4" customFormat="1" ht="15.75" thickBot="1">
      <c r="A49" s="267" t="s">
        <v>9</v>
      </c>
      <c r="B49" s="268"/>
      <c r="C49" s="268"/>
      <c r="D49" s="268"/>
      <c r="E49" s="268"/>
      <c r="F49" s="269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</row>
    <row r="50" spans="1:18" s="4" customFormat="1">
      <c r="A50" s="107" t="s">
        <v>138</v>
      </c>
      <c r="B50" s="241"/>
      <c r="C50" s="242"/>
      <c r="D50" s="242"/>
      <c r="E50" s="242"/>
      <c r="F50" s="243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</row>
    <row r="51" spans="1:18" s="4" customFormat="1">
      <c r="A51" s="101" t="s">
        <v>136</v>
      </c>
      <c r="B51" s="20">
        <f>B38</f>
        <v>0</v>
      </c>
      <c r="C51" s="20">
        <f>C38</f>
        <v>1</v>
      </c>
      <c r="D51" s="20">
        <f>B51*C51/F51</f>
        <v>0</v>
      </c>
      <c r="E51" s="20">
        <f>D51*12</f>
        <v>0</v>
      </c>
      <c r="F51" s="21">
        <f>F38</f>
        <v>60</v>
      </c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</row>
    <row r="52" spans="1:18" s="4" customFormat="1">
      <c r="A52" s="95" t="s">
        <v>137</v>
      </c>
      <c r="B52" s="20">
        <f>B39</f>
        <v>9524.74</v>
      </c>
      <c r="C52" s="20">
        <f>C39</f>
        <v>1</v>
      </c>
      <c r="D52" s="20">
        <f>B52*C52/F52</f>
        <v>158.74566666666666</v>
      </c>
      <c r="E52" s="20">
        <f>D52*12</f>
        <v>1904.9479999999999</v>
      </c>
      <c r="F52" s="21">
        <f>F39</f>
        <v>60</v>
      </c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</row>
    <row r="53" spans="1:18" s="4" customFormat="1">
      <c r="A53" s="108" t="s">
        <v>149</v>
      </c>
      <c r="B53" s="102">
        <v>0</v>
      </c>
      <c r="C53" s="20">
        <v>3</v>
      </c>
      <c r="D53" s="20">
        <v>0</v>
      </c>
      <c r="E53" s="20">
        <v>0</v>
      </c>
      <c r="F53" s="20">
        <v>60</v>
      </c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</row>
    <row r="54" spans="1:18" s="4" customFormat="1" ht="15.75" thickBot="1">
      <c r="A54" s="109" t="s">
        <v>150</v>
      </c>
      <c r="B54" s="110">
        <v>0</v>
      </c>
      <c r="C54" s="111">
        <v>3</v>
      </c>
      <c r="D54" s="111">
        <v>0</v>
      </c>
      <c r="E54" s="111">
        <v>0</v>
      </c>
      <c r="F54" s="112">
        <v>60</v>
      </c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</row>
    <row r="55" spans="1:18" s="4" customFormat="1" ht="15.75" thickBot="1">
      <c r="A55" s="267" t="s">
        <v>10</v>
      </c>
      <c r="B55" s="268"/>
      <c r="C55" s="268"/>
      <c r="D55" s="268"/>
      <c r="E55" s="268"/>
      <c r="F55" s="269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</row>
    <row r="56" spans="1:18" s="4" customFormat="1">
      <c r="A56" s="87" t="s">
        <v>42</v>
      </c>
      <c r="B56" s="5" t="s">
        <v>134</v>
      </c>
      <c r="C56" s="5" t="s">
        <v>134</v>
      </c>
      <c r="D56" s="5" t="s">
        <v>134</v>
      </c>
      <c r="E56" s="5" t="s">
        <v>134</v>
      </c>
      <c r="F56" s="17" t="s">
        <v>134</v>
      </c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</row>
    <row r="57" spans="1:18" s="4" customFormat="1" ht="15.75" thickBot="1">
      <c r="A57" s="113" t="s">
        <v>43</v>
      </c>
      <c r="B57" s="9" t="s">
        <v>134</v>
      </c>
      <c r="C57" s="9" t="s">
        <v>134</v>
      </c>
      <c r="D57" s="9" t="s">
        <v>134</v>
      </c>
      <c r="E57" s="9" t="s">
        <v>134</v>
      </c>
      <c r="F57" s="10" t="s">
        <v>134</v>
      </c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</row>
    <row r="58" spans="1:18" s="4" customFormat="1">
      <c r="A58" s="76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</row>
    <row r="59" spans="1:18" s="4" customFormat="1" ht="15.75" thickBot="1">
      <c r="A59" s="76" t="s">
        <v>185</v>
      </c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</row>
    <row r="60" spans="1:18" s="4" customFormat="1">
      <c r="A60" s="252" t="s">
        <v>35</v>
      </c>
      <c r="B60" s="247" t="s">
        <v>18</v>
      </c>
      <c r="C60" s="247"/>
      <c r="D60" s="262" t="s">
        <v>19</v>
      </c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</row>
    <row r="61" spans="1:18" s="4" customFormat="1" ht="15.75" thickBot="1">
      <c r="A61" s="253"/>
      <c r="B61" s="9" t="s">
        <v>16</v>
      </c>
      <c r="C61" s="9" t="s">
        <v>17</v>
      </c>
      <c r="D61" s="275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</row>
    <row r="62" spans="1:18" s="4" customFormat="1" ht="15.75" thickBot="1">
      <c r="A62" s="267" t="s">
        <v>9</v>
      </c>
      <c r="B62" s="268"/>
      <c r="C62" s="268"/>
      <c r="D62" s="269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</row>
    <row r="63" spans="1:18" s="4" customFormat="1">
      <c r="A63" s="114" t="s">
        <v>138</v>
      </c>
      <c r="B63" s="241"/>
      <c r="C63" s="242"/>
      <c r="D63" s="243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</row>
    <row r="64" spans="1:18" s="4" customFormat="1" ht="15.75" thickBot="1">
      <c r="A64" s="113" t="s">
        <v>116</v>
      </c>
      <c r="B64" s="41">
        <v>2468.89</v>
      </c>
      <c r="C64" s="41">
        <f>B64*3</f>
        <v>7406.67</v>
      </c>
      <c r="D64" s="10" t="s">
        <v>117</v>
      </c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</row>
    <row r="65" spans="1:18" s="4" customFormat="1" ht="15.75" thickBot="1">
      <c r="A65" s="267" t="s">
        <v>10</v>
      </c>
      <c r="B65" s="268"/>
      <c r="C65" s="268"/>
      <c r="D65" s="269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</row>
    <row r="66" spans="1:18" s="4" customFormat="1" ht="29.25" customHeight="1">
      <c r="A66" s="87" t="s">
        <v>44</v>
      </c>
      <c r="B66" s="5" t="s">
        <v>134</v>
      </c>
      <c r="C66" s="5" t="s">
        <v>134</v>
      </c>
      <c r="D66" s="17" t="s">
        <v>134</v>
      </c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</row>
    <row r="67" spans="1:18" s="4" customFormat="1" ht="15.75" thickBot="1">
      <c r="A67" s="113" t="s">
        <v>45</v>
      </c>
      <c r="B67" s="9" t="s">
        <v>134</v>
      </c>
      <c r="C67" s="9" t="s">
        <v>134</v>
      </c>
      <c r="D67" s="10" t="s">
        <v>134</v>
      </c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</row>
    <row r="68" spans="1:18" s="4" customFormat="1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</row>
    <row r="69" spans="1:18" s="4" customFormat="1" ht="15.75" thickBot="1">
      <c r="A69" s="76" t="s">
        <v>186</v>
      </c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</row>
    <row r="70" spans="1:18" s="4" customFormat="1" ht="45" customHeight="1">
      <c r="A70" s="115" t="s">
        <v>151</v>
      </c>
      <c r="B70" s="70" t="s">
        <v>20</v>
      </c>
      <c r="C70" s="70" t="s">
        <v>21</v>
      </c>
      <c r="D70" s="116" t="s">
        <v>22</v>
      </c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</row>
    <row r="71" spans="1:18" s="4" customFormat="1" ht="30">
      <c r="A71" s="264" t="s">
        <v>152</v>
      </c>
      <c r="B71" s="68" t="s">
        <v>221</v>
      </c>
      <c r="C71" s="20">
        <v>3</v>
      </c>
      <c r="D71" s="54">
        <f>C71*132/20</f>
        <v>19.8</v>
      </c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</row>
    <row r="72" spans="1:18" s="4" customFormat="1" ht="45">
      <c r="A72" s="265"/>
      <c r="B72" s="68" t="s">
        <v>222</v>
      </c>
      <c r="C72" s="20">
        <v>3</v>
      </c>
      <c r="D72" s="54">
        <f>C72*132/20</f>
        <v>19.8</v>
      </c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</row>
    <row r="73" spans="1:18" s="4" customFormat="1" ht="60">
      <c r="A73" s="265"/>
      <c r="B73" s="68" t="s">
        <v>223</v>
      </c>
      <c r="C73" s="20">
        <v>2</v>
      </c>
      <c r="D73" s="54">
        <f>C73*132/20</f>
        <v>13.2</v>
      </c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</row>
    <row r="74" spans="1:18" s="4" customFormat="1" ht="60">
      <c r="A74" s="265"/>
      <c r="B74" s="117" t="s">
        <v>142</v>
      </c>
      <c r="C74" s="20">
        <v>13</v>
      </c>
      <c r="D74" s="54">
        <f t="shared" ref="D74:D83" si="0">C74*132/20</f>
        <v>85.8</v>
      </c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</row>
    <row r="75" spans="1:18" s="4" customFormat="1" ht="30">
      <c r="A75" s="265"/>
      <c r="B75" s="118" t="s">
        <v>147</v>
      </c>
      <c r="C75" s="20">
        <v>5</v>
      </c>
      <c r="D75" s="54">
        <f t="shared" si="0"/>
        <v>33</v>
      </c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</row>
    <row r="76" spans="1:18" s="4" customFormat="1" ht="30">
      <c r="A76" s="265"/>
      <c r="B76" s="119" t="s">
        <v>143</v>
      </c>
      <c r="C76" s="20">
        <v>11</v>
      </c>
      <c r="D76" s="54">
        <f t="shared" si="0"/>
        <v>72.599999999999994</v>
      </c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</row>
    <row r="77" spans="1:18" s="4" customFormat="1" ht="30">
      <c r="A77" s="265"/>
      <c r="B77" s="119" t="s">
        <v>146</v>
      </c>
      <c r="C77" s="20">
        <v>6</v>
      </c>
      <c r="D77" s="54">
        <f t="shared" si="0"/>
        <v>39.6</v>
      </c>
      <c r="E77" s="120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</row>
    <row r="78" spans="1:18" s="4" customFormat="1" ht="45">
      <c r="A78" s="265"/>
      <c r="B78" s="65" t="s">
        <v>225</v>
      </c>
      <c r="C78" s="66">
        <v>2</v>
      </c>
      <c r="D78" s="67">
        <f>C78*132/20</f>
        <v>13.2</v>
      </c>
      <c r="E78" s="120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</row>
    <row r="79" spans="1:18" s="4" customFormat="1">
      <c r="A79" s="265"/>
      <c r="B79" s="121" t="s">
        <v>144</v>
      </c>
      <c r="C79" s="20">
        <v>1</v>
      </c>
      <c r="D79" s="54">
        <f t="shared" si="0"/>
        <v>6.6</v>
      </c>
      <c r="E79" s="120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</row>
    <row r="80" spans="1:18" s="4" customFormat="1" ht="30">
      <c r="A80" s="289" t="s">
        <v>168</v>
      </c>
      <c r="B80" s="69" t="s">
        <v>153</v>
      </c>
      <c r="C80" s="20">
        <v>2</v>
      </c>
      <c r="D80" s="54">
        <f t="shared" si="0"/>
        <v>13.2</v>
      </c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</row>
    <row r="81" spans="1:18" s="4" customFormat="1" ht="45">
      <c r="A81" s="289"/>
      <c r="B81" s="69" t="s">
        <v>154</v>
      </c>
      <c r="C81" s="20">
        <v>3</v>
      </c>
      <c r="D81" s="54">
        <f t="shared" si="0"/>
        <v>19.8</v>
      </c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</row>
    <row r="82" spans="1:18" s="4" customFormat="1" ht="45">
      <c r="A82" s="289"/>
      <c r="B82" s="69" t="s">
        <v>155</v>
      </c>
      <c r="C82" s="20">
        <v>3</v>
      </c>
      <c r="D82" s="54">
        <f t="shared" si="0"/>
        <v>19.8</v>
      </c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</row>
    <row r="83" spans="1:18" s="4" customFormat="1" ht="30">
      <c r="A83" s="289"/>
      <c r="B83" s="65" t="s">
        <v>224</v>
      </c>
      <c r="C83" s="66">
        <v>2</v>
      </c>
      <c r="D83" s="67">
        <f t="shared" si="0"/>
        <v>13.2</v>
      </c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</row>
    <row r="84" spans="1:18" s="4" customFormat="1" ht="15.75" thickBot="1">
      <c r="A84" s="113" t="s">
        <v>23</v>
      </c>
      <c r="B84" s="9"/>
      <c r="C84" s="41">
        <f>SUM(C71:C83)</f>
        <v>56</v>
      </c>
      <c r="D84" s="10">
        <f>SUM(D71:D83)</f>
        <v>369.6</v>
      </c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</row>
    <row r="85" spans="1:18" s="4" customFormat="1">
      <c r="A85" s="87" t="s">
        <v>24</v>
      </c>
      <c r="B85" s="5"/>
      <c r="C85" s="5"/>
      <c r="D85" s="1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</row>
    <row r="86" spans="1:18" s="4" customFormat="1">
      <c r="A86" s="95" t="s">
        <v>25</v>
      </c>
      <c r="B86" s="6"/>
      <c r="C86" s="6"/>
      <c r="D86" s="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</row>
    <row r="87" spans="1:18" s="4" customFormat="1">
      <c r="A87" s="8" t="s">
        <v>164</v>
      </c>
      <c r="B87" s="19" t="s">
        <v>165</v>
      </c>
      <c r="C87" s="6">
        <v>1</v>
      </c>
      <c r="D87" s="7">
        <f>C87*160/20</f>
        <v>8</v>
      </c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</row>
    <row r="88" spans="1:18" s="4" customFormat="1" ht="30.75" thickBot="1">
      <c r="A88" s="29" t="s">
        <v>159</v>
      </c>
      <c r="B88" s="53" t="s">
        <v>166</v>
      </c>
      <c r="C88" s="53" t="s">
        <v>170</v>
      </c>
      <c r="D88" s="10">
        <v>8</v>
      </c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</row>
    <row r="89" spans="1:18" s="4" customFormat="1">
      <c r="A89" s="87" t="s">
        <v>26</v>
      </c>
      <c r="B89" s="5"/>
      <c r="C89" s="5"/>
      <c r="D89" s="1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</row>
    <row r="90" spans="1:18" s="4" customFormat="1" ht="40.9" customHeight="1">
      <c r="A90" s="95" t="s">
        <v>27</v>
      </c>
      <c r="B90" s="6"/>
      <c r="C90" s="6">
        <v>1</v>
      </c>
      <c r="D90" s="7">
        <f>C90*160/20</f>
        <v>8</v>
      </c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</row>
    <row r="91" spans="1:18" s="4" customFormat="1" ht="40.9" customHeight="1" thickBot="1">
      <c r="A91" s="257" t="s">
        <v>171</v>
      </c>
      <c r="B91" s="259"/>
      <c r="C91" s="9">
        <v>1</v>
      </c>
      <c r="D91" s="10">
        <f>C91*160/20</f>
        <v>8</v>
      </c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</row>
    <row r="92" spans="1:18" s="4" customFormat="1">
      <c r="A92" s="96"/>
      <c r="B92" s="96"/>
      <c r="C92" s="96"/>
      <c r="D92" s="96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</row>
    <row r="93" spans="1:18" s="4" customFormat="1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</row>
    <row r="94" spans="1:18" s="4" customFormat="1" ht="15.75" thickBot="1">
      <c r="A94" s="76" t="s">
        <v>187</v>
      </c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</row>
    <row r="95" spans="1:18" s="4" customFormat="1" ht="30.75" thickBot="1">
      <c r="A95" s="78" t="s">
        <v>46</v>
      </c>
      <c r="B95" s="79" t="s">
        <v>47</v>
      </c>
      <c r="C95" s="79" t="s">
        <v>48</v>
      </c>
      <c r="D95" s="79" t="s">
        <v>181</v>
      </c>
      <c r="E95" s="80" t="s">
        <v>49</v>
      </c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</row>
    <row r="96" spans="1:18" s="4" customFormat="1" ht="15.75" thickBot="1">
      <c r="A96" s="238" t="s">
        <v>9</v>
      </c>
      <c r="B96" s="239"/>
      <c r="C96" s="239"/>
      <c r="D96" s="239"/>
      <c r="E96" s="240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</row>
    <row r="97" spans="1:18" s="4" customFormat="1" ht="30">
      <c r="A97" s="22" t="s">
        <v>145</v>
      </c>
      <c r="B97" s="286" t="s">
        <v>118</v>
      </c>
      <c r="C97" s="286">
        <v>1</v>
      </c>
      <c r="D97" s="286">
        <f>E97*132</f>
        <v>46200</v>
      </c>
      <c r="E97" s="235">
        <v>350</v>
      </c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</row>
    <row r="98" spans="1:18" s="4" customFormat="1" ht="30">
      <c r="A98" s="68" t="s">
        <v>222</v>
      </c>
      <c r="B98" s="287"/>
      <c r="C98" s="287"/>
      <c r="D98" s="287"/>
      <c r="E98" s="236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</row>
    <row r="99" spans="1:18" s="4" customFormat="1" ht="45">
      <c r="A99" s="68" t="s">
        <v>223</v>
      </c>
      <c r="B99" s="287"/>
      <c r="C99" s="287"/>
      <c r="D99" s="287"/>
      <c r="E99" s="236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</row>
    <row r="100" spans="1:18" s="4" customFormat="1" ht="45">
      <c r="A100" s="122" t="s">
        <v>142</v>
      </c>
      <c r="B100" s="287"/>
      <c r="C100" s="287"/>
      <c r="D100" s="287"/>
      <c r="E100" s="236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</row>
    <row r="101" spans="1:18" s="4" customFormat="1">
      <c r="A101" s="122" t="s">
        <v>147</v>
      </c>
      <c r="B101" s="287"/>
      <c r="C101" s="287"/>
      <c r="D101" s="287"/>
      <c r="E101" s="236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</row>
    <row r="102" spans="1:18" s="4" customFormat="1" ht="30">
      <c r="A102" s="123" t="s">
        <v>143</v>
      </c>
      <c r="B102" s="287"/>
      <c r="C102" s="287"/>
      <c r="D102" s="287"/>
      <c r="E102" s="236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</row>
    <row r="103" spans="1:18" s="4" customFormat="1" ht="30">
      <c r="A103" s="124" t="s">
        <v>146</v>
      </c>
      <c r="B103" s="287"/>
      <c r="C103" s="287"/>
      <c r="D103" s="287"/>
      <c r="E103" s="236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</row>
    <row r="104" spans="1:18" s="4" customFormat="1" ht="15.75" thickBot="1">
      <c r="A104" s="125" t="s">
        <v>144</v>
      </c>
      <c r="B104" s="287"/>
      <c r="C104" s="287"/>
      <c r="D104" s="287"/>
      <c r="E104" s="236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</row>
    <row r="105" spans="1:18" s="4" customFormat="1" ht="30">
      <c r="A105" s="126" t="s">
        <v>218</v>
      </c>
      <c r="B105" s="286" t="s">
        <v>157</v>
      </c>
      <c r="C105" s="286">
        <v>1</v>
      </c>
      <c r="D105" s="232">
        <f>E105*132</f>
        <v>50160</v>
      </c>
      <c r="E105" s="235">
        <v>380</v>
      </c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</row>
    <row r="106" spans="1:18" s="4" customFormat="1" ht="28.15" customHeight="1">
      <c r="A106" s="127" t="s">
        <v>154</v>
      </c>
      <c r="B106" s="287"/>
      <c r="C106" s="287"/>
      <c r="D106" s="233"/>
      <c r="E106" s="236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</row>
    <row r="107" spans="1:18" s="4" customFormat="1" ht="28.15" customHeight="1">
      <c r="A107" s="127" t="s">
        <v>155</v>
      </c>
      <c r="B107" s="287"/>
      <c r="C107" s="287"/>
      <c r="D107" s="233"/>
      <c r="E107" s="236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</row>
    <row r="108" spans="1:18" s="4" customFormat="1" ht="28.15" customHeight="1">
      <c r="A108" s="65" t="s">
        <v>224</v>
      </c>
      <c r="B108" s="287"/>
      <c r="C108" s="287"/>
      <c r="D108" s="233"/>
      <c r="E108" s="236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</row>
    <row r="109" spans="1:18" s="4" customFormat="1" ht="31.5" customHeight="1">
      <c r="A109" s="65" t="s">
        <v>225</v>
      </c>
      <c r="B109" s="287"/>
      <c r="C109" s="287"/>
      <c r="D109" s="233"/>
      <c r="E109" s="236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</row>
    <row r="110" spans="1:18" s="4" customFormat="1" ht="15" customHeight="1" thickBot="1">
      <c r="A110" s="128" t="s">
        <v>156</v>
      </c>
      <c r="B110" s="288"/>
      <c r="C110" s="288"/>
      <c r="D110" s="234"/>
      <c r="E110" s="23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</row>
    <row r="111" spans="1:18" s="4" customFormat="1" ht="15.75" thickBot="1">
      <c r="A111" s="98" t="s">
        <v>23</v>
      </c>
      <c r="B111" s="79"/>
      <c r="C111" s="79"/>
      <c r="D111" s="79"/>
      <c r="E111" s="80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</row>
    <row r="112" spans="1:18" s="4" customFormat="1" ht="15.75" thickBot="1">
      <c r="A112" s="238" t="s">
        <v>10</v>
      </c>
      <c r="B112" s="239"/>
      <c r="C112" s="239"/>
      <c r="D112" s="239"/>
      <c r="E112" s="240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</row>
    <row r="113" spans="1:19" s="4" customFormat="1">
      <c r="A113" s="86" t="s">
        <v>50</v>
      </c>
      <c r="B113" s="241"/>
      <c r="C113" s="242"/>
      <c r="D113" s="242"/>
      <c r="E113" s="243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</row>
    <row r="114" spans="1:19" s="4" customFormat="1" ht="45">
      <c r="A114" s="86" t="s">
        <v>163</v>
      </c>
      <c r="B114" s="19" t="s">
        <v>169</v>
      </c>
      <c r="C114" s="6">
        <v>10</v>
      </c>
      <c r="D114" s="6">
        <v>30000</v>
      </c>
      <c r="E114" s="129">
        <f>D114/160</f>
        <v>187.5</v>
      </c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</row>
    <row r="115" spans="1:19" s="4" customFormat="1">
      <c r="A115" s="8" t="s">
        <v>158</v>
      </c>
      <c r="B115" s="19" t="s">
        <v>159</v>
      </c>
      <c r="C115" s="6">
        <v>1</v>
      </c>
      <c r="D115" s="6">
        <v>25000</v>
      </c>
      <c r="E115" s="21">
        <f>D115/132</f>
        <v>189.39393939393941</v>
      </c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</row>
    <row r="116" spans="1:19" s="4" customFormat="1">
      <c r="A116" s="95" t="s">
        <v>51</v>
      </c>
      <c r="B116" s="244"/>
      <c r="C116" s="245"/>
      <c r="D116" s="245"/>
      <c r="E116" s="246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</row>
    <row r="117" spans="1:19" s="4" customFormat="1" ht="15.75" thickBot="1">
      <c r="A117" s="27" t="s">
        <v>134</v>
      </c>
      <c r="B117" s="9" t="s">
        <v>134</v>
      </c>
      <c r="C117" s="9" t="s">
        <v>134</v>
      </c>
      <c r="D117" s="9" t="s">
        <v>134</v>
      </c>
      <c r="E117" s="10" t="s">
        <v>134</v>
      </c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</row>
    <row r="118" spans="1:19" s="4" customFormat="1">
      <c r="A118" s="76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</row>
    <row r="119" spans="1:19" s="4" customFormat="1" ht="15.75" thickBot="1">
      <c r="A119" s="76" t="s">
        <v>188</v>
      </c>
      <c r="B119" s="77"/>
      <c r="C119" s="77"/>
      <c r="D119" s="77"/>
      <c r="E119" s="77"/>
      <c r="F119" s="77"/>
      <c r="G119" s="77"/>
      <c r="H119" s="77"/>
      <c r="I119" s="77"/>
      <c r="J119" s="94"/>
      <c r="K119" s="77"/>
      <c r="L119" s="94"/>
      <c r="M119" s="94"/>
      <c r="N119" s="94"/>
      <c r="O119" s="94"/>
      <c r="P119" s="77"/>
      <c r="Q119" s="94"/>
      <c r="R119" s="77"/>
    </row>
    <row r="120" spans="1:19" s="4" customFormat="1" ht="75.75" thickBot="1">
      <c r="A120" s="78" t="s">
        <v>47</v>
      </c>
      <c r="B120" s="79" t="s">
        <v>52</v>
      </c>
      <c r="C120" s="79" t="s">
        <v>53</v>
      </c>
      <c r="D120" s="79" t="s">
        <v>54</v>
      </c>
      <c r="E120" s="79" t="s">
        <v>55</v>
      </c>
      <c r="F120" s="79" t="s">
        <v>56</v>
      </c>
      <c r="G120" s="79" t="s">
        <v>57</v>
      </c>
      <c r="H120" s="80" t="s">
        <v>58</v>
      </c>
      <c r="I120" s="94"/>
      <c r="J120" s="94"/>
      <c r="K120" s="77"/>
      <c r="L120" s="77"/>
      <c r="M120" s="77"/>
      <c r="N120" s="94"/>
      <c r="O120" s="94"/>
      <c r="P120" s="94"/>
      <c r="Q120" s="94"/>
      <c r="R120" s="94"/>
      <c r="S120" s="1"/>
    </row>
    <row r="121" spans="1:19" s="4" customFormat="1" ht="15.75" thickBot="1">
      <c r="A121" s="130" t="s">
        <v>59</v>
      </c>
      <c r="B121" s="131"/>
      <c r="C121" s="131"/>
      <c r="D121" s="131"/>
      <c r="E121" s="131"/>
      <c r="F121" s="131"/>
      <c r="G121" s="131"/>
      <c r="H121" s="132"/>
      <c r="I121" s="94"/>
      <c r="J121" s="94"/>
      <c r="K121" s="77"/>
      <c r="L121" s="77"/>
      <c r="M121" s="77"/>
      <c r="N121" s="94"/>
      <c r="O121" s="94"/>
      <c r="P121" s="94"/>
      <c r="Q121" s="94"/>
      <c r="R121" s="94"/>
      <c r="S121" s="1"/>
    </row>
    <row r="122" spans="1:19" s="4" customFormat="1">
      <c r="A122" s="107" t="s">
        <v>118</v>
      </c>
      <c r="B122" s="71">
        <v>1</v>
      </c>
      <c r="C122" s="71">
        <f>D122*E122</f>
        <v>46200</v>
      </c>
      <c r="D122" s="71">
        <f>$E$97</f>
        <v>350</v>
      </c>
      <c r="E122" s="71">
        <v>132</v>
      </c>
      <c r="F122" s="71">
        <f>C122*B122</f>
        <v>46200</v>
      </c>
      <c r="G122" s="71">
        <f>F122*0.302</f>
        <v>13952.4</v>
      </c>
      <c r="H122" s="133">
        <f>F122+G122</f>
        <v>60152.4</v>
      </c>
      <c r="I122" s="94"/>
      <c r="J122" s="94"/>
      <c r="K122" s="77"/>
      <c r="L122" s="77"/>
      <c r="M122" s="77"/>
      <c r="N122" s="94"/>
      <c r="O122" s="94"/>
      <c r="P122" s="94"/>
      <c r="Q122" s="94"/>
      <c r="R122" s="94"/>
      <c r="S122" s="1"/>
    </row>
    <row r="123" spans="1:19" s="4" customFormat="1">
      <c r="A123" s="19" t="s">
        <v>157</v>
      </c>
      <c r="B123" s="134">
        <v>1</v>
      </c>
      <c r="C123" s="71">
        <f>D123*E123</f>
        <v>5016</v>
      </c>
      <c r="D123" s="75">
        <f>$E$105</f>
        <v>380</v>
      </c>
      <c r="E123" s="72">
        <v>13.2</v>
      </c>
      <c r="F123" s="71">
        <f>C123*B123</f>
        <v>5016</v>
      </c>
      <c r="G123" s="71">
        <f>F123*0.302</f>
        <v>1514.8319999999999</v>
      </c>
      <c r="H123" s="133">
        <f>F123+G123</f>
        <v>6530.8320000000003</v>
      </c>
      <c r="I123" s="77"/>
      <c r="J123" s="94"/>
      <c r="K123" s="77"/>
      <c r="L123" s="77"/>
      <c r="M123" s="77"/>
      <c r="N123" s="94"/>
      <c r="O123" s="94"/>
      <c r="P123" s="77"/>
      <c r="Q123" s="77"/>
      <c r="R123" s="77"/>
    </row>
    <row r="124" spans="1:19" s="4" customFormat="1" ht="15.75" thickBot="1">
      <c r="A124" s="257" t="s">
        <v>120</v>
      </c>
      <c r="B124" s="258"/>
      <c r="C124" s="258"/>
      <c r="D124" s="259"/>
      <c r="E124" s="73">
        <f>SUM(E122:E123)</f>
        <v>145.19999999999999</v>
      </c>
      <c r="F124" s="73">
        <f>SUM(F122:F123)</f>
        <v>51216</v>
      </c>
      <c r="G124" s="73">
        <f>SUM(G122:G123)</f>
        <v>15467.232</v>
      </c>
      <c r="H124" s="135">
        <f>SUM(H122,H123)</f>
        <v>66683.232000000004</v>
      </c>
      <c r="I124" s="94"/>
      <c r="J124" s="94"/>
      <c r="K124" s="77"/>
      <c r="L124" s="77"/>
      <c r="M124" s="77"/>
      <c r="N124" s="94"/>
      <c r="O124" s="94"/>
      <c r="P124" s="77"/>
      <c r="Q124" s="77"/>
      <c r="R124" s="94"/>
    </row>
    <row r="125" spans="1:19" s="4" customFormat="1" ht="15.75" thickBot="1">
      <c r="A125" s="130" t="s">
        <v>60</v>
      </c>
      <c r="B125" s="74"/>
      <c r="C125" s="74"/>
      <c r="D125" s="74"/>
      <c r="E125" s="74"/>
      <c r="F125" s="74"/>
      <c r="G125" s="74"/>
      <c r="H125" s="136"/>
      <c r="I125" s="94"/>
      <c r="J125" s="94"/>
      <c r="K125" s="77"/>
      <c r="L125" s="77"/>
      <c r="M125" s="77"/>
      <c r="N125" s="94"/>
      <c r="O125" s="94"/>
      <c r="P125" s="77"/>
      <c r="Q125" s="77"/>
      <c r="R125" s="94"/>
    </row>
    <row r="126" spans="1:19" s="4" customFormat="1">
      <c r="A126" s="81" t="s">
        <v>118</v>
      </c>
      <c r="B126" s="71">
        <v>1</v>
      </c>
      <c r="C126" s="71">
        <f>D126*E126</f>
        <v>46200</v>
      </c>
      <c r="D126" s="71">
        <f>$E$97</f>
        <v>350</v>
      </c>
      <c r="E126" s="71">
        <v>132</v>
      </c>
      <c r="F126" s="71">
        <f>C126*B126</f>
        <v>46200</v>
      </c>
      <c r="G126" s="71">
        <f>F126*0.302</f>
        <v>13952.4</v>
      </c>
      <c r="H126" s="133">
        <f>F126+G126</f>
        <v>60152.4</v>
      </c>
      <c r="I126" s="94"/>
      <c r="J126" s="94"/>
      <c r="K126" s="77"/>
      <c r="L126" s="77"/>
      <c r="M126" s="77"/>
      <c r="N126" s="94"/>
      <c r="O126" s="94"/>
      <c r="P126" s="77"/>
      <c r="Q126" s="77"/>
      <c r="R126" s="94"/>
    </row>
    <row r="127" spans="1:19" s="4" customFormat="1">
      <c r="A127" s="19" t="s">
        <v>157</v>
      </c>
      <c r="B127" s="134">
        <v>1</v>
      </c>
      <c r="C127" s="71">
        <f>D127*E127</f>
        <v>0</v>
      </c>
      <c r="D127" s="75">
        <f>$E$105</f>
        <v>380</v>
      </c>
      <c r="E127" s="72">
        <v>0</v>
      </c>
      <c r="F127" s="71">
        <f>C127*B127</f>
        <v>0</v>
      </c>
      <c r="G127" s="71">
        <f>F127*0.302</f>
        <v>0</v>
      </c>
      <c r="H127" s="133">
        <f>F127+G127</f>
        <v>0</v>
      </c>
      <c r="I127" s="137"/>
      <c r="J127" s="94"/>
      <c r="K127" s="77"/>
      <c r="L127" s="77"/>
      <c r="M127" s="77"/>
      <c r="N127" s="94"/>
      <c r="O127" s="94"/>
      <c r="P127" s="77"/>
      <c r="Q127" s="77"/>
      <c r="R127" s="94"/>
    </row>
    <row r="128" spans="1:19" s="4" customFormat="1" ht="15.75" thickBot="1">
      <c r="A128" s="254" t="s">
        <v>121</v>
      </c>
      <c r="B128" s="255"/>
      <c r="C128" s="255"/>
      <c r="D128" s="256"/>
      <c r="E128" s="73">
        <f>SUM(E126:E127)</f>
        <v>132</v>
      </c>
      <c r="F128" s="73">
        <f>SUM(F126:F127)</f>
        <v>46200</v>
      </c>
      <c r="G128" s="73">
        <f>SUM(G126:G127)</f>
        <v>13952.4</v>
      </c>
      <c r="H128" s="135">
        <f>SUM(H126:H127)</f>
        <v>60152.4</v>
      </c>
      <c r="I128" s="94"/>
      <c r="J128" s="94"/>
      <c r="K128" s="77"/>
      <c r="L128" s="77"/>
      <c r="M128" s="77"/>
      <c r="N128" s="94"/>
      <c r="O128" s="94"/>
      <c r="P128" s="77"/>
      <c r="Q128" s="77"/>
      <c r="R128" s="94"/>
    </row>
    <row r="129" spans="1:19" s="4" customFormat="1" ht="15.75" thickBot="1">
      <c r="A129" s="130" t="s">
        <v>106</v>
      </c>
      <c r="B129" s="74"/>
      <c r="C129" s="74"/>
      <c r="D129" s="74"/>
      <c r="E129" s="74"/>
      <c r="F129" s="74"/>
      <c r="G129" s="74"/>
      <c r="H129" s="136"/>
      <c r="I129" s="94"/>
      <c r="J129" s="94"/>
      <c r="K129" s="77"/>
      <c r="L129" s="77"/>
      <c r="M129" s="77"/>
      <c r="N129" s="94"/>
      <c r="O129" s="94"/>
      <c r="P129" s="77"/>
      <c r="Q129" s="77"/>
      <c r="R129" s="94"/>
    </row>
    <row r="130" spans="1:19" s="4" customFormat="1">
      <c r="A130" s="81" t="s">
        <v>118</v>
      </c>
      <c r="B130" s="71">
        <v>1</v>
      </c>
      <c r="C130" s="71">
        <f>D130*E130</f>
        <v>6964.9999999999991</v>
      </c>
      <c r="D130" s="71">
        <f>$E$97</f>
        <v>350</v>
      </c>
      <c r="E130" s="71">
        <v>19.899999999999999</v>
      </c>
      <c r="F130" s="71">
        <f>C130*B130</f>
        <v>6964.9999999999991</v>
      </c>
      <c r="G130" s="71">
        <f>F130*0.302</f>
        <v>2103.4299999999998</v>
      </c>
      <c r="H130" s="133">
        <f>F130+G130</f>
        <v>9068.4299999999985</v>
      </c>
      <c r="I130" s="94"/>
      <c r="J130" s="94"/>
      <c r="K130" s="77"/>
      <c r="L130" s="77"/>
      <c r="M130" s="77"/>
      <c r="N130" s="94"/>
      <c r="O130" s="94"/>
      <c r="P130" s="77"/>
      <c r="Q130" s="77"/>
      <c r="R130" s="94"/>
    </row>
    <row r="131" spans="1:19" s="4" customFormat="1">
      <c r="A131" s="19" t="s">
        <v>157</v>
      </c>
      <c r="B131" s="71">
        <v>1</v>
      </c>
      <c r="C131" s="71">
        <f>D131*E131</f>
        <v>5016</v>
      </c>
      <c r="D131" s="75">
        <f>$E$105</f>
        <v>380</v>
      </c>
      <c r="E131" s="72">
        <v>13.2</v>
      </c>
      <c r="F131" s="71">
        <f>C131*B131</f>
        <v>5016</v>
      </c>
      <c r="G131" s="71">
        <f>F131*0.302</f>
        <v>1514.8319999999999</v>
      </c>
      <c r="H131" s="133">
        <f>F131+G131</f>
        <v>6530.8320000000003</v>
      </c>
      <c r="I131" s="94"/>
      <c r="J131" s="94"/>
      <c r="K131" s="77"/>
      <c r="L131" s="77"/>
      <c r="M131" s="77"/>
      <c r="N131" s="94"/>
      <c r="O131" s="94"/>
      <c r="P131" s="77"/>
      <c r="Q131" s="77"/>
      <c r="R131" s="94"/>
    </row>
    <row r="132" spans="1:19" s="4" customFormat="1" ht="15.75" customHeight="1">
      <c r="A132" s="249" t="s">
        <v>122</v>
      </c>
      <c r="B132" s="250"/>
      <c r="C132" s="250"/>
      <c r="D132" s="251"/>
      <c r="E132" s="75">
        <f>SUM(E130:E131)</f>
        <v>33.099999999999994</v>
      </c>
      <c r="F132" s="75">
        <f>SUM(F130:F131)</f>
        <v>11981</v>
      </c>
      <c r="G132" s="75">
        <f>SUM(G130:G131)</f>
        <v>3618.2619999999997</v>
      </c>
      <c r="H132" s="138">
        <f>SUM(H130:H131)</f>
        <v>15599.261999999999</v>
      </c>
      <c r="I132" s="94"/>
      <c r="J132" s="94"/>
      <c r="K132" s="77"/>
      <c r="L132" s="77"/>
      <c r="M132" s="77"/>
      <c r="N132" s="94"/>
      <c r="O132" s="94"/>
      <c r="P132" s="77"/>
      <c r="Q132" s="77"/>
      <c r="R132" s="94"/>
    </row>
    <row r="133" spans="1:19" s="4" customFormat="1" ht="15.75" customHeight="1" thickBot="1">
      <c r="A133" s="254" t="s">
        <v>23</v>
      </c>
      <c r="B133" s="255"/>
      <c r="C133" s="255"/>
      <c r="D133" s="255"/>
      <c r="E133" s="256"/>
      <c r="F133" s="73">
        <f>F124+F128+F132</f>
        <v>109397</v>
      </c>
      <c r="G133" s="73">
        <f>G124+G128+G132</f>
        <v>33037.894</v>
      </c>
      <c r="H133" s="135">
        <f>H124+H128+H132</f>
        <v>142434.894</v>
      </c>
      <c r="I133" s="94"/>
      <c r="J133" s="94"/>
      <c r="K133" s="77"/>
      <c r="L133" s="77"/>
      <c r="M133" s="77"/>
      <c r="N133" s="94"/>
      <c r="O133" s="94"/>
      <c r="P133" s="94"/>
      <c r="Q133" s="94"/>
      <c r="R133" s="94"/>
      <c r="S133" s="1"/>
    </row>
    <row r="134" spans="1:19" s="4" customFormat="1" ht="15.75" thickBot="1">
      <c r="A134" s="130" t="s">
        <v>61</v>
      </c>
      <c r="B134" s="131"/>
      <c r="C134" s="131"/>
      <c r="D134" s="131"/>
      <c r="E134" s="131"/>
      <c r="F134" s="131"/>
      <c r="G134" s="131"/>
      <c r="H134" s="132"/>
      <c r="I134" s="77"/>
      <c r="J134" s="77"/>
      <c r="K134" s="77"/>
      <c r="L134" s="77"/>
      <c r="M134" s="77"/>
      <c r="N134" s="77"/>
      <c r="O134" s="77"/>
      <c r="P134" s="77"/>
      <c r="Q134" s="77"/>
      <c r="R134" s="77"/>
    </row>
    <row r="135" spans="1:19" s="4" customFormat="1" ht="30">
      <c r="A135" s="22" t="s">
        <v>62</v>
      </c>
      <c r="B135" s="14"/>
      <c r="C135" s="15"/>
      <c r="D135" s="15"/>
      <c r="E135" s="15"/>
      <c r="F135" s="15"/>
      <c r="G135" s="15"/>
      <c r="H135" s="16"/>
      <c r="I135" s="77"/>
      <c r="J135" s="77"/>
      <c r="K135" s="77"/>
      <c r="L135" s="77"/>
      <c r="M135" s="77"/>
      <c r="N135" s="77"/>
      <c r="O135" s="77"/>
      <c r="P135" s="77"/>
      <c r="Q135" s="77"/>
      <c r="R135" s="77"/>
    </row>
    <row r="136" spans="1:19" ht="30">
      <c r="A136" s="19" t="s">
        <v>169</v>
      </c>
      <c r="B136" s="20">
        <v>10</v>
      </c>
      <c r="C136" s="20">
        <f>D136*E136</f>
        <v>1500</v>
      </c>
      <c r="D136" s="20">
        <f>E114</f>
        <v>187.5</v>
      </c>
      <c r="E136" s="20">
        <f>D87</f>
        <v>8</v>
      </c>
      <c r="F136" s="20">
        <f>B136*C136</f>
        <v>15000</v>
      </c>
      <c r="G136" s="20">
        <f>F136*0.302</f>
        <v>4530</v>
      </c>
      <c r="H136" s="21">
        <f>F136+G136</f>
        <v>19530</v>
      </c>
      <c r="I136" s="96"/>
      <c r="J136" s="96"/>
      <c r="K136" s="96"/>
      <c r="L136" s="96"/>
      <c r="M136" s="96"/>
      <c r="N136" s="96"/>
      <c r="O136" s="96"/>
      <c r="P136" s="96"/>
      <c r="Q136" s="96"/>
      <c r="R136" s="96"/>
    </row>
    <row r="137" spans="1:19" s="4" customFormat="1" ht="15.6" customHeight="1">
      <c r="A137" s="19" t="s">
        <v>159</v>
      </c>
      <c r="B137" s="20">
        <v>1</v>
      </c>
      <c r="C137" s="20">
        <f>D137*E137</f>
        <v>1515.1515151515152</v>
      </c>
      <c r="D137" s="20">
        <f>E115</f>
        <v>189.39393939393941</v>
      </c>
      <c r="E137" s="20">
        <v>8</v>
      </c>
      <c r="F137" s="20">
        <f>B137*C137</f>
        <v>1515.1515151515152</v>
      </c>
      <c r="G137" s="20">
        <f>F137*0.302</f>
        <v>457.57575757575756</v>
      </c>
      <c r="H137" s="21">
        <f>F137+G137</f>
        <v>1972.7272727272727</v>
      </c>
      <c r="I137" s="77"/>
      <c r="J137" s="77"/>
      <c r="K137" s="77"/>
      <c r="L137" s="77"/>
      <c r="M137" s="77"/>
      <c r="N137" s="77"/>
      <c r="O137" s="77"/>
      <c r="P137" s="77"/>
      <c r="Q137" s="77"/>
      <c r="R137" s="77"/>
    </row>
    <row r="138" spans="1:19" s="4" customFormat="1" ht="15.75" customHeight="1">
      <c r="A138" s="8" t="s">
        <v>63</v>
      </c>
      <c r="B138" s="11"/>
      <c r="C138" s="12"/>
      <c r="D138" s="12"/>
      <c r="E138" s="12"/>
      <c r="F138" s="12"/>
      <c r="G138" s="12"/>
      <c r="H138" s="13"/>
      <c r="I138" s="77"/>
      <c r="J138" s="77"/>
      <c r="K138" s="77"/>
      <c r="L138" s="77"/>
      <c r="M138" s="77"/>
      <c r="N138" s="77"/>
      <c r="O138" s="77"/>
      <c r="P138" s="77"/>
      <c r="Q138" s="77"/>
      <c r="R138" s="77"/>
    </row>
    <row r="139" spans="1:19" s="4" customFormat="1" ht="15.75" thickBot="1">
      <c r="A139" s="29" t="s">
        <v>134</v>
      </c>
      <c r="B139" s="9" t="s">
        <v>134</v>
      </c>
      <c r="C139" s="9" t="s">
        <v>134</v>
      </c>
      <c r="D139" s="9" t="s">
        <v>134</v>
      </c>
      <c r="E139" s="9" t="s">
        <v>134</v>
      </c>
      <c r="F139" s="9" t="s">
        <v>134</v>
      </c>
      <c r="G139" s="9" t="s">
        <v>134</v>
      </c>
      <c r="H139" s="10" t="s">
        <v>134</v>
      </c>
      <c r="I139" s="77"/>
      <c r="J139" s="77"/>
      <c r="K139" s="77"/>
      <c r="L139" s="77"/>
      <c r="M139" s="77"/>
      <c r="N139" s="77"/>
      <c r="O139" s="77"/>
      <c r="P139" s="77"/>
      <c r="Q139" s="77"/>
      <c r="R139" s="77"/>
    </row>
    <row r="140" spans="1:19" s="4" customFormat="1">
      <c r="A140" s="94"/>
      <c r="B140" s="94"/>
      <c r="C140" s="94"/>
      <c r="D140" s="94"/>
      <c r="E140" s="13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</row>
    <row r="141" spans="1:19" s="4" customFormat="1" ht="18" customHeight="1" thickBot="1">
      <c r="A141" s="76" t="s">
        <v>189</v>
      </c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</row>
    <row r="142" spans="1:19" s="4" customFormat="1" ht="15" customHeight="1">
      <c r="A142" s="252" t="s">
        <v>28</v>
      </c>
      <c r="B142" s="247" t="s">
        <v>64</v>
      </c>
      <c r="C142" s="241" t="s">
        <v>65</v>
      </c>
      <c r="D142" s="242"/>
      <c r="E142" s="243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</row>
    <row r="143" spans="1:19" s="4" customFormat="1" ht="30" customHeight="1" thickBot="1">
      <c r="A143" s="253"/>
      <c r="B143" s="248"/>
      <c r="C143" s="9" t="s">
        <v>66</v>
      </c>
      <c r="D143" s="9" t="s">
        <v>107</v>
      </c>
      <c r="E143" s="10" t="s">
        <v>108</v>
      </c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</row>
    <row r="144" spans="1:19" s="4" customFormat="1">
      <c r="A144" s="22" t="s">
        <v>67</v>
      </c>
      <c r="B144" s="30">
        <f>SUM(C144:E144)</f>
        <v>175127.27299999999</v>
      </c>
      <c r="C144" s="30">
        <f>C145+C150+C153+C154</f>
        <v>77580.691666666666</v>
      </c>
      <c r="D144" s="30">
        <f>D145+D150+D153+D154</f>
        <v>71049.859666666671</v>
      </c>
      <c r="E144" s="31">
        <f>E145+E150+E153+E154</f>
        <v>26496.721666666665</v>
      </c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</row>
    <row r="145" spans="1:18" s="4" customFormat="1">
      <c r="A145" s="8" t="s">
        <v>68</v>
      </c>
      <c r="B145" s="38">
        <f>SUM(C145:E145)</f>
        <v>24809.472000000002</v>
      </c>
      <c r="C145" s="38">
        <f>SUM(C146:C149)</f>
        <v>8269.8240000000005</v>
      </c>
      <c r="D145" s="38">
        <f>SUM(D146:D149)</f>
        <v>8269.8240000000005</v>
      </c>
      <c r="E145" s="39">
        <f>SUM(E146:E149)</f>
        <v>8269.8240000000005</v>
      </c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</row>
    <row r="146" spans="1:18" s="4" customFormat="1" ht="30">
      <c r="A146" s="8" t="s">
        <v>111</v>
      </c>
      <c r="B146" s="38">
        <f t="shared" ref="B146:B156" si="1">SUM(C146:E146)</f>
        <v>0</v>
      </c>
      <c r="C146" s="38">
        <f>SUM(D146:F146)</f>
        <v>0</v>
      </c>
      <c r="D146" s="38">
        <f>SUM(E146:G146)</f>
        <v>0</v>
      </c>
      <c r="E146" s="39">
        <f>SUM(F146:H146)</f>
        <v>0</v>
      </c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</row>
    <row r="147" spans="1:18" s="4" customFormat="1" ht="30">
      <c r="A147" s="8" t="s">
        <v>112</v>
      </c>
      <c r="B147" s="38">
        <f>SUM(C147:E147)</f>
        <v>22500</v>
      </c>
      <c r="C147" s="20">
        <f>SUM($E$17:$E$17)</f>
        <v>7500</v>
      </c>
      <c r="D147" s="20">
        <f>SUM($E$17:$E$17)</f>
        <v>7500</v>
      </c>
      <c r="E147" s="21">
        <f>SUM($E$17:$E$17)</f>
        <v>7500</v>
      </c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</row>
    <row r="148" spans="1:18" s="4" customFormat="1" ht="30">
      <c r="A148" s="8" t="s">
        <v>193</v>
      </c>
      <c r="B148" s="139">
        <f>SUM(C148:E148)</f>
        <v>2309.4719999999998</v>
      </c>
      <c r="C148" s="140">
        <f>$B$32</f>
        <v>769.82399999999996</v>
      </c>
      <c r="D148" s="140">
        <f>$B$32</f>
        <v>769.82399999999996</v>
      </c>
      <c r="E148" s="54">
        <f>$B$32</f>
        <v>769.82399999999996</v>
      </c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</row>
    <row r="149" spans="1:18" s="4" customFormat="1" ht="45" customHeight="1" thickBot="1">
      <c r="A149" s="123" t="s">
        <v>194</v>
      </c>
      <c r="B149" s="141">
        <f>SUM(C149:E149)</f>
        <v>0</v>
      </c>
      <c r="C149" s="141">
        <f>SUM(D149:F149)</f>
        <v>0</v>
      </c>
      <c r="D149" s="141">
        <f>SUM(E149:G149)</f>
        <v>0</v>
      </c>
      <c r="E149" s="142">
        <f>SUM(F149:H149)</f>
        <v>0</v>
      </c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</row>
    <row r="150" spans="1:18" s="4" customFormat="1" ht="30">
      <c r="A150" s="22" t="s">
        <v>114</v>
      </c>
      <c r="B150" s="30">
        <f>SUM(C150:E150)</f>
        <v>7882.9069999999992</v>
      </c>
      <c r="C150" s="30">
        <f>SUM(C151:C152)</f>
        <v>2627.6356666666666</v>
      </c>
      <c r="D150" s="30">
        <f>SUM(D151:D152)</f>
        <v>2627.6356666666666</v>
      </c>
      <c r="E150" s="31">
        <f>SUM(E151:E152)</f>
        <v>2627.6356666666666</v>
      </c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</row>
    <row r="151" spans="1:18" s="4" customFormat="1" ht="30">
      <c r="A151" s="8" t="s">
        <v>172</v>
      </c>
      <c r="B151" s="38">
        <f t="shared" si="1"/>
        <v>476.23699999999997</v>
      </c>
      <c r="C151" s="20">
        <f>D52</f>
        <v>158.74566666666666</v>
      </c>
      <c r="D151" s="20">
        <f>D52</f>
        <v>158.74566666666666</v>
      </c>
      <c r="E151" s="21">
        <f>D52</f>
        <v>158.74566666666666</v>
      </c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</row>
    <row r="152" spans="1:18" s="4" customFormat="1" ht="15.75" thickBot="1">
      <c r="A152" s="29" t="s">
        <v>173</v>
      </c>
      <c r="B152" s="33">
        <f t="shared" si="1"/>
        <v>7406.67</v>
      </c>
      <c r="C152" s="41">
        <f>SUM($B$64:$B$64)</f>
        <v>2468.89</v>
      </c>
      <c r="D152" s="41">
        <f>SUM($B$64:$B$64)</f>
        <v>2468.89</v>
      </c>
      <c r="E152" s="42">
        <f>SUM($B$64:$B$64)</f>
        <v>2468.89</v>
      </c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</row>
    <row r="153" spans="1:18" s="4" customFormat="1" ht="15.75" thickBot="1">
      <c r="A153" s="143" t="s">
        <v>69</v>
      </c>
      <c r="B153" s="56">
        <f>SUM(C153:E153)</f>
        <v>0</v>
      </c>
      <c r="C153" s="56">
        <f>SUM(D153:F153)</f>
        <v>0</v>
      </c>
      <c r="D153" s="56">
        <f>SUM(E153:G153)</f>
        <v>0</v>
      </c>
      <c r="E153" s="57">
        <f>SUM(F153:H153)</f>
        <v>0</v>
      </c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</row>
    <row r="154" spans="1:18" s="4" customFormat="1">
      <c r="A154" s="22" t="s">
        <v>77</v>
      </c>
      <c r="B154" s="30">
        <f t="shared" si="1"/>
        <v>142434.894</v>
      </c>
      <c r="C154" s="30">
        <f>SUM(C155)</f>
        <v>66683.232000000004</v>
      </c>
      <c r="D154" s="30">
        <f>SUM(D155)</f>
        <v>60152.4</v>
      </c>
      <c r="E154" s="31">
        <f>SUM(E155)</f>
        <v>15599.261999999999</v>
      </c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</row>
    <row r="155" spans="1:18" s="4" customFormat="1" ht="30.75" thickBot="1">
      <c r="A155" s="29" t="s">
        <v>109</v>
      </c>
      <c r="B155" s="33">
        <f>SUM(C155:E155)</f>
        <v>142434.894</v>
      </c>
      <c r="C155" s="41">
        <f>$H$124</f>
        <v>66683.232000000004</v>
      </c>
      <c r="D155" s="41">
        <f>$H$128</f>
        <v>60152.4</v>
      </c>
      <c r="E155" s="42">
        <f>$H$132</f>
        <v>15599.261999999999</v>
      </c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</row>
    <row r="156" spans="1:18" s="4" customFormat="1" ht="30">
      <c r="A156" s="22" t="s">
        <v>78</v>
      </c>
      <c r="B156" s="30">
        <f t="shared" si="1"/>
        <v>1800</v>
      </c>
      <c r="C156" s="30">
        <f>SUM(C157)</f>
        <v>600</v>
      </c>
      <c r="D156" s="30">
        <f>SUM(D157)</f>
        <v>600</v>
      </c>
      <c r="E156" s="31">
        <f>SUM(E157)</f>
        <v>600</v>
      </c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</row>
    <row r="157" spans="1:18" s="4" customFormat="1" ht="15.75" thickBot="1">
      <c r="A157" s="32" t="s">
        <v>174</v>
      </c>
      <c r="B157" s="33">
        <f>SUM(C157:E157)</f>
        <v>1800</v>
      </c>
      <c r="C157" s="61">
        <v>600</v>
      </c>
      <c r="D157" s="61">
        <v>600</v>
      </c>
      <c r="E157" s="62">
        <v>600</v>
      </c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</row>
    <row r="158" spans="1:18" s="4" customFormat="1" ht="45" customHeight="1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</row>
    <row r="159" spans="1:18" s="4" customFormat="1" ht="15.75" thickBot="1">
      <c r="A159" s="76" t="s">
        <v>190</v>
      </c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</row>
    <row r="160" spans="1:18" s="4" customFormat="1" ht="15.75" customHeight="1">
      <c r="A160" s="63" t="s">
        <v>70</v>
      </c>
      <c r="B160" s="144" t="s">
        <v>64</v>
      </c>
      <c r="C160" s="218" t="s">
        <v>71</v>
      </c>
      <c r="D160" s="219"/>
      <c r="E160" s="219"/>
      <c r="F160" s="219"/>
      <c r="G160" s="219"/>
      <c r="H160" s="219"/>
      <c r="I160" s="219"/>
      <c r="J160" s="219"/>
      <c r="K160" s="219"/>
      <c r="L160" s="220"/>
      <c r="M160" s="260" t="s">
        <v>73</v>
      </c>
      <c r="N160" s="270" t="s">
        <v>74</v>
      </c>
      <c r="O160" s="96"/>
      <c r="P160" s="96"/>
      <c r="Q160" s="77"/>
      <c r="R160" s="77"/>
    </row>
    <row r="161" spans="1:18" s="4" customFormat="1" ht="38.450000000000003" customHeight="1" thickBot="1">
      <c r="A161" s="145"/>
      <c r="B161" s="146"/>
      <c r="C161" s="23" t="s">
        <v>72</v>
      </c>
      <c r="D161" s="23" t="s">
        <v>124</v>
      </c>
      <c r="E161" s="23" t="s">
        <v>125</v>
      </c>
      <c r="F161" s="23" t="s">
        <v>126</v>
      </c>
      <c r="G161" s="23" t="s">
        <v>127</v>
      </c>
      <c r="H161" s="23" t="s">
        <v>128</v>
      </c>
      <c r="I161" s="23" t="s">
        <v>129</v>
      </c>
      <c r="J161" s="23" t="s">
        <v>130</v>
      </c>
      <c r="K161" s="23" t="s">
        <v>131</v>
      </c>
      <c r="L161" s="23" t="s">
        <v>132</v>
      </c>
      <c r="M161" s="261"/>
      <c r="N161" s="271"/>
      <c r="O161" s="96"/>
      <c r="P161" s="96"/>
      <c r="Q161" s="77"/>
      <c r="R161" s="77"/>
    </row>
    <row r="162" spans="1:18" s="4" customFormat="1" ht="15.75" thickBot="1">
      <c r="A162" s="52" t="s">
        <v>75</v>
      </c>
      <c r="B162" s="55">
        <f t="shared" ref="B162:N162" si="2">B163+B167+B168+B170+B171</f>
        <v>1466479.6945454546</v>
      </c>
      <c r="C162" s="55">
        <f t="shared" si="2"/>
        <v>849014.56</v>
      </c>
      <c r="D162" s="55">
        <f t="shared" si="2"/>
        <v>25727.71393939394</v>
      </c>
      <c r="E162" s="55">
        <f t="shared" si="2"/>
        <v>25727.71393939394</v>
      </c>
      <c r="F162" s="55">
        <f t="shared" si="2"/>
        <v>25727.71393939394</v>
      </c>
      <c r="G162" s="55">
        <f t="shared" si="2"/>
        <v>25727.71393939394</v>
      </c>
      <c r="H162" s="55">
        <f t="shared" si="2"/>
        <v>25727.71393939394</v>
      </c>
      <c r="I162" s="55">
        <f t="shared" si="2"/>
        <v>25727.71393939394</v>
      </c>
      <c r="J162" s="55">
        <f t="shared" si="2"/>
        <v>25727.71393939394</v>
      </c>
      <c r="K162" s="55">
        <f t="shared" si="2"/>
        <v>25727.71393939394</v>
      </c>
      <c r="L162" s="55">
        <f t="shared" si="2"/>
        <v>25727.71393939394</v>
      </c>
      <c r="M162" s="55">
        <f t="shared" si="2"/>
        <v>308732.56727272726</v>
      </c>
      <c r="N162" s="147">
        <f t="shared" si="2"/>
        <v>308732.56727272726</v>
      </c>
      <c r="O162" s="96"/>
      <c r="P162" s="96"/>
      <c r="Q162" s="77"/>
      <c r="R162" s="77"/>
    </row>
    <row r="163" spans="1:18" s="4" customFormat="1">
      <c r="A163" s="35" t="s">
        <v>68</v>
      </c>
      <c r="B163" s="36">
        <f>SUM(C163,M163:P163)</f>
        <v>240824.24</v>
      </c>
      <c r="C163" s="36">
        <f t="shared" ref="C163:C169" si="3">SUM(D163:W163)</f>
        <v>139424.56</v>
      </c>
      <c r="D163" s="36">
        <f>SUM(D164:D166)</f>
        <v>4224.9866666666667</v>
      </c>
      <c r="E163" s="36">
        <f>SUM(E164:E166)</f>
        <v>4224.9866666666667</v>
      </c>
      <c r="F163" s="36">
        <f t="shared" ref="F163:N163" si="4">SUM(F164:F166)</f>
        <v>4224.9866666666667</v>
      </c>
      <c r="G163" s="36">
        <f t="shared" si="4"/>
        <v>4224.9866666666667</v>
      </c>
      <c r="H163" s="36">
        <f t="shared" si="4"/>
        <v>4224.9866666666667</v>
      </c>
      <c r="I163" s="36">
        <f t="shared" si="4"/>
        <v>4224.9866666666667</v>
      </c>
      <c r="J163" s="36">
        <f t="shared" si="4"/>
        <v>4224.9866666666667</v>
      </c>
      <c r="K163" s="36">
        <f t="shared" si="4"/>
        <v>4224.9866666666667</v>
      </c>
      <c r="L163" s="36">
        <f t="shared" si="4"/>
        <v>4224.9866666666667</v>
      </c>
      <c r="M163" s="36">
        <f t="shared" si="4"/>
        <v>50699.839999999997</v>
      </c>
      <c r="N163" s="148">
        <f t="shared" si="4"/>
        <v>50699.839999999997</v>
      </c>
      <c r="O163" s="96"/>
      <c r="P163" s="96"/>
      <c r="Q163" s="77"/>
      <c r="R163" s="77"/>
    </row>
    <row r="164" spans="1:18" s="4" customFormat="1" ht="30">
      <c r="A164" s="26" t="s">
        <v>123</v>
      </c>
      <c r="B164" s="20">
        <f t="shared" ref="B164:B169" si="5">SUM(C164,M164:P164)</f>
        <v>0</v>
      </c>
      <c r="C164" s="20">
        <f t="shared" si="3"/>
        <v>0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1">
        <v>0</v>
      </c>
      <c r="O164" s="96"/>
      <c r="P164" s="96"/>
      <c r="Q164" s="77"/>
      <c r="R164" s="77"/>
    </row>
    <row r="165" spans="1:18" s="4" customFormat="1" ht="30">
      <c r="A165" s="26" t="s">
        <v>113</v>
      </c>
      <c r="B165" s="20">
        <f t="shared" si="5"/>
        <v>237500</v>
      </c>
      <c r="C165" s="38">
        <f t="shared" si="3"/>
        <v>137500</v>
      </c>
      <c r="D165" s="38">
        <f>SUM($E$20:$E$20)</f>
        <v>4166.666666666667</v>
      </c>
      <c r="E165" s="38">
        <f t="shared" ref="E165:L165" si="6">SUM($E$20:$E$20)</f>
        <v>4166.666666666667</v>
      </c>
      <c r="F165" s="38">
        <f t="shared" si="6"/>
        <v>4166.666666666667</v>
      </c>
      <c r="G165" s="38">
        <f t="shared" si="6"/>
        <v>4166.666666666667</v>
      </c>
      <c r="H165" s="38">
        <f t="shared" si="6"/>
        <v>4166.666666666667</v>
      </c>
      <c r="I165" s="38">
        <f t="shared" si="6"/>
        <v>4166.666666666667</v>
      </c>
      <c r="J165" s="38">
        <f t="shared" si="6"/>
        <v>4166.666666666667</v>
      </c>
      <c r="K165" s="38">
        <f t="shared" si="6"/>
        <v>4166.666666666667</v>
      </c>
      <c r="L165" s="38">
        <f t="shared" si="6"/>
        <v>4166.666666666667</v>
      </c>
      <c r="M165" s="38">
        <f>SUM($F$20:$F$20)</f>
        <v>50000</v>
      </c>
      <c r="N165" s="39">
        <f>SUM($F$20:$F$20)</f>
        <v>50000</v>
      </c>
      <c r="O165" s="96"/>
      <c r="P165" s="96"/>
      <c r="Q165" s="77"/>
      <c r="R165" s="77"/>
    </row>
    <row r="166" spans="1:18" s="4" customFormat="1" ht="30.75" thickBot="1">
      <c r="A166" s="29" t="s">
        <v>195</v>
      </c>
      <c r="B166" s="41">
        <f t="shared" si="5"/>
        <v>3324.2400000000007</v>
      </c>
      <c r="C166" s="33">
        <f t="shared" si="3"/>
        <v>1924.5600000000004</v>
      </c>
      <c r="D166" s="41">
        <f>$C$32</f>
        <v>58.320000000000014</v>
      </c>
      <c r="E166" s="41">
        <f t="shared" ref="E166:L166" si="7">$C$32</f>
        <v>58.320000000000014</v>
      </c>
      <c r="F166" s="41">
        <f t="shared" si="7"/>
        <v>58.320000000000014</v>
      </c>
      <c r="G166" s="41">
        <f t="shared" si="7"/>
        <v>58.320000000000014</v>
      </c>
      <c r="H166" s="41">
        <f t="shared" si="7"/>
        <v>58.320000000000014</v>
      </c>
      <c r="I166" s="41">
        <f t="shared" si="7"/>
        <v>58.320000000000014</v>
      </c>
      <c r="J166" s="41">
        <f t="shared" si="7"/>
        <v>58.320000000000014</v>
      </c>
      <c r="K166" s="41">
        <f t="shared" si="7"/>
        <v>58.320000000000014</v>
      </c>
      <c r="L166" s="41">
        <f t="shared" si="7"/>
        <v>58.320000000000014</v>
      </c>
      <c r="M166" s="41">
        <f>$C$32*12</f>
        <v>699.84000000000015</v>
      </c>
      <c r="N166" s="42">
        <f>$C$32*12</f>
        <v>699.84000000000015</v>
      </c>
      <c r="O166" s="96"/>
      <c r="P166" s="96"/>
      <c r="Q166" s="77"/>
      <c r="R166" s="77"/>
    </row>
    <row r="167" spans="1:18" s="4" customFormat="1" ht="30.75" thickBot="1">
      <c r="A167" s="34" t="s">
        <v>76</v>
      </c>
      <c r="B167" s="55">
        <f t="shared" si="5"/>
        <v>0</v>
      </c>
      <c r="C167" s="56">
        <f t="shared" si="3"/>
        <v>0</v>
      </c>
      <c r="D167" s="56">
        <v>0</v>
      </c>
      <c r="E167" s="56">
        <v>0</v>
      </c>
      <c r="F167" s="56">
        <v>0</v>
      </c>
      <c r="G167" s="56">
        <v>0</v>
      </c>
      <c r="H167" s="56">
        <v>0</v>
      </c>
      <c r="I167" s="56">
        <v>0</v>
      </c>
      <c r="J167" s="56">
        <v>0</v>
      </c>
      <c r="K167" s="56">
        <v>0</v>
      </c>
      <c r="L167" s="56">
        <v>0</v>
      </c>
      <c r="M167" s="56">
        <v>0</v>
      </c>
      <c r="N167" s="57">
        <v>0</v>
      </c>
      <c r="O167" s="96"/>
      <c r="P167" s="96"/>
      <c r="Q167" s="77"/>
      <c r="R167" s="77"/>
    </row>
    <row r="168" spans="1:18" s="4" customFormat="1">
      <c r="A168" s="35" t="s">
        <v>69</v>
      </c>
      <c r="B168" s="36">
        <f>SUM(C168,M168:P168)</f>
        <v>1113210</v>
      </c>
      <c r="C168" s="30">
        <f t="shared" si="3"/>
        <v>644490</v>
      </c>
      <c r="D168" s="30">
        <f>SUM(D169)</f>
        <v>19530</v>
      </c>
      <c r="E168" s="30">
        <f>SUM(E169)</f>
        <v>19530</v>
      </c>
      <c r="F168" s="30">
        <f t="shared" ref="F168:N168" si="8">SUM(F169)</f>
        <v>19530</v>
      </c>
      <c r="G168" s="30">
        <f t="shared" si="8"/>
        <v>19530</v>
      </c>
      <c r="H168" s="30">
        <f t="shared" si="8"/>
        <v>19530</v>
      </c>
      <c r="I168" s="30">
        <f t="shared" si="8"/>
        <v>19530</v>
      </c>
      <c r="J168" s="30">
        <f t="shared" si="8"/>
        <v>19530</v>
      </c>
      <c r="K168" s="30">
        <f t="shared" si="8"/>
        <v>19530</v>
      </c>
      <c r="L168" s="30">
        <f t="shared" si="8"/>
        <v>19530</v>
      </c>
      <c r="M168" s="30">
        <f t="shared" si="8"/>
        <v>234360</v>
      </c>
      <c r="N168" s="31">
        <f t="shared" si="8"/>
        <v>234360</v>
      </c>
      <c r="O168" s="96"/>
      <c r="P168" s="96"/>
      <c r="Q168" s="77"/>
      <c r="R168" s="77"/>
    </row>
    <row r="169" spans="1:18" s="4" customFormat="1" ht="30">
      <c r="A169" s="37" t="s">
        <v>133</v>
      </c>
      <c r="B169" s="20">
        <f t="shared" si="5"/>
        <v>1113210</v>
      </c>
      <c r="C169" s="38">
        <f t="shared" si="3"/>
        <v>644490</v>
      </c>
      <c r="D169" s="38">
        <f>$H$136</f>
        <v>19530</v>
      </c>
      <c r="E169" s="38">
        <f t="shared" ref="E169:L169" si="9">$H$136</f>
        <v>19530</v>
      </c>
      <c r="F169" s="38">
        <f t="shared" si="9"/>
        <v>19530</v>
      </c>
      <c r="G169" s="38">
        <f t="shared" si="9"/>
        <v>19530</v>
      </c>
      <c r="H169" s="38">
        <f t="shared" si="9"/>
        <v>19530</v>
      </c>
      <c r="I169" s="38">
        <f t="shared" si="9"/>
        <v>19530</v>
      </c>
      <c r="J169" s="38">
        <f t="shared" si="9"/>
        <v>19530</v>
      </c>
      <c r="K169" s="38">
        <f t="shared" si="9"/>
        <v>19530</v>
      </c>
      <c r="L169" s="38">
        <f t="shared" si="9"/>
        <v>19530</v>
      </c>
      <c r="M169" s="38">
        <f>$H$136*12</f>
        <v>234360</v>
      </c>
      <c r="N169" s="39">
        <f>$H$136*12</f>
        <v>234360</v>
      </c>
      <c r="O169" s="96"/>
      <c r="P169" s="96"/>
      <c r="Q169" s="77"/>
      <c r="R169" s="77"/>
    </row>
    <row r="170" spans="1:18" s="4" customFormat="1" ht="15.75" thickBot="1">
      <c r="A170" s="40" t="s">
        <v>196</v>
      </c>
      <c r="B170" s="41">
        <f>SUM(C170,M170:P170)</f>
        <v>112445.45454545453</v>
      </c>
      <c r="C170" s="33">
        <f>SUM(D170:W170)</f>
        <v>65099.999999999993</v>
      </c>
      <c r="D170" s="33">
        <f>$H$137</f>
        <v>1972.7272727272727</v>
      </c>
      <c r="E170" s="33">
        <f t="shared" ref="E170:L170" si="10">$H$137</f>
        <v>1972.7272727272727</v>
      </c>
      <c r="F170" s="33">
        <f t="shared" si="10"/>
        <v>1972.7272727272727</v>
      </c>
      <c r="G170" s="33">
        <f t="shared" si="10"/>
        <v>1972.7272727272727</v>
      </c>
      <c r="H170" s="33">
        <f t="shared" si="10"/>
        <v>1972.7272727272727</v>
      </c>
      <c r="I170" s="33">
        <f t="shared" si="10"/>
        <v>1972.7272727272727</v>
      </c>
      <c r="J170" s="33">
        <f t="shared" si="10"/>
        <v>1972.7272727272727</v>
      </c>
      <c r="K170" s="33">
        <f t="shared" si="10"/>
        <v>1972.7272727272727</v>
      </c>
      <c r="L170" s="33">
        <f t="shared" si="10"/>
        <v>1972.7272727272727</v>
      </c>
      <c r="M170" s="33">
        <f>$H$137*12</f>
        <v>23672.727272727272</v>
      </c>
      <c r="N170" s="42">
        <f>$H$137*12</f>
        <v>23672.727272727272</v>
      </c>
      <c r="O170" s="96"/>
      <c r="P170" s="96"/>
      <c r="Q170" s="77"/>
      <c r="R170" s="77"/>
    </row>
    <row r="171" spans="1:18" s="4" customFormat="1" ht="30.75" thickBot="1">
      <c r="A171" s="34" t="s">
        <v>197</v>
      </c>
      <c r="B171" s="55">
        <f>C171+M171+N171</f>
        <v>0</v>
      </c>
      <c r="C171" s="56">
        <f>SUM(D171:L171)</f>
        <v>0</v>
      </c>
      <c r="D171" s="56">
        <v>0</v>
      </c>
      <c r="E171" s="56">
        <v>0</v>
      </c>
      <c r="F171" s="56">
        <v>0</v>
      </c>
      <c r="G171" s="56">
        <v>0</v>
      </c>
      <c r="H171" s="56">
        <v>0</v>
      </c>
      <c r="I171" s="56">
        <v>0</v>
      </c>
      <c r="J171" s="56">
        <v>0</v>
      </c>
      <c r="K171" s="56">
        <v>0</v>
      </c>
      <c r="L171" s="56">
        <v>0</v>
      </c>
      <c r="M171" s="56">
        <v>0</v>
      </c>
      <c r="N171" s="57">
        <v>0</v>
      </c>
      <c r="O171" s="96"/>
      <c r="P171" s="96"/>
      <c r="Q171" s="77"/>
      <c r="R171" s="77"/>
    </row>
    <row r="172" spans="1:18" s="4" customFormat="1">
      <c r="A172" s="96"/>
      <c r="B172" s="96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</row>
    <row r="173" spans="1:18" s="4" customFormat="1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96"/>
      <c r="P173" s="96"/>
      <c r="Q173" s="77"/>
      <c r="R173" s="77"/>
    </row>
    <row r="174" spans="1:18" s="4" customFormat="1" ht="15.75" thickBot="1">
      <c r="A174" s="76" t="s">
        <v>191</v>
      </c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96"/>
      <c r="P174" s="96"/>
      <c r="Q174" s="77"/>
      <c r="R174" s="77"/>
    </row>
    <row r="175" spans="1:18" s="4" customFormat="1" ht="46.5" customHeight="1">
      <c r="A175" s="63" t="s">
        <v>70</v>
      </c>
      <c r="B175" s="144" t="s">
        <v>64</v>
      </c>
      <c r="C175" s="144" t="s">
        <v>110</v>
      </c>
      <c r="D175" s="218" t="s">
        <v>79</v>
      </c>
      <c r="E175" s="219"/>
      <c r="F175" s="219"/>
      <c r="G175" s="219"/>
      <c r="H175" s="219"/>
      <c r="I175" s="219"/>
      <c r="J175" s="219"/>
      <c r="K175" s="219"/>
      <c r="L175" s="220"/>
      <c r="M175" s="216" t="s">
        <v>80</v>
      </c>
      <c r="N175" s="206" t="s">
        <v>74</v>
      </c>
      <c r="O175" s="77"/>
      <c r="P175" s="77"/>
      <c r="Q175" s="77"/>
      <c r="R175" s="77"/>
    </row>
    <row r="176" spans="1:18" s="4" customFormat="1" ht="15.75" thickBot="1">
      <c r="A176" s="64"/>
      <c r="B176" s="149"/>
      <c r="C176" s="149"/>
      <c r="D176" s="150" t="s">
        <v>83</v>
      </c>
      <c r="E176" s="150" t="s">
        <v>84</v>
      </c>
      <c r="F176" s="150" t="s">
        <v>85</v>
      </c>
      <c r="G176" s="150" t="s">
        <v>86</v>
      </c>
      <c r="H176" s="150" t="s">
        <v>87</v>
      </c>
      <c r="I176" s="150" t="s">
        <v>88</v>
      </c>
      <c r="J176" s="150" t="s">
        <v>89</v>
      </c>
      <c r="K176" s="150" t="s">
        <v>90</v>
      </c>
      <c r="L176" s="150" t="s">
        <v>91</v>
      </c>
      <c r="M176" s="217"/>
      <c r="N176" s="207"/>
      <c r="O176" s="77"/>
      <c r="P176" s="77"/>
      <c r="Q176" s="77"/>
      <c r="R176" s="77"/>
    </row>
    <row r="177" spans="1:36" s="4" customFormat="1" ht="45">
      <c r="A177" s="43" t="s">
        <v>198</v>
      </c>
      <c r="B177" s="44">
        <f>B178*0.001</f>
        <v>100.2292456</v>
      </c>
      <c r="C177" s="44">
        <f t="shared" ref="C177:N177" si="11">C178*0.001</f>
        <v>27.335248799999995</v>
      </c>
      <c r="D177" s="44">
        <f>D178*0.001</f>
        <v>3.0372498666666665</v>
      </c>
      <c r="E177" s="44">
        <f t="shared" si="11"/>
        <v>3.0372498666666665</v>
      </c>
      <c r="F177" s="44">
        <f t="shared" si="11"/>
        <v>3.0372498666666665</v>
      </c>
      <c r="G177" s="44">
        <f t="shared" si="11"/>
        <v>3.0372498666666665</v>
      </c>
      <c r="H177" s="44">
        <f t="shared" si="11"/>
        <v>3.0372498666666665</v>
      </c>
      <c r="I177" s="44">
        <f t="shared" si="11"/>
        <v>3.0372498666666665</v>
      </c>
      <c r="J177" s="44">
        <f t="shared" si="11"/>
        <v>3.0372498666666665</v>
      </c>
      <c r="K177" s="44">
        <f t="shared" si="11"/>
        <v>3.0372498666666665</v>
      </c>
      <c r="L177" s="44">
        <f t="shared" si="11"/>
        <v>3.0372498666666665</v>
      </c>
      <c r="M177" s="44">
        <f>M178*0.001</f>
        <v>36.446998399999998</v>
      </c>
      <c r="N177" s="45">
        <f t="shared" si="11"/>
        <v>36.446998399999998</v>
      </c>
      <c r="O177" s="96"/>
      <c r="P177" s="96"/>
      <c r="Q177" s="77"/>
      <c r="R177" s="77"/>
    </row>
    <row r="178" spans="1:36" s="4" customFormat="1" ht="30">
      <c r="A178" s="46" t="s">
        <v>92</v>
      </c>
      <c r="B178" s="47">
        <f t="shared" ref="B178:B185" si="12">SUM(C178,M178,N178)</f>
        <v>100229.24559999999</v>
      </c>
      <c r="C178" s="47">
        <f>SUM(D178:L178)</f>
        <v>27335.248799999994</v>
      </c>
      <c r="D178" s="47">
        <f>D179+D182+D183+D184+D185</f>
        <v>3037.2498666666665</v>
      </c>
      <c r="E178" s="47">
        <f t="shared" ref="E178:L178" si="13">E179+E182+E183+E184+E185</f>
        <v>3037.2498666666665</v>
      </c>
      <c r="F178" s="47">
        <f t="shared" si="13"/>
        <v>3037.2498666666665</v>
      </c>
      <c r="G178" s="47">
        <f t="shared" si="13"/>
        <v>3037.2498666666665</v>
      </c>
      <c r="H178" s="47">
        <f t="shared" si="13"/>
        <v>3037.2498666666665</v>
      </c>
      <c r="I178" s="47">
        <f t="shared" si="13"/>
        <v>3037.2498666666665</v>
      </c>
      <c r="J178" s="47">
        <f t="shared" si="13"/>
        <v>3037.2498666666665</v>
      </c>
      <c r="K178" s="47">
        <f t="shared" si="13"/>
        <v>3037.2498666666665</v>
      </c>
      <c r="L178" s="47">
        <f t="shared" si="13"/>
        <v>3037.2498666666665</v>
      </c>
      <c r="M178" s="47">
        <f>M179+M182+M183+M184+M185</f>
        <v>36446.998399999997</v>
      </c>
      <c r="N178" s="28">
        <f>N179+N182+N183+N184+N185</f>
        <v>36446.998399999997</v>
      </c>
      <c r="O178" s="96"/>
      <c r="P178" s="96"/>
      <c r="Q178" s="77"/>
      <c r="R178" s="77"/>
    </row>
    <row r="179" spans="1:36" s="4" customFormat="1" ht="30">
      <c r="A179" s="26" t="s">
        <v>93</v>
      </c>
      <c r="B179" s="47">
        <f t="shared" si="12"/>
        <v>1229.2456</v>
      </c>
      <c r="C179" s="47">
        <f>SUM(D179:L179)</f>
        <v>335.24879999999996</v>
      </c>
      <c r="D179" s="47">
        <f>SUM(D180:D181)</f>
        <v>37.249866666666662</v>
      </c>
      <c r="E179" s="47">
        <f t="shared" ref="E179:L179" si="14">SUM(E180:E181)</f>
        <v>37.249866666666662</v>
      </c>
      <c r="F179" s="47">
        <f t="shared" si="14"/>
        <v>37.249866666666662</v>
      </c>
      <c r="G179" s="47">
        <f t="shared" si="14"/>
        <v>37.249866666666662</v>
      </c>
      <c r="H179" s="47">
        <f t="shared" si="14"/>
        <v>37.249866666666662</v>
      </c>
      <c r="I179" s="47">
        <f t="shared" si="14"/>
        <v>37.249866666666662</v>
      </c>
      <c r="J179" s="47">
        <f t="shared" si="14"/>
        <v>37.249866666666662</v>
      </c>
      <c r="K179" s="47">
        <f t="shared" si="14"/>
        <v>37.249866666666662</v>
      </c>
      <c r="L179" s="47">
        <f t="shared" si="14"/>
        <v>37.249866666666662</v>
      </c>
      <c r="M179" s="47">
        <f>SUM(M180:M181)</f>
        <v>446.9984</v>
      </c>
      <c r="N179" s="28">
        <f>SUM(N180:N181)</f>
        <v>446.9984</v>
      </c>
      <c r="O179" s="96"/>
      <c r="P179" s="96"/>
      <c r="Q179" s="77"/>
      <c r="R179" s="77"/>
    </row>
    <row r="180" spans="1:36" s="4" customFormat="1" ht="45">
      <c r="A180" s="48" t="s">
        <v>199</v>
      </c>
      <c r="B180" s="47">
        <f t="shared" si="12"/>
        <v>1210</v>
      </c>
      <c r="C180" s="47">
        <f>SUM(D180:L180)</f>
        <v>330</v>
      </c>
      <c r="D180" s="47">
        <f>$E$22</f>
        <v>36.666666666666664</v>
      </c>
      <c r="E180" s="47">
        <f t="shared" ref="E180:L180" si="15">$E$22</f>
        <v>36.666666666666664</v>
      </c>
      <c r="F180" s="47">
        <f t="shared" si="15"/>
        <v>36.666666666666664</v>
      </c>
      <c r="G180" s="47">
        <f t="shared" si="15"/>
        <v>36.666666666666664</v>
      </c>
      <c r="H180" s="47">
        <f t="shared" si="15"/>
        <v>36.666666666666664</v>
      </c>
      <c r="I180" s="47">
        <f t="shared" si="15"/>
        <v>36.666666666666664</v>
      </c>
      <c r="J180" s="47">
        <f t="shared" si="15"/>
        <v>36.666666666666664</v>
      </c>
      <c r="K180" s="47">
        <f t="shared" si="15"/>
        <v>36.666666666666664</v>
      </c>
      <c r="L180" s="47">
        <f t="shared" si="15"/>
        <v>36.666666666666664</v>
      </c>
      <c r="M180" s="47">
        <f>$E$22*12</f>
        <v>440</v>
      </c>
      <c r="N180" s="28">
        <f>$E$22*12</f>
        <v>440</v>
      </c>
      <c r="O180" s="96"/>
      <c r="P180" s="96"/>
      <c r="Q180" s="77"/>
      <c r="R180" s="77"/>
    </row>
    <row r="181" spans="1:36" s="4" customFormat="1" ht="30">
      <c r="A181" s="46" t="s">
        <v>200</v>
      </c>
      <c r="B181" s="47">
        <f t="shared" si="12"/>
        <v>19.2456</v>
      </c>
      <c r="C181" s="47">
        <f>SUM(D181:L181)</f>
        <v>5.2488000000000001</v>
      </c>
      <c r="D181" s="47">
        <f>$D$32</f>
        <v>0.58320000000000005</v>
      </c>
      <c r="E181" s="47">
        <f t="shared" ref="E181:L181" si="16">$D$32</f>
        <v>0.58320000000000005</v>
      </c>
      <c r="F181" s="47">
        <f t="shared" si="16"/>
        <v>0.58320000000000005</v>
      </c>
      <c r="G181" s="47">
        <f t="shared" si="16"/>
        <v>0.58320000000000005</v>
      </c>
      <c r="H181" s="47">
        <f t="shared" si="16"/>
        <v>0.58320000000000005</v>
      </c>
      <c r="I181" s="47">
        <f t="shared" si="16"/>
        <v>0.58320000000000005</v>
      </c>
      <c r="J181" s="47">
        <f t="shared" si="16"/>
        <v>0.58320000000000005</v>
      </c>
      <c r="K181" s="47">
        <f t="shared" si="16"/>
        <v>0.58320000000000005</v>
      </c>
      <c r="L181" s="47">
        <f t="shared" si="16"/>
        <v>0.58320000000000005</v>
      </c>
      <c r="M181" s="47">
        <f>$D$32*12</f>
        <v>6.9984000000000002</v>
      </c>
      <c r="N181" s="28">
        <f>$D$32*12</f>
        <v>6.9984000000000002</v>
      </c>
      <c r="O181" s="96"/>
      <c r="P181" s="96"/>
      <c r="Q181" s="77"/>
      <c r="R181" s="77"/>
    </row>
    <row r="182" spans="1:36" s="4" customFormat="1" ht="45">
      <c r="A182" s="46" t="s">
        <v>94</v>
      </c>
      <c r="B182" s="47">
        <f t="shared" si="12"/>
        <v>0</v>
      </c>
      <c r="C182" s="47">
        <f t="shared" ref="C182:L184" si="17">SUM(D182,N182,O182)</f>
        <v>0</v>
      </c>
      <c r="D182" s="47">
        <f t="shared" si="17"/>
        <v>0</v>
      </c>
      <c r="E182" s="47">
        <f t="shared" si="17"/>
        <v>0</v>
      </c>
      <c r="F182" s="47">
        <f t="shared" si="17"/>
        <v>0</v>
      </c>
      <c r="G182" s="47">
        <f t="shared" si="17"/>
        <v>0</v>
      </c>
      <c r="H182" s="47">
        <f t="shared" si="17"/>
        <v>0</v>
      </c>
      <c r="I182" s="47">
        <f t="shared" si="17"/>
        <v>0</v>
      </c>
      <c r="J182" s="47">
        <f t="shared" si="17"/>
        <v>0</v>
      </c>
      <c r="K182" s="47">
        <f t="shared" si="17"/>
        <v>0</v>
      </c>
      <c r="L182" s="47">
        <f t="shared" si="17"/>
        <v>0</v>
      </c>
      <c r="M182" s="47">
        <f t="shared" ref="M182:N184" si="18">SUM(N182,X182,Y182)</f>
        <v>0</v>
      </c>
      <c r="N182" s="28">
        <f t="shared" si="18"/>
        <v>0</v>
      </c>
      <c r="O182" s="96"/>
      <c r="P182" s="96"/>
      <c r="Q182" s="77"/>
      <c r="R182" s="77"/>
    </row>
    <row r="183" spans="1:36" s="4" customFormat="1" ht="30">
      <c r="A183" s="46" t="s">
        <v>95</v>
      </c>
      <c r="B183" s="47">
        <f t="shared" si="12"/>
        <v>0</v>
      </c>
      <c r="C183" s="47">
        <f t="shared" si="17"/>
        <v>0</v>
      </c>
      <c r="D183" s="47">
        <f t="shared" si="17"/>
        <v>0</v>
      </c>
      <c r="E183" s="47">
        <f t="shared" si="17"/>
        <v>0</v>
      </c>
      <c r="F183" s="47">
        <f t="shared" si="17"/>
        <v>0</v>
      </c>
      <c r="G183" s="47">
        <f t="shared" si="17"/>
        <v>0</v>
      </c>
      <c r="H183" s="47">
        <f t="shared" si="17"/>
        <v>0</v>
      </c>
      <c r="I183" s="47">
        <f t="shared" si="17"/>
        <v>0</v>
      </c>
      <c r="J183" s="47">
        <f t="shared" si="17"/>
        <v>0</v>
      </c>
      <c r="K183" s="47">
        <f t="shared" si="17"/>
        <v>0</v>
      </c>
      <c r="L183" s="47">
        <f t="shared" si="17"/>
        <v>0</v>
      </c>
      <c r="M183" s="47">
        <f t="shared" si="18"/>
        <v>0</v>
      </c>
      <c r="N183" s="28">
        <f t="shared" si="18"/>
        <v>0</v>
      </c>
      <c r="O183" s="96"/>
      <c r="P183" s="96"/>
      <c r="Q183" s="77"/>
      <c r="R183" s="77"/>
    </row>
    <row r="184" spans="1:36" s="4" customFormat="1" ht="30">
      <c r="A184" s="46" t="s">
        <v>96</v>
      </c>
      <c r="B184" s="47">
        <f t="shared" si="12"/>
        <v>0</v>
      </c>
      <c r="C184" s="47">
        <f t="shared" si="17"/>
        <v>0</v>
      </c>
      <c r="D184" s="47">
        <f t="shared" si="17"/>
        <v>0</v>
      </c>
      <c r="E184" s="47">
        <f t="shared" si="17"/>
        <v>0</v>
      </c>
      <c r="F184" s="47">
        <f t="shared" si="17"/>
        <v>0</v>
      </c>
      <c r="G184" s="47">
        <f t="shared" si="17"/>
        <v>0</v>
      </c>
      <c r="H184" s="47">
        <f t="shared" si="17"/>
        <v>0</v>
      </c>
      <c r="I184" s="47">
        <f t="shared" si="17"/>
        <v>0</v>
      </c>
      <c r="J184" s="47">
        <f t="shared" si="17"/>
        <v>0</v>
      </c>
      <c r="K184" s="47">
        <f t="shared" si="17"/>
        <v>0</v>
      </c>
      <c r="L184" s="47">
        <f t="shared" si="17"/>
        <v>0</v>
      </c>
      <c r="M184" s="47">
        <f t="shared" si="18"/>
        <v>0</v>
      </c>
      <c r="N184" s="28">
        <f t="shared" si="18"/>
        <v>0</v>
      </c>
      <c r="O184" s="96"/>
      <c r="P184" s="96"/>
      <c r="Q184" s="77"/>
      <c r="R184" s="77"/>
    </row>
    <row r="185" spans="1:36" s="4" customFormat="1" ht="45.75" thickBot="1">
      <c r="A185" s="49" t="s">
        <v>97</v>
      </c>
      <c r="B185" s="50">
        <f t="shared" si="12"/>
        <v>99000</v>
      </c>
      <c r="C185" s="50">
        <f>SUM(D185:L185)</f>
        <v>27000</v>
      </c>
      <c r="D185" s="50">
        <v>3000</v>
      </c>
      <c r="E185" s="50">
        <v>3000</v>
      </c>
      <c r="F185" s="50">
        <v>3000</v>
      </c>
      <c r="G185" s="50">
        <v>3000</v>
      </c>
      <c r="H185" s="50">
        <v>3000</v>
      </c>
      <c r="I185" s="50">
        <v>3000</v>
      </c>
      <c r="J185" s="50">
        <v>3000</v>
      </c>
      <c r="K185" s="50">
        <v>3000</v>
      </c>
      <c r="L185" s="50">
        <v>3000</v>
      </c>
      <c r="M185" s="50">
        <f>3000*12</f>
        <v>36000</v>
      </c>
      <c r="N185" s="51">
        <f>3000*12</f>
        <v>36000</v>
      </c>
      <c r="O185" s="96"/>
      <c r="P185" s="96"/>
      <c r="Q185" s="77"/>
      <c r="R185" s="77"/>
    </row>
    <row r="186" spans="1:36" s="4" customFormat="1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96"/>
      <c r="P186" s="96"/>
      <c r="Q186" s="77"/>
      <c r="R186" s="77"/>
      <c r="AC186" s="3"/>
      <c r="AD186" s="3"/>
      <c r="AE186" s="3"/>
      <c r="AF186" s="3"/>
      <c r="AG186" s="3"/>
    </row>
    <row r="187" spans="1:36" s="4" customFormat="1" ht="15.75" thickBot="1">
      <c r="A187" s="76" t="s">
        <v>192</v>
      </c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AC187" s="3"/>
      <c r="AD187" s="3"/>
      <c r="AE187" s="3"/>
      <c r="AF187" s="3"/>
      <c r="AG187" s="3"/>
    </row>
    <row r="188" spans="1:36" s="4" customFormat="1">
      <c r="A188" s="223" t="s">
        <v>70</v>
      </c>
      <c r="B188" s="216" t="s">
        <v>64</v>
      </c>
      <c r="C188" s="218" t="s">
        <v>79</v>
      </c>
      <c r="D188" s="219"/>
      <c r="E188" s="219"/>
      <c r="F188" s="219"/>
      <c r="G188" s="219"/>
      <c r="H188" s="219"/>
      <c r="I188" s="219"/>
      <c r="J188" s="219"/>
      <c r="K188" s="219"/>
      <c r="L188" s="219"/>
      <c r="M188" s="219"/>
      <c r="N188" s="219"/>
      <c r="O188" s="220"/>
      <c r="P188" s="216" t="s">
        <v>80</v>
      </c>
      <c r="Q188" s="206" t="s">
        <v>74</v>
      </c>
      <c r="R188" s="77"/>
      <c r="AC188" s="3"/>
      <c r="AD188" s="3"/>
      <c r="AE188" s="3"/>
      <c r="AF188" s="3"/>
      <c r="AG188" s="3"/>
    </row>
    <row r="189" spans="1:36" s="4" customFormat="1" ht="15.75" thickBot="1">
      <c r="A189" s="224"/>
      <c r="B189" s="217"/>
      <c r="C189" s="150" t="s">
        <v>98</v>
      </c>
      <c r="D189" s="150" t="s">
        <v>99</v>
      </c>
      <c r="E189" s="150" t="s">
        <v>81</v>
      </c>
      <c r="F189" s="150" t="s">
        <v>82</v>
      </c>
      <c r="G189" s="150" t="s">
        <v>83</v>
      </c>
      <c r="H189" s="150" t="s">
        <v>84</v>
      </c>
      <c r="I189" s="150" t="s">
        <v>85</v>
      </c>
      <c r="J189" s="150" t="s">
        <v>86</v>
      </c>
      <c r="K189" s="150" t="s">
        <v>87</v>
      </c>
      <c r="L189" s="150" t="s">
        <v>88</v>
      </c>
      <c r="M189" s="150" t="s">
        <v>89</v>
      </c>
      <c r="N189" s="150" t="s">
        <v>90</v>
      </c>
      <c r="O189" s="150" t="s">
        <v>91</v>
      </c>
      <c r="P189" s="217"/>
      <c r="Q189" s="207"/>
      <c r="R189" s="77"/>
      <c r="AC189" s="3"/>
      <c r="AD189" s="3"/>
      <c r="AE189" s="3"/>
      <c r="AF189" s="3"/>
      <c r="AG189" s="3"/>
      <c r="AH189" s="3"/>
      <c r="AI189" s="3"/>
      <c r="AJ189" s="2"/>
    </row>
    <row r="190" spans="1:36" s="4" customFormat="1">
      <c r="A190" s="151" t="s">
        <v>100</v>
      </c>
      <c r="B190" s="152">
        <f>SUM(B191:B197)</f>
        <v>503757.99133013329</v>
      </c>
      <c r="C190" s="152">
        <f>SUM(C191:C197)</f>
        <v>503685.09733333334</v>
      </c>
      <c r="D190" s="152">
        <f>SUM(D191:D197)</f>
        <v>156361.38333333336</v>
      </c>
      <c r="E190" s="152">
        <f>SUM(E191:E197)</f>
        <v>143299.71933333334</v>
      </c>
      <c r="F190" s="152">
        <f t="shared" ref="F190:Q190" si="19">SUM(F191:F197)</f>
        <v>54193.443333333329</v>
      </c>
      <c r="G190" s="152">
        <f t="shared" si="19"/>
        <v>25730.751189260605</v>
      </c>
      <c r="H190" s="152">
        <f t="shared" si="19"/>
        <v>25730.751189260605</v>
      </c>
      <c r="I190" s="152">
        <f t="shared" si="19"/>
        <v>25730.751189260605</v>
      </c>
      <c r="J190" s="152">
        <f t="shared" si="19"/>
        <v>25730.751189260605</v>
      </c>
      <c r="K190" s="152">
        <f t="shared" si="19"/>
        <v>25730.751189260605</v>
      </c>
      <c r="L190" s="152">
        <f t="shared" si="19"/>
        <v>25730.751189260605</v>
      </c>
      <c r="M190" s="152">
        <f t="shared" si="19"/>
        <v>25730.751189260605</v>
      </c>
      <c r="N190" s="152">
        <f t="shared" si="19"/>
        <v>25730.751189260605</v>
      </c>
      <c r="O190" s="152">
        <f t="shared" si="19"/>
        <v>25730.751189260605</v>
      </c>
      <c r="P190" s="152">
        <f t="shared" si="19"/>
        <v>308769.01427112723</v>
      </c>
      <c r="Q190" s="153">
        <f t="shared" si="19"/>
        <v>308769.01427112723</v>
      </c>
      <c r="R190" s="96"/>
      <c r="S190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2"/>
    </row>
    <row r="191" spans="1:36" s="4" customFormat="1">
      <c r="A191" s="26" t="s">
        <v>101</v>
      </c>
      <c r="B191" s="38">
        <f t="shared" ref="B191:B196" si="20">SUM(C191,P191:Q191)</f>
        <v>176927.27299999999</v>
      </c>
      <c r="C191" s="38">
        <f t="shared" ref="C191:C196" si="21">SUM(D191:F191)</f>
        <v>176927.27299999999</v>
      </c>
      <c r="D191" s="38">
        <f>C145+C150+C153+C154+C156</f>
        <v>78180.691666666666</v>
      </c>
      <c r="E191" s="38">
        <f>D145+D150+D153+D154+D156</f>
        <v>71649.859666666671</v>
      </c>
      <c r="F191" s="38">
        <f>E145+E150+E153+E154+E156</f>
        <v>27096.721666666665</v>
      </c>
      <c r="G191" s="38">
        <v>0</v>
      </c>
      <c r="H191" s="38">
        <v>0</v>
      </c>
      <c r="I191" s="38">
        <v>0</v>
      </c>
      <c r="J191" s="38">
        <v>0</v>
      </c>
      <c r="K191" s="38">
        <v>0</v>
      </c>
      <c r="L191" s="38">
        <v>0</v>
      </c>
      <c r="M191" s="38">
        <v>0</v>
      </c>
      <c r="N191" s="38">
        <v>0</v>
      </c>
      <c r="O191" s="38">
        <v>0</v>
      </c>
      <c r="P191" s="38">
        <v>0</v>
      </c>
      <c r="Q191" s="39">
        <v>0</v>
      </c>
      <c r="R191" s="96"/>
      <c r="S191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2"/>
    </row>
    <row r="192" spans="1:36" s="4" customFormat="1">
      <c r="A192" s="8" t="s">
        <v>213</v>
      </c>
      <c r="B192" s="38">
        <f t="shared" si="20"/>
        <v>24809.472000000002</v>
      </c>
      <c r="C192" s="38">
        <f t="shared" si="21"/>
        <v>24809.472000000002</v>
      </c>
      <c r="D192" s="38">
        <f>C145</f>
        <v>8269.8240000000005</v>
      </c>
      <c r="E192" s="38">
        <f>D145</f>
        <v>8269.8240000000005</v>
      </c>
      <c r="F192" s="38">
        <f>E145</f>
        <v>8269.8240000000005</v>
      </c>
      <c r="G192" s="38">
        <v>0</v>
      </c>
      <c r="H192" s="38">
        <v>0</v>
      </c>
      <c r="I192" s="38">
        <v>0</v>
      </c>
      <c r="J192" s="38">
        <v>0</v>
      </c>
      <c r="K192" s="38">
        <v>0</v>
      </c>
      <c r="L192" s="38">
        <v>0</v>
      </c>
      <c r="M192" s="38">
        <v>0</v>
      </c>
      <c r="N192" s="38">
        <v>0</v>
      </c>
      <c r="O192" s="38">
        <v>0</v>
      </c>
      <c r="P192" s="38">
        <v>0</v>
      </c>
      <c r="Q192" s="39">
        <v>0</v>
      </c>
      <c r="R192" s="96"/>
      <c r="S192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2"/>
    </row>
    <row r="193" spans="1:36" s="4" customFormat="1" ht="30">
      <c r="A193" s="8" t="s">
        <v>214</v>
      </c>
      <c r="B193" s="38">
        <f t="shared" si="20"/>
        <v>7882.9069999999992</v>
      </c>
      <c r="C193" s="38">
        <f t="shared" si="21"/>
        <v>7882.9069999999992</v>
      </c>
      <c r="D193" s="38">
        <f>C150</f>
        <v>2627.6356666666666</v>
      </c>
      <c r="E193" s="38">
        <f>D150</f>
        <v>2627.6356666666666</v>
      </c>
      <c r="F193" s="38">
        <f>E150</f>
        <v>2627.6356666666666</v>
      </c>
      <c r="G193" s="38">
        <v>0</v>
      </c>
      <c r="H193" s="38">
        <v>0</v>
      </c>
      <c r="I193" s="38">
        <v>0</v>
      </c>
      <c r="J193" s="38">
        <v>0</v>
      </c>
      <c r="K193" s="38">
        <v>0</v>
      </c>
      <c r="L193" s="38">
        <v>0</v>
      </c>
      <c r="M193" s="38">
        <v>0</v>
      </c>
      <c r="N193" s="38">
        <v>0</v>
      </c>
      <c r="O193" s="38">
        <v>0</v>
      </c>
      <c r="P193" s="38">
        <v>0</v>
      </c>
      <c r="Q193" s="39">
        <v>0</v>
      </c>
      <c r="R193" s="96"/>
      <c r="S19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2"/>
    </row>
    <row r="194" spans="1:36" s="4" customFormat="1">
      <c r="A194" s="8" t="s">
        <v>215</v>
      </c>
      <c r="B194" s="38">
        <f t="shared" si="20"/>
        <v>0</v>
      </c>
      <c r="C194" s="38">
        <f t="shared" si="21"/>
        <v>0</v>
      </c>
      <c r="D194" s="38">
        <f t="shared" ref="D194:Q194" si="22">C153</f>
        <v>0</v>
      </c>
      <c r="E194" s="38">
        <f t="shared" si="22"/>
        <v>0</v>
      </c>
      <c r="F194" s="38">
        <f t="shared" si="22"/>
        <v>0</v>
      </c>
      <c r="G194" s="38">
        <f t="shared" si="22"/>
        <v>0</v>
      </c>
      <c r="H194" s="38">
        <f t="shared" si="22"/>
        <v>0</v>
      </c>
      <c r="I194" s="38">
        <f t="shared" si="22"/>
        <v>0</v>
      </c>
      <c r="J194" s="38">
        <f t="shared" si="22"/>
        <v>0</v>
      </c>
      <c r="K194" s="38">
        <f t="shared" si="22"/>
        <v>0</v>
      </c>
      <c r="L194" s="38">
        <f t="shared" si="22"/>
        <v>0</v>
      </c>
      <c r="M194" s="38">
        <f t="shared" si="22"/>
        <v>0</v>
      </c>
      <c r="N194" s="38">
        <f t="shared" si="22"/>
        <v>0</v>
      </c>
      <c r="O194" s="38">
        <f t="shared" si="22"/>
        <v>0</v>
      </c>
      <c r="P194" s="38">
        <f t="shared" si="22"/>
        <v>0</v>
      </c>
      <c r="Q194" s="39">
        <f t="shared" si="22"/>
        <v>0</v>
      </c>
      <c r="R194" s="96"/>
      <c r="S194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2"/>
    </row>
    <row r="195" spans="1:36" s="4" customFormat="1">
      <c r="A195" s="8" t="s">
        <v>216</v>
      </c>
      <c r="B195" s="38">
        <f t="shared" si="20"/>
        <v>142434.894</v>
      </c>
      <c r="C195" s="38">
        <f t="shared" si="21"/>
        <v>142434.894</v>
      </c>
      <c r="D195" s="38">
        <f>C154</f>
        <v>66683.232000000004</v>
      </c>
      <c r="E195" s="38">
        <f t="shared" ref="E195:Q196" si="23">D154</f>
        <v>60152.4</v>
      </c>
      <c r="F195" s="38">
        <f t="shared" si="23"/>
        <v>15599.261999999999</v>
      </c>
      <c r="G195" s="38">
        <f t="shared" si="23"/>
        <v>0</v>
      </c>
      <c r="H195" s="38">
        <f t="shared" si="23"/>
        <v>0</v>
      </c>
      <c r="I195" s="38">
        <f t="shared" si="23"/>
        <v>0</v>
      </c>
      <c r="J195" s="38">
        <f t="shared" si="23"/>
        <v>0</v>
      </c>
      <c r="K195" s="38">
        <f t="shared" si="23"/>
        <v>0</v>
      </c>
      <c r="L195" s="38">
        <f t="shared" si="23"/>
        <v>0</v>
      </c>
      <c r="M195" s="38">
        <f t="shared" si="23"/>
        <v>0</v>
      </c>
      <c r="N195" s="38">
        <f t="shared" si="23"/>
        <v>0</v>
      </c>
      <c r="O195" s="38">
        <f t="shared" si="23"/>
        <v>0</v>
      </c>
      <c r="P195" s="38">
        <f t="shared" si="23"/>
        <v>0</v>
      </c>
      <c r="Q195" s="39">
        <f t="shared" si="23"/>
        <v>0</v>
      </c>
      <c r="R195" s="96"/>
      <c r="S195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2"/>
    </row>
    <row r="196" spans="1:36" s="4" customFormat="1" ht="30">
      <c r="A196" s="8" t="s">
        <v>217</v>
      </c>
      <c r="B196" s="38">
        <f t="shared" si="20"/>
        <v>1800</v>
      </c>
      <c r="C196" s="38">
        <f t="shared" si="21"/>
        <v>1800</v>
      </c>
      <c r="D196" s="38">
        <f>C156</f>
        <v>600</v>
      </c>
      <c r="E196" s="38">
        <f>D156</f>
        <v>600</v>
      </c>
      <c r="F196" s="38">
        <f>E156</f>
        <v>600</v>
      </c>
      <c r="G196" s="38">
        <f t="shared" si="23"/>
        <v>0</v>
      </c>
      <c r="H196" s="38">
        <f t="shared" si="23"/>
        <v>0</v>
      </c>
      <c r="I196" s="38">
        <f t="shared" si="23"/>
        <v>0</v>
      </c>
      <c r="J196" s="38">
        <f t="shared" si="23"/>
        <v>0</v>
      </c>
      <c r="K196" s="38">
        <f t="shared" si="23"/>
        <v>0</v>
      </c>
      <c r="L196" s="38">
        <f t="shared" si="23"/>
        <v>0</v>
      </c>
      <c r="M196" s="38">
        <f t="shared" si="23"/>
        <v>0</v>
      </c>
      <c r="N196" s="38">
        <f t="shared" si="23"/>
        <v>0</v>
      </c>
      <c r="O196" s="38">
        <f t="shared" si="23"/>
        <v>0</v>
      </c>
      <c r="P196" s="38">
        <f t="shared" si="23"/>
        <v>0</v>
      </c>
      <c r="Q196" s="39">
        <f t="shared" si="23"/>
        <v>0</v>
      </c>
      <c r="R196" s="96"/>
      <c r="S196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2"/>
    </row>
    <row r="197" spans="1:36" s="4" customFormat="1">
      <c r="A197" s="26" t="s">
        <v>102</v>
      </c>
      <c r="B197" s="38">
        <f>SUM(C197,P199:S199)</f>
        <v>149903.44533013334</v>
      </c>
      <c r="C197" s="38">
        <f>SUM(D191:E191)</f>
        <v>149830.55133333334</v>
      </c>
      <c r="D197" s="20">
        <f>SUM(D198:D203)</f>
        <v>0</v>
      </c>
      <c r="E197" s="20">
        <f>SUM(E198:E203)</f>
        <v>0</v>
      </c>
      <c r="F197" s="20">
        <f>SUM(F198:F203)</f>
        <v>0</v>
      </c>
      <c r="G197" s="20">
        <f>SUM(G198:G199)</f>
        <v>25730.751189260605</v>
      </c>
      <c r="H197" s="20">
        <f>SUM(H198:H203)</f>
        <v>25730.751189260605</v>
      </c>
      <c r="I197" s="20">
        <f t="shared" ref="I197:Q197" si="24">SUM(I198:I203)</f>
        <v>25730.751189260605</v>
      </c>
      <c r="J197" s="20">
        <f t="shared" si="24"/>
        <v>25730.751189260605</v>
      </c>
      <c r="K197" s="20">
        <f t="shared" si="24"/>
        <v>25730.751189260605</v>
      </c>
      <c r="L197" s="20">
        <f t="shared" si="24"/>
        <v>25730.751189260605</v>
      </c>
      <c r="M197" s="20">
        <f t="shared" si="24"/>
        <v>25730.751189260605</v>
      </c>
      <c r="N197" s="20">
        <f t="shared" si="24"/>
        <v>25730.751189260605</v>
      </c>
      <c r="O197" s="20">
        <f t="shared" si="24"/>
        <v>25730.751189260605</v>
      </c>
      <c r="P197" s="20">
        <f t="shared" si="24"/>
        <v>308769.01427112723</v>
      </c>
      <c r="Q197" s="21">
        <f t="shared" si="24"/>
        <v>308769.01427112723</v>
      </c>
      <c r="R197" s="96"/>
      <c r="S197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2"/>
    </row>
    <row r="198" spans="1:36" s="4" customFormat="1">
      <c r="A198" s="26" t="s">
        <v>103</v>
      </c>
      <c r="B198" s="38">
        <f>SUM(C198,P200:S200)</f>
        <v>0</v>
      </c>
      <c r="C198" s="38">
        <f>SUM(D197:E197)</f>
        <v>0</v>
      </c>
      <c r="D198" s="38">
        <v>0</v>
      </c>
      <c r="E198" s="38">
        <v>0</v>
      </c>
      <c r="F198" s="38">
        <v>0</v>
      </c>
      <c r="G198" s="20">
        <f>D162</f>
        <v>25727.71393939394</v>
      </c>
      <c r="H198" s="20">
        <f>E162</f>
        <v>25727.71393939394</v>
      </c>
      <c r="I198" s="20">
        <f t="shared" ref="I198:Q198" si="25">F162</f>
        <v>25727.71393939394</v>
      </c>
      <c r="J198" s="20">
        <f t="shared" si="25"/>
        <v>25727.71393939394</v>
      </c>
      <c r="K198" s="20">
        <f t="shared" si="25"/>
        <v>25727.71393939394</v>
      </c>
      <c r="L198" s="20">
        <f t="shared" si="25"/>
        <v>25727.71393939394</v>
      </c>
      <c r="M198" s="20">
        <f t="shared" si="25"/>
        <v>25727.71393939394</v>
      </c>
      <c r="N198" s="20">
        <f t="shared" si="25"/>
        <v>25727.71393939394</v>
      </c>
      <c r="O198" s="20">
        <f t="shared" si="25"/>
        <v>25727.71393939394</v>
      </c>
      <c r="P198" s="20">
        <f t="shared" si="25"/>
        <v>308732.56727272726</v>
      </c>
      <c r="Q198" s="21">
        <f t="shared" si="25"/>
        <v>308732.56727272726</v>
      </c>
      <c r="R198" s="96"/>
      <c r="S198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2"/>
    </row>
    <row r="199" spans="1:36" s="4" customFormat="1" ht="15.75" thickBot="1">
      <c r="A199" s="40" t="s">
        <v>104</v>
      </c>
      <c r="B199" s="33">
        <f>SUM(C199,P199:S199)</f>
        <v>100.2292456</v>
      </c>
      <c r="C199" s="33">
        <f>SUM(D199:O199)</f>
        <v>27.335248799999999</v>
      </c>
      <c r="D199" s="33">
        <v>0</v>
      </c>
      <c r="E199" s="33">
        <v>0</v>
      </c>
      <c r="F199" s="33">
        <v>0</v>
      </c>
      <c r="G199" s="50">
        <f>D177</f>
        <v>3.0372498666666665</v>
      </c>
      <c r="H199" s="50">
        <f>E177</f>
        <v>3.0372498666666665</v>
      </c>
      <c r="I199" s="50">
        <f t="shared" ref="I199:Q199" si="26">F177</f>
        <v>3.0372498666666665</v>
      </c>
      <c r="J199" s="50">
        <f t="shared" si="26"/>
        <v>3.0372498666666665</v>
      </c>
      <c r="K199" s="50">
        <f t="shared" si="26"/>
        <v>3.0372498666666665</v>
      </c>
      <c r="L199" s="50">
        <f t="shared" si="26"/>
        <v>3.0372498666666665</v>
      </c>
      <c r="M199" s="50">
        <f t="shared" si="26"/>
        <v>3.0372498666666665</v>
      </c>
      <c r="N199" s="50">
        <f t="shared" si="26"/>
        <v>3.0372498666666665</v>
      </c>
      <c r="O199" s="50">
        <f t="shared" si="26"/>
        <v>3.0372498666666665</v>
      </c>
      <c r="P199" s="50">
        <f>M177</f>
        <v>36.446998399999998</v>
      </c>
      <c r="Q199" s="51">
        <f t="shared" si="26"/>
        <v>36.446998399999998</v>
      </c>
      <c r="R199" s="96"/>
      <c r="S199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2"/>
    </row>
    <row r="200" spans="1:36" s="4" customFormat="1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96"/>
      <c r="S200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2"/>
    </row>
    <row r="201" spans="1:36" s="4" customFormat="1" ht="32.25" customHeight="1">
      <c r="A201" s="215" t="s">
        <v>203</v>
      </c>
      <c r="B201" s="215"/>
      <c r="C201" s="215"/>
      <c r="D201" s="215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96"/>
      <c r="S201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2"/>
    </row>
    <row r="202" spans="1:36" s="4" customFormat="1" ht="13.5" customHeight="1">
      <c r="A202" s="154"/>
      <c r="B202" s="154"/>
      <c r="C202" s="154"/>
      <c r="D202" s="154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96"/>
      <c r="S202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2"/>
    </row>
    <row r="203" spans="1:36" s="4" customFormat="1" ht="15.75" thickBot="1">
      <c r="A203" s="76" t="s">
        <v>204</v>
      </c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6" s="4" customFormat="1">
      <c r="A204" s="155"/>
      <c r="B204" s="223" t="s">
        <v>160</v>
      </c>
      <c r="C204" s="212" t="s">
        <v>55</v>
      </c>
      <c r="D204" s="213"/>
      <c r="E204" s="214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</row>
    <row r="205" spans="1:36" s="4" customFormat="1" ht="30.75" thickBot="1">
      <c r="A205" s="156"/>
      <c r="B205" s="224"/>
      <c r="C205" s="150" t="s">
        <v>175</v>
      </c>
      <c r="D205" s="150" t="s">
        <v>176</v>
      </c>
      <c r="E205" s="157" t="s">
        <v>161</v>
      </c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</row>
    <row r="206" spans="1:36" s="4" customFormat="1" ht="30" customHeight="1">
      <c r="A206" s="59" t="s">
        <v>162</v>
      </c>
      <c r="B206" s="223" t="s">
        <v>201</v>
      </c>
      <c r="C206" s="24">
        <v>40</v>
      </c>
      <c r="D206" s="24">
        <f>D87</f>
        <v>8</v>
      </c>
      <c r="E206" s="25">
        <f>C206-D206</f>
        <v>32</v>
      </c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</row>
    <row r="207" spans="1:36" s="4" customFormat="1" ht="15" customHeight="1" thickBot="1">
      <c r="A207" s="60" t="s">
        <v>167</v>
      </c>
      <c r="B207" s="224"/>
      <c r="C207" s="150">
        <f>C206*C114</f>
        <v>400</v>
      </c>
      <c r="D207" s="150">
        <f>C114*D206</f>
        <v>80</v>
      </c>
      <c r="E207" s="157">
        <f>C207-D207</f>
        <v>320</v>
      </c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</row>
    <row r="208" spans="1:36">
      <c r="A208" s="215" t="s">
        <v>202</v>
      </c>
      <c r="B208" s="215"/>
      <c r="C208" s="215"/>
      <c r="D208" s="215"/>
    </row>
    <row r="210" spans="1:38" ht="15.75" customHeight="1" thickBot="1">
      <c r="A210" t="s">
        <v>245</v>
      </c>
    </row>
    <row r="211" spans="1:38" s="4" customFormat="1" ht="30.75" thickBot="1">
      <c r="A211" s="200" t="s">
        <v>246</v>
      </c>
      <c r="B211" s="201" t="s">
        <v>201</v>
      </c>
      <c r="C211" s="202" t="s">
        <v>247</v>
      </c>
      <c r="D211" s="202" t="s">
        <v>248</v>
      </c>
      <c r="E211" s="203" t="s">
        <v>253</v>
      </c>
      <c r="F211" s="77"/>
      <c r="G211" s="77"/>
      <c r="L211" s="77"/>
      <c r="M211" s="77"/>
      <c r="N211" s="77"/>
      <c r="O211" s="77"/>
      <c r="P211" s="77"/>
      <c r="Q211" s="77"/>
      <c r="R211" s="77"/>
    </row>
    <row r="212" spans="1:38" s="4" customFormat="1" ht="31.5" customHeight="1" thickBot="1">
      <c r="A212" s="196">
        <f>E207</f>
        <v>320</v>
      </c>
      <c r="B212" s="197">
        <v>6</v>
      </c>
      <c r="C212" s="198">
        <f>E114</f>
        <v>187.5</v>
      </c>
      <c r="D212" s="198">
        <v>360960</v>
      </c>
      <c r="E212" s="199">
        <f>D212/B212</f>
        <v>60160</v>
      </c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</row>
    <row r="213" spans="1:38" s="4" customFormat="1" ht="15" customHeight="1">
      <c r="A213" s="154"/>
      <c r="B213" s="154"/>
      <c r="C213" s="154"/>
      <c r="D213" s="154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</row>
    <row r="214" spans="1:38" s="4" customFormat="1" ht="15.75" thickBot="1">
      <c r="A214" s="76" t="s">
        <v>249</v>
      </c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</row>
    <row r="215" spans="1:38" s="4" customFormat="1" ht="36" customHeight="1" thickBot="1">
      <c r="A215" s="158" t="s">
        <v>177</v>
      </c>
      <c r="B215" s="159" t="s">
        <v>178</v>
      </c>
      <c r="C215" s="160" t="s">
        <v>179</v>
      </c>
      <c r="D215" s="161" t="s">
        <v>161</v>
      </c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AH215" s="3"/>
      <c r="AI215" s="3"/>
      <c r="AJ215" s="3"/>
      <c r="AK215" s="3"/>
      <c r="AL215" s="3"/>
    </row>
    <row r="216" spans="1:38" s="4" customFormat="1">
      <c r="A216" s="59" t="s">
        <v>162</v>
      </c>
      <c r="B216" s="162">
        <f>1000+700</f>
        <v>1700</v>
      </c>
      <c r="C216" s="163">
        <v>0</v>
      </c>
      <c r="D216" s="164">
        <f>C216-B216</f>
        <v>-1700</v>
      </c>
      <c r="E216" s="77"/>
      <c r="F216" s="77"/>
      <c r="G216" s="77"/>
      <c r="H216" s="77"/>
      <c r="I216" s="77"/>
      <c r="J216" s="96"/>
      <c r="K216" s="96"/>
      <c r="L216" s="96"/>
      <c r="M216" s="96"/>
      <c r="N216" s="96"/>
      <c r="O216" s="96"/>
      <c r="P216" s="96"/>
      <c r="Q216" s="96"/>
      <c r="R216" s="77"/>
      <c r="AH216" s="3"/>
      <c r="AI216" s="3"/>
    </row>
    <row r="217" spans="1:38" s="4" customFormat="1" ht="15.75" thickBot="1">
      <c r="A217" s="60" t="s">
        <v>167</v>
      </c>
      <c r="B217" s="165">
        <f>B216*10</f>
        <v>17000</v>
      </c>
      <c r="C217" s="166">
        <v>0</v>
      </c>
      <c r="D217" s="167">
        <f>C217-B217</f>
        <v>-17000</v>
      </c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AC217" s="3"/>
      <c r="AD217" s="3"/>
      <c r="AE217" s="3"/>
      <c r="AF217" s="2"/>
      <c r="AG217" s="2"/>
      <c r="AH217" s="3"/>
      <c r="AI217" s="3"/>
    </row>
    <row r="218" spans="1:38" s="4" customFormat="1" ht="30.75" thickBot="1">
      <c r="A218" s="52" t="s">
        <v>180</v>
      </c>
      <c r="B218" s="229">
        <f>D217*6</f>
        <v>-102000</v>
      </c>
      <c r="C218" s="230"/>
      <c r="D218" s="231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AC218" s="3"/>
      <c r="AD218" s="2"/>
      <c r="AE218" s="3"/>
      <c r="AF218" s="3"/>
      <c r="AG218" s="3"/>
      <c r="AH218" s="3"/>
      <c r="AI218" s="2"/>
    </row>
    <row r="219" spans="1:38" s="4" customFormat="1">
      <c r="A219" s="58"/>
      <c r="B219" s="18"/>
      <c r="C219" s="18"/>
      <c r="D219" s="18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AC219" s="3"/>
      <c r="AD219" s="2"/>
      <c r="AE219" s="3"/>
      <c r="AF219" s="3"/>
      <c r="AG219" s="3"/>
      <c r="AH219" s="3"/>
      <c r="AI219" s="2"/>
    </row>
    <row r="220" spans="1:38" s="4" customFormat="1" ht="15.75" thickBot="1">
      <c r="A220" s="76" t="s">
        <v>250</v>
      </c>
      <c r="B220" s="77"/>
      <c r="C220" s="77"/>
      <c r="D220" s="77"/>
      <c r="E220" s="77"/>
      <c r="F220" s="96"/>
      <c r="G220" s="96"/>
      <c r="H220" s="96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AC220" s="3"/>
      <c r="AD220" s="2"/>
      <c r="AE220" s="3"/>
      <c r="AF220" s="3"/>
      <c r="AG220" s="3"/>
      <c r="AH220" s="3"/>
      <c r="AI220" s="2"/>
    </row>
    <row r="221" spans="1:38" s="4" customFormat="1" ht="15.75" thickBot="1">
      <c r="A221" s="193" t="s">
        <v>252</v>
      </c>
      <c r="B221" s="194" t="s">
        <v>251</v>
      </c>
      <c r="C221" s="195" t="s">
        <v>248</v>
      </c>
      <c r="D221"/>
      <c r="E221"/>
      <c r="F221"/>
      <c r="G221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AC221" s="3"/>
      <c r="AD221" s="2"/>
      <c r="AE221" s="3"/>
      <c r="AF221" s="3"/>
      <c r="AG221" s="3"/>
      <c r="AH221" s="3"/>
      <c r="AI221" s="2"/>
    </row>
    <row r="222" spans="1:38" s="4" customFormat="1" ht="15.75" thickBot="1">
      <c r="A222" s="190">
        <f>D212</f>
        <v>360960</v>
      </c>
      <c r="B222" s="191">
        <f>-B218</f>
        <v>102000</v>
      </c>
      <c r="C222" s="192">
        <f>A222+B222</f>
        <v>462960</v>
      </c>
      <c r="D222"/>
      <c r="E222"/>
      <c r="F222"/>
      <c r="G222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AC222" s="3"/>
      <c r="AD222" s="2"/>
      <c r="AE222" s="3"/>
      <c r="AF222" s="3"/>
      <c r="AG222" s="3"/>
      <c r="AH222" s="3"/>
      <c r="AI222" s="2"/>
    </row>
    <row r="223" spans="1:38" s="4" customFormat="1">
      <c r="A223"/>
      <c r="B223"/>
      <c r="C223"/>
      <c r="D223"/>
      <c r="E223"/>
      <c r="F223"/>
      <c r="G223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AC223" s="3"/>
      <c r="AD223" s="3"/>
      <c r="AE223" s="3"/>
      <c r="AF223" s="3"/>
      <c r="AG223" s="3"/>
      <c r="AH223" s="3"/>
      <c r="AI223" s="3"/>
    </row>
    <row r="224" spans="1:38" s="4" customFormat="1" ht="16.5" customHeight="1" thickBot="1">
      <c r="A224" s="76" t="s">
        <v>212</v>
      </c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77"/>
      <c r="P224" s="77"/>
      <c r="Q224" s="77"/>
      <c r="R224" s="77"/>
    </row>
    <row r="225" spans="1:18" s="4" customFormat="1">
      <c r="A225" s="225" t="s">
        <v>70</v>
      </c>
      <c r="B225" s="226"/>
      <c r="C225" s="216" t="s">
        <v>64</v>
      </c>
      <c r="D225" s="218" t="s">
        <v>79</v>
      </c>
      <c r="E225" s="219"/>
      <c r="F225" s="219"/>
      <c r="G225" s="219"/>
      <c r="H225" s="219"/>
      <c r="I225" s="219"/>
      <c r="J225" s="219"/>
      <c r="K225" s="219"/>
      <c r="L225" s="219"/>
      <c r="M225" s="219"/>
      <c r="N225" s="219"/>
      <c r="O225" s="219"/>
      <c r="P225" s="220"/>
      <c r="Q225" s="216" t="s">
        <v>80</v>
      </c>
      <c r="R225" s="206" t="s">
        <v>74</v>
      </c>
    </row>
    <row r="226" spans="1:18" s="4" customFormat="1" ht="15.75" thickBot="1">
      <c r="A226" s="227"/>
      <c r="B226" s="228"/>
      <c r="C226" s="217"/>
      <c r="D226" s="150" t="s">
        <v>98</v>
      </c>
      <c r="E226" s="150" t="s">
        <v>99</v>
      </c>
      <c r="F226" s="150" t="s">
        <v>81</v>
      </c>
      <c r="G226" s="150" t="s">
        <v>82</v>
      </c>
      <c r="H226" s="150" t="s">
        <v>83</v>
      </c>
      <c r="I226" s="150" t="s">
        <v>84</v>
      </c>
      <c r="J226" s="150" t="s">
        <v>85</v>
      </c>
      <c r="K226" s="150" t="s">
        <v>86</v>
      </c>
      <c r="L226" s="150" t="s">
        <v>87</v>
      </c>
      <c r="M226" s="150" t="s">
        <v>88</v>
      </c>
      <c r="N226" s="150" t="s">
        <v>89</v>
      </c>
      <c r="O226" s="150" t="s">
        <v>90</v>
      </c>
      <c r="P226" s="150" t="s">
        <v>91</v>
      </c>
      <c r="Q226" s="217"/>
      <c r="R226" s="207"/>
    </row>
    <row r="227" spans="1:18" s="4" customFormat="1" ht="16.5" customHeight="1">
      <c r="A227" s="208" t="s">
        <v>205</v>
      </c>
      <c r="B227" s="209"/>
      <c r="C227" s="30">
        <f t="shared" ref="C227:C233" si="27">SUM(D227,Q227,R227)</f>
        <v>1311720</v>
      </c>
      <c r="D227" s="30">
        <f t="shared" ref="D227:D233" si="28">SUM(E227:P227)</f>
        <v>385800</v>
      </c>
      <c r="E227" s="30">
        <v>0</v>
      </c>
      <c r="F227" s="30">
        <v>0</v>
      </c>
      <c r="G227" s="30">
        <v>0</v>
      </c>
      <c r="H227" s="30">
        <f>SUM(H228:H229)</f>
        <v>77160</v>
      </c>
      <c r="I227" s="30">
        <f t="shared" ref="I227:N227" si="29">SUM(I228:I229)</f>
        <v>0</v>
      </c>
      <c r="J227" s="30">
        <f t="shared" si="29"/>
        <v>77160</v>
      </c>
      <c r="K227" s="30">
        <f>SUM(K228:K229)</f>
        <v>0</v>
      </c>
      <c r="L227" s="30">
        <f t="shared" si="29"/>
        <v>77160</v>
      </c>
      <c r="M227" s="30">
        <f t="shared" si="29"/>
        <v>0</v>
      </c>
      <c r="N227" s="30">
        <f t="shared" si="29"/>
        <v>77160</v>
      </c>
      <c r="O227" s="30">
        <f>SUM(O228:O229)</f>
        <v>0</v>
      </c>
      <c r="P227" s="30">
        <f>SUM(P228:P229)</f>
        <v>77160</v>
      </c>
      <c r="Q227" s="30">
        <f>SUM(Q228:Q229)</f>
        <v>462960</v>
      </c>
      <c r="R227" s="31">
        <f>SUM(R228:R229)</f>
        <v>462960</v>
      </c>
    </row>
    <row r="228" spans="1:18" s="4" customFormat="1">
      <c r="A228" s="210" t="s">
        <v>209</v>
      </c>
      <c r="B228" s="211"/>
      <c r="C228" s="152">
        <f t="shared" si="27"/>
        <v>1022720</v>
      </c>
      <c r="D228" s="152">
        <f t="shared" si="28"/>
        <v>300800</v>
      </c>
      <c r="E228" s="38">
        <v>0</v>
      </c>
      <c r="F228" s="38">
        <v>0</v>
      </c>
      <c r="G228" s="38">
        <v>0</v>
      </c>
      <c r="H228" s="38">
        <f>$E$212</f>
        <v>60160</v>
      </c>
      <c r="I228" s="38">
        <v>0</v>
      </c>
      <c r="J228" s="38">
        <f>$E$212</f>
        <v>60160</v>
      </c>
      <c r="K228" s="38">
        <v>0</v>
      </c>
      <c r="L228" s="38">
        <f>$E$212</f>
        <v>60160</v>
      </c>
      <c r="M228" s="38">
        <v>0</v>
      </c>
      <c r="N228" s="38">
        <f>$E$212</f>
        <v>60160</v>
      </c>
      <c r="O228" s="38">
        <v>0</v>
      </c>
      <c r="P228" s="38">
        <f>$E$212</f>
        <v>60160</v>
      </c>
      <c r="Q228" s="20">
        <f>$P$228*6</f>
        <v>360960</v>
      </c>
      <c r="R228" s="21">
        <f>$P$228*6</f>
        <v>360960</v>
      </c>
    </row>
    <row r="229" spans="1:18" s="4" customFormat="1">
      <c r="A229" s="210" t="s">
        <v>210</v>
      </c>
      <c r="B229" s="211"/>
      <c r="C229" s="152">
        <f t="shared" si="27"/>
        <v>289000</v>
      </c>
      <c r="D229" s="152">
        <f t="shared" si="28"/>
        <v>85000</v>
      </c>
      <c r="E229" s="38">
        <v>0</v>
      </c>
      <c r="F229" s="38">
        <v>0</v>
      </c>
      <c r="G229" s="38">
        <v>0</v>
      </c>
      <c r="H229" s="20">
        <f>-$D$217</f>
        <v>17000</v>
      </c>
      <c r="I229" s="20">
        <v>0</v>
      </c>
      <c r="J229" s="20">
        <f>-$D$217</f>
        <v>17000</v>
      </c>
      <c r="K229" s="20">
        <v>0</v>
      </c>
      <c r="L229" s="20">
        <f>-$D$217</f>
        <v>17000</v>
      </c>
      <c r="M229" s="20">
        <v>0</v>
      </c>
      <c r="N229" s="20">
        <f>-$D$217</f>
        <v>17000</v>
      </c>
      <c r="O229" s="20">
        <v>0</v>
      </c>
      <c r="P229" s="20">
        <f>-$D$217</f>
        <v>17000</v>
      </c>
      <c r="Q229" s="20">
        <f>P229*6</f>
        <v>102000</v>
      </c>
      <c r="R229" s="21">
        <f>P229*6</f>
        <v>102000</v>
      </c>
    </row>
    <row r="230" spans="1:18" s="4" customFormat="1">
      <c r="A230" s="210" t="s">
        <v>206</v>
      </c>
      <c r="B230" s="211"/>
      <c r="C230" s="152">
        <f t="shared" si="27"/>
        <v>1026042.0622455999</v>
      </c>
      <c r="D230" s="152">
        <f t="shared" si="28"/>
        <v>408504.03370334551</v>
      </c>
      <c r="E230" s="38">
        <f>SUM(E231:E232)</f>
        <v>78180.691666666666</v>
      </c>
      <c r="F230" s="38">
        <f t="shared" ref="F230:R230" si="30">SUM(F231:F232)</f>
        <v>71649.859666666671</v>
      </c>
      <c r="G230" s="38">
        <f t="shared" si="30"/>
        <v>27096.721666666665</v>
      </c>
      <c r="H230" s="38">
        <f t="shared" si="30"/>
        <v>25730.751189260605</v>
      </c>
      <c r="I230" s="38">
        <f t="shared" si="30"/>
        <v>25730.751189260605</v>
      </c>
      <c r="J230" s="38">
        <f t="shared" si="30"/>
        <v>25730.751189260605</v>
      </c>
      <c r="K230" s="38">
        <f t="shared" si="30"/>
        <v>25730.751189260605</v>
      </c>
      <c r="L230" s="38">
        <f t="shared" si="30"/>
        <v>25730.751189260605</v>
      </c>
      <c r="M230" s="38">
        <f t="shared" si="30"/>
        <v>25730.751189260605</v>
      </c>
      <c r="N230" s="38">
        <f t="shared" si="30"/>
        <v>25730.751189260605</v>
      </c>
      <c r="O230" s="38">
        <f t="shared" si="30"/>
        <v>25730.751189260605</v>
      </c>
      <c r="P230" s="38">
        <f t="shared" si="30"/>
        <v>25730.751189260605</v>
      </c>
      <c r="Q230" s="38">
        <f>SUM(Q231:Q232)</f>
        <v>308769.01427112723</v>
      </c>
      <c r="R230" s="39">
        <f t="shared" si="30"/>
        <v>308769.01427112723</v>
      </c>
    </row>
    <row r="231" spans="1:18" s="4" customFormat="1">
      <c r="A231" s="210" t="s">
        <v>208</v>
      </c>
      <c r="B231" s="211"/>
      <c r="C231" s="152">
        <f t="shared" si="27"/>
        <v>176927.27299999999</v>
      </c>
      <c r="D231" s="152">
        <f t="shared" si="28"/>
        <v>176927.27299999999</v>
      </c>
      <c r="E231" s="38">
        <f>D191</f>
        <v>78180.691666666666</v>
      </c>
      <c r="F231" s="38">
        <f t="shared" ref="F231:R231" si="31">E191</f>
        <v>71649.859666666671</v>
      </c>
      <c r="G231" s="38">
        <f t="shared" si="31"/>
        <v>27096.721666666665</v>
      </c>
      <c r="H231" s="38">
        <f t="shared" si="31"/>
        <v>0</v>
      </c>
      <c r="I231" s="38">
        <f t="shared" si="31"/>
        <v>0</v>
      </c>
      <c r="J231" s="38">
        <f t="shared" si="31"/>
        <v>0</v>
      </c>
      <c r="K231" s="38">
        <f t="shared" si="31"/>
        <v>0</v>
      </c>
      <c r="L231" s="38">
        <f t="shared" si="31"/>
        <v>0</v>
      </c>
      <c r="M231" s="38">
        <f t="shared" si="31"/>
        <v>0</v>
      </c>
      <c r="N231" s="38">
        <f t="shared" si="31"/>
        <v>0</v>
      </c>
      <c r="O231" s="38">
        <f t="shared" si="31"/>
        <v>0</v>
      </c>
      <c r="P231" s="38">
        <f t="shared" si="31"/>
        <v>0</v>
      </c>
      <c r="Q231" s="38">
        <f t="shared" si="31"/>
        <v>0</v>
      </c>
      <c r="R231" s="39">
        <f t="shared" si="31"/>
        <v>0</v>
      </c>
    </row>
    <row r="232" spans="1:18" s="4" customFormat="1">
      <c r="A232" s="210" t="s">
        <v>211</v>
      </c>
      <c r="B232" s="211"/>
      <c r="C232" s="152">
        <f t="shared" si="27"/>
        <v>849114.78924559988</v>
      </c>
      <c r="D232" s="152">
        <f t="shared" si="28"/>
        <v>231576.76070334541</v>
      </c>
      <c r="E232" s="168">
        <f t="shared" ref="E232:Q232" si="32">D197</f>
        <v>0</v>
      </c>
      <c r="F232" s="168">
        <f t="shared" si="32"/>
        <v>0</v>
      </c>
      <c r="G232" s="168">
        <f t="shared" si="32"/>
        <v>0</v>
      </c>
      <c r="H232" s="168">
        <f t="shared" si="32"/>
        <v>25730.751189260605</v>
      </c>
      <c r="I232" s="168">
        <f t="shared" si="32"/>
        <v>25730.751189260605</v>
      </c>
      <c r="J232" s="168">
        <f t="shared" si="32"/>
        <v>25730.751189260605</v>
      </c>
      <c r="K232" s="168">
        <f t="shared" si="32"/>
        <v>25730.751189260605</v>
      </c>
      <c r="L232" s="168">
        <f t="shared" si="32"/>
        <v>25730.751189260605</v>
      </c>
      <c r="M232" s="168">
        <f t="shared" si="32"/>
        <v>25730.751189260605</v>
      </c>
      <c r="N232" s="168">
        <f t="shared" si="32"/>
        <v>25730.751189260605</v>
      </c>
      <c r="O232" s="168">
        <f t="shared" si="32"/>
        <v>25730.751189260605</v>
      </c>
      <c r="P232" s="168">
        <f t="shared" si="32"/>
        <v>25730.751189260605</v>
      </c>
      <c r="Q232" s="168">
        <f t="shared" si="32"/>
        <v>308769.01427112723</v>
      </c>
      <c r="R232" s="169">
        <f>Q197</f>
        <v>308769.01427112723</v>
      </c>
    </row>
    <row r="233" spans="1:18" s="4" customFormat="1" ht="15.75" thickBot="1">
      <c r="A233" s="221" t="s">
        <v>207</v>
      </c>
      <c r="B233" s="222"/>
      <c r="C233" s="170">
        <f t="shared" si="27"/>
        <v>285677.93775440013</v>
      </c>
      <c r="D233" s="170">
        <f t="shared" si="28"/>
        <v>-22704.033703345391</v>
      </c>
      <c r="E233" s="171">
        <f>E227-E230</f>
        <v>-78180.691666666666</v>
      </c>
      <c r="F233" s="171">
        <f t="shared" ref="F233:R233" si="33">F227-F230</f>
        <v>-71649.859666666671</v>
      </c>
      <c r="G233" s="171">
        <f t="shared" si="33"/>
        <v>-27096.721666666665</v>
      </c>
      <c r="H233" s="171">
        <f>H227-H230</f>
        <v>51429.248810739395</v>
      </c>
      <c r="I233" s="171">
        <f t="shared" si="33"/>
        <v>-25730.751189260605</v>
      </c>
      <c r="J233" s="171">
        <f t="shared" si="33"/>
        <v>51429.248810739395</v>
      </c>
      <c r="K233" s="171">
        <f t="shared" si="33"/>
        <v>-25730.751189260605</v>
      </c>
      <c r="L233" s="171">
        <f t="shared" si="33"/>
        <v>51429.248810739395</v>
      </c>
      <c r="M233" s="171">
        <f t="shared" si="33"/>
        <v>-25730.751189260605</v>
      </c>
      <c r="N233" s="171">
        <f t="shared" si="33"/>
        <v>51429.248810739395</v>
      </c>
      <c r="O233" s="171">
        <f t="shared" si="33"/>
        <v>-25730.751189260605</v>
      </c>
      <c r="P233" s="171">
        <f t="shared" si="33"/>
        <v>51429.248810739395</v>
      </c>
      <c r="Q233" s="171">
        <f t="shared" si="33"/>
        <v>154190.98572887277</v>
      </c>
      <c r="R233" s="171">
        <f t="shared" si="33"/>
        <v>154190.98572887277</v>
      </c>
    </row>
    <row r="234" spans="1:18" ht="16.5" customHeight="1"/>
    <row r="235" spans="1:18" ht="16.5" thickBot="1">
      <c r="A235" s="173" t="s">
        <v>231</v>
      </c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</row>
    <row r="236" spans="1:18">
      <c r="A236" s="223" t="s">
        <v>70</v>
      </c>
      <c r="B236" s="216" t="s">
        <v>64</v>
      </c>
      <c r="C236" s="218" t="s">
        <v>79</v>
      </c>
      <c r="D236" s="219"/>
      <c r="E236" s="219"/>
      <c r="F236" s="219"/>
      <c r="G236" s="219"/>
      <c r="H236" s="219"/>
      <c r="I236" s="219"/>
      <c r="J236" s="219"/>
      <c r="K236" s="219"/>
      <c r="L236" s="219"/>
      <c r="M236" s="219"/>
      <c r="N236" s="219"/>
      <c r="O236" s="220"/>
      <c r="P236" s="216" t="s">
        <v>80</v>
      </c>
      <c r="Q236" s="206" t="s">
        <v>74</v>
      </c>
    </row>
    <row r="237" spans="1:18">
      <c r="A237" s="285"/>
      <c r="B237" s="279"/>
      <c r="C237" s="23" t="s">
        <v>98</v>
      </c>
      <c r="D237" s="23" t="s">
        <v>99</v>
      </c>
      <c r="E237" s="23" t="s">
        <v>81</v>
      </c>
      <c r="F237" s="23" t="s">
        <v>82</v>
      </c>
      <c r="G237" s="23" t="s">
        <v>83</v>
      </c>
      <c r="H237" s="23" t="s">
        <v>84</v>
      </c>
      <c r="I237" s="23" t="s">
        <v>85</v>
      </c>
      <c r="J237" s="23" t="s">
        <v>86</v>
      </c>
      <c r="K237" s="23" t="s">
        <v>87</v>
      </c>
      <c r="L237" s="23" t="s">
        <v>88</v>
      </c>
      <c r="M237" s="23" t="s">
        <v>89</v>
      </c>
      <c r="N237" s="23" t="s">
        <v>90</v>
      </c>
      <c r="O237" s="23" t="s">
        <v>91</v>
      </c>
      <c r="P237" s="279"/>
      <c r="Q237" s="280"/>
    </row>
    <row r="238" spans="1:18">
      <c r="A238" s="172" t="s">
        <v>232</v>
      </c>
      <c r="B238" s="38">
        <f>SUM(C238,P238,Q238)</f>
        <v>1311720</v>
      </c>
      <c r="C238" s="168">
        <f>SUM(D238:O238)</f>
        <v>385800</v>
      </c>
      <c r="D238" s="38">
        <v>0</v>
      </c>
      <c r="E238" s="38">
        <v>0</v>
      </c>
      <c r="F238" s="38">
        <v>0</v>
      </c>
      <c r="G238" s="38">
        <f>H227</f>
        <v>77160</v>
      </c>
      <c r="H238" s="38">
        <f t="shared" ref="H238:O238" si="34">I227</f>
        <v>0</v>
      </c>
      <c r="I238" s="38">
        <f>J227</f>
        <v>77160</v>
      </c>
      <c r="J238" s="38">
        <f t="shared" si="34"/>
        <v>0</v>
      </c>
      <c r="K238" s="38">
        <f t="shared" si="34"/>
        <v>77160</v>
      </c>
      <c r="L238" s="38">
        <f t="shared" si="34"/>
        <v>0</v>
      </c>
      <c r="M238" s="38">
        <f t="shared" si="34"/>
        <v>77160</v>
      </c>
      <c r="N238" s="38">
        <f t="shared" si="34"/>
        <v>0</v>
      </c>
      <c r="O238" s="38">
        <f t="shared" si="34"/>
        <v>77160</v>
      </c>
      <c r="P238" s="38">
        <f>Q227</f>
        <v>462960</v>
      </c>
      <c r="Q238" s="38">
        <f>R227</f>
        <v>462960</v>
      </c>
    </row>
    <row r="239" spans="1:18">
      <c r="A239" s="172" t="s">
        <v>233</v>
      </c>
      <c r="B239" s="38">
        <f>SUM(C239,P239,Q239)</f>
        <v>1026042.0622455999</v>
      </c>
      <c r="C239" s="168">
        <f>SUM(D239:O239)</f>
        <v>408504.03370334551</v>
      </c>
      <c r="D239" s="38">
        <f>E230</f>
        <v>78180.691666666666</v>
      </c>
      <c r="E239" s="38">
        <f>F230</f>
        <v>71649.859666666671</v>
      </c>
      <c r="F239" s="38">
        <f t="shared" ref="F239:O239" si="35">G230</f>
        <v>27096.721666666665</v>
      </c>
      <c r="G239" s="38">
        <f t="shared" si="35"/>
        <v>25730.751189260605</v>
      </c>
      <c r="H239" s="38">
        <f t="shared" si="35"/>
        <v>25730.751189260605</v>
      </c>
      <c r="I239" s="38">
        <f t="shared" si="35"/>
        <v>25730.751189260605</v>
      </c>
      <c r="J239" s="38">
        <f>K230</f>
        <v>25730.751189260605</v>
      </c>
      <c r="K239" s="38">
        <f t="shared" si="35"/>
        <v>25730.751189260605</v>
      </c>
      <c r="L239" s="38">
        <f t="shared" si="35"/>
        <v>25730.751189260605</v>
      </c>
      <c r="M239" s="38">
        <f t="shared" si="35"/>
        <v>25730.751189260605</v>
      </c>
      <c r="N239" s="38">
        <f t="shared" si="35"/>
        <v>25730.751189260605</v>
      </c>
      <c r="O239" s="38">
        <f t="shared" si="35"/>
        <v>25730.751189260605</v>
      </c>
      <c r="P239" s="38">
        <f>Q230</f>
        <v>308769.01427112723</v>
      </c>
      <c r="Q239" s="38">
        <f>R230</f>
        <v>308769.01427112723</v>
      </c>
    </row>
    <row r="240" spans="1:18">
      <c r="A240" s="172" t="s">
        <v>234</v>
      </c>
      <c r="B240" s="38">
        <f>SUM(C240,P240,Q240)</f>
        <v>285677.93775440013</v>
      </c>
      <c r="C240" s="168">
        <f>SUM(D240:O240)</f>
        <v>-22704.033703345391</v>
      </c>
      <c r="D240" s="168">
        <f t="shared" ref="D240:Q240" si="36">D238-D239</f>
        <v>-78180.691666666666</v>
      </c>
      <c r="E240" s="168">
        <f t="shared" si="36"/>
        <v>-71649.859666666671</v>
      </c>
      <c r="F240" s="168">
        <f t="shared" si="36"/>
        <v>-27096.721666666665</v>
      </c>
      <c r="G240" s="168">
        <f t="shared" si="36"/>
        <v>51429.248810739395</v>
      </c>
      <c r="H240" s="168">
        <f t="shared" si="36"/>
        <v>-25730.751189260605</v>
      </c>
      <c r="I240" s="168">
        <f t="shared" si="36"/>
        <v>51429.248810739395</v>
      </c>
      <c r="J240" s="168">
        <f t="shared" si="36"/>
        <v>-25730.751189260605</v>
      </c>
      <c r="K240" s="168">
        <f t="shared" si="36"/>
        <v>51429.248810739395</v>
      </c>
      <c r="L240" s="168">
        <f t="shared" si="36"/>
        <v>-25730.751189260605</v>
      </c>
      <c r="M240" s="168">
        <f t="shared" si="36"/>
        <v>51429.248810739395</v>
      </c>
      <c r="N240" s="168">
        <f t="shared" si="36"/>
        <v>-25730.751189260605</v>
      </c>
      <c r="O240" s="168">
        <f t="shared" si="36"/>
        <v>51429.248810739395</v>
      </c>
      <c r="P240" s="168">
        <f t="shared" si="36"/>
        <v>154190.98572887277</v>
      </c>
      <c r="Q240" s="168">
        <f t="shared" si="36"/>
        <v>154190.98572887277</v>
      </c>
    </row>
    <row r="241" spans="1:17" ht="45">
      <c r="A241" s="172" t="s">
        <v>235</v>
      </c>
      <c r="B241" s="38">
        <f>Q241</f>
        <v>285677.93775440013</v>
      </c>
      <c r="C241" s="168">
        <f>O241</f>
        <v>-22704.033703345391</v>
      </c>
      <c r="D241" s="38">
        <f>D240</f>
        <v>-78180.691666666666</v>
      </c>
      <c r="E241" s="38">
        <f t="shared" ref="E241:O241" si="37">D241+E240</f>
        <v>-149830.55133333334</v>
      </c>
      <c r="F241" s="38">
        <f t="shared" si="37"/>
        <v>-176927.27299999999</v>
      </c>
      <c r="G241" s="38">
        <f t="shared" si="37"/>
        <v>-125498.02418926058</v>
      </c>
      <c r="H241" s="38">
        <f t="shared" si="37"/>
        <v>-151228.77537852118</v>
      </c>
      <c r="I241" s="38">
        <f t="shared" si="37"/>
        <v>-99799.526567781781</v>
      </c>
      <c r="J241" s="38">
        <f t="shared" si="37"/>
        <v>-125530.27775704238</v>
      </c>
      <c r="K241" s="38">
        <f t="shared" si="37"/>
        <v>-74101.028946302977</v>
      </c>
      <c r="L241" s="38">
        <f t="shared" si="37"/>
        <v>-99831.780135563575</v>
      </c>
      <c r="M241" s="38">
        <f t="shared" si="37"/>
        <v>-48402.53132482418</v>
      </c>
      <c r="N241" s="38">
        <f t="shared" si="37"/>
        <v>-74133.282514084785</v>
      </c>
      <c r="O241" s="38">
        <f t="shared" si="37"/>
        <v>-22704.033703345391</v>
      </c>
      <c r="P241" s="38">
        <f>P240+C241</f>
        <v>131486.95202552737</v>
      </c>
      <c r="Q241" s="38">
        <f>P241+Q240</f>
        <v>285677.93775440013</v>
      </c>
    </row>
    <row r="242" spans="1:17" ht="30">
      <c r="A242" s="185" t="s">
        <v>242</v>
      </c>
      <c r="B242" s="184" t="s">
        <v>134</v>
      </c>
      <c r="C242" s="184">
        <v>1</v>
      </c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>
        <f>1/(1+0.25)^1</f>
        <v>0.8</v>
      </c>
      <c r="Q242" s="184">
        <f>1/(1+0.25)^2</f>
        <v>0.64</v>
      </c>
    </row>
    <row r="243" spans="1:17" ht="39" customHeight="1">
      <c r="A243" s="185" t="s">
        <v>243</v>
      </c>
      <c r="B243" s="38">
        <f>SUM(C243,P243,Q243)</f>
        <v>199330.9857462314</v>
      </c>
      <c r="C243" s="186">
        <f>C240</f>
        <v>-22704.033703345391</v>
      </c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6">
        <f>P240/(1+0.25)^1</f>
        <v>123352.78858309821</v>
      </c>
      <c r="Q243" s="186">
        <f>Q240/(1+0.25)^2</f>
        <v>98682.230866478567</v>
      </c>
    </row>
    <row r="244" spans="1:17" ht="45">
      <c r="A244" s="185" t="s">
        <v>244</v>
      </c>
      <c r="B244" s="38">
        <f>SUM(C244,P244,Q244)</f>
        <v>277275.70692263881</v>
      </c>
      <c r="C244" s="186">
        <f>C240</f>
        <v>-22704.033703345391</v>
      </c>
      <c r="D244" s="186">
        <f>D240</f>
        <v>-78180.691666666666</v>
      </c>
      <c r="E244" s="186">
        <f>E240+D244</f>
        <v>-149830.55133333334</v>
      </c>
      <c r="F244" s="186">
        <f t="shared" ref="F244:O244" si="38">F240+E244</f>
        <v>-176927.27299999999</v>
      </c>
      <c r="G244" s="186">
        <f t="shared" si="38"/>
        <v>-125498.02418926058</v>
      </c>
      <c r="H244" s="186">
        <f t="shared" si="38"/>
        <v>-151228.77537852118</v>
      </c>
      <c r="I244" s="186">
        <f t="shared" si="38"/>
        <v>-99799.526567781781</v>
      </c>
      <c r="J244" s="186">
        <f t="shared" si="38"/>
        <v>-125530.27775704238</v>
      </c>
      <c r="K244" s="186">
        <f t="shared" si="38"/>
        <v>-74101.028946302977</v>
      </c>
      <c r="L244" s="186">
        <f t="shared" si="38"/>
        <v>-99831.780135563575</v>
      </c>
      <c r="M244" s="186">
        <f>M240+L244</f>
        <v>-48402.53132482418</v>
      </c>
      <c r="N244" s="186">
        <f t="shared" si="38"/>
        <v>-74133.282514084785</v>
      </c>
      <c r="O244" s="186">
        <f t="shared" si="38"/>
        <v>-22704.033703345391</v>
      </c>
      <c r="P244" s="186">
        <f>P243+C244</f>
        <v>100648.75487975281</v>
      </c>
      <c r="Q244" s="186">
        <f>Q243+P244</f>
        <v>199330.9857462314</v>
      </c>
    </row>
    <row r="246" spans="1:17" ht="15.75" thickBot="1">
      <c r="A246" s="281" t="s">
        <v>241</v>
      </c>
      <c r="B246" s="281"/>
      <c r="C246" s="281"/>
      <c r="E246" s="189"/>
    </row>
    <row r="247" spans="1:17">
      <c r="A247" s="223" t="s">
        <v>70</v>
      </c>
      <c r="B247" s="216" t="s">
        <v>236</v>
      </c>
      <c r="C247" s="282" t="s">
        <v>226</v>
      </c>
    </row>
    <row r="248" spans="1:17" ht="15.75" thickBot="1">
      <c r="A248" s="224"/>
      <c r="B248" s="217"/>
      <c r="C248" s="283"/>
    </row>
    <row r="249" spans="1:17">
      <c r="A249" s="182" t="s">
        <v>237</v>
      </c>
      <c r="B249" s="183" t="s">
        <v>227</v>
      </c>
      <c r="C249" s="187">
        <f>B244</f>
        <v>277275.70692263881</v>
      </c>
    </row>
    <row r="250" spans="1:17">
      <c r="A250" s="176" t="s">
        <v>238</v>
      </c>
      <c r="B250" s="175" t="s">
        <v>228</v>
      </c>
      <c r="C250" s="188">
        <v>1.53</v>
      </c>
    </row>
    <row r="251" spans="1:17">
      <c r="A251" s="177" t="s">
        <v>239</v>
      </c>
      <c r="B251" s="175" t="s">
        <v>229</v>
      </c>
      <c r="C251" s="178">
        <v>1.21</v>
      </c>
      <c r="D251">
        <f>C249/SUM(D239:H239)</f>
        <v>1.2140513756120224</v>
      </c>
    </row>
    <row r="252" spans="1:17" ht="30.75" thickBot="1">
      <c r="A252" s="179" t="s">
        <v>240</v>
      </c>
      <c r="B252" s="180" t="s">
        <v>230</v>
      </c>
      <c r="C252" s="181">
        <v>1.2</v>
      </c>
      <c r="D252">
        <f>SUM(D239:F239)/SUM(C244,P244,Q244)/3</f>
        <v>0.21269716817680376</v>
      </c>
    </row>
  </sheetData>
  <mergeCells count="96">
    <mergeCell ref="B105:B110"/>
    <mergeCell ref="C105:C110"/>
    <mergeCell ref="D97:D104"/>
    <mergeCell ref="A62:D62"/>
    <mergeCell ref="A65:D65"/>
    <mergeCell ref="A96:E96"/>
    <mergeCell ref="B63:D63"/>
    <mergeCell ref="A80:A83"/>
    <mergeCell ref="P236:P237"/>
    <mergeCell ref="Q236:Q237"/>
    <mergeCell ref="A246:C246"/>
    <mergeCell ref="A247:A248"/>
    <mergeCell ref="B247:B248"/>
    <mergeCell ref="C247:C248"/>
    <mergeCell ref="A236:A237"/>
    <mergeCell ref="B236:B237"/>
    <mergeCell ref="C236:O236"/>
    <mergeCell ref="A3:H3"/>
    <mergeCell ref="A6:H6"/>
    <mergeCell ref="A18:F18"/>
    <mergeCell ref="A15:F15"/>
    <mergeCell ref="B7:H7"/>
    <mergeCell ref="B4:H4"/>
    <mergeCell ref="B9:H9"/>
    <mergeCell ref="A13:A14"/>
    <mergeCell ref="B13:B14"/>
    <mergeCell ref="C13:C14"/>
    <mergeCell ref="D13:D14"/>
    <mergeCell ref="E13:F13"/>
    <mergeCell ref="B16:F16"/>
    <mergeCell ref="A42:F42"/>
    <mergeCell ref="N160:N161"/>
    <mergeCell ref="N175:N176"/>
    <mergeCell ref="B19:F19"/>
    <mergeCell ref="A55:F55"/>
    <mergeCell ref="A60:A61"/>
    <mergeCell ref="B60:C60"/>
    <mergeCell ref="D60:D61"/>
    <mergeCell ref="B37:F37"/>
    <mergeCell ref="B50:F50"/>
    <mergeCell ref="C25:D25"/>
    <mergeCell ref="B21:F21"/>
    <mergeCell ref="A25:A26"/>
    <mergeCell ref="B25:B26"/>
    <mergeCell ref="B43:F43"/>
    <mergeCell ref="A36:F36"/>
    <mergeCell ref="F47:F48"/>
    <mergeCell ref="A71:A79"/>
    <mergeCell ref="E97:E104"/>
    <mergeCell ref="B47:B48"/>
    <mergeCell ref="C47:C48"/>
    <mergeCell ref="D47:E47"/>
    <mergeCell ref="A49:F49"/>
    <mergeCell ref="A47:A48"/>
    <mergeCell ref="A91:B91"/>
    <mergeCell ref="B97:B104"/>
    <mergeCell ref="C97:C104"/>
    <mergeCell ref="D105:D110"/>
    <mergeCell ref="E105:E110"/>
    <mergeCell ref="Q188:Q189"/>
    <mergeCell ref="A112:E112"/>
    <mergeCell ref="B113:E113"/>
    <mergeCell ref="B116:E116"/>
    <mergeCell ref="B142:B143"/>
    <mergeCell ref="C142:E142"/>
    <mergeCell ref="A132:D132"/>
    <mergeCell ref="A142:A143"/>
    <mergeCell ref="D175:L175"/>
    <mergeCell ref="A133:E133"/>
    <mergeCell ref="A128:D128"/>
    <mergeCell ref="A124:D124"/>
    <mergeCell ref="M160:M161"/>
    <mergeCell ref="M175:M176"/>
    <mergeCell ref="C160:L160"/>
    <mergeCell ref="A233:B233"/>
    <mergeCell ref="B188:B189"/>
    <mergeCell ref="A188:A189"/>
    <mergeCell ref="B204:B205"/>
    <mergeCell ref="B206:B207"/>
    <mergeCell ref="A229:B229"/>
    <mergeCell ref="A230:B230"/>
    <mergeCell ref="A231:B231"/>
    <mergeCell ref="A225:B226"/>
    <mergeCell ref="B218:D218"/>
    <mergeCell ref="C225:C226"/>
    <mergeCell ref="D225:P225"/>
    <mergeCell ref="C188:O188"/>
    <mergeCell ref="P188:P189"/>
    <mergeCell ref="A201:D201"/>
    <mergeCell ref="R225:R226"/>
    <mergeCell ref="A227:B227"/>
    <mergeCell ref="A228:B228"/>
    <mergeCell ref="A232:B232"/>
    <mergeCell ref="C204:E204"/>
    <mergeCell ref="A208:D208"/>
    <mergeCell ref="Q225:Q226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2025-01-20T17:54:25Z</dcterms:modified>
</cp:coreProperties>
</file>