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hail\Documents\GitProjects\Diplom\Economy\"/>
    </mc:Choice>
  </mc:AlternateContent>
  <xr:revisionPtr revIDLastSave="0" documentId="13_ncr:1_{154BA4E4-9B06-421A-8B68-7176AFAD2AA3}" xr6:coauthVersionLast="47" xr6:coauthVersionMax="47" xr10:uidLastSave="{00000000-0000-0000-0000-000000000000}"/>
  <bookViews>
    <workbookView xWindow="7884" yWindow="8016" windowWidth="14856" windowHeight="9768" xr2:uid="{DD22D69B-F449-4465-9E58-C9AF3D6A9AD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7" i="1" l="1"/>
  <c r="C198" i="1"/>
  <c r="E109" i="1" l="1"/>
  <c r="C207" i="1" s="1"/>
  <c r="Q239" i="1"/>
  <c r="P239" i="1"/>
  <c r="B211" i="1"/>
  <c r="C211" i="1" s="1"/>
  <c r="B207" i="1"/>
  <c r="F188" i="1"/>
  <c r="G228" i="1" s="1"/>
  <c r="E188" i="1"/>
  <c r="F228" i="1" s="1"/>
  <c r="D188" i="1"/>
  <c r="E228" i="1" s="1"/>
  <c r="Q187" i="1"/>
  <c r="P187" i="1"/>
  <c r="O187" i="1"/>
  <c r="N187" i="1"/>
  <c r="M187" i="1"/>
  <c r="L187" i="1"/>
  <c r="K187" i="1"/>
  <c r="J187" i="1"/>
  <c r="I187" i="1"/>
  <c r="H187" i="1"/>
  <c r="G187" i="1"/>
  <c r="Q186" i="1"/>
  <c r="R227" i="1" s="1"/>
  <c r="P186" i="1"/>
  <c r="Q227" i="1" s="1"/>
  <c r="O186" i="1"/>
  <c r="P227" i="1" s="1"/>
  <c r="N186" i="1"/>
  <c r="O227" i="1" s="1"/>
  <c r="M186" i="1"/>
  <c r="N227" i="1" s="1"/>
  <c r="L186" i="1"/>
  <c r="M227" i="1" s="1"/>
  <c r="K186" i="1"/>
  <c r="L227" i="1" s="1"/>
  <c r="J186" i="1"/>
  <c r="K227" i="1" s="1"/>
  <c r="I186" i="1"/>
  <c r="J227" i="1" s="1"/>
  <c r="H186" i="1"/>
  <c r="I227" i="1" s="1"/>
  <c r="G186" i="1"/>
  <c r="H227" i="1" s="1"/>
  <c r="Q185" i="1"/>
  <c r="P185" i="1"/>
  <c r="O185" i="1"/>
  <c r="N185" i="1"/>
  <c r="M185" i="1"/>
  <c r="L185" i="1"/>
  <c r="K185" i="1"/>
  <c r="J185" i="1"/>
  <c r="I185" i="1"/>
  <c r="H185" i="1"/>
  <c r="G185" i="1"/>
  <c r="C176" i="1"/>
  <c r="E141" i="1"/>
  <c r="F184" i="1" s="1"/>
  <c r="E145" i="1"/>
  <c r="D145" i="1" s="1"/>
  <c r="N176" i="1"/>
  <c r="M176" i="1"/>
  <c r="N175" i="1"/>
  <c r="M175" i="1" s="1"/>
  <c r="L175" i="1" s="1"/>
  <c r="K175" i="1" s="1"/>
  <c r="J175" i="1" s="1"/>
  <c r="I175" i="1" s="1"/>
  <c r="H175" i="1" s="1"/>
  <c r="G175" i="1" s="1"/>
  <c r="F175" i="1" s="1"/>
  <c r="E175" i="1" s="1"/>
  <c r="D175" i="1" s="1"/>
  <c r="C175" i="1" s="1"/>
  <c r="B175" i="1" s="1"/>
  <c r="N174" i="1"/>
  <c r="M174" i="1" s="1"/>
  <c r="L174" i="1" s="1"/>
  <c r="K174" i="1" s="1"/>
  <c r="J174" i="1" s="1"/>
  <c r="I174" i="1" s="1"/>
  <c r="H174" i="1" s="1"/>
  <c r="G174" i="1" s="1"/>
  <c r="F174" i="1" s="1"/>
  <c r="E174" i="1" s="1"/>
  <c r="D174" i="1" s="1"/>
  <c r="C174" i="1" s="1"/>
  <c r="N173" i="1"/>
  <c r="M173" i="1" s="1"/>
  <c r="L173" i="1" s="1"/>
  <c r="K173" i="1" s="1"/>
  <c r="J173" i="1" s="1"/>
  <c r="I173" i="1" s="1"/>
  <c r="H173" i="1" s="1"/>
  <c r="G173" i="1" s="1"/>
  <c r="F173" i="1" s="1"/>
  <c r="E173" i="1" s="1"/>
  <c r="D173" i="1" s="1"/>
  <c r="C173" i="1" s="1"/>
  <c r="B173" i="1" s="1"/>
  <c r="C163" i="1"/>
  <c r="B163" i="1" s="1"/>
  <c r="B149" i="1"/>
  <c r="E148" i="1"/>
  <c r="F187" i="1" s="1"/>
  <c r="D148" i="1"/>
  <c r="E187" i="1" s="1"/>
  <c r="C148" i="1"/>
  <c r="D187" i="1" s="1"/>
  <c r="E144" i="1"/>
  <c r="F185" i="1" s="1"/>
  <c r="D144" i="1"/>
  <c r="E185" i="1" s="1"/>
  <c r="C144" i="1"/>
  <c r="D185" i="1" s="1"/>
  <c r="E143" i="1"/>
  <c r="D143" i="1"/>
  <c r="C143" i="1"/>
  <c r="D142" i="1"/>
  <c r="D123" i="1"/>
  <c r="C123" i="1" s="1"/>
  <c r="F123" i="1" s="1"/>
  <c r="D120" i="1"/>
  <c r="C120" i="1" s="1"/>
  <c r="F120" i="1" s="1"/>
  <c r="D117" i="1"/>
  <c r="C117" i="1" s="1"/>
  <c r="F117" i="1" s="1"/>
  <c r="E124" i="1"/>
  <c r="E121" i="1"/>
  <c r="E118" i="1"/>
  <c r="D93" i="1"/>
  <c r="D110" i="1" s="1"/>
  <c r="E110" i="1" s="1"/>
  <c r="D129" i="1" s="1"/>
  <c r="C129" i="1" s="1"/>
  <c r="F129" i="1" s="1"/>
  <c r="C142" i="1" l="1"/>
  <c r="C185" i="1"/>
  <c r="B185" i="1" s="1"/>
  <c r="B148" i="1"/>
  <c r="B176" i="1"/>
  <c r="B212" i="1"/>
  <c r="C187" i="1"/>
  <c r="B187" i="1" s="1"/>
  <c r="B174" i="1"/>
  <c r="D141" i="1"/>
  <c r="E184" i="1" s="1"/>
  <c r="E142" i="1"/>
  <c r="F124" i="1"/>
  <c r="G123" i="1"/>
  <c r="G117" i="1"/>
  <c r="H117" i="1" s="1"/>
  <c r="H118" i="1" s="1"/>
  <c r="C147" i="1" s="1"/>
  <c r="F118" i="1"/>
  <c r="G120" i="1"/>
  <c r="H120" i="1" s="1"/>
  <c r="F121" i="1"/>
  <c r="G129" i="1"/>
  <c r="H129" i="1" s="1"/>
  <c r="B142" i="1" l="1"/>
  <c r="C146" i="1"/>
  <c r="E138" i="1"/>
  <c r="C141" i="1"/>
  <c r="H121" i="1"/>
  <c r="D147" i="1" s="1"/>
  <c r="F125" i="1"/>
  <c r="G121" i="1"/>
  <c r="G118" i="1"/>
  <c r="G124" i="1"/>
  <c r="H123" i="1"/>
  <c r="H124" i="1" s="1"/>
  <c r="E147" i="1" s="1"/>
  <c r="E146" i="1" s="1"/>
  <c r="F186" i="1" s="1"/>
  <c r="D146" i="1" l="1"/>
  <c r="E186" i="1" s="1"/>
  <c r="C145" i="1"/>
  <c r="B144" i="1"/>
  <c r="B141" i="1"/>
  <c r="D184" i="1"/>
  <c r="C184" i="1" s="1"/>
  <c r="B184" i="1" s="1"/>
  <c r="B146" i="1"/>
  <c r="D186" i="1"/>
  <c r="B147" i="1"/>
  <c r="N161" i="1"/>
  <c r="N160" i="1" s="1"/>
  <c r="J161" i="1"/>
  <c r="J160" i="1" s="1"/>
  <c r="I161" i="1"/>
  <c r="I160" i="1" s="1"/>
  <c r="E161" i="1"/>
  <c r="E160" i="1" s="1"/>
  <c r="M161" i="1"/>
  <c r="M160" i="1" s="1"/>
  <c r="L161" i="1"/>
  <c r="L160" i="1" s="1"/>
  <c r="K161" i="1"/>
  <c r="K160" i="1" s="1"/>
  <c r="H161" i="1"/>
  <c r="H160" i="1" s="1"/>
  <c r="G161" i="1"/>
  <c r="G160" i="1" s="1"/>
  <c r="F161" i="1"/>
  <c r="F160" i="1" s="1"/>
  <c r="D161" i="1"/>
  <c r="C159" i="1" s="1"/>
  <c r="B159" i="1" s="1"/>
  <c r="D138" i="1"/>
  <c r="G125" i="1"/>
  <c r="H125" i="1"/>
  <c r="B145" i="1" l="1"/>
  <c r="B143" i="1"/>
  <c r="C186" i="1"/>
  <c r="B186" i="1" s="1"/>
  <c r="D160" i="1"/>
  <c r="C161" i="1"/>
  <c r="B161" i="1" s="1"/>
  <c r="D84" i="1"/>
  <c r="D87" i="1"/>
  <c r="D88" i="1"/>
  <c r="D79" i="1"/>
  <c r="C81" i="1"/>
  <c r="D80" i="1"/>
  <c r="D71" i="1"/>
  <c r="D72" i="1"/>
  <c r="D78" i="1"/>
  <c r="D77" i="1"/>
  <c r="D76" i="1"/>
  <c r="D75" i="1"/>
  <c r="D74" i="1"/>
  <c r="D73" i="1"/>
  <c r="D29" i="1"/>
  <c r="D32" i="1" s="1"/>
  <c r="E22" i="1"/>
  <c r="E20" i="1"/>
  <c r="E17" i="1"/>
  <c r="D10" i="1"/>
  <c r="G8" i="1"/>
  <c r="C29" i="1" s="1"/>
  <c r="C32" i="1" s="1"/>
  <c r="D8" i="1"/>
  <c r="G5" i="1"/>
  <c r="B29" i="1" s="1"/>
  <c r="B32" i="1" s="1"/>
  <c r="E140" i="1" s="1"/>
  <c r="D5" i="1"/>
  <c r="F22" i="1" l="1"/>
  <c r="K171" i="1"/>
  <c r="I171" i="1"/>
  <c r="H171" i="1"/>
  <c r="G171" i="1"/>
  <c r="J171" i="1"/>
  <c r="F171" i="1"/>
  <c r="E171" i="1"/>
  <c r="D171" i="1"/>
  <c r="L171" i="1"/>
  <c r="N171" i="1"/>
  <c r="M171" i="1"/>
  <c r="M170" i="1" s="1"/>
  <c r="M169" i="1" s="1"/>
  <c r="M168" i="1" s="1"/>
  <c r="P190" i="1" s="1"/>
  <c r="F17" i="1"/>
  <c r="C139" i="1"/>
  <c r="C137" i="1" s="1"/>
  <c r="D183" i="1" s="1"/>
  <c r="D139" i="1"/>
  <c r="E139" i="1"/>
  <c r="D197" i="1"/>
  <c r="D198" i="1" s="1"/>
  <c r="E128" i="1"/>
  <c r="D140" i="1"/>
  <c r="C138" i="1" s="1"/>
  <c r="C140" i="1"/>
  <c r="B140" i="1" s="1"/>
  <c r="F20" i="1"/>
  <c r="E157" i="1"/>
  <c r="E155" i="1" s="1"/>
  <c r="H157" i="1"/>
  <c r="G157" i="1"/>
  <c r="J157" i="1"/>
  <c r="D157" i="1"/>
  <c r="D155" i="1" s="1"/>
  <c r="K157" i="1"/>
  <c r="L157" i="1"/>
  <c r="F157" i="1"/>
  <c r="F155" i="1" s="1"/>
  <c r="I157" i="1"/>
  <c r="J158" i="1"/>
  <c r="K158" i="1"/>
  <c r="L158" i="1"/>
  <c r="F158" i="1"/>
  <c r="D158" i="1"/>
  <c r="C156" i="1" s="1"/>
  <c r="B156" i="1" s="1"/>
  <c r="I158" i="1"/>
  <c r="M158" i="1"/>
  <c r="E158" i="1"/>
  <c r="H158" i="1"/>
  <c r="N158" i="1"/>
  <c r="G158" i="1"/>
  <c r="M172" i="1"/>
  <c r="K172" i="1"/>
  <c r="I172" i="1"/>
  <c r="D172" i="1"/>
  <c r="H172" i="1"/>
  <c r="E172" i="1"/>
  <c r="N172" i="1"/>
  <c r="L172" i="1"/>
  <c r="J172" i="1"/>
  <c r="G172" i="1"/>
  <c r="F172" i="1"/>
  <c r="B138" i="1"/>
  <c r="D81" i="1"/>
  <c r="G155" i="1" l="1"/>
  <c r="K155" i="1"/>
  <c r="H155" i="1"/>
  <c r="F170" i="1"/>
  <c r="F169" i="1" s="1"/>
  <c r="F168" i="1" s="1"/>
  <c r="I190" i="1" s="1"/>
  <c r="C158" i="1"/>
  <c r="B158" i="1" s="1"/>
  <c r="I155" i="1"/>
  <c r="B139" i="1"/>
  <c r="C157" i="1"/>
  <c r="L155" i="1"/>
  <c r="D137" i="1"/>
  <c r="J155" i="1"/>
  <c r="E198" i="1"/>
  <c r="A207" i="1" s="1"/>
  <c r="D207" i="1" s="1"/>
  <c r="E197" i="1"/>
  <c r="L170" i="1"/>
  <c r="L169" i="1" s="1"/>
  <c r="L168" i="1" s="1"/>
  <c r="O190" i="1" s="1"/>
  <c r="E170" i="1"/>
  <c r="E169" i="1" s="1"/>
  <c r="E168" i="1" s="1"/>
  <c r="H190" i="1" s="1"/>
  <c r="K170" i="1"/>
  <c r="K169" i="1" s="1"/>
  <c r="K168" i="1" s="1"/>
  <c r="N190" i="1" s="1"/>
  <c r="M157" i="1"/>
  <c r="M155" i="1" s="1"/>
  <c r="N157" i="1"/>
  <c r="N155" i="1" s="1"/>
  <c r="E137" i="1"/>
  <c r="C172" i="1"/>
  <c r="B172" i="1" s="1"/>
  <c r="N170" i="1"/>
  <c r="N169" i="1" s="1"/>
  <c r="N168" i="1" s="1"/>
  <c r="Q190" i="1" s="1"/>
  <c r="C171" i="1"/>
  <c r="B171" i="1" s="1"/>
  <c r="D170" i="1"/>
  <c r="J170" i="1"/>
  <c r="J169" i="1" s="1"/>
  <c r="J168" i="1" s="1"/>
  <c r="M190" i="1" s="1"/>
  <c r="G170" i="1"/>
  <c r="G169" i="1" s="1"/>
  <c r="G168" i="1" s="1"/>
  <c r="J190" i="1" s="1"/>
  <c r="H170" i="1"/>
  <c r="H169" i="1" s="1"/>
  <c r="H168" i="1" s="1"/>
  <c r="K190" i="1" s="1"/>
  <c r="I170" i="1"/>
  <c r="I169" i="1" s="1"/>
  <c r="I168" i="1" s="1"/>
  <c r="L190" i="1" s="1"/>
  <c r="C136" i="1"/>
  <c r="C155" i="1" l="1"/>
  <c r="E207" i="1"/>
  <c r="A217" i="1"/>
  <c r="D136" i="1"/>
  <c r="E182" i="1" s="1"/>
  <c r="E183" i="1"/>
  <c r="C212" i="1"/>
  <c r="D212" i="1" s="1"/>
  <c r="D211" i="1"/>
  <c r="B157" i="1"/>
  <c r="B137" i="1"/>
  <c r="C170" i="1"/>
  <c r="B170" i="1" s="1"/>
  <c r="D169" i="1"/>
  <c r="B155" i="1"/>
  <c r="E136" i="1"/>
  <c r="F182" i="1" s="1"/>
  <c r="F183" i="1"/>
  <c r="D182" i="1"/>
  <c r="F181" i="1" l="1"/>
  <c r="G227" i="1"/>
  <c r="G226" i="1" s="1"/>
  <c r="D181" i="1"/>
  <c r="E227" i="1"/>
  <c r="E181" i="1"/>
  <c r="F227" i="1"/>
  <c r="F226" i="1" s="1"/>
  <c r="R224" i="1"/>
  <c r="Q224" i="1"/>
  <c r="L224" i="1"/>
  <c r="H224" i="1"/>
  <c r="K224" i="1"/>
  <c r="J224" i="1"/>
  <c r="M224" i="1"/>
  <c r="P224" i="1"/>
  <c r="N224" i="1"/>
  <c r="O224" i="1"/>
  <c r="I224" i="1"/>
  <c r="B136" i="1"/>
  <c r="B213" i="1"/>
  <c r="B217" i="1" s="1"/>
  <c r="I225" i="1"/>
  <c r="L225" i="1"/>
  <c r="O225" i="1"/>
  <c r="M225" i="1"/>
  <c r="H225" i="1"/>
  <c r="J225" i="1"/>
  <c r="K225" i="1"/>
  <c r="P225" i="1"/>
  <c r="N225" i="1"/>
  <c r="C169" i="1"/>
  <c r="D168" i="1"/>
  <c r="G190" i="1" s="1"/>
  <c r="C183" i="1"/>
  <c r="B183" i="1" s="1"/>
  <c r="C182" i="1"/>
  <c r="B182" i="1" s="1"/>
  <c r="K223" i="1" l="1"/>
  <c r="J235" i="1" s="1"/>
  <c r="F229" i="1"/>
  <c r="E236" i="1"/>
  <c r="E237" i="1" s="1"/>
  <c r="D227" i="1"/>
  <c r="C227" i="1" s="1"/>
  <c r="E226" i="1"/>
  <c r="L223" i="1"/>
  <c r="K235" i="1" s="1"/>
  <c r="F236" i="1"/>
  <c r="F237" i="1" s="1"/>
  <c r="G229" i="1"/>
  <c r="I223" i="1"/>
  <c r="H235" i="1" s="1"/>
  <c r="J223" i="1"/>
  <c r="M223" i="1"/>
  <c r="L235" i="1" s="1"/>
  <c r="N223" i="1"/>
  <c r="M235" i="1" s="1"/>
  <c r="P223" i="1"/>
  <c r="O235" i="1" s="1"/>
  <c r="D224" i="1"/>
  <c r="C224" i="1" s="1"/>
  <c r="O223" i="1"/>
  <c r="N235" i="1" s="1"/>
  <c r="I235" i="1"/>
  <c r="D225" i="1"/>
  <c r="H223" i="1"/>
  <c r="G235" i="1" s="1"/>
  <c r="C217" i="1"/>
  <c r="R225" i="1"/>
  <c r="R223" i="1" s="1"/>
  <c r="Q225" i="1"/>
  <c r="Q223" i="1" s="1"/>
  <c r="C190" i="1"/>
  <c r="B190" i="1" s="1"/>
  <c r="C168" i="1"/>
  <c r="B169" i="1"/>
  <c r="B168" i="1" s="1"/>
  <c r="E229" i="1" l="1"/>
  <c r="D236" i="1"/>
  <c r="D237" i="1" s="1"/>
  <c r="C235" i="1"/>
  <c r="P235" i="1"/>
  <c r="Q235" i="1"/>
  <c r="D223" i="1"/>
  <c r="C223" i="1" s="1"/>
  <c r="C225" i="1"/>
  <c r="D241" i="1" l="1"/>
  <c r="E241" i="1" s="1"/>
  <c r="F241" i="1" s="1"/>
  <c r="D238" i="1"/>
  <c r="E238" i="1" s="1"/>
  <c r="F238" i="1" s="1"/>
  <c r="B235" i="1"/>
  <c r="D128" i="1" l="1"/>
  <c r="C128" i="1" s="1"/>
  <c r="F128" i="1" s="1"/>
  <c r="G128" i="1" l="1"/>
  <c r="H128" i="1" s="1"/>
  <c r="H131" i="1" s="1"/>
  <c r="K162" i="1" l="1"/>
  <c r="K154" i="1" s="1"/>
  <c r="N189" i="1" s="1"/>
  <c r="N188" i="1" s="1"/>
  <c r="F162" i="1"/>
  <c r="F154" i="1" s="1"/>
  <c r="I189" i="1" s="1"/>
  <c r="I188" i="1" s="1"/>
  <c r="E162" i="1"/>
  <c r="E154" i="1" s="1"/>
  <c r="H189" i="1" s="1"/>
  <c r="H188" i="1" s="1"/>
  <c r="G162" i="1"/>
  <c r="G154" i="1" s="1"/>
  <c r="J189" i="1" s="1"/>
  <c r="J188" i="1" s="1"/>
  <c r="I162" i="1"/>
  <c r="I154" i="1" s="1"/>
  <c r="L189" i="1" s="1"/>
  <c r="L188" i="1" s="1"/>
  <c r="L162" i="1"/>
  <c r="L154" i="1" s="1"/>
  <c r="O189" i="1" s="1"/>
  <c r="O188" i="1" s="1"/>
  <c r="N162" i="1"/>
  <c r="N154" i="1" s="1"/>
  <c r="Q189" i="1" s="1"/>
  <c r="Q188" i="1" s="1"/>
  <c r="H162" i="1"/>
  <c r="H154" i="1" s="1"/>
  <c r="K189" i="1" s="1"/>
  <c r="K188" i="1" s="1"/>
  <c r="J162" i="1"/>
  <c r="J154" i="1" s="1"/>
  <c r="M189" i="1" s="1"/>
  <c r="M188" i="1" s="1"/>
  <c r="M162" i="1"/>
  <c r="M154" i="1" s="1"/>
  <c r="P189" i="1" s="1"/>
  <c r="P188" i="1" s="1"/>
  <c r="D162" i="1"/>
  <c r="C160" i="1" s="1"/>
  <c r="B160" i="1" s="1"/>
  <c r="Q228" i="1" l="1"/>
  <c r="Q226" i="1" s="1"/>
  <c r="P181" i="1"/>
  <c r="O181" i="1"/>
  <c r="P228" i="1"/>
  <c r="P226" i="1" s="1"/>
  <c r="K181" i="1"/>
  <c r="L228" i="1"/>
  <c r="L226" i="1" s="1"/>
  <c r="I228" i="1"/>
  <c r="I226" i="1" s="1"/>
  <c r="H181" i="1"/>
  <c r="N228" i="1"/>
  <c r="N226" i="1" s="1"/>
  <c r="M181" i="1"/>
  <c r="Q181" i="1"/>
  <c r="R228" i="1"/>
  <c r="R226" i="1" s="1"/>
  <c r="K228" i="1"/>
  <c r="K226" i="1" s="1"/>
  <c r="J181" i="1"/>
  <c r="J228" i="1"/>
  <c r="J226" i="1" s="1"/>
  <c r="I181" i="1"/>
  <c r="D154" i="1"/>
  <c r="G189" i="1" s="1"/>
  <c r="C162" i="1"/>
  <c r="L181" i="1"/>
  <c r="M228" i="1"/>
  <c r="M226" i="1" s="1"/>
  <c r="N181" i="1"/>
  <c r="O228" i="1"/>
  <c r="O226" i="1" s="1"/>
  <c r="M236" i="1" l="1"/>
  <c r="M237" i="1" s="1"/>
  <c r="N229" i="1"/>
  <c r="K229" i="1"/>
  <c r="J236" i="1"/>
  <c r="J237" i="1" s="1"/>
  <c r="L229" i="1"/>
  <c r="K236" i="1"/>
  <c r="K237" i="1" s="1"/>
  <c r="M229" i="1"/>
  <c r="L236" i="1"/>
  <c r="L237" i="1" s="1"/>
  <c r="I236" i="1"/>
  <c r="I237" i="1" s="1"/>
  <c r="J229" i="1"/>
  <c r="R229" i="1"/>
  <c r="Q236" i="1"/>
  <c r="Q237" i="1" s="1"/>
  <c r="Q240" i="1" s="1"/>
  <c r="H236" i="1"/>
  <c r="H237" i="1" s="1"/>
  <c r="I229" i="1"/>
  <c r="O229" i="1"/>
  <c r="N236" i="1"/>
  <c r="N237" i="1" s="1"/>
  <c r="O236" i="1"/>
  <c r="O237" i="1" s="1"/>
  <c r="P229" i="1"/>
  <c r="B162" i="1"/>
  <c r="B154" i="1" s="1"/>
  <c r="C154" i="1"/>
  <c r="C189" i="1"/>
  <c r="B189" i="1" s="1"/>
  <c r="G188" i="1"/>
  <c r="P236" i="1"/>
  <c r="P237" i="1" s="1"/>
  <c r="Q229" i="1"/>
  <c r="P240" i="1" l="1"/>
  <c r="G181" i="1"/>
  <c r="C188" i="1"/>
  <c r="H228" i="1"/>
  <c r="B188" i="1" l="1"/>
  <c r="C181" i="1"/>
  <c r="B181" i="1" s="1"/>
  <c r="H226" i="1"/>
  <c r="D228" i="1"/>
  <c r="C228" i="1" s="1"/>
  <c r="H229" i="1" l="1"/>
  <c r="D229" i="1" s="1"/>
  <c r="C229" i="1" s="1"/>
  <c r="G236" i="1"/>
  <c r="D226" i="1"/>
  <c r="C226" i="1" s="1"/>
  <c r="G237" i="1" l="1"/>
  <c r="C236" i="1"/>
  <c r="B236" i="1" l="1"/>
  <c r="C248" i="1"/>
  <c r="G241" i="1"/>
  <c r="H241" i="1" s="1"/>
  <c r="I241" i="1" s="1"/>
  <c r="J241" i="1" s="1"/>
  <c r="K241" i="1" s="1"/>
  <c r="L241" i="1" s="1"/>
  <c r="M241" i="1" s="1"/>
  <c r="N241" i="1" s="1"/>
  <c r="O241" i="1" s="1"/>
  <c r="G238" i="1"/>
  <c r="H238" i="1" s="1"/>
  <c r="I238" i="1" s="1"/>
  <c r="J238" i="1" s="1"/>
  <c r="K238" i="1" s="1"/>
  <c r="L238" i="1" s="1"/>
  <c r="M238" i="1" s="1"/>
  <c r="N238" i="1" s="1"/>
  <c r="O238" i="1" s="1"/>
  <c r="C238" i="1" s="1"/>
  <c r="P238" i="1" s="1"/>
  <c r="Q238" i="1" s="1"/>
  <c r="B238" i="1" s="1"/>
  <c r="C237" i="1"/>
  <c r="C241" i="1" l="1"/>
  <c r="B237" i="1"/>
  <c r="C240" i="1"/>
  <c r="B240" i="1" s="1"/>
  <c r="P241" i="1" l="1"/>
  <c r="Q241" i="1" s="1"/>
  <c r="B241" i="1" l="1"/>
  <c r="C246" i="1" s="1"/>
</calcChain>
</file>

<file path=xl/sharedStrings.xml><?xml version="1.0" encoding="utf-8"?>
<sst xmlns="http://schemas.openxmlformats.org/spreadsheetml/2006/main" count="390" uniqueCount="252">
  <si>
    <t>Таблица 1 - Расходы на оборудование</t>
  </si>
  <si>
    <t>Наименование оборудования</t>
  </si>
  <si>
    <t>Кол-во единиц</t>
  </si>
  <si>
    <t>Стоимость, руб./ед.</t>
  </si>
  <si>
    <t>Общая стоимость, руб.</t>
  </si>
  <si>
    <t>Срок полезного использования, мес.</t>
  </si>
  <si>
    <t>Период ввода, мес.</t>
  </si>
  <si>
    <t>Суммарная установочная мощность, Квт/ч.</t>
  </si>
  <si>
    <t>Характеристика</t>
  </si>
  <si>
    <t>Этап разработки</t>
  </si>
  <si>
    <t>1. Оборудование, в т.ч.</t>
  </si>
  <si>
    <t>1.1.ПК</t>
  </si>
  <si>
    <t>(ранее введен, срок экспл. 24 мес.)</t>
  </si>
  <si>
    <t>Этап эксплуатации</t>
  </si>
  <si>
    <t>1. Оборудование,  используемое системой, в т. ч.</t>
  </si>
  <si>
    <t>1.1 ПК</t>
  </si>
  <si>
    <t>2. Общесистемное оборудование, в т. ч.</t>
  </si>
  <si>
    <t>2.1 Роутер</t>
  </si>
  <si>
    <t>WiFi роутер Kenetic Viva</t>
  </si>
  <si>
    <t>Модель процессора -  Ryzen 9 5950x Материнская плата - MSI MPG AM4 Оперативная память - DDR 4 32 GB Видеокарта - RTX 3060 Ti</t>
  </si>
  <si>
    <t>Срок полезного использования</t>
  </si>
  <si>
    <t>Амортизация, руб.</t>
  </si>
  <si>
    <t>месяц</t>
  </si>
  <si>
    <t>год</t>
  </si>
  <si>
    <t>Таблица 2 - Расчет амортизационных отчислений оборудования</t>
  </si>
  <si>
    <t>Таблица 3 - Расходы на эксплуатацию оборудования</t>
  </si>
  <si>
    <t>Наименование расходов</t>
  </si>
  <si>
    <t>Оборудование, используемое системой</t>
  </si>
  <si>
    <t>Общесистемное оборудование</t>
  </si>
  <si>
    <t>1. Стоимость расходных материалов, руб./мес.</t>
  </si>
  <si>
    <t>2. Коэфициент использования электроустановок</t>
  </si>
  <si>
    <t>3. Суммарная установочная мощность, Квт</t>
  </si>
  <si>
    <t>4. Трудоемкость выполнения работы системой, ч. в мес.</t>
  </si>
  <si>
    <t>5. Цена одного Квт/ч, руб.</t>
  </si>
  <si>
    <t>Итого:</t>
  </si>
  <si>
    <t>Таблица 4 - Расходы на Программное обеспечение</t>
  </si>
  <si>
    <t>Наименование ПО</t>
  </si>
  <si>
    <t>Стоимость ПО, руб.</t>
  </si>
  <si>
    <t>Кол-во, ед.</t>
  </si>
  <si>
    <t>Период ввода в эксплуатацию</t>
  </si>
  <si>
    <t>Срок использования, мес.</t>
  </si>
  <si>
    <t xml:space="preserve">1. ПО, в т.ч. </t>
  </si>
  <si>
    <t>1 ПО, используемое системой, в т.ч</t>
  </si>
  <si>
    <t>-</t>
  </si>
  <si>
    <t>1.4 RenderDoc</t>
  </si>
  <si>
    <t>1.5 MS Visual Studio 2022 Community edition</t>
  </si>
  <si>
    <t>Таблица 5 - Расчет списания стоимости ПО</t>
  </si>
  <si>
    <t>Списание стоимости ПО, руб.</t>
  </si>
  <si>
    <t>1. ПО, в т.ч.</t>
  </si>
  <si>
    <t>Таблица 6 - Расходы на аренду ПО</t>
  </si>
  <si>
    <t>Арендные платежи, руб.</t>
  </si>
  <si>
    <t>Договор, арендодатель</t>
  </si>
  <si>
    <t>1. ПО,  используемое системой, в т. ч.</t>
  </si>
  <si>
    <t>2. Общесистемное ПО, в т. ч.</t>
  </si>
  <si>
    <t>Таблица 7 – Продолжительность выполнения работ (Согласно диаграмме Ганта)</t>
  </si>
  <si>
    <t>Этап жизненного цикла - исполнительное лицо</t>
  </si>
  <si>
    <t>Вид работ</t>
  </si>
  <si>
    <t>Продолжительность, дней</t>
  </si>
  <si>
    <t>Продолжительность, час/мес.</t>
  </si>
  <si>
    <t>Экспорт в игровой движок</t>
  </si>
  <si>
    <t>2. Этап эксплуатации</t>
  </si>
  <si>
    <t>2.1 Работа с системой</t>
  </si>
  <si>
    <t>Программист</t>
  </si>
  <si>
    <t>Сопровождение системы</t>
  </si>
  <si>
    <t>На всем протяжении жизни проекта</t>
  </si>
  <si>
    <t>2.2 Общесистемные расходы</t>
  </si>
  <si>
    <t>2.2.1 Общесистемное оборудование</t>
  </si>
  <si>
    <t>Роутер</t>
  </si>
  <si>
    <t>Проектирование ядра движка</t>
  </si>
  <si>
    <t>Проектирование модулей движка</t>
  </si>
  <si>
    <t>Проектирование системы рендеринга</t>
  </si>
  <si>
    <t>Разработка ядра движка</t>
  </si>
  <si>
    <t>Разработка системы рендера</t>
  </si>
  <si>
    <t>Разработка модулей движка</t>
  </si>
  <si>
    <t>Тестирование ядра движка</t>
  </si>
  <si>
    <t>Оценка качества рендера</t>
  </si>
  <si>
    <t>Разработка проекта с использованием игрового движка</t>
  </si>
  <si>
    <t xml:space="preserve">Тестирование системы рендера </t>
  </si>
  <si>
    <t>Тестирование модулей движка</t>
  </si>
  <si>
    <t>Таблица 8 - Штатное расписание</t>
  </si>
  <si>
    <t>Этап ЖЦ проекта</t>
  </si>
  <si>
    <t>Должность</t>
  </si>
  <si>
    <t>Кол-во штатных единиц</t>
  </si>
  <si>
    <t xml:space="preserve">Оклад, руб./мес. </t>
  </si>
  <si>
    <t>Часовая тарифная ставка</t>
  </si>
  <si>
    <t>1.Работа с системой</t>
  </si>
  <si>
    <t>Эксплутация</t>
  </si>
  <si>
    <t>Сопровождение</t>
  </si>
  <si>
    <t>2. Общесистемный персонал</t>
  </si>
  <si>
    <t>1. Этап разработки - Программист</t>
  </si>
  <si>
    <t>Таблица 9 – Расходы на оплату труда</t>
  </si>
  <si>
    <t>Количество штатных единиц, чел</t>
  </si>
  <si>
    <t>Оклад, руб/мес</t>
  </si>
  <si>
    <t>Часовая тарифная ставка, руб/час</t>
  </si>
  <si>
    <t>Трудоемкость, час/мес</t>
  </si>
  <si>
    <t>Расходы на оплату труда, руб</t>
  </si>
  <si>
    <t>Страховые взносы в социальные фонды (30,2%)</t>
  </si>
  <si>
    <t>Итого РОТ, руб/мес</t>
  </si>
  <si>
    <t>Этап разработки   (1 месяц)</t>
  </si>
  <si>
    <t>Итого 1 месяц:</t>
  </si>
  <si>
    <t>Этап разработки    (2 месяц)</t>
  </si>
  <si>
    <t>Итого 2 месяц:</t>
  </si>
  <si>
    <t>Этап разработки    (3 месяц)</t>
  </si>
  <si>
    <t>Итого 3 месяц:</t>
  </si>
  <si>
    <t>Этап эксплуатации (помесячно)</t>
  </si>
  <si>
    <t>1. Персонал,  работающий с системой, в т.ч.</t>
  </si>
  <si>
    <t>2. Общисистемный персонал, в т.ч.</t>
  </si>
  <si>
    <t>Таблица 10 – Расчет затрат на этапе разработки</t>
  </si>
  <si>
    <t>Всего</t>
  </si>
  <si>
    <t>В том числе по периодам (месяцам) разработки системы</t>
  </si>
  <si>
    <t>1 месяц</t>
  </si>
  <si>
    <t>2 месяц</t>
  </si>
  <si>
    <t>3 месяц</t>
  </si>
  <si>
    <t xml:space="preserve"> Условно-прямые расходы, руб.</t>
  </si>
  <si>
    <t>1. Расходы на оборудование, руб.</t>
  </si>
  <si>
    <t>1.2.  Сумма амортизации капитальных вложений, руб.</t>
  </si>
  <si>
    <t>1.3.  Расходы на эксплуатацию оборудования, руб.</t>
  </si>
  <si>
    <t>1.4.  Стоимость аренды оборудования</t>
  </si>
  <si>
    <t>2.1. Сумма ежегодного списания затрат на ПО, руб.</t>
  </si>
  <si>
    <t>2.2 Затраты на аренду ПО, руб.</t>
  </si>
  <si>
    <t>3. Административные расходы, руб.</t>
  </si>
  <si>
    <t>4. Расходы на операции ИС, руб.</t>
  </si>
  <si>
    <t>4.1. Расходы на операции, связанные с разработкой ИС</t>
  </si>
  <si>
    <t>5. Расходы на связь и коммуникации, руб.</t>
  </si>
  <si>
    <t>5.1 Оплата интернета</t>
  </si>
  <si>
    <t>Таблица 11 – Расчет расходов на этапе эксплуатации - Расчет условно-прямых расходов</t>
  </si>
  <si>
    <t>Наименование</t>
  </si>
  <si>
    <t>в т.ч. по периодам эксплуатации системы</t>
  </si>
  <si>
    <t>2 –ой год</t>
  </si>
  <si>
    <t>3-ий год</t>
  </si>
  <si>
    <t>Итого  за 1 год</t>
  </si>
  <si>
    <t>4 мес.</t>
  </si>
  <si>
    <t>5 мес.</t>
  </si>
  <si>
    <t>6 мес.</t>
  </si>
  <si>
    <t>7 мес.</t>
  </si>
  <si>
    <t>8 мес.</t>
  </si>
  <si>
    <t>9 мес.</t>
  </si>
  <si>
    <t>10 мес.</t>
  </si>
  <si>
    <t>11 мес.</t>
  </si>
  <si>
    <t>12 мес.</t>
  </si>
  <si>
    <t>Условно-прямые расходы, руб.</t>
  </si>
  <si>
    <t>1.1. Расходы на закупку оборудования, руб.</t>
  </si>
  <si>
    <t>1.3.  Расходы на эксплуатацию оборудования, руб.</t>
  </si>
  <si>
    <t>2. Расходы на программное обеспечение (ПО), руб.</t>
  </si>
  <si>
    <t>3.1. Расходы на оплату труда пользователей системы, руб.</t>
  </si>
  <si>
    <t>3.2 Расходы на операции ИС, руб.</t>
  </si>
  <si>
    <t>4. Расходы на связь и коммуникации, руб.</t>
  </si>
  <si>
    <t>Таблица 12 – Расчет расходов на этапе эксплуатации -Расчет условно-косвенных расходов</t>
  </si>
  <si>
    <t>Всего (9 месяцев)</t>
  </si>
  <si>
    <t>1-ый год</t>
  </si>
  <si>
    <t>2-ой год</t>
  </si>
  <si>
    <t>4 мес</t>
  </si>
  <si>
    <t>5 мес</t>
  </si>
  <si>
    <t>6 мес</t>
  </si>
  <si>
    <t>7 мес</t>
  </si>
  <si>
    <t>8 мес</t>
  </si>
  <si>
    <t>9 мес</t>
  </si>
  <si>
    <t>10 мес</t>
  </si>
  <si>
    <t>11 мес</t>
  </si>
  <si>
    <t>12 мес</t>
  </si>
  <si>
    <t>Условно-косвенные расходы по подсистеме (системе) с учетом коэффициента участия(0,001), руб.</t>
  </si>
  <si>
    <t>Условно-косвенные расходы по подсистеме (системе), руб.</t>
  </si>
  <si>
    <t>1. Косвенные расходы на общесистемное оборудование, руб.</t>
  </si>
  <si>
    <t>1.1. Сумма амортизации капитальных вложений в общесистемное оборудование, руб.</t>
  </si>
  <si>
    <t>1.2. Расходы на эксплуатацию общесистемного оборудования, руб</t>
  </si>
  <si>
    <t>2. Косвенные расходы на общесистемное программное обеспечение (ПО), руб.</t>
  </si>
  <si>
    <t>3. Косвенные административные расходы, руб.</t>
  </si>
  <si>
    <t>4. Косвенные расходы на операции ИС, руб.</t>
  </si>
  <si>
    <t>5. Косвенные расходы на связь и коммуникации для рассматриваемой подсистемы (системы), руб.</t>
  </si>
  <si>
    <t>Таблица 13 – Расчет совокупной стоимости владения</t>
  </si>
  <si>
    <t>Всего(1 год)</t>
  </si>
  <si>
    <t>1 мес</t>
  </si>
  <si>
    <t>2 мес</t>
  </si>
  <si>
    <t>3 мес</t>
  </si>
  <si>
    <t>Общая сумма расходов (ССВ)</t>
  </si>
  <si>
    <t>1.Расходы на этапе разработки</t>
  </si>
  <si>
    <t>1.1 Расходы на оборудование, руб.</t>
  </si>
  <si>
    <t>1.3 Административные расходы, руб.</t>
  </si>
  <si>
    <t>1.4 Расходы на операции ИС, руб.</t>
  </si>
  <si>
    <t>1.5 Расходы на связь и коммуникации, руб.</t>
  </si>
  <si>
    <t>2.Расходы на этапе эксплуатации</t>
  </si>
  <si>
    <t>2.1.Условно-прямые расходы</t>
  </si>
  <si>
    <t>2.2.Условно-косвенные расходы</t>
  </si>
  <si>
    <t>Модель процессора -  Ryzen 3 3500 Материнская плата - MSI MPG AM4 Оперативная память - DDR 4 16 GB Видеокарта - RTX 3050</t>
  </si>
  <si>
    <t>Операция</t>
  </si>
  <si>
    <t>До внедрения продукта</t>
  </si>
  <si>
    <t>После внедрения продукта</t>
  </si>
  <si>
    <t>Отклонение</t>
  </si>
  <si>
    <t>1 сотрудник</t>
  </si>
  <si>
    <t>10 сотрудников</t>
  </si>
  <si>
    <t>Таблица 14 – Расчёт трудоёмкости работ преподавателя</t>
  </si>
  <si>
    <t xml:space="preserve">Обучение студентов </t>
  </si>
  <si>
    <t>Обучение студентов</t>
  </si>
  <si>
    <t>Преподаватель</t>
  </si>
  <si>
    <t>Таблица 15 - Эгод (прям)</t>
  </si>
  <si>
    <t>Тсм</t>
  </si>
  <si>
    <t>Эгод</t>
  </si>
  <si>
    <t>Эмес</t>
  </si>
  <si>
    <t>Командировочные расходы</t>
  </si>
  <si>
    <t>До внедрения продукта, руб</t>
  </si>
  <si>
    <t>После внедрения продукта, руб</t>
  </si>
  <si>
    <t>Расходы на обучение студентов</t>
  </si>
  <si>
    <t>Часов в год на обучение студентов(4 занятия в месяц по 2 часа)</t>
  </si>
  <si>
    <t>Годовая экономия на обучении студентов, руб/год</t>
  </si>
  <si>
    <t>Таблица 16 – Эгод</t>
  </si>
  <si>
    <t>Эгод (прям)</t>
  </si>
  <si>
    <t>Эгод (косв)</t>
  </si>
  <si>
    <t>Отклонение 10 сотрудников</t>
  </si>
  <si>
    <t>Статья затрат</t>
  </si>
  <si>
    <t>Печатные материалы</t>
  </si>
  <si>
    <t>Контроль и проверка заданий вручную</t>
  </si>
  <si>
    <t>Потери времени на повторяющиеся вводные</t>
  </si>
  <si>
    <t>Участие в промежуточной аттестации</t>
  </si>
  <si>
    <t>Таблица 15.2 – Эгод (косв)</t>
  </si>
  <si>
    <t>Оценочная стоимост, руб./мес</t>
  </si>
  <si>
    <t>Таблица 17 – Бюджет проекта</t>
  </si>
  <si>
    <t>1. Доходы, в т. ч.</t>
  </si>
  <si>
    <t>1.1 Годовая экономия (прямые факторы)</t>
  </si>
  <si>
    <t>1.2 Годовая экономия (косвенные факторы)</t>
  </si>
  <si>
    <t>2. Расходы, в т. ч.</t>
  </si>
  <si>
    <t>2.1 Расходы, связанные с разработкой ИТ проекта</t>
  </si>
  <si>
    <t>2.2 Эксплуатационные расходы</t>
  </si>
  <si>
    <t>3. Профицит (+) или дефицит (-) бюджета проекта</t>
  </si>
  <si>
    <t>После внедрения проекта, трудоемкость пользователей снизится на 8 час/мес (на 1 пользователя) и на 80 час/мес(на 10 пользователей)).</t>
  </si>
  <si>
    <t>Итог:</t>
  </si>
  <si>
    <t>Таблица 18 – Денежные потоки</t>
  </si>
  <si>
    <t>Притоки (Доходы), руб.</t>
  </si>
  <si>
    <t>Оттоки (расходы), руб.</t>
  </si>
  <si>
    <t>Чистый денежный поток</t>
  </si>
  <si>
    <t>Чистый денежный поток нарастающем итогом,
руб.</t>
  </si>
  <si>
    <t>Коэффициент дисконтирования 1 / (1+r) ^ t, r = 25%</t>
  </si>
  <si>
    <t>Дисконтированные денежные потоки, руб. (NPV)</t>
  </si>
  <si>
    <t>Дисконтированые денежные потоки нарастающем итогом, 
руб. (NPV)</t>
  </si>
  <si>
    <t>Таблица 19 – показатели эффективности ИТ-проектов</t>
  </si>
  <si>
    <t>Единицы измерения</t>
  </si>
  <si>
    <t>Значение</t>
  </si>
  <si>
    <t>Чистая приведенная стоимость (NPV)</t>
  </si>
  <si>
    <t>руб.</t>
  </si>
  <si>
    <t>Внутренняя норма доходности (IRR)</t>
  </si>
  <si>
    <t>%</t>
  </si>
  <si>
    <t>Рентабельность (PI)</t>
  </si>
  <si>
    <t>индекс</t>
  </si>
  <si>
    <t>Дисконтированный срок окупаемости (DPP)</t>
  </si>
  <si>
    <t>лет</t>
  </si>
  <si>
    <t>Прямой эк. Эффект достигается засчет снижения суммарной трудоемкости преподавателей, экономии на человеко-часах и косвенных затратах.</t>
  </si>
  <si>
    <r>
      <t xml:space="preserve">1.1.  </t>
    </r>
    <r>
      <rPr>
        <sz val="11"/>
        <color theme="1"/>
        <rFont val="Times New Roman"/>
        <family val="1"/>
      </rPr>
      <t>Расходы на закупку оборудования, руб.</t>
    </r>
  </si>
  <si>
    <r>
      <t xml:space="preserve">2. Расходы на  </t>
    </r>
    <r>
      <rPr>
        <sz val="11"/>
        <color theme="1"/>
        <rFont val="Times New Roman"/>
        <family val="1"/>
      </rPr>
      <t xml:space="preserve">программное обеспечение </t>
    </r>
    <r>
      <rPr>
        <sz val="11"/>
        <color rgb="FF000000"/>
        <rFont val="Times New Roman"/>
        <family val="1"/>
      </rPr>
      <t>, руб.</t>
    </r>
  </si>
  <si>
    <r>
      <t xml:space="preserve">1.2.  </t>
    </r>
    <r>
      <rPr>
        <sz val="11"/>
        <color rgb="FF000000"/>
        <rFont val="Times New Roman"/>
        <family val="1"/>
      </rPr>
      <t>Сумма амортизации капитальных вложений, руб.</t>
    </r>
  </si>
  <si>
    <r>
      <t xml:space="preserve">1.2 Расходы на  </t>
    </r>
    <r>
      <rPr>
        <sz val="11"/>
        <color theme="1"/>
        <rFont val="Times New Roman"/>
        <family val="1"/>
      </rPr>
      <t xml:space="preserve">программное обеспечение </t>
    </r>
    <r>
      <rPr>
        <sz val="11"/>
        <color rgb="FF000000"/>
        <rFont val="Times New Roman"/>
        <family val="1"/>
      </rPr>
      <t>, руб.</t>
    </r>
  </si>
  <si>
    <t>Таблица 15.1 косвенные затраты на 1 преподавателя (мес)</t>
  </si>
  <si>
    <t xml:space="preserve">  </t>
  </si>
  <si>
    <t>0.94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</si>
</sst>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8"/>
      <color theme="1"/>
      <name val="Times New Roman"/>
      <family val="1"/>
    </font>
    <font>
      <sz val="12"/>
      <color theme="1"/>
      <name val="Times New Roman"/>
      <family val="1"/>
    </font>
    <font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sz val="10"/>
      <color rgb="FF21252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1">
    <xf numFmtId="0" fontId="0" fillId="0" borderId="0" xfId="0"/>
    <xf numFmtId="1" fontId="1" fillId="2" borderId="22" xfId="0" applyNumberFormat="1" applyFont="1" applyFill="1" applyBorder="1" applyAlignment="1">
      <alignment horizontal="center" vertical="center" wrapText="1"/>
    </xf>
    <xf numFmtId="2" fontId="1" fillId="2" borderId="11" xfId="0" applyNumberFormat="1" applyFont="1" applyFill="1" applyBorder="1" applyAlignment="1">
      <alignment horizontal="center" vertical="center" wrapText="1"/>
    </xf>
    <xf numFmtId="2" fontId="2" fillId="2" borderId="22" xfId="0" applyNumberFormat="1" applyFont="1" applyFill="1" applyBorder="1" applyAlignment="1">
      <alignment horizontal="left" vertical="center" wrapText="1"/>
    </xf>
    <xf numFmtId="2" fontId="1" fillId="2" borderId="22" xfId="0" applyNumberFormat="1" applyFont="1" applyFill="1" applyBorder="1" applyAlignment="1">
      <alignment horizontal="center" vertical="center" wrapText="1"/>
    </xf>
    <xf numFmtId="2" fontId="1" fillId="2" borderId="23" xfId="0" applyNumberFormat="1" applyFont="1" applyFill="1" applyBorder="1" applyAlignment="1">
      <alignment horizontal="center" vertical="center" wrapText="1"/>
    </xf>
    <xf numFmtId="2" fontId="2" fillId="2" borderId="22" xfId="0" applyNumberFormat="1" applyFont="1" applyFill="1" applyBorder="1" applyAlignment="1">
      <alignment horizontal="left" vertical="top" wrapText="1"/>
    </xf>
    <xf numFmtId="2" fontId="2" fillId="2" borderId="22" xfId="0" applyNumberFormat="1" applyFont="1" applyFill="1" applyBorder="1" applyAlignment="1">
      <alignment vertical="center" wrapText="1"/>
    </xf>
    <xf numFmtId="2" fontId="2" fillId="2" borderId="22" xfId="0" applyNumberFormat="1" applyFont="1" applyFill="1" applyBorder="1" applyAlignment="1">
      <alignment vertical="top" wrapText="1"/>
    </xf>
    <xf numFmtId="2" fontId="3" fillId="2" borderId="22" xfId="0" applyNumberFormat="1" applyFont="1" applyFill="1" applyBorder="1" applyAlignment="1">
      <alignment vertical="top" wrapText="1"/>
    </xf>
    <xf numFmtId="2" fontId="3" fillId="2" borderId="22" xfId="0" applyNumberFormat="1" applyFont="1" applyFill="1" applyBorder="1" applyAlignment="1">
      <alignment horizontal="center" vertical="center" wrapText="1"/>
    </xf>
    <xf numFmtId="2" fontId="2" fillId="0" borderId="0" xfId="0" applyNumberFormat="1" applyFont="1"/>
    <xf numFmtId="2" fontId="1" fillId="2" borderId="33" xfId="0" applyNumberFormat="1" applyFont="1" applyFill="1" applyBorder="1" applyAlignment="1">
      <alignment horizontal="center" vertical="center" wrapText="1"/>
    </xf>
    <xf numFmtId="2" fontId="2" fillId="2" borderId="22" xfId="0" applyNumberFormat="1" applyFont="1" applyFill="1" applyBorder="1"/>
    <xf numFmtId="2" fontId="1" fillId="2" borderId="14" xfId="0" applyNumberFormat="1" applyFont="1" applyFill="1" applyBorder="1" applyAlignment="1">
      <alignment vertical="center" wrapText="1"/>
    </xf>
    <xf numFmtId="2" fontId="1" fillId="2" borderId="15" xfId="0" applyNumberFormat="1" applyFont="1" applyFill="1" applyBorder="1" applyAlignment="1">
      <alignment horizontal="center" vertical="center" wrapText="1"/>
    </xf>
    <xf numFmtId="2" fontId="1" fillId="2" borderId="18" xfId="0" applyNumberFormat="1" applyFont="1" applyFill="1" applyBorder="1" applyAlignment="1">
      <alignment horizontal="center" vertical="center" wrapText="1"/>
    </xf>
    <xf numFmtId="2" fontId="1" fillId="2" borderId="16" xfId="0" applyNumberFormat="1" applyFont="1" applyFill="1" applyBorder="1" applyAlignment="1">
      <alignment vertical="center" wrapText="1"/>
    </xf>
    <xf numFmtId="2" fontId="1" fillId="2" borderId="19" xfId="0" applyNumberFormat="1" applyFont="1" applyFill="1" applyBorder="1" applyAlignment="1">
      <alignment horizontal="center" vertical="center" wrapText="1"/>
    </xf>
    <xf numFmtId="2" fontId="1" fillId="2" borderId="20" xfId="0" applyNumberFormat="1" applyFont="1" applyFill="1" applyBorder="1" applyAlignment="1">
      <alignment horizontal="center" vertical="center" wrapText="1"/>
    </xf>
    <xf numFmtId="2" fontId="1" fillId="2" borderId="21" xfId="0" applyNumberFormat="1" applyFont="1" applyFill="1" applyBorder="1" applyAlignment="1">
      <alignment vertical="center" wrapText="1"/>
    </xf>
    <xf numFmtId="2" fontId="1" fillId="2" borderId="21" xfId="0" applyNumberFormat="1" applyFont="1" applyFill="1" applyBorder="1" applyAlignment="1">
      <alignment horizontal="left" vertical="center" wrapText="1"/>
    </xf>
    <xf numFmtId="2" fontId="1" fillId="2" borderId="22" xfId="0" applyNumberFormat="1" applyFont="1" applyFill="1" applyBorder="1" applyAlignment="1">
      <alignment horizontal="left" vertical="center" wrapText="1"/>
    </xf>
    <xf numFmtId="2" fontId="1" fillId="2" borderId="14" xfId="0" applyNumberFormat="1" applyFont="1" applyFill="1" applyBorder="1" applyAlignment="1">
      <alignment horizontal="left" vertical="center" wrapText="1"/>
    </xf>
    <xf numFmtId="2" fontId="1" fillId="2" borderId="15" xfId="0" applyNumberFormat="1" applyFont="1" applyFill="1" applyBorder="1" applyAlignment="1">
      <alignment horizontal="left" vertical="center" wrapText="1"/>
    </xf>
    <xf numFmtId="2" fontId="5" fillId="0" borderId="22" xfId="0" applyNumberFormat="1" applyFont="1" applyBorder="1" applyAlignment="1">
      <alignment vertical="center" wrapText="1"/>
    </xf>
    <xf numFmtId="2" fontId="5" fillId="0" borderId="22" xfId="0" applyNumberFormat="1" applyFont="1" applyBorder="1" applyAlignment="1">
      <alignment horizontal="center"/>
    </xf>
    <xf numFmtId="2" fontId="2" fillId="2" borderId="0" xfId="0" applyNumberFormat="1" applyFont="1" applyFill="1" applyAlignment="1">
      <alignment vertical="center"/>
    </xf>
    <xf numFmtId="2" fontId="2" fillId="2" borderId="0" xfId="0" applyNumberFormat="1" applyFont="1" applyFill="1"/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2" fontId="1" fillId="2" borderId="3" xfId="0" applyNumberFormat="1" applyFont="1" applyFill="1" applyBorder="1" applyAlignment="1">
      <alignment horizontal="center" vertical="center" wrapText="1"/>
    </xf>
    <xf numFmtId="2" fontId="1" fillId="2" borderId="7" xfId="0" applyNumberFormat="1" applyFont="1" applyFill="1" applyBorder="1" applyAlignment="1">
      <alignment horizontal="left" vertical="top" wrapText="1"/>
    </xf>
    <xf numFmtId="2" fontId="1" fillId="2" borderId="8" xfId="0" applyNumberFormat="1" applyFont="1" applyFill="1" applyBorder="1" applyAlignment="1">
      <alignment horizontal="center" vertical="center" wrapText="1"/>
    </xf>
    <xf numFmtId="2" fontId="1" fillId="2" borderId="9" xfId="0" applyNumberFormat="1" applyFont="1" applyFill="1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 wrapText="1"/>
    </xf>
    <xf numFmtId="2" fontId="1" fillId="2" borderId="12" xfId="0" applyNumberFormat="1" applyFont="1" applyFill="1" applyBorder="1" applyAlignment="1">
      <alignment horizontal="center" vertical="center" wrapText="1"/>
    </xf>
    <xf numFmtId="2" fontId="2" fillId="2" borderId="12" xfId="0" applyNumberFormat="1" applyFont="1" applyFill="1" applyBorder="1" applyAlignment="1">
      <alignment horizontal="center" vertical="center"/>
    </xf>
    <xf numFmtId="2" fontId="6" fillId="2" borderId="13" xfId="0" applyNumberFormat="1" applyFont="1" applyFill="1" applyBorder="1" applyAlignment="1">
      <alignment horizontal="center" vertical="center" wrapText="1"/>
    </xf>
    <xf numFmtId="2" fontId="1" fillId="2" borderId="7" xfId="0" applyNumberFormat="1" applyFont="1" applyFill="1" applyBorder="1" applyAlignment="1">
      <alignment vertical="center" wrapText="1"/>
    </xf>
    <xf numFmtId="2" fontId="1" fillId="2" borderId="14" xfId="0" applyNumberFormat="1" applyFont="1" applyFill="1" applyBorder="1" applyAlignment="1">
      <alignment horizontal="center" vertical="center" wrapText="1"/>
    </xf>
    <xf numFmtId="2" fontId="2" fillId="2" borderId="17" xfId="0" applyNumberFormat="1" applyFont="1" applyFill="1" applyBorder="1" applyAlignment="1">
      <alignment horizontal="center" vertical="center"/>
    </xf>
    <xf numFmtId="2" fontId="6" fillId="2" borderId="18" xfId="0" applyNumberFormat="1" applyFont="1" applyFill="1" applyBorder="1" applyAlignment="1">
      <alignment horizontal="center" vertical="center" wrapText="1"/>
    </xf>
    <xf numFmtId="2" fontId="1" fillId="2" borderId="7" xfId="0" applyNumberFormat="1" applyFont="1" applyFill="1" applyBorder="1" applyAlignment="1">
      <alignment horizontal="left" vertical="center" wrapText="1"/>
    </xf>
    <xf numFmtId="2" fontId="1" fillId="2" borderId="16" xfId="0" applyNumberFormat="1" applyFont="1" applyFill="1" applyBorder="1" applyAlignment="1">
      <alignment horizontal="left" vertical="center" wrapText="1"/>
    </xf>
    <xf numFmtId="2" fontId="2" fillId="2" borderId="0" xfId="0" applyNumberFormat="1" applyFont="1" applyFill="1" applyAlignment="1">
      <alignment horizontal="center" vertical="center"/>
    </xf>
    <xf numFmtId="2" fontId="1" fillId="2" borderId="11" xfId="0" applyNumberFormat="1" applyFont="1" applyFill="1" applyBorder="1" applyAlignment="1">
      <alignment vertical="center" wrapText="1"/>
    </xf>
    <xf numFmtId="2" fontId="1" fillId="2" borderId="1" xfId="0" applyNumberFormat="1" applyFont="1" applyFill="1" applyBorder="1" applyAlignment="1">
      <alignment horizontal="right" vertical="center" wrapText="1"/>
    </xf>
    <xf numFmtId="2" fontId="2" fillId="2" borderId="22" xfId="0" applyNumberFormat="1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vertical="center" wrapText="1"/>
    </xf>
    <xf numFmtId="2" fontId="2" fillId="2" borderId="25" xfId="0" applyNumberFormat="1" applyFont="1" applyFill="1" applyBorder="1" applyAlignment="1">
      <alignment horizontal="center"/>
    </xf>
    <xf numFmtId="2" fontId="1" fillId="2" borderId="25" xfId="0" applyNumberFormat="1" applyFont="1" applyFill="1" applyBorder="1" applyAlignment="1">
      <alignment horizontal="center" vertical="center" wrapText="1"/>
    </xf>
    <xf numFmtId="2" fontId="1" fillId="2" borderId="26" xfId="0" applyNumberFormat="1" applyFont="1" applyFill="1" applyBorder="1" applyAlignment="1">
      <alignment horizontal="center" vertical="center" wrapText="1"/>
    </xf>
    <xf numFmtId="2" fontId="1" fillId="2" borderId="13" xfId="0" applyNumberFormat="1" applyFont="1" applyFill="1" applyBorder="1" applyAlignment="1">
      <alignment horizontal="center" vertical="center" wrapText="1"/>
    </xf>
    <xf numFmtId="2" fontId="1" fillId="2" borderId="16" xfId="0" applyNumberFormat="1" applyFont="1" applyFill="1" applyBorder="1" applyAlignment="1">
      <alignment horizontal="left" vertical="top" wrapText="1"/>
    </xf>
    <xf numFmtId="2" fontId="1" fillId="2" borderId="39" xfId="0" applyNumberFormat="1" applyFont="1" applyFill="1" applyBorder="1" applyAlignment="1">
      <alignment horizontal="center" vertical="center" wrapText="1"/>
    </xf>
    <xf numFmtId="2" fontId="1" fillId="2" borderId="40" xfId="0" applyNumberFormat="1" applyFont="1" applyFill="1" applyBorder="1" applyAlignment="1">
      <alignment horizontal="center" vertical="center" wrapText="1"/>
    </xf>
    <xf numFmtId="2" fontId="1" fillId="2" borderId="41" xfId="0" applyNumberFormat="1" applyFont="1" applyFill="1" applyBorder="1" applyAlignment="1">
      <alignment horizontal="center" vertical="center" wrapText="1"/>
    </xf>
    <xf numFmtId="2" fontId="1" fillId="2" borderId="42" xfId="0" applyNumberFormat="1" applyFont="1" applyFill="1" applyBorder="1" applyAlignment="1">
      <alignment horizontal="center" vertical="center" wrapText="1"/>
    </xf>
    <xf numFmtId="2" fontId="7" fillId="2" borderId="4" xfId="0" applyNumberFormat="1" applyFont="1" applyFill="1" applyBorder="1" applyAlignment="1">
      <alignment horizontal="center" vertical="center" wrapText="1"/>
    </xf>
    <xf numFmtId="2" fontId="7" fillId="2" borderId="5" xfId="0" applyNumberFormat="1" applyFont="1" applyFill="1" applyBorder="1" applyAlignment="1">
      <alignment horizontal="center" vertical="center" wrapText="1"/>
    </xf>
    <xf numFmtId="2" fontId="7" fillId="2" borderId="6" xfId="0" applyNumberFormat="1" applyFont="1" applyFill="1" applyBorder="1" applyAlignment="1">
      <alignment horizontal="center" vertical="center" wrapText="1"/>
    </xf>
    <xf numFmtId="2" fontId="1" fillId="2" borderId="35" xfId="0" applyNumberFormat="1" applyFont="1" applyFill="1" applyBorder="1" applyAlignment="1">
      <alignment horizontal="center" vertical="center" wrapText="1"/>
    </xf>
    <xf numFmtId="2" fontId="1" fillId="2" borderId="43" xfId="0" applyNumberFormat="1" applyFont="1" applyFill="1" applyBorder="1" applyAlignment="1">
      <alignment horizontal="center" vertical="center" wrapText="1"/>
    </xf>
    <xf numFmtId="2" fontId="1" fillId="2" borderId="50" xfId="0" applyNumberFormat="1" applyFont="1" applyFill="1" applyBorder="1" applyAlignment="1">
      <alignment vertical="center" wrapText="1"/>
    </xf>
    <xf numFmtId="2" fontId="1" fillId="2" borderId="44" xfId="0" applyNumberFormat="1" applyFont="1" applyFill="1" applyBorder="1" applyAlignment="1">
      <alignment vertical="center" wrapText="1"/>
    </xf>
    <xf numFmtId="2" fontId="1" fillId="2" borderId="51" xfId="0" applyNumberFormat="1" applyFont="1" applyFill="1" applyBorder="1" applyAlignment="1">
      <alignment horizontal="center" vertical="center" wrapText="1"/>
    </xf>
    <xf numFmtId="2" fontId="2" fillId="2" borderId="19" xfId="0" applyNumberFormat="1" applyFont="1" applyFill="1" applyBorder="1" applyAlignment="1">
      <alignment horizontal="center" vertical="center" wrapText="1"/>
    </xf>
    <xf numFmtId="2" fontId="2" fillId="2" borderId="20" xfId="0" applyNumberFormat="1" applyFont="1" applyFill="1" applyBorder="1" applyAlignment="1">
      <alignment horizontal="center" vertical="center" wrapText="1"/>
    </xf>
    <xf numFmtId="2" fontId="2" fillId="2" borderId="22" xfId="0" applyNumberFormat="1" applyFont="1" applyFill="1" applyBorder="1" applyAlignment="1">
      <alignment horizontal="center" vertical="center" wrapText="1"/>
    </xf>
    <xf numFmtId="2" fontId="2" fillId="2" borderId="23" xfId="0" applyNumberFormat="1" applyFont="1" applyFill="1" applyBorder="1" applyAlignment="1">
      <alignment horizontal="center" vertical="center" wrapText="1"/>
    </xf>
    <xf numFmtId="2" fontId="1" fillId="2" borderId="11" xfId="0" applyNumberFormat="1" applyFont="1" applyFill="1" applyBorder="1" applyAlignment="1">
      <alignment horizontal="left" vertical="center" wrapText="1"/>
    </xf>
    <xf numFmtId="2" fontId="2" fillId="2" borderId="12" xfId="0" applyNumberFormat="1" applyFont="1" applyFill="1" applyBorder="1" applyAlignment="1">
      <alignment horizontal="center" vertical="center" wrapText="1"/>
    </xf>
    <xf numFmtId="2" fontId="2" fillId="2" borderId="13" xfId="0" applyNumberFormat="1" applyFont="1" applyFill="1" applyBorder="1" applyAlignment="1">
      <alignment horizontal="center" vertical="center" wrapText="1"/>
    </xf>
    <xf numFmtId="2" fontId="2" fillId="2" borderId="15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left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center" vertical="center" wrapText="1"/>
    </xf>
    <xf numFmtId="2" fontId="2" fillId="2" borderId="14" xfId="0" applyNumberFormat="1" applyFont="1" applyFill="1" applyBorder="1" applyAlignment="1">
      <alignment horizontal="left" vertical="center"/>
    </xf>
    <xf numFmtId="2" fontId="2" fillId="2" borderId="15" xfId="0" applyNumberFormat="1" applyFont="1" applyFill="1" applyBorder="1" applyAlignment="1">
      <alignment horizontal="center"/>
    </xf>
    <xf numFmtId="2" fontId="2" fillId="2" borderId="18" xfId="0" applyNumberFormat="1" applyFont="1" applyFill="1" applyBorder="1" applyAlignment="1">
      <alignment horizontal="center"/>
    </xf>
    <xf numFmtId="2" fontId="2" fillId="2" borderId="27" xfId="0" applyNumberFormat="1" applyFont="1" applyFill="1" applyBorder="1" applyAlignment="1">
      <alignment horizontal="center" vertical="center" wrapText="1"/>
    </xf>
    <xf numFmtId="2" fontId="2" fillId="2" borderId="28" xfId="0" applyNumberFormat="1" applyFont="1" applyFill="1" applyBorder="1" applyAlignment="1">
      <alignment horizontal="center" vertical="center" wrapText="1"/>
    </xf>
    <xf numFmtId="2" fontId="2" fillId="2" borderId="30" xfId="0" applyNumberFormat="1" applyFont="1" applyFill="1" applyBorder="1" applyAlignment="1">
      <alignment horizontal="center" vertical="center" wrapText="1"/>
    </xf>
    <xf numFmtId="2" fontId="2" fillId="2" borderId="33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 wrapText="1"/>
    </xf>
    <xf numFmtId="2" fontId="2" fillId="2" borderId="16" xfId="0" applyNumberFormat="1" applyFont="1" applyFill="1" applyBorder="1" applyAlignment="1">
      <alignment horizontal="left" vertical="center" wrapText="1"/>
    </xf>
    <xf numFmtId="2" fontId="2" fillId="2" borderId="21" xfId="0" applyNumberFormat="1" applyFont="1" applyFill="1" applyBorder="1" applyAlignment="1">
      <alignment horizontal="left" vertical="center" wrapText="1"/>
    </xf>
    <xf numFmtId="2" fontId="2" fillId="2" borderId="1" xfId="0" applyNumberFormat="1" applyFont="1" applyFill="1" applyBorder="1" applyAlignment="1">
      <alignment horizontal="left" vertical="center" wrapText="1"/>
    </xf>
    <xf numFmtId="2" fontId="2" fillId="2" borderId="21" xfId="0" applyNumberFormat="1" applyFont="1" applyFill="1" applyBorder="1" applyAlignment="1">
      <alignment horizontal="left" wrapText="1"/>
    </xf>
    <xf numFmtId="2" fontId="2" fillId="2" borderId="14" xfId="0" applyNumberFormat="1" applyFont="1" applyFill="1" applyBorder="1" applyAlignment="1">
      <alignment horizontal="left" vertical="center" wrapText="1"/>
    </xf>
    <xf numFmtId="2" fontId="2" fillId="2" borderId="24" xfId="0" applyNumberFormat="1" applyFont="1" applyFill="1" applyBorder="1" applyAlignment="1">
      <alignment horizontal="center" vertical="center" wrapText="1"/>
    </xf>
    <xf numFmtId="2" fontId="2" fillId="2" borderId="25" xfId="0" applyNumberFormat="1" applyFont="1" applyFill="1" applyBorder="1" applyAlignment="1">
      <alignment horizontal="center" vertical="center" wrapText="1"/>
    </xf>
    <xf numFmtId="2" fontId="2" fillId="2" borderId="16" xfId="0" applyNumberFormat="1" applyFont="1" applyFill="1" applyBorder="1" applyAlignment="1">
      <alignment horizontal="center" vertical="center" wrapText="1"/>
    </xf>
    <xf numFmtId="2" fontId="2" fillId="2" borderId="21" xfId="0" applyNumberFormat="1" applyFont="1" applyFill="1" applyBorder="1" applyAlignment="1">
      <alignment vertical="center" wrapText="1"/>
    </xf>
    <xf numFmtId="2" fontId="2" fillId="2" borderId="49" xfId="0" applyNumberFormat="1" applyFont="1" applyFill="1" applyBorder="1" applyAlignment="1">
      <alignment wrapText="1"/>
    </xf>
    <xf numFmtId="2" fontId="2" fillId="2" borderId="14" xfId="0" applyNumberFormat="1" applyFont="1" applyFill="1" applyBorder="1" applyAlignment="1">
      <alignment vertical="center" wrapText="1"/>
    </xf>
    <xf numFmtId="2" fontId="2" fillId="2" borderId="35" xfId="0" applyNumberFormat="1" applyFont="1" applyFill="1" applyBorder="1" applyAlignment="1">
      <alignment horizontal="center" vertical="center" wrapText="1"/>
    </xf>
    <xf numFmtId="2" fontId="2" fillId="2" borderId="52" xfId="0" applyNumberFormat="1" applyFont="1" applyFill="1" applyBorder="1" applyAlignment="1">
      <alignment horizontal="center"/>
    </xf>
    <xf numFmtId="2" fontId="2" fillId="2" borderId="53" xfId="0" applyNumberFormat="1" applyFont="1" applyFill="1" applyBorder="1" applyAlignment="1">
      <alignment horizontal="center"/>
    </xf>
    <xf numFmtId="2" fontId="2" fillId="2" borderId="18" xfId="0" applyNumberFormat="1" applyFont="1" applyFill="1" applyBorder="1" applyAlignment="1">
      <alignment horizontal="center" vertical="center" wrapText="1"/>
    </xf>
    <xf numFmtId="2" fontId="2" fillId="2" borderId="54" xfId="0" applyNumberFormat="1" applyFont="1" applyFill="1" applyBorder="1" applyAlignment="1">
      <alignment horizontal="center" vertical="center" wrapText="1"/>
    </xf>
    <xf numFmtId="2" fontId="2" fillId="2" borderId="43" xfId="0" applyNumberFormat="1" applyFont="1" applyFill="1" applyBorder="1" applyAlignment="1">
      <alignment horizontal="center" vertical="center" wrapText="1"/>
    </xf>
    <xf numFmtId="2" fontId="2" fillId="2" borderId="55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2" borderId="24" xfId="0" applyNumberFormat="1" applyFont="1" applyFill="1" applyBorder="1" applyAlignment="1">
      <alignment horizontal="center" vertical="center"/>
    </xf>
    <xf numFmtId="2" fontId="2" fillId="2" borderId="25" xfId="0" applyNumberFormat="1" applyFont="1" applyFill="1" applyBorder="1" applyAlignment="1">
      <alignment horizontal="center" vertical="center"/>
    </xf>
    <xf numFmtId="2" fontId="2" fillId="2" borderId="26" xfId="0" applyNumberFormat="1" applyFont="1" applyFill="1" applyBorder="1"/>
    <xf numFmtId="2" fontId="2" fillId="2" borderId="56" xfId="0" applyNumberFormat="1" applyFont="1" applyFill="1" applyBorder="1" applyAlignment="1">
      <alignment horizontal="center" vertical="center"/>
    </xf>
    <xf numFmtId="2" fontId="2" fillId="2" borderId="57" xfId="0" applyNumberFormat="1" applyFont="1" applyFill="1" applyBorder="1" applyAlignment="1">
      <alignment horizontal="center" vertical="center" wrapText="1"/>
    </xf>
    <xf numFmtId="2" fontId="2" fillId="2" borderId="38" xfId="0" applyNumberFormat="1" applyFont="1" applyFill="1" applyBorder="1" applyAlignment="1">
      <alignment horizontal="center"/>
    </xf>
    <xf numFmtId="2" fontId="2" fillId="2" borderId="35" xfId="0" applyNumberFormat="1" applyFont="1" applyFill="1" applyBorder="1" applyAlignment="1">
      <alignment horizontal="center"/>
    </xf>
    <xf numFmtId="2" fontId="2" fillId="2" borderId="43" xfId="0" applyNumberFormat="1" applyFont="1" applyFill="1" applyBorder="1" applyAlignment="1">
      <alignment horizontal="center"/>
    </xf>
    <xf numFmtId="2" fontId="2" fillId="0" borderId="22" xfId="0" applyNumberFormat="1" applyFont="1" applyBorder="1" applyAlignment="1">
      <alignment horizontal="center" vertical="center"/>
    </xf>
    <xf numFmtId="2" fontId="2" fillId="2" borderId="58" xfId="0" applyNumberFormat="1" applyFont="1" applyFill="1" applyBorder="1" applyAlignment="1">
      <alignment horizontal="center"/>
    </xf>
    <xf numFmtId="2" fontId="2" fillId="2" borderId="13" xfId="0" applyNumberFormat="1" applyFont="1" applyFill="1" applyBorder="1" applyAlignment="1">
      <alignment horizontal="center"/>
    </xf>
    <xf numFmtId="2" fontId="2" fillId="0" borderId="1" xfId="0" applyNumberFormat="1" applyFont="1" applyBorder="1"/>
    <xf numFmtId="2" fontId="2" fillId="0" borderId="2" xfId="0" applyNumberFormat="1" applyFont="1" applyBorder="1"/>
    <xf numFmtId="2" fontId="2" fillId="0" borderId="3" xfId="0" applyNumberFormat="1" applyFont="1" applyBorder="1"/>
    <xf numFmtId="2" fontId="2" fillId="0" borderId="24" xfId="0" applyNumberFormat="1" applyFont="1" applyBorder="1"/>
    <xf numFmtId="2" fontId="2" fillId="0" borderId="25" xfId="0" applyNumberFormat="1" applyFont="1" applyBorder="1"/>
    <xf numFmtId="2" fontId="2" fillId="0" borderId="26" xfId="0" applyNumberFormat="1" applyFont="1" applyBorder="1"/>
    <xf numFmtId="0" fontId="2" fillId="2" borderId="0" xfId="0" applyFont="1" applyFill="1" applyAlignment="1">
      <alignment vertical="center"/>
    </xf>
    <xf numFmtId="0" fontId="2" fillId="2" borderId="0" xfId="0" applyFont="1" applyFill="1"/>
    <xf numFmtId="0" fontId="2" fillId="2" borderId="15" xfId="0" applyFont="1" applyFill="1" applyBorder="1" applyAlignment="1">
      <alignment horizontal="center" vertical="center" wrapText="1"/>
    </xf>
    <xf numFmtId="1" fontId="2" fillId="2" borderId="19" xfId="0" applyNumberFormat="1" applyFont="1" applyFill="1" applyBorder="1" applyAlignment="1">
      <alignment horizontal="center" vertical="center" wrapText="1"/>
    </xf>
    <xf numFmtId="1" fontId="2" fillId="2" borderId="20" xfId="0" applyNumberFormat="1" applyFont="1" applyFill="1" applyBorder="1" applyAlignment="1">
      <alignment horizontal="center" vertical="center" wrapText="1"/>
    </xf>
    <xf numFmtId="1" fontId="2" fillId="2" borderId="35" xfId="0" applyNumberFormat="1" applyFont="1" applyFill="1" applyBorder="1" applyAlignment="1">
      <alignment horizontal="center" vertical="center" wrapText="1"/>
    </xf>
    <xf numFmtId="1" fontId="2" fillId="2" borderId="22" xfId="0" applyNumberFormat="1" applyFont="1" applyFill="1" applyBorder="1" applyAlignment="1">
      <alignment horizontal="center" vertical="center" wrapText="1"/>
    </xf>
    <xf numFmtId="1" fontId="2" fillId="2" borderId="23" xfId="0" applyNumberFormat="1" applyFont="1" applyFill="1" applyBorder="1" applyAlignment="1">
      <alignment horizontal="center" vertical="center" wrapText="1"/>
    </xf>
    <xf numFmtId="1" fontId="2" fillId="2" borderId="22" xfId="0" applyNumberFormat="1" applyFont="1" applyFill="1" applyBorder="1" applyAlignment="1">
      <alignment horizontal="center" vertical="center"/>
    </xf>
    <xf numFmtId="1" fontId="2" fillId="2" borderId="25" xfId="0" applyNumberFormat="1" applyFont="1" applyFill="1" applyBorder="1" applyAlignment="1">
      <alignment horizontal="center" vertical="center" wrapText="1"/>
    </xf>
    <xf numFmtId="1" fontId="2" fillId="2" borderId="15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2" fillId="2" borderId="12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left" vertical="top" wrapText="1"/>
    </xf>
    <xf numFmtId="0" fontId="2" fillId="0" borderId="22" xfId="0" applyFont="1" applyBorder="1" applyAlignment="1">
      <alignment wrapText="1"/>
    </xf>
    <xf numFmtId="0" fontId="2" fillId="0" borderId="22" xfId="0" applyFont="1" applyBorder="1" applyAlignment="1">
      <alignment horizontal="center" vertical="center"/>
    </xf>
    <xf numFmtId="1" fontId="2" fillId="0" borderId="22" xfId="0" applyNumberFormat="1" applyFont="1" applyBorder="1" applyAlignment="1">
      <alignment horizontal="center" vertical="center"/>
    </xf>
    <xf numFmtId="0" fontId="2" fillId="2" borderId="7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/>
    </xf>
    <xf numFmtId="1" fontId="2" fillId="2" borderId="43" xfId="0" applyNumberFormat="1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left" vertical="center" wrapText="1"/>
    </xf>
    <xf numFmtId="0" fontId="2" fillId="2" borderId="22" xfId="0" applyFont="1" applyFill="1" applyBorder="1" applyAlignment="1">
      <alignment horizontal="center" vertical="center"/>
    </xf>
    <xf numFmtId="9" fontId="8" fillId="2" borderId="23" xfId="0" applyNumberFormat="1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 wrapText="1"/>
    </xf>
    <xf numFmtId="2" fontId="2" fillId="0" borderId="22" xfId="0" applyNumberFormat="1" applyFont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top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65" xfId="0" applyFont="1" applyFill="1" applyBorder="1" applyAlignment="1">
      <alignment horizontal="center" vertical="center" wrapText="1"/>
    </xf>
    <xf numFmtId="0" fontId="2" fillId="2" borderId="48" xfId="0" applyFont="1" applyFill="1" applyBorder="1" applyAlignment="1">
      <alignment horizontal="center" vertical="center" wrapText="1"/>
    </xf>
    <xf numFmtId="0" fontId="2" fillId="2" borderId="61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left" vertical="top"/>
    </xf>
    <xf numFmtId="0" fontId="2" fillId="2" borderId="46" xfId="0" applyFont="1" applyFill="1" applyBorder="1" applyAlignment="1">
      <alignment horizontal="left" vertical="top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0" fontId="2" fillId="2" borderId="30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64" xfId="0" applyFont="1" applyFill="1" applyBorder="1" applyAlignment="1">
      <alignment horizontal="left" vertical="top"/>
    </xf>
    <xf numFmtId="0" fontId="2" fillId="2" borderId="47" xfId="0" applyFont="1" applyFill="1" applyBorder="1" applyAlignment="1">
      <alignment horizontal="left" vertical="top"/>
    </xf>
    <xf numFmtId="2" fontId="2" fillId="2" borderId="59" xfId="0" applyNumberFormat="1" applyFont="1" applyFill="1" applyBorder="1" applyAlignment="1">
      <alignment horizontal="center" vertical="center"/>
    </xf>
    <xf numFmtId="2" fontId="2" fillId="2" borderId="5" xfId="0" applyNumberFormat="1" applyFont="1" applyFill="1" applyBorder="1" applyAlignment="1">
      <alignment horizontal="center" vertical="center"/>
    </xf>
    <xf numFmtId="2" fontId="2" fillId="2" borderId="6" xfId="0" applyNumberFormat="1" applyFont="1" applyFill="1" applyBorder="1" applyAlignment="1">
      <alignment horizontal="center" vertical="center"/>
    </xf>
    <xf numFmtId="0" fontId="2" fillId="2" borderId="60" xfId="0" applyFont="1" applyFill="1" applyBorder="1" applyAlignment="1">
      <alignment horizontal="center" vertical="center" wrapText="1"/>
    </xf>
    <xf numFmtId="0" fontId="2" fillId="2" borderId="62" xfId="0" applyFont="1" applyFill="1" applyBorder="1" applyAlignment="1">
      <alignment horizontal="center" vertical="center" wrapText="1"/>
    </xf>
    <xf numFmtId="0" fontId="2" fillId="2" borderId="63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47" xfId="0" applyFont="1" applyFill="1" applyBorder="1" applyAlignment="1">
      <alignment horizontal="center" vertical="center" wrapText="1"/>
    </xf>
    <xf numFmtId="2" fontId="4" fillId="3" borderId="0" xfId="0" applyNumberFormat="1" applyFont="1" applyFill="1" applyAlignment="1">
      <alignment horizontal="center" vertical="center" wrapText="1"/>
    </xf>
    <xf numFmtId="2" fontId="2" fillId="2" borderId="27" xfId="0" applyNumberFormat="1" applyFont="1" applyFill="1" applyBorder="1" applyAlignment="1">
      <alignment horizontal="center" vertical="center" wrapText="1"/>
    </xf>
    <xf numFmtId="2" fontId="2" fillId="2" borderId="24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/>
    </xf>
    <xf numFmtId="2" fontId="2" fillId="2" borderId="9" xfId="0" applyNumberFormat="1" applyFont="1" applyFill="1" applyBorder="1" applyAlignment="1">
      <alignment horizontal="center"/>
    </xf>
    <xf numFmtId="2" fontId="2" fillId="2" borderId="10" xfId="0" applyNumberFormat="1" applyFont="1" applyFill="1" applyBorder="1" applyAlignment="1">
      <alignment horizontal="center"/>
    </xf>
    <xf numFmtId="2" fontId="2" fillId="2" borderId="28" xfId="0" applyNumberFormat="1" applyFont="1" applyFill="1" applyBorder="1" applyAlignment="1">
      <alignment horizontal="center" vertical="center" wrapText="1"/>
    </xf>
    <xf numFmtId="2" fontId="2" fillId="2" borderId="25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9" xfId="0" applyNumberFormat="1" applyFont="1" applyFill="1" applyBorder="1" applyAlignment="1">
      <alignment horizontal="center" vertical="center" wrapText="1"/>
    </xf>
    <xf numFmtId="2" fontId="2" fillId="2" borderId="47" xfId="0" applyNumberFormat="1" applyFont="1" applyFill="1" applyBorder="1" applyAlignment="1">
      <alignment horizontal="center" vertical="center" wrapText="1"/>
    </xf>
    <xf numFmtId="2" fontId="2" fillId="2" borderId="29" xfId="0" applyNumberFormat="1" applyFont="1" applyFill="1" applyBorder="1" applyAlignment="1">
      <alignment horizontal="center" vertical="center" wrapText="1"/>
    </xf>
    <xf numFmtId="2" fontId="2" fillId="2" borderId="26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2" fontId="1" fillId="2" borderId="3" xfId="0" applyNumberFormat="1" applyFont="1" applyFill="1" applyBorder="1" applyAlignment="1">
      <alignment horizontal="center" vertical="center" wrapText="1"/>
    </xf>
    <xf numFmtId="2" fontId="2" fillId="2" borderId="48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2" fillId="2" borderId="20" xfId="0" applyNumberFormat="1" applyFont="1" applyFill="1" applyBorder="1" applyAlignment="1">
      <alignment horizontal="center" vertical="center" wrapText="1"/>
    </xf>
    <xf numFmtId="2" fontId="2" fillId="2" borderId="13" xfId="0" applyNumberFormat="1" applyFont="1" applyFill="1" applyBorder="1" applyAlignment="1">
      <alignment horizontal="center" vertical="center" wrapText="1"/>
    </xf>
    <xf numFmtId="2" fontId="1" fillId="2" borderId="8" xfId="0" applyNumberFormat="1" applyFont="1" applyFill="1" applyBorder="1" applyAlignment="1">
      <alignment horizontal="center" vertical="center" wrapText="1"/>
    </xf>
    <xf numFmtId="2" fontId="1" fillId="2" borderId="9" xfId="0" applyNumberFormat="1" applyFont="1" applyFill="1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 wrapText="1"/>
    </xf>
    <xf numFmtId="2" fontId="1" fillId="2" borderId="16" xfId="0" applyNumberFormat="1" applyFont="1" applyFill="1" applyBorder="1" applyAlignment="1">
      <alignment horizontal="center" vertical="center" wrapText="1"/>
    </xf>
    <xf numFmtId="2" fontId="1" fillId="2" borderId="14" xfId="0" applyNumberFormat="1" applyFont="1" applyFill="1" applyBorder="1" applyAlignment="1">
      <alignment horizontal="center" vertical="center" wrapText="1"/>
    </xf>
    <xf numFmtId="2" fontId="1" fillId="2" borderId="19" xfId="0" applyNumberFormat="1" applyFont="1" applyFill="1" applyBorder="1" applyAlignment="1">
      <alignment horizontal="center" vertical="center" wrapText="1"/>
    </xf>
    <xf numFmtId="2" fontId="1" fillId="2" borderId="20" xfId="0" applyNumberFormat="1" applyFont="1" applyFill="1" applyBorder="1" applyAlignment="1">
      <alignment horizontal="center" vertical="center" wrapText="1"/>
    </xf>
    <xf numFmtId="2" fontId="1" fillId="2" borderId="18" xfId="0" applyNumberFormat="1" applyFont="1" applyFill="1" applyBorder="1" applyAlignment="1">
      <alignment horizontal="center" vertical="center" wrapText="1"/>
    </xf>
    <xf numFmtId="2" fontId="1" fillId="2" borderId="4" xfId="0" applyNumberFormat="1" applyFont="1" applyFill="1" applyBorder="1" applyAlignment="1">
      <alignment horizontal="center" vertical="center" wrapText="1"/>
    </xf>
    <xf numFmtId="2" fontId="1" fillId="2" borderId="5" xfId="0" applyNumberFormat="1" applyFont="1" applyFill="1" applyBorder="1" applyAlignment="1">
      <alignment horizontal="center" vertical="center" wrapText="1"/>
    </xf>
    <xf numFmtId="2" fontId="1" fillId="2" borderId="6" xfId="0" applyNumberFormat="1" applyFont="1" applyFill="1" applyBorder="1" applyAlignment="1">
      <alignment horizontal="center" vertical="center" wrapText="1"/>
    </xf>
    <xf numFmtId="2" fontId="1" fillId="2" borderId="15" xfId="0" applyNumberFormat="1" applyFont="1" applyFill="1" applyBorder="1" applyAlignment="1">
      <alignment horizontal="center" vertical="center" wrapText="1"/>
    </xf>
    <xf numFmtId="2" fontId="1" fillId="2" borderId="31" xfId="0" applyNumberFormat="1" applyFont="1" applyFill="1" applyBorder="1" applyAlignment="1">
      <alignment horizontal="left" vertical="center" wrapText="1"/>
    </xf>
    <xf numFmtId="2" fontId="1" fillId="2" borderId="32" xfId="0" applyNumberFormat="1" applyFont="1" applyFill="1" applyBorder="1" applyAlignment="1">
      <alignment horizontal="left" vertical="center" wrapText="1"/>
    </xf>
    <xf numFmtId="2" fontId="1" fillId="2" borderId="11" xfId="0" applyNumberFormat="1" applyFont="1" applyFill="1" applyBorder="1" applyAlignment="1">
      <alignment horizontal="center" vertical="center" wrapText="1"/>
    </xf>
    <xf numFmtId="2" fontId="1" fillId="2" borderId="30" xfId="0" applyNumberFormat="1" applyFont="1" applyFill="1" applyBorder="1" applyAlignment="1">
      <alignment horizontal="center" vertical="center" wrapText="1"/>
    </xf>
    <xf numFmtId="2" fontId="1" fillId="2" borderId="7" xfId="0" applyNumberFormat="1" applyFont="1" applyFill="1" applyBorder="1" applyAlignment="1">
      <alignment horizontal="center" vertical="center" wrapText="1"/>
    </xf>
    <xf numFmtId="2" fontId="1" fillId="2" borderId="12" xfId="0" applyNumberFormat="1" applyFont="1" applyFill="1" applyBorder="1" applyAlignment="1">
      <alignment horizontal="center" vertical="center" wrapText="1"/>
    </xf>
    <xf numFmtId="2" fontId="1" fillId="2" borderId="13" xfId="0" applyNumberFormat="1" applyFont="1" applyFill="1" applyBorder="1" applyAlignment="1">
      <alignment horizontal="center" vertical="center" wrapText="1"/>
    </xf>
    <xf numFmtId="2" fontId="1" fillId="2" borderId="28" xfId="0" applyNumberFormat="1" applyFont="1" applyFill="1" applyBorder="1" applyAlignment="1">
      <alignment horizontal="center" vertical="center" wrapText="1"/>
    </xf>
    <xf numFmtId="2" fontId="1" fillId="2" borderId="33" xfId="0" applyNumberFormat="1" applyFont="1" applyFill="1" applyBorder="1" applyAlignment="1">
      <alignment horizontal="center" vertical="center" wrapText="1"/>
    </xf>
    <xf numFmtId="2" fontId="1" fillId="2" borderId="29" xfId="0" applyNumberFormat="1" applyFont="1" applyFill="1" applyBorder="1" applyAlignment="1">
      <alignment horizontal="center" vertical="center" wrapText="1"/>
    </xf>
    <xf numFmtId="2" fontId="1" fillId="2" borderId="34" xfId="0" applyNumberFormat="1" applyFont="1" applyFill="1" applyBorder="1" applyAlignment="1">
      <alignment horizontal="center" vertical="center" wrapText="1"/>
    </xf>
    <xf numFmtId="2" fontId="1" fillId="2" borderId="31" xfId="0" applyNumberFormat="1" applyFont="1" applyFill="1" applyBorder="1" applyAlignment="1">
      <alignment horizontal="left" vertical="top" wrapText="1"/>
    </xf>
    <xf numFmtId="2" fontId="1" fillId="2" borderId="44" xfId="0" applyNumberFormat="1" applyFont="1" applyFill="1" applyBorder="1" applyAlignment="1">
      <alignment horizontal="left" vertical="top" wrapText="1"/>
    </xf>
    <xf numFmtId="2" fontId="1" fillId="2" borderId="32" xfId="0" applyNumberFormat="1" applyFont="1" applyFill="1" applyBorder="1" applyAlignment="1">
      <alignment horizontal="left" vertical="top" wrapText="1"/>
    </xf>
    <xf numFmtId="2" fontId="1" fillId="2" borderId="40" xfId="0" applyNumberFormat="1" applyFont="1" applyFill="1" applyBorder="1" applyAlignment="1">
      <alignment horizontal="center" vertical="center" wrapText="1"/>
    </xf>
    <xf numFmtId="2" fontId="1" fillId="2" borderId="41" xfId="0" applyNumberFormat="1" applyFont="1" applyFill="1" applyBorder="1" applyAlignment="1">
      <alignment horizontal="center" vertical="center" wrapText="1"/>
    </xf>
    <xf numFmtId="2" fontId="1" fillId="2" borderId="42" xfId="0" applyNumberFormat="1" applyFont="1" applyFill="1" applyBorder="1" applyAlignment="1">
      <alignment horizontal="center" vertical="center" wrapText="1"/>
    </xf>
    <xf numFmtId="2" fontId="1" fillId="2" borderId="44" xfId="0" applyNumberFormat="1" applyFont="1" applyFill="1" applyBorder="1" applyAlignment="1">
      <alignment horizontal="left" vertical="center" wrapText="1"/>
    </xf>
    <xf numFmtId="2" fontId="1" fillId="2" borderId="45" xfId="0" applyNumberFormat="1" applyFont="1" applyFill="1" applyBorder="1" applyAlignment="1">
      <alignment horizontal="left" vertical="top" wrapText="1"/>
    </xf>
    <xf numFmtId="2" fontId="1" fillId="2" borderId="41" xfId="0" applyNumberFormat="1" applyFont="1" applyFill="1" applyBorder="1" applyAlignment="1">
      <alignment horizontal="left" vertical="top" wrapText="1"/>
    </xf>
    <xf numFmtId="2" fontId="1" fillId="2" borderId="46" xfId="0" applyNumberFormat="1" applyFont="1" applyFill="1" applyBorder="1" applyAlignment="1">
      <alignment horizontal="left" vertical="top" wrapText="1"/>
    </xf>
    <xf numFmtId="2" fontId="2" fillId="0" borderId="49" xfId="0" applyNumberFormat="1" applyFont="1" applyBorder="1"/>
    <xf numFmtId="0" fontId="2" fillId="2" borderId="50" xfId="0" applyFont="1" applyFill="1" applyBorder="1" applyAlignment="1">
      <alignment horizontal="center" vertical="center"/>
    </xf>
    <xf numFmtId="2" fontId="2" fillId="0" borderId="0" xfId="0" applyNumberFormat="1" applyFont="1" applyBorder="1"/>
    <xf numFmtId="2" fontId="2" fillId="0" borderId="66" xfId="0" applyNumberFormat="1" applyFont="1" applyBorder="1" applyAlignment="1">
      <alignment horizontal="center" vertical="center"/>
    </xf>
    <xf numFmtId="0" fontId="2" fillId="2" borderId="56" xfId="0" applyFont="1" applyFill="1" applyBorder="1" applyAlignment="1">
      <alignment horizontal="center" vertical="center"/>
    </xf>
    <xf numFmtId="2" fontId="1" fillId="2" borderId="33" xfId="0" applyNumberFormat="1" applyFont="1" applyFill="1" applyBorder="1" applyAlignment="1">
      <alignment vertical="center" wrapText="1"/>
    </xf>
    <xf numFmtId="2" fontId="1" fillId="2" borderId="12" xfId="0" applyNumberFormat="1" applyFont="1" applyFill="1" applyBorder="1" applyAlignment="1">
      <alignment vertical="center" wrapText="1"/>
    </xf>
    <xf numFmtId="2" fontId="1" fillId="2" borderId="61" xfId="0" applyNumberFormat="1" applyFont="1" applyFill="1" applyBorder="1" applyAlignment="1">
      <alignment horizontal="center" vertical="center" wrapText="1"/>
    </xf>
    <xf numFmtId="2" fontId="1" fillId="2" borderId="67" xfId="0" applyNumberFormat="1" applyFont="1" applyFill="1" applyBorder="1" applyAlignment="1">
      <alignment horizontal="center" vertical="center" wrapText="1"/>
    </xf>
    <xf numFmtId="2" fontId="2" fillId="2" borderId="56" xfId="0" applyNumberFormat="1" applyFont="1" applyFill="1" applyBorder="1" applyAlignment="1">
      <alignment horizontal="left" vertical="center" wrapText="1"/>
    </xf>
    <xf numFmtId="2" fontId="2" fillId="2" borderId="56" xfId="0" applyNumberFormat="1" applyFont="1" applyFill="1" applyBorder="1" applyAlignment="1">
      <alignment horizontal="left" vertical="top" wrapText="1"/>
    </xf>
    <xf numFmtId="2" fontId="2" fillId="2" borderId="56" xfId="0" applyNumberFormat="1" applyFont="1" applyFill="1" applyBorder="1" applyAlignment="1">
      <alignment vertical="center" wrapText="1"/>
    </xf>
    <xf numFmtId="2" fontId="2" fillId="2" borderId="56" xfId="0" applyNumberFormat="1" applyFont="1" applyFill="1" applyBorder="1" applyAlignment="1">
      <alignment vertical="top" wrapText="1"/>
    </xf>
    <xf numFmtId="2" fontId="3" fillId="2" borderId="56" xfId="0" applyNumberFormat="1" applyFont="1" applyFill="1" applyBorder="1" applyAlignment="1">
      <alignment vertical="top" wrapText="1"/>
    </xf>
    <xf numFmtId="2" fontId="2" fillId="0" borderId="56" xfId="0" applyNumberFormat="1" applyFont="1" applyBorder="1"/>
    <xf numFmtId="2" fontId="2" fillId="2" borderId="56" xfId="0" applyNumberFormat="1" applyFont="1" applyFill="1" applyBorder="1"/>
    <xf numFmtId="2" fontId="2" fillId="2" borderId="56" xfId="0" applyNumberFormat="1" applyFont="1" applyFill="1" applyBorder="1" applyAlignment="1">
      <alignment horizontal="center" vertical="center" wrapText="1"/>
    </xf>
    <xf numFmtId="2" fontId="2" fillId="2" borderId="56" xfId="0" applyNumberFormat="1" applyFont="1" applyFill="1" applyBorder="1" applyAlignment="1">
      <alignment horizontal="center" vertical="center" wrapText="1"/>
    </xf>
    <xf numFmtId="2" fontId="1" fillId="2" borderId="56" xfId="0" applyNumberFormat="1" applyFont="1" applyFill="1" applyBorder="1" applyAlignment="1">
      <alignment horizontal="left" vertical="center" wrapText="1"/>
    </xf>
    <xf numFmtId="2" fontId="1" fillId="2" borderId="56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BCC7E-ABEC-4E19-9E5C-E8459FAD83F9}">
  <dimension ref="A1:R251"/>
  <sheetViews>
    <sheetView tabSelected="1" topLeftCell="A215" zoomScale="55" zoomScaleNormal="55" workbookViewId="0">
      <selection activeCell="E246" sqref="E246"/>
    </sheetView>
  </sheetViews>
  <sheetFormatPr defaultColWidth="9.109375" defaultRowHeight="13.8" x14ac:dyDescent="0.25"/>
  <cols>
    <col min="1" max="1" width="35.5546875" style="11" customWidth="1"/>
    <col min="2" max="2" width="19.6640625" style="11" customWidth="1"/>
    <col min="3" max="3" width="23.6640625" style="11" customWidth="1"/>
    <col min="4" max="4" width="23.5546875" style="11" customWidth="1"/>
    <col min="5" max="5" width="26.109375" style="11" customWidth="1"/>
    <col min="6" max="6" width="18.44140625" style="11" customWidth="1"/>
    <col min="7" max="7" width="29.44140625" style="11" customWidth="1"/>
    <col min="8" max="8" width="27.88671875" style="11" customWidth="1"/>
    <col min="9" max="9" width="30.109375" style="11" customWidth="1"/>
    <col min="10" max="12" width="10.6640625" style="11" bestFit="1" customWidth="1"/>
    <col min="13" max="14" width="11.6640625" style="11" bestFit="1" customWidth="1"/>
    <col min="15" max="15" width="10.6640625" style="11" bestFit="1" customWidth="1"/>
    <col min="16" max="17" width="11.6640625" style="11" bestFit="1" customWidth="1"/>
    <col min="18" max="16384" width="9.109375" style="11"/>
  </cols>
  <sheetData>
    <row r="1" spans="1:8" ht="14.4" thickBot="1" x14ac:dyDescent="0.3">
      <c r="A1" s="27" t="s">
        <v>0</v>
      </c>
      <c r="B1" s="28"/>
      <c r="C1" s="28"/>
      <c r="D1" s="28"/>
      <c r="E1" s="28"/>
      <c r="F1" s="28"/>
      <c r="G1" s="28"/>
      <c r="H1" s="28"/>
    </row>
    <row r="2" spans="1:8" ht="28.2" thickBot="1" x14ac:dyDescent="0.3">
      <c r="A2" s="29" t="s">
        <v>1</v>
      </c>
      <c r="B2" s="30" t="s">
        <v>2</v>
      </c>
      <c r="C2" s="30" t="s">
        <v>3</v>
      </c>
      <c r="D2" s="30" t="s">
        <v>4</v>
      </c>
      <c r="E2" s="30" t="s">
        <v>5</v>
      </c>
      <c r="F2" s="30" t="s">
        <v>6</v>
      </c>
      <c r="G2" s="30" t="s">
        <v>7</v>
      </c>
      <c r="H2" s="31" t="s">
        <v>8</v>
      </c>
    </row>
    <row r="3" spans="1:8" ht="14.4" thickBot="1" x14ac:dyDescent="0.3">
      <c r="A3" s="216" t="s">
        <v>9</v>
      </c>
      <c r="B3" s="217"/>
      <c r="C3" s="217"/>
      <c r="D3" s="217"/>
      <c r="E3" s="217"/>
      <c r="F3" s="217"/>
      <c r="G3" s="217"/>
      <c r="H3" s="218"/>
    </row>
    <row r="4" spans="1:8" ht="15.75" customHeight="1" x14ac:dyDescent="0.25">
      <c r="A4" s="32" t="s">
        <v>10</v>
      </c>
      <c r="B4" s="208"/>
      <c r="C4" s="209"/>
      <c r="D4" s="209"/>
      <c r="E4" s="209"/>
      <c r="F4" s="209"/>
      <c r="G4" s="209"/>
      <c r="H4" s="210"/>
    </row>
    <row r="5" spans="1:8" ht="66.599999999999994" thickBot="1" x14ac:dyDescent="0.3">
      <c r="A5" s="2" t="s">
        <v>11</v>
      </c>
      <c r="B5" s="36">
        <v>2</v>
      </c>
      <c r="C5" s="36">
        <v>75000</v>
      </c>
      <c r="D5" s="37">
        <f>C5*B5</f>
        <v>150000</v>
      </c>
      <c r="E5" s="36">
        <v>60</v>
      </c>
      <c r="F5" s="36" t="s">
        <v>12</v>
      </c>
      <c r="G5" s="37">
        <f>0.15*B5</f>
        <v>0.3</v>
      </c>
      <c r="H5" s="38" t="s">
        <v>19</v>
      </c>
    </row>
    <row r="6" spans="1:8" ht="14.4" thickBot="1" x14ac:dyDescent="0.3">
      <c r="A6" s="216" t="s">
        <v>13</v>
      </c>
      <c r="B6" s="217"/>
      <c r="C6" s="217"/>
      <c r="D6" s="217"/>
      <c r="E6" s="217"/>
      <c r="F6" s="217"/>
      <c r="G6" s="217"/>
      <c r="H6" s="218"/>
    </row>
    <row r="7" spans="1:8" ht="30.75" customHeight="1" x14ac:dyDescent="0.25">
      <c r="A7" s="39" t="s">
        <v>14</v>
      </c>
      <c r="B7" s="208"/>
      <c r="C7" s="209"/>
      <c r="D7" s="209"/>
      <c r="E7" s="209"/>
      <c r="F7" s="209"/>
      <c r="G7" s="209"/>
      <c r="H7" s="210"/>
    </row>
    <row r="8" spans="1:8" ht="72" customHeight="1" thickBot="1" x14ac:dyDescent="0.3">
      <c r="A8" s="40" t="s">
        <v>15</v>
      </c>
      <c r="B8" s="15">
        <v>10</v>
      </c>
      <c r="C8" s="36">
        <v>25000</v>
      </c>
      <c r="D8" s="15">
        <f>B8*C8</f>
        <v>250000</v>
      </c>
      <c r="E8" s="15">
        <v>60</v>
      </c>
      <c r="F8" s="15" t="s">
        <v>12</v>
      </c>
      <c r="G8" s="37">
        <f>0.15*B8</f>
        <v>1.5</v>
      </c>
      <c r="H8" s="38" t="s">
        <v>183</v>
      </c>
    </row>
    <row r="9" spans="1:8" ht="24.75" customHeight="1" x14ac:dyDescent="0.25">
      <c r="A9" s="17" t="s">
        <v>16</v>
      </c>
      <c r="B9" s="208"/>
      <c r="C9" s="209"/>
      <c r="D9" s="209"/>
      <c r="E9" s="209"/>
      <c r="F9" s="209"/>
      <c r="G9" s="209"/>
      <c r="H9" s="210"/>
    </row>
    <row r="10" spans="1:8" ht="65.25" customHeight="1" thickBot="1" x14ac:dyDescent="0.3">
      <c r="A10" s="40" t="s">
        <v>17</v>
      </c>
      <c r="B10" s="15">
        <v>1</v>
      </c>
      <c r="C10" s="15">
        <v>2200</v>
      </c>
      <c r="D10" s="41">
        <f>B10*C10</f>
        <v>2200</v>
      </c>
      <c r="E10" s="15">
        <v>60</v>
      </c>
      <c r="F10" s="15" t="s">
        <v>250</v>
      </c>
      <c r="G10" s="15">
        <v>1.4999999999999999E-2</v>
      </c>
      <c r="H10" s="42" t="s">
        <v>18</v>
      </c>
    </row>
    <row r="12" spans="1:8" ht="14.4" thickBot="1" x14ac:dyDescent="0.3">
      <c r="A12" s="11" t="s">
        <v>24</v>
      </c>
    </row>
    <row r="13" spans="1:8" x14ac:dyDescent="0.25">
      <c r="A13" s="211" t="s">
        <v>1</v>
      </c>
      <c r="B13" s="213" t="s">
        <v>2</v>
      </c>
      <c r="C13" s="213" t="s">
        <v>3</v>
      </c>
      <c r="D13" s="213" t="s">
        <v>20</v>
      </c>
      <c r="E13" s="213" t="s">
        <v>21</v>
      </c>
      <c r="F13" s="214"/>
    </row>
    <row r="14" spans="1:8" ht="14.4" thickBot="1" x14ac:dyDescent="0.3">
      <c r="A14" s="212"/>
      <c r="B14" s="219"/>
      <c r="C14" s="219"/>
      <c r="D14" s="219"/>
      <c r="E14" s="15" t="s">
        <v>22</v>
      </c>
      <c r="F14" s="16" t="s">
        <v>23</v>
      </c>
    </row>
    <row r="15" spans="1:8" ht="14.4" thickBot="1" x14ac:dyDescent="0.3">
      <c r="A15" s="216" t="s">
        <v>9</v>
      </c>
      <c r="B15" s="217"/>
      <c r="C15" s="217"/>
      <c r="D15" s="217"/>
      <c r="E15" s="217"/>
      <c r="F15" s="218"/>
    </row>
    <row r="16" spans="1:8" x14ac:dyDescent="0.25">
      <c r="A16" s="43" t="s">
        <v>10</v>
      </c>
      <c r="B16" s="208"/>
      <c r="C16" s="209"/>
      <c r="D16" s="209"/>
      <c r="E16" s="209"/>
      <c r="F16" s="210"/>
    </row>
    <row r="17" spans="1:6" ht="14.4" thickBot="1" x14ac:dyDescent="0.3">
      <c r="A17" s="21" t="s">
        <v>11</v>
      </c>
      <c r="B17" s="4">
        <v>2</v>
      </c>
      <c r="C17" s="4">
        <v>75000</v>
      </c>
      <c r="D17" s="4">
        <v>60</v>
      </c>
      <c r="E17" s="4">
        <f>IFERROR(C17*B17/D17,"-")</f>
        <v>2500</v>
      </c>
      <c r="F17" s="5">
        <f>IFERROR(E17*12,"-")</f>
        <v>30000</v>
      </c>
    </row>
    <row r="18" spans="1:6" ht="14.4" thickBot="1" x14ac:dyDescent="0.3">
      <c r="A18" s="216" t="s">
        <v>13</v>
      </c>
      <c r="B18" s="217"/>
      <c r="C18" s="217"/>
      <c r="D18" s="217"/>
      <c r="E18" s="217"/>
      <c r="F18" s="218"/>
    </row>
    <row r="19" spans="1:6" ht="27.6" x14ac:dyDescent="0.25">
      <c r="A19" s="43" t="s">
        <v>14</v>
      </c>
      <c r="B19" s="208"/>
      <c r="C19" s="209"/>
      <c r="D19" s="209"/>
      <c r="E19" s="209"/>
      <c r="F19" s="210"/>
    </row>
    <row r="20" spans="1:6" ht="14.4" thickBot="1" x14ac:dyDescent="0.3">
      <c r="A20" s="21" t="s">
        <v>15</v>
      </c>
      <c r="B20" s="4">
        <v>10</v>
      </c>
      <c r="C20" s="4">
        <v>25000</v>
      </c>
      <c r="D20" s="4">
        <v>60</v>
      </c>
      <c r="E20" s="4">
        <f>IFERROR(C20*B20/D20,"-")</f>
        <v>4166.666666666667</v>
      </c>
      <c r="F20" s="5">
        <f>IFERROR(E20*12,"-")</f>
        <v>50000</v>
      </c>
    </row>
    <row r="21" spans="1:6" ht="27.6" x14ac:dyDescent="0.25">
      <c r="A21" s="44" t="s">
        <v>16</v>
      </c>
      <c r="B21" s="208"/>
      <c r="C21" s="209"/>
      <c r="D21" s="209"/>
      <c r="E21" s="209"/>
      <c r="F21" s="210"/>
    </row>
    <row r="22" spans="1:6" ht="14.4" thickBot="1" x14ac:dyDescent="0.3">
      <c r="A22" s="40" t="s">
        <v>17</v>
      </c>
      <c r="B22" s="15">
        <v>1</v>
      </c>
      <c r="C22" s="15">
        <v>2200</v>
      </c>
      <c r="D22" s="15">
        <v>60</v>
      </c>
      <c r="E22" s="15">
        <f>IFERROR(C22*B22/D22,"-")</f>
        <v>36.666666666666664</v>
      </c>
      <c r="F22" s="16">
        <f>IFERROR(E22*12,"-")</f>
        <v>440</v>
      </c>
    </row>
    <row r="24" spans="1:6" ht="14.4" thickBot="1" x14ac:dyDescent="0.3">
      <c r="A24" s="27" t="s">
        <v>25</v>
      </c>
      <c r="B24" s="28"/>
      <c r="C24" s="28"/>
      <c r="D24" s="28"/>
    </row>
    <row r="25" spans="1:6" x14ac:dyDescent="0.25">
      <c r="A25" s="211" t="s">
        <v>26</v>
      </c>
      <c r="B25" s="213" t="s">
        <v>9</v>
      </c>
      <c r="C25" s="213" t="s">
        <v>13</v>
      </c>
      <c r="D25" s="214"/>
    </row>
    <row r="26" spans="1:6" ht="28.2" thickBot="1" x14ac:dyDescent="0.3">
      <c r="A26" s="212"/>
      <c r="B26" s="219"/>
      <c r="C26" s="15" t="s">
        <v>27</v>
      </c>
      <c r="D26" s="16" t="s">
        <v>28</v>
      </c>
    </row>
    <row r="27" spans="1:6" ht="27.6" x14ac:dyDescent="0.25">
      <c r="A27" s="17" t="s">
        <v>29</v>
      </c>
      <c r="B27" s="18">
        <v>0</v>
      </c>
      <c r="C27" s="18">
        <v>0</v>
      </c>
      <c r="D27" s="19">
        <v>0</v>
      </c>
    </row>
    <row r="28" spans="1:6" ht="27.6" x14ac:dyDescent="0.25">
      <c r="A28" s="20" t="s">
        <v>30</v>
      </c>
      <c r="B28" s="4">
        <v>0.9</v>
      </c>
      <c r="C28" s="4">
        <v>0.9</v>
      </c>
      <c r="D28" s="5">
        <v>0.9</v>
      </c>
    </row>
    <row r="29" spans="1:6" ht="27.6" x14ac:dyDescent="0.25">
      <c r="A29" s="20" t="s">
        <v>31</v>
      </c>
      <c r="B29" s="4">
        <f>G5</f>
        <v>0.3</v>
      </c>
      <c r="C29" s="4">
        <f>G8</f>
        <v>1.5</v>
      </c>
      <c r="D29" s="5">
        <f>G10</f>
        <v>1.4999999999999999E-2</v>
      </c>
    </row>
    <row r="30" spans="1:6" ht="27.6" x14ac:dyDescent="0.25">
      <c r="A30" s="20" t="s">
        <v>32</v>
      </c>
      <c r="B30" s="45">
        <v>132</v>
      </c>
      <c r="C30" s="4">
        <v>6</v>
      </c>
      <c r="D30" s="5">
        <v>6</v>
      </c>
    </row>
    <row r="31" spans="1:6" ht="14.4" thickBot="1" x14ac:dyDescent="0.3">
      <c r="A31" s="46" t="s">
        <v>33</v>
      </c>
      <c r="B31" s="36">
        <v>7.2</v>
      </c>
      <c r="C31" s="36">
        <v>7.2</v>
      </c>
      <c r="D31" s="36">
        <v>7.2</v>
      </c>
    </row>
    <row r="32" spans="1:6" ht="14.4" thickBot="1" x14ac:dyDescent="0.3">
      <c r="A32" s="47" t="s">
        <v>34</v>
      </c>
      <c r="B32" s="30">
        <f>B27+B28*B29*B30*B31</f>
        <v>256.608</v>
      </c>
      <c r="C32" s="30">
        <f>C27+C28*C29*C30*C31</f>
        <v>58.320000000000014</v>
      </c>
      <c r="D32" s="31">
        <f>D27+D28*D29*D30*D31</f>
        <v>0.58320000000000005</v>
      </c>
    </row>
    <row r="34" spans="1:6" ht="14.4" thickBot="1" x14ac:dyDescent="0.3">
      <c r="A34" s="27" t="s">
        <v>35</v>
      </c>
      <c r="B34" s="28"/>
      <c r="C34" s="28"/>
      <c r="D34" s="28"/>
      <c r="E34" s="28"/>
      <c r="F34" s="28"/>
    </row>
    <row r="35" spans="1:6" ht="42" thickBot="1" x14ac:dyDescent="0.3">
      <c r="A35" s="29" t="s">
        <v>36</v>
      </c>
      <c r="B35" s="30" t="s">
        <v>37</v>
      </c>
      <c r="C35" s="30" t="s">
        <v>38</v>
      </c>
      <c r="D35" s="30" t="s">
        <v>4</v>
      </c>
      <c r="E35" s="30" t="s">
        <v>39</v>
      </c>
      <c r="F35" s="31" t="s">
        <v>40</v>
      </c>
    </row>
    <row r="36" spans="1:6" ht="14.4" thickBot="1" x14ac:dyDescent="0.3">
      <c r="A36" s="201" t="s">
        <v>9</v>
      </c>
      <c r="B36" s="202"/>
      <c r="C36" s="202"/>
      <c r="D36" s="202"/>
      <c r="E36" s="202"/>
      <c r="F36" s="203"/>
    </row>
    <row r="37" spans="1:6" x14ac:dyDescent="0.25">
      <c r="A37" s="17" t="s">
        <v>41</v>
      </c>
      <c r="B37" s="208"/>
      <c r="C37" s="209"/>
      <c r="D37" s="209"/>
      <c r="E37" s="209"/>
      <c r="F37" s="210"/>
    </row>
    <row r="38" spans="1:6" x14ac:dyDescent="0.25">
      <c r="A38" s="20" t="s">
        <v>44</v>
      </c>
      <c r="B38" s="48">
        <v>0</v>
      </c>
      <c r="C38" s="4">
        <v>0</v>
      </c>
      <c r="D38" s="4">
        <v>0</v>
      </c>
      <c r="E38" s="4">
        <v>0</v>
      </c>
      <c r="F38" s="5">
        <v>60</v>
      </c>
    </row>
    <row r="39" spans="1:6" ht="28.2" thickBot="1" x14ac:dyDescent="0.3">
      <c r="A39" s="49" t="s">
        <v>45</v>
      </c>
      <c r="B39" s="50">
        <v>0</v>
      </c>
      <c r="C39" s="51">
        <v>0</v>
      </c>
      <c r="D39" s="51">
        <v>0</v>
      </c>
      <c r="E39" s="51">
        <v>0</v>
      </c>
      <c r="F39" s="52">
        <v>60</v>
      </c>
    </row>
    <row r="40" spans="1:6" ht="14.4" thickBot="1" x14ac:dyDescent="0.3">
      <c r="A40" s="201" t="s">
        <v>13</v>
      </c>
      <c r="B40" s="202"/>
      <c r="C40" s="202"/>
      <c r="D40" s="202"/>
      <c r="E40" s="202"/>
      <c r="F40" s="203"/>
    </row>
    <row r="41" spans="1:6" x14ac:dyDescent="0.25">
      <c r="A41" s="39" t="s">
        <v>42</v>
      </c>
      <c r="B41" s="208"/>
      <c r="C41" s="209"/>
      <c r="D41" s="209"/>
      <c r="E41" s="209"/>
      <c r="F41" s="210"/>
    </row>
    <row r="42" spans="1:6" ht="14.4" thickBot="1" x14ac:dyDescent="0.3">
      <c r="A42" s="40" t="s">
        <v>43</v>
      </c>
      <c r="B42" s="15" t="s">
        <v>43</v>
      </c>
      <c r="C42" s="15" t="s">
        <v>43</v>
      </c>
      <c r="D42" s="15" t="s">
        <v>43</v>
      </c>
      <c r="E42" s="15" t="s">
        <v>43</v>
      </c>
      <c r="F42" s="16" t="s">
        <v>43</v>
      </c>
    </row>
    <row r="44" spans="1:6" ht="14.4" thickBot="1" x14ac:dyDescent="0.3">
      <c r="A44" s="27" t="s">
        <v>46</v>
      </c>
      <c r="B44" s="28"/>
      <c r="C44" s="28"/>
      <c r="D44" s="28"/>
      <c r="E44" s="28"/>
      <c r="F44" s="28"/>
    </row>
    <row r="45" spans="1:6" x14ac:dyDescent="0.25">
      <c r="A45" s="211" t="s">
        <v>36</v>
      </c>
      <c r="B45" s="213" t="s">
        <v>3</v>
      </c>
      <c r="C45" s="213" t="s">
        <v>2</v>
      </c>
      <c r="D45" s="213" t="s">
        <v>47</v>
      </c>
      <c r="E45" s="213"/>
      <c r="F45" s="214" t="s">
        <v>40</v>
      </c>
    </row>
    <row r="46" spans="1:6" ht="14.4" thickBot="1" x14ac:dyDescent="0.3">
      <c r="A46" s="222"/>
      <c r="B46" s="225"/>
      <c r="C46" s="225"/>
      <c r="D46" s="36" t="s">
        <v>22</v>
      </c>
      <c r="E46" s="36" t="s">
        <v>23</v>
      </c>
      <c r="F46" s="226"/>
    </row>
    <row r="47" spans="1:6" ht="14.4" thickBot="1" x14ac:dyDescent="0.3">
      <c r="A47" s="201" t="s">
        <v>9</v>
      </c>
      <c r="B47" s="202"/>
      <c r="C47" s="202"/>
      <c r="D47" s="202"/>
      <c r="E47" s="202"/>
      <c r="F47" s="203"/>
    </row>
    <row r="48" spans="1:6" x14ac:dyDescent="0.25">
      <c r="A48" s="43" t="s">
        <v>48</v>
      </c>
      <c r="B48" s="208"/>
      <c r="C48" s="209"/>
      <c r="D48" s="209"/>
      <c r="E48" s="209"/>
      <c r="F48" s="210"/>
    </row>
    <row r="49" spans="1:6" x14ac:dyDescent="0.25">
      <c r="A49" s="20" t="s">
        <v>44</v>
      </c>
      <c r="B49" s="48">
        <v>0</v>
      </c>
      <c r="C49" s="4">
        <v>2</v>
      </c>
      <c r="D49" s="4">
        <v>0</v>
      </c>
      <c r="E49" s="4">
        <v>0</v>
      </c>
      <c r="F49" s="4">
        <v>60</v>
      </c>
    </row>
    <row r="50" spans="1:6" ht="28.2" thickBot="1" x14ac:dyDescent="0.3">
      <c r="A50" s="49" t="s">
        <v>45</v>
      </c>
      <c r="B50" s="48">
        <v>0</v>
      </c>
      <c r="C50" s="4">
        <v>2</v>
      </c>
      <c r="D50" s="4">
        <v>0</v>
      </c>
      <c r="E50" s="4">
        <v>0</v>
      </c>
      <c r="F50" s="5">
        <v>60</v>
      </c>
    </row>
    <row r="52" spans="1:6" ht="14.4" thickBot="1" x14ac:dyDescent="0.3">
      <c r="A52" s="27" t="s">
        <v>49</v>
      </c>
      <c r="B52" s="28"/>
      <c r="C52" s="28"/>
      <c r="D52" s="28"/>
    </row>
    <row r="53" spans="1:6" x14ac:dyDescent="0.25">
      <c r="A53" s="211" t="s">
        <v>36</v>
      </c>
      <c r="B53" s="213" t="s">
        <v>50</v>
      </c>
      <c r="C53" s="213"/>
      <c r="D53" s="214" t="s">
        <v>51</v>
      </c>
    </row>
    <row r="54" spans="1:6" ht="14.4" thickBot="1" x14ac:dyDescent="0.3">
      <c r="A54" s="212"/>
      <c r="B54" s="15" t="s">
        <v>22</v>
      </c>
      <c r="C54" s="15" t="s">
        <v>23</v>
      </c>
      <c r="D54" s="215"/>
    </row>
    <row r="55" spans="1:6" ht="14.4" thickBot="1" x14ac:dyDescent="0.3">
      <c r="A55" s="201" t="s">
        <v>9</v>
      </c>
      <c r="B55" s="202"/>
      <c r="C55" s="202"/>
      <c r="D55" s="203"/>
    </row>
    <row r="56" spans="1:6" ht="14.4" thickBot="1" x14ac:dyDescent="0.3">
      <c r="A56" s="54" t="s">
        <v>48</v>
      </c>
      <c r="B56" s="208"/>
      <c r="C56" s="209"/>
      <c r="D56" s="210"/>
    </row>
    <row r="57" spans="1:6" ht="14.4" thickBot="1" x14ac:dyDescent="0.3">
      <c r="A57" s="201" t="s">
        <v>13</v>
      </c>
      <c r="B57" s="202"/>
      <c r="C57" s="202"/>
      <c r="D57" s="203"/>
    </row>
    <row r="58" spans="1:6" x14ac:dyDescent="0.25">
      <c r="A58" s="17" t="s">
        <v>52</v>
      </c>
      <c r="B58" s="18" t="s">
        <v>43</v>
      </c>
      <c r="C58" s="18" t="s">
        <v>43</v>
      </c>
      <c r="D58" s="19" t="s">
        <v>43</v>
      </c>
    </row>
    <row r="59" spans="1:6" ht="14.4" thickBot="1" x14ac:dyDescent="0.3">
      <c r="A59" s="14" t="s">
        <v>53</v>
      </c>
      <c r="B59" s="15" t="s">
        <v>43</v>
      </c>
      <c r="C59" s="15" t="s">
        <v>43</v>
      </c>
      <c r="D59" s="16" t="s">
        <v>43</v>
      </c>
    </row>
    <row r="61" spans="1:6" x14ac:dyDescent="0.25">
      <c r="A61" s="27" t="s">
        <v>54</v>
      </c>
      <c r="B61" s="28"/>
      <c r="C61" s="28"/>
      <c r="D61" s="28"/>
    </row>
    <row r="62" spans="1:6" ht="27.6" customHeight="1" x14ac:dyDescent="0.25"/>
    <row r="63" spans="1:6" x14ac:dyDescent="0.25">
      <c r="B63" s="246"/>
      <c r="C63" s="246"/>
      <c r="D63" s="246"/>
    </row>
    <row r="64" spans="1:6" x14ac:dyDescent="0.25">
      <c r="A64" s="246"/>
      <c r="B64" s="246"/>
      <c r="C64" s="246"/>
      <c r="D64" s="246"/>
    </row>
    <row r="65" spans="1:4" x14ac:dyDescent="0.25">
      <c r="A65" s="246"/>
      <c r="B65" s="246"/>
      <c r="C65" s="246"/>
      <c r="D65" s="246"/>
    </row>
    <row r="66" spans="1:4" x14ac:dyDescent="0.25">
      <c r="A66" s="246"/>
      <c r="B66" s="246"/>
      <c r="C66" s="246"/>
      <c r="D66" s="246"/>
    </row>
    <row r="67" spans="1:4" x14ac:dyDescent="0.25">
      <c r="A67" s="246"/>
      <c r="B67" s="246"/>
      <c r="C67" s="246"/>
      <c r="D67" s="246"/>
    </row>
    <row r="68" spans="1:4" x14ac:dyDescent="0.25">
      <c r="A68" s="246"/>
      <c r="B68" s="246"/>
      <c r="C68" s="246"/>
      <c r="D68" s="246"/>
    </row>
    <row r="69" spans="1:4" x14ac:dyDescent="0.25">
      <c r="A69" s="246"/>
      <c r="B69" s="246"/>
      <c r="C69" s="246"/>
      <c r="D69" s="246"/>
    </row>
    <row r="70" spans="1:4" ht="27.6" x14ac:dyDescent="0.25">
      <c r="A70" s="247" t="s">
        <v>55</v>
      </c>
      <c r="B70" s="247" t="s">
        <v>56</v>
      </c>
      <c r="C70" s="247" t="s">
        <v>57</v>
      </c>
      <c r="D70" s="247" t="s">
        <v>58</v>
      </c>
    </row>
    <row r="71" spans="1:4" ht="27.6" x14ac:dyDescent="0.25">
      <c r="A71" s="222" t="s">
        <v>89</v>
      </c>
      <c r="B71" s="3" t="s">
        <v>68</v>
      </c>
      <c r="C71" s="4">
        <v>5</v>
      </c>
      <c r="D71" s="5">
        <f t="shared" ref="D71:D80" si="0">C71*132/20</f>
        <v>33</v>
      </c>
    </row>
    <row r="72" spans="1:4" ht="27.6" x14ac:dyDescent="0.25">
      <c r="A72" s="223"/>
      <c r="B72" s="3" t="s">
        <v>69</v>
      </c>
      <c r="C72" s="4">
        <v>6</v>
      </c>
      <c r="D72" s="5">
        <f t="shared" si="0"/>
        <v>39.6</v>
      </c>
    </row>
    <row r="73" spans="1:4" ht="27.6" x14ac:dyDescent="0.25">
      <c r="A73" s="223"/>
      <c r="B73" s="3" t="s">
        <v>70</v>
      </c>
      <c r="C73" s="4">
        <v>4</v>
      </c>
      <c r="D73" s="5">
        <f t="shared" si="0"/>
        <v>26.4</v>
      </c>
    </row>
    <row r="74" spans="1:4" ht="27.6" x14ac:dyDescent="0.25">
      <c r="A74" s="223"/>
      <c r="B74" s="6" t="s">
        <v>71</v>
      </c>
      <c r="C74" s="4">
        <v>4</v>
      </c>
      <c r="D74" s="4">
        <f t="shared" si="0"/>
        <v>26.4</v>
      </c>
    </row>
    <row r="75" spans="1:4" ht="27.6" x14ac:dyDescent="0.25">
      <c r="A75" s="223"/>
      <c r="B75" s="7" t="s">
        <v>73</v>
      </c>
      <c r="C75" s="4">
        <v>6</v>
      </c>
      <c r="D75" s="4">
        <f t="shared" si="0"/>
        <v>39.6</v>
      </c>
    </row>
    <row r="76" spans="1:4" ht="27.6" x14ac:dyDescent="0.25">
      <c r="A76" s="223"/>
      <c r="B76" s="8" t="s">
        <v>72</v>
      </c>
      <c r="C76" s="4">
        <v>7</v>
      </c>
      <c r="D76" s="4">
        <f t="shared" si="0"/>
        <v>46.2</v>
      </c>
    </row>
    <row r="77" spans="1:4" ht="27.6" x14ac:dyDescent="0.25">
      <c r="A77" s="223"/>
      <c r="B77" s="8" t="s">
        <v>74</v>
      </c>
      <c r="C77" s="4">
        <v>3</v>
      </c>
      <c r="D77" s="4">
        <f t="shared" si="0"/>
        <v>19.8</v>
      </c>
    </row>
    <row r="78" spans="1:4" ht="27.6" x14ac:dyDescent="0.25">
      <c r="A78" s="223"/>
      <c r="B78" s="9" t="s">
        <v>77</v>
      </c>
      <c r="C78" s="10">
        <v>3</v>
      </c>
      <c r="D78" s="10">
        <f t="shared" si="0"/>
        <v>19.8</v>
      </c>
    </row>
    <row r="79" spans="1:4" x14ac:dyDescent="0.25">
      <c r="A79" s="223"/>
      <c r="B79" s="11" t="s">
        <v>78</v>
      </c>
      <c r="C79" s="12">
        <v>3</v>
      </c>
      <c r="D79" s="12">
        <f t="shared" si="0"/>
        <v>19.8</v>
      </c>
    </row>
    <row r="80" spans="1:4" x14ac:dyDescent="0.25">
      <c r="A80" s="224"/>
      <c r="B80" s="13" t="s">
        <v>75</v>
      </c>
      <c r="C80" s="4">
        <v>2</v>
      </c>
      <c r="D80" s="4">
        <f t="shared" si="0"/>
        <v>13.2</v>
      </c>
    </row>
    <row r="81" spans="1:5" ht="14.4" thickBot="1" x14ac:dyDescent="0.3">
      <c r="A81" s="14" t="s">
        <v>34</v>
      </c>
      <c r="B81" s="15"/>
      <c r="C81" s="15">
        <f>SUM(C71:C80)</f>
        <v>43</v>
      </c>
      <c r="D81" s="16">
        <f>SUM(D71:D80)</f>
        <v>283.8</v>
      </c>
    </row>
    <row r="82" spans="1:5" x14ac:dyDescent="0.25">
      <c r="A82" s="17" t="s">
        <v>60</v>
      </c>
      <c r="B82" s="18"/>
      <c r="C82" s="18"/>
      <c r="D82" s="19"/>
    </row>
    <row r="83" spans="1:5" x14ac:dyDescent="0.25">
      <c r="A83" s="20" t="s">
        <v>61</v>
      </c>
      <c r="B83" s="4"/>
      <c r="C83" s="4"/>
      <c r="D83" s="5"/>
    </row>
    <row r="84" spans="1:5" x14ac:dyDescent="0.25">
      <c r="A84" s="21" t="s">
        <v>193</v>
      </c>
      <c r="B84" s="22" t="s">
        <v>192</v>
      </c>
      <c r="C84" s="4">
        <v>1</v>
      </c>
      <c r="D84" s="5">
        <f>C84*160/20</f>
        <v>8</v>
      </c>
    </row>
    <row r="85" spans="1:5" ht="28.2" thickBot="1" x14ac:dyDescent="0.3">
      <c r="A85" s="23" t="s">
        <v>62</v>
      </c>
      <c r="B85" s="24" t="s">
        <v>63</v>
      </c>
      <c r="C85" s="24" t="s">
        <v>64</v>
      </c>
      <c r="D85" s="16">
        <v>8</v>
      </c>
    </row>
    <row r="86" spans="1:5" x14ac:dyDescent="0.25">
      <c r="A86" s="17" t="s">
        <v>65</v>
      </c>
      <c r="B86" s="18"/>
      <c r="C86" s="18"/>
      <c r="D86" s="19"/>
    </row>
    <row r="87" spans="1:5" x14ac:dyDescent="0.25">
      <c r="A87" s="20" t="s">
        <v>66</v>
      </c>
      <c r="B87" s="4"/>
      <c r="C87" s="4">
        <v>1</v>
      </c>
      <c r="D87" s="5">
        <f>C87*160/20</f>
        <v>8</v>
      </c>
    </row>
    <row r="88" spans="1:5" ht="14.4" thickBot="1" x14ac:dyDescent="0.3">
      <c r="A88" s="220" t="s">
        <v>67</v>
      </c>
      <c r="B88" s="221"/>
      <c r="C88" s="15">
        <v>1</v>
      </c>
      <c r="D88" s="16">
        <f>C88*160/20</f>
        <v>8</v>
      </c>
    </row>
    <row r="90" spans="1:5" ht="14.4" thickBot="1" x14ac:dyDescent="0.3">
      <c r="A90" s="27" t="s">
        <v>79</v>
      </c>
      <c r="B90" s="28"/>
      <c r="C90" s="28"/>
      <c r="D90" s="28"/>
      <c r="E90" s="28"/>
    </row>
    <row r="91" spans="1:5" ht="14.4" thickBot="1" x14ac:dyDescent="0.3">
      <c r="A91" s="29" t="s">
        <v>80</v>
      </c>
      <c r="B91" s="30" t="s">
        <v>81</v>
      </c>
      <c r="C91" s="30" t="s">
        <v>82</v>
      </c>
      <c r="D91" s="30" t="s">
        <v>83</v>
      </c>
      <c r="E91" s="31" t="s">
        <v>84</v>
      </c>
    </row>
    <row r="92" spans="1:5" ht="14.4" thickBot="1" x14ac:dyDescent="0.3">
      <c r="A92" s="216" t="s">
        <v>9</v>
      </c>
      <c r="B92" s="217"/>
      <c r="C92" s="217"/>
      <c r="D92" s="217"/>
      <c r="E92" s="218"/>
    </row>
    <row r="93" spans="1:5" ht="14.4" thickBot="1" x14ac:dyDescent="0.3">
      <c r="A93" s="250" t="s">
        <v>68</v>
      </c>
      <c r="B93" s="248" t="s">
        <v>62</v>
      </c>
      <c r="C93" s="227">
        <v>1</v>
      </c>
      <c r="D93" s="227">
        <f>E93*132</f>
        <v>24816</v>
      </c>
      <c r="E93" s="229">
        <v>188</v>
      </c>
    </row>
    <row r="94" spans="1:5" ht="14.4" thickBot="1" x14ac:dyDescent="0.3">
      <c r="A94" s="250" t="s">
        <v>69</v>
      </c>
      <c r="B94" s="249"/>
      <c r="C94" s="228"/>
      <c r="D94" s="228"/>
      <c r="E94" s="230"/>
    </row>
    <row r="95" spans="1:5" ht="14.4" thickBot="1" x14ac:dyDescent="0.3">
      <c r="A95" s="250" t="s">
        <v>70</v>
      </c>
      <c r="B95" s="249"/>
      <c r="C95" s="228"/>
      <c r="D95" s="228"/>
      <c r="E95" s="230"/>
    </row>
    <row r="96" spans="1:5" ht="14.4" thickBot="1" x14ac:dyDescent="0.3">
      <c r="A96" s="251" t="s">
        <v>71</v>
      </c>
      <c r="B96" s="249"/>
      <c r="C96" s="228"/>
      <c r="D96" s="228"/>
      <c r="E96" s="230"/>
    </row>
    <row r="97" spans="1:5" ht="14.4" thickBot="1" x14ac:dyDescent="0.3">
      <c r="A97" s="252" t="s">
        <v>73</v>
      </c>
      <c r="B97" s="249"/>
      <c r="C97" s="228"/>
      <c r="D97" s="228"/>
      <c r="E97" s="230"/>
    </row>
    <row r="98" spans="1:5" ht="14.4" thickBot="1" x14ac:dyDescent="0.3">
      <c r="A98" s="253" t="s">
        <v>72</v>
      </c>
      <c r="B98" s="249"/>
      <c r="C98" s="228"/>
      <c r="D98" s="228"/>
      <c r="E98" s="230"/>
    </row>
    <row r="99" spans="1:5" ht="14.4" thickBot="1" x14ac:dyDescent="0.3">
      <c r="A99" s="253" t="s">
        <v>74</v>
      </c>
      <c r="B99" s="249"/>
      <c r="C99" s="228"/>
      <c r="D99" s="228"/>
      <c r="E99" s="230"/>
    </row>
    <row r="100" spans="1:5" ht="14.4" thickBot="1" x14ac:dyDescent="0.3">
      <c r="A100" s="254" t="s">
        <v>77</v>
      </c>
      <c r="B100" s="249"/>
      <c r="C100" s="228"/>
      <c r="D100" s="228"/>
      <c r="E100" s="230"/>
    </row>
    <row r="101" spans="1:5" ht="14.4" thickBot="1" x14ac:dyDescent="0.3">
      <c r="A101" s="255" t="s">
        <v>78</v>
      </c>
      <c r="B101" s="249"/>
      <c r="C101" s="228"/>
      <c r="D101" s="228"/>
      <c r="E101" s="230"/>
    </row>
    <row r="102" spans="1:5" ht="14.4" thickBot="1" x14ac:dyDescent="0.3">
      <c r="A102" s="256" t="s">
        <v>75</v>
      </c>
      <c r="B102" s="249"/>
      <c r="C102" s="228"/>
      <c r="D102" s="228"/>
      <c r="E102" s="230"/>
    </row>
    <row r="103" spans="1:5" ht="14.4" thickBot="1" x14ac:dyDescent="0.3">
      <c r="A103" s="255" t="s">
        <v>76</v>
      </c>
      <c r="B103" s="249"/>
      <c r="C103" s="228"/>
      <c r="D103" s="228"/>
      <c r="E103" s="230"/>
    </row>
    <row r="104" spans="1:5" ht="14.4" thickBot="1" x14ac:dyDescent="0.3">
      <c r="A104" s="255" t="s">
        <v>75</v>
      </c>
      <c r="B104" s="249"/>
      <c r="C104" s="228"/>
      <c r="D104" s="228"/>
      <c r="E104" s="230"/>
    </row>
    <row r="105" spans="1:5" ht="14.4" thickBot="1" x14ac:dyDescent="0.3">
      <c r="A105" s="256" t="s">
        <v>59</v>
      </c>
      <c r="B105" s="249"/>
      <c r="C105" s="228"/>
      <c r="D105" s="228"/>
      <c r="E105" s="230"/>
    </row>
    <row r="106" spans="1:5" ht="14.4" thickBot="1" x14ac:dyDescent="0.3">
      <c r="A106" s="47" t="s">
        <v>34</v>
      </c>
      <c r="B106" s="30"/>
      <c r="C106" s="30"/>
      <c r="D106" s="30"/>
      <c r="E106" s="31"/>
    </row>
    <row r="107" spans="1:5" ht="14.4" thickBot="1" x14ac:dyDescent="0.3">
      <c r="A107" s="216" t="s">
        <v>13</v>
      </c>
      <c r="B107" s="217"/>
      <c r="C107" s="217"/>
      <c r="D107" s="217"/>
      <c r="E107" s="218"/>
    </row>
    <row r="108" spans="1:5" x14ac:dyDescent="0.25">
      <c r="A108" s="39" t="s">
        <v>85</v>
      </c>
      <c r="B108" s="208"/>
      <c r="C108" s="209"/>
      <c r="D108" s="209"/>
      <c r="E108" s="210"/>
    </row>
    <row r="109" spans="1:5" x14ac:dyDescent="0.25">
      <c r="A109" s="39" t="s">
        <v>86</v>
      </c>
      <c r="B109" s="22" t="s">
        <v>193</v>
      </c>
      <c r="C109" s="4">
        <v>10</v>
      </c>
      <c r="D109" s="4">
        <v>30000</v>
      </c>
      <c r="E109" s="55">
        <f>D109/132</f>
        <v>227.27272727272728</v>
      </c>
    </row>
    <row r="110" spans="1:5" x14ac:dyDescent="0.25">
      <c r="A110" s="21" t="s">
        <v>87</v>
      </c>
      <c r="B110" s="22" t="s">
        <v>62</v>
      </c>
      <c r="C110" s="4">
        <v>1</v>
      </c>
      <c r="D110" s="4">
        <f>D93</f>
        <v>24816</v>
      </c>
      <c r="E110" s="5">
        <f>D110/132</f>
        <v>188</v>
      </c>
    </row>
    <row r="111" spans="1:5" x14ac:dyDescent="0.25">
      <c r="A111" s="20" t="s">
        <v>88</v>
      </c>
      <c r="B111" s="234"/>
      <c r="C111" s="235"/>
      <c r="D111" s="235"/>
      <c r="E111" s="236"/>
    </row>
    <row r="112" spans="1:5" ht="14.4" thickBot="1" x14ac:dyDescent="0.3">
      <c r="A112" s="40" t="s">
        <v>43</v>
      </c>
      <c r="B112" s="15" t="s">
        <v>43</v>
      </c>
      <c r="C112" s="15" t="s">
        <v>43</v>
      </c>
      <c r="D112" s="15" t="s">
        <v>43</v>
      </c>
      <c r="E112" s="16" t="s">
        <v>43</v>
      </c>
    </row>
    <row r="114" spans="1:8" ht="14.4" thickBot="1" x14ac:dyDescent="0.3">
      <c r="A114" s="27" t="s">
        <v>90</v>
      </c>
      <c r="B114" s="28"/>
      <c r="C114" s="28"/>
      <c r="D114" s="28"/>
      <c r="E114" s="28"/>
      <c r="F114" s="28"/>
      <c r="G114" s="28"/>
      <c r="H114" s="28"/>
    </row>
    <row r="115" spans="1:8" ht="28.2" thickBot="1" x14ac:dyDescent="0.3">
      <c r="A115" s="29" t="s">
        <v>81</v>
      </c>
      <c r="B115" s="30" t="s">
        <v>91</v>
      </c>
      <c r="C115" s="30" t="s">
        <v>92</v>
      </c>
      <c r="D115" s="30" t="s">
        <v>93</v>
      </c>
      <c r="E115" s="30" t="s">
        <v>94</v>
      </c>
      <c r="F115" s="30" t="s">
        <v>95</v>
      </c>
      <c r="G115" s="30" t="s">
        <v>96</v>
      </c>
      <c r="H115" s="31" t="s">
        <v>97</v>
      </c>
    </row>
    <row r="116" spans="1:8" ht="14.4" thickBot="1" x14ac:dyDescent="0.3">
      <c r="A116" s="59" t="s">
        <v>98</v>
      </c>
      <c r="B116" s="60"/>
      <c r="C116" s="60"/>
      <c r="D116" s="60"/>
      <c r="E116" s="60"/>
      <c r="F116" s="60"/>
      <c r="G116" s="60"/>
      <c r="H116" s="61"/>
    </row>
    <row r="117" spans="1:8" x14ac:dyDescent="0.25">
      <c r="A117" s="43" t="s">
        <v>62</v>
      </c>
      <c r="B117" s="62">
        <v>1</v>
      </c>
      <c r="C117" s="62">
        <f>D117*E117</f>
        <v>24816</v>
      </c>
      <c r="D117" s="62">
        <f>E93</f>
        <v>188</v>
      </c>
      <c r="E117" s="62">
        <v>132</v>
      </c>
      <c r="F117" s="62">
        <f>C117*B117</f>
        <v>24816</v>
      </c>
      <c r="G117" s="62">
        <f>F117*0.302</f>
        <v>7494.4319999999998</v>
      </c>
      <c r="H117" s="63">
        <f>F117+G117</f>
        <v>32310.432000000001</v>
      </c>
    </row>
    <row r="118" spans="1:8" ht="14.4" thickBot="1" x14ac:dyDescent="0.3">
      <c r="A118" s="220" t="s">
        <v>99</v>
      </c>
      <c r="B118" s="237"/>
      <c r="C118" s="237"/>
      <c r="D118" s="221"/>
      <c r="E118" s="36">
        <f>SUM(E117:E117)</f>
        <v>132</v>
      </c>
      <c r="F118" s="36">
        <f>SUM(F117:F117)</f>
        <v>24816</v>
      </c>
      <c r="G118" s="36">
        <f>SUM(G117:G117)</f>
        <v>7494.4319999999998</v>
      </c>
      <c r="H118" s="53">
        <f>H117</f>
        <v>32310.432000000001</v>
      </c>
    </row>
    <row r="119" spans="1:8" ht="14.4" thickBot="1" x14ac:dyDescent="0.3">
      <c r="A119" s="59" t="s">
        <v>100</v>
      </c>
      <c r="B119" s="60"/>
      <c r="C119" s="60"/>
      <c r="D119" s="60"/>
      <c r="E119" s="60"/>
      <c r="F119" s="60"/>
      <c r="G119" s="60"/>
      <c r="H119" s="61"/>
    </row>
    <row r="120" spans="1:8" x14ac:dyDescent="0.25">
      <c r="A120" s="32" t="s">
        <v>62</v>
      </c>
      <c r="B120" s="62">
        <v>1</v>
      </c>
      <c r="C120" s="62">
        <f>D120*E120</f>
        <v>24816</v>
      </c>
      <c r="D120" s="62">
        <f>E93</f>
        <v>188</v>
      </c>
      <c r="E120" s="62">
        <v>132</v>
      </c>
      <c r="F120" s="62">
        <f>C120*B120</f>
        <v>24816</v>
      </c>
      <c r="G120" s="62">
        <f>F120*0.302</f>
        <v>7494.4319999999998</v>
      </c>
      <c r="H120" s="63">
        <f>F120+G120</f>
        <v>32310.432000000001</v>
      </c>
    </row>
    <row r="121" spans="1:8" ht="14.4" thickBot="1" x14ac:dyDescent="0.3">
      <c r="A121" s="231" t="s">
        <v>101</v>
      </c>
      <c r="B121" s="232"/>
      <c r="C121" s="232"/>
      <c r="D121" s="233"/>
      <c r="E121" s="36">
        <f>SUM(E120:E120)</f>
        <v>132</v>
      </c>
      <c r="F121" s="36">
        <f>SUM(F120:F120)</f>
        <v>24816</v>
      </c>
      <c r="G121" s="36">
        <f>SUM(G120:G120)</f>
        <v>7494.4319999999998</v>
      </c>
      <c r="H121" s="53">
        <f>SUM(H120:H120)</f>
        <v>32310.432000000001</v>
      </c>
    </row>
    <row r="122" spans="1:8" ht="14.4" thickBot="1" x14ac:dyDescent="0.3">
      <c r="A122" s="59" t="s">
        <v>102</v>
      </c>
      <c r="B122" s="60"/>
      <c r="C122" s="60"/>
      <c r="D122" s="60"/>
      <c r="E122" s="60"/>
      <c r="F122" s="60"/>
      <c r="G122" s="60"/>
      <c r="H122" s="61"/>
    </row>
    <row r="123" spans="1:8" x14ac:dyDescent="0.25">
      <c r="A123" s="32" t="s">
        <v>62</v>
      </c>
      <c r="B123" s="62">
        <v>1</v>
      </c>
      <c r="C123" s="62">
        <f>D123*E123</f>
        <v>3741.2</v>
      </c>
      <c r="D123" s="62">
        <f>E93</f>
        <v>188</v>
      </c>
      <c r="E123" s="62">
        <v>19.899999999999999</v>
      </c>
      <c r="F123" s="62">
        <f>C123*B123</f>
        <v>3741.2</v>
      </c>
      <c r="G123" s="62">
        <f>F123*0.302</f>
        <v>1129.8424</v>
      </c>
      <c r="H123" s="63">
        <f>F123+G123</f>
        <v>4871.0424000000003</v>
      </c>
    </row>
    <row r="124" spans="1:8" x14ac:dyDescent="0.25">
      <c r="A124" s="238" t="s">
        <v>103</v>
      </c>
      <c r="B124" s="239"/>
      <c r="C124" s="239"/>
      <c r="D124" s="240"/>
      <c r="E124" s="4">
        <f>SUM(E123:E123)</f>
        <v>19.899999999999999</v>
      </c>
      <c r="F124" s="4">
        <f>SUM(F123:F123)</f>
        <v>3741.2</v>
      </c>
      <c r="G124" s="4">
        <f>SUM(G123:G123)</f>
        <v>1129.8424</v>
      </c>
      <c r="H124" s="5">
        <f>SUM(H123:H123)</f>
        <v>4871.0424000000003</v>
      </c>
    </row>
    <row r="125" spans="1:8" ht="14.4" thickBot="1" x14ac:dyDescent="0.3">
      <c r="A125" s="231" t="s">
        <v>34</v>
      </c>
      <c r="B125" s="232"/>
      <c r="C125" s="232"/>
      <c r="D125" s="232"/>
      <c r="E125" s="233"/>
      <c r="F125" s="36">
        <f>F118+F121+F124</f>
        <v>53373.2</v>
      </c>
      <c r="G125" s="36">
        <f>G118+G121+G124</f>
        <v>16118.706399999999</v>
      </c>
      <c r="H125" s="53">
        <f>H118+H121+H124</f>
        <v>69491.906400000007</v>
      </c>
    </row>
    <row r="126" spans="1:8" ht="14.4" thickBot="1" x14ac:dyDescent="0.3">
      <c r="A126" s="59" t="s">
        <v>104</v>
      </c>
      <c r="B126" s="60"/>
      <c r="C126" s="60"/>
      <c r="D126" s="60"/>
      <c r="E126" s="60"/>
      <c r="F126" s="60"/>
      <c r="G126" s="60"/>
      <c r="H126" s="61"/>
    </row>
    <row r="127" spans="1:8" ht="27.6" x14ac:dyDescent="0.25">
      <c r="A127" s="44" t="s">
        <v>105</v>
      </c>
      <c r="B127" s="33"/>
      <c r="C127" s="34"/>
      <c r="D127" s="34"/>
      <c r="E127" s="34"/>
      <c r="F127" s="34"/>
      <c r="G127" s="34"/>
      <c r="H127" s="35"/>
    </row>
    <row r="128" spans="1:8" x14ac:dyDescent="0.25">
      <c r="A128" s="22" t="s">
        <v>193</v>
      </c>
      <c r="B128" s="4">
        <v>10</v>
      </c>
      <c r="C128" s="4">
        <f>D128*E128</f>
        <v>1818.1818181818182</v>
      </c>
      <c r="D128" s="4">
        <f>E109</f>
        <v>227.27272727272728</v>
      </c>
      <c r="E128" s="4">
        <f>D84</f>
        <v>8</v>
      </c>
      <c r="F128" s="4">
        <f>B128*C128</f>
        <v>18181.818181818184</v>
      </c>
      <c r="G128" s="4">
        <f>F128*0.302</f>
        <v>5490.909090909091</v>
      </c>
      <c r="H128" s="5">
        <f>F128+G128</f>
        <v>23672.727272727276</v>
      </c>
    </row>
    <row r="129" spans="1:8" x14ac:dyDescent="0.25">
      <c r="A129" s="22" t="s">
        <v>62</v>
      </c>
      <c r="B129" s="4">
        <v>1</v>
      </c>
      <c r="C129" s="4">
        <f>D129*E129</f>
        <v>1504</v>
      </c>
      <c r="D129" s="4">
        <f>E110</f>
        <v>188</v>
      </c>
      <c r="E129" s="4">
        <v>8</v>
      </c>
      <c r="F129" s="4">
        <f>B129*C129</f>
        <v>1504</v>
      </c>
      <c r="G129" s="4">
        <f>F129*0.302</f>
        <v>454.20799999999997</v>
      </c>
      <c r="H129" s="5">
        <f>F129+G129</f>
        <v>1958.2080000000001</v>
      </c>
    </row>
    <row r="130" spans="1:8" x14ac:dyDescent="0.25">
      <c r="A130" s="21" t="s">
        <v>106</v>
      </c>
      <c r="B130" s="56"/>
      <c r="C130" s="57"/>
      <c r="D130" s="57"/>
      <c r="E130" s="57"/>
      <c r="F130" s="57"/>
      <c r="G130" s="57"/>
      <c r="H130" s="58"/>
    </row>
    <row r="131" spans="1:8" ht="14.4" thickBot="1" x14ac:dyDescent="0.3">
      <c r="A131" s="23" t="s">
        <v>34</v>
      </c>
      <c r="B131" s="64"/>
      <c r="C131" s="65"/>
      <c r="D131" s="65"/>
      <c r="E131" s="65"/>
      <c r="F131" s="65"/>
      <c r="G131" s="65"/>
      <c r="H131" s="66">
        <f>SUM(H128:H129)</f>
        <v>25630.935272727274</v>
      </c>
    </row>
    <row r="133" spans="1:8" ht="14.4" thickBot="1" x14ac:dyDescent="0.3">
      <c r="A133" s="27" t="s">
        <v>107</v>
      </c>
      <c r="B133" s="28"/>
      <c r="C133" s="28"/>
      <c r="D133" s="28"/>
      <c r="E133" s="28"/>
    </row>
    <row r="134" spans="1:8" ht="15" customHeight="1" x14ac:dyDescent="0.25">
      <c r="A134" s="211" t="s">
        <v>26</v>
      </c>
      <c r="B134" s="213" t="s">
        <v>108</v>
      </c>
      <c r="C134" s="208" t="s">
        <v>109</v>
      </c>
      <c r="D134" s="209"/>
      <c r="E134" s="210"/>
    </row>
    <row r="135" spans="1:8" ht="15.75" customHeight="1" thickBot="1" x14ac:dyDescent="0.3">
      <c r="A135" s="212"/>
      <c r="B135" s="219"/>
      <c r="C135" s="15" t="s">
        <v>110</v>
      </c>
      <c r="D135" s="15" t="s">
        <v>111</v>
      </c>
      <c r="E135" s="16" t="s">
        <v>112</v>
      </c>
    </row>
    <row r="136" spans="1:8" x14ac:dyDescent="0.25">
      <c r="A136" s="44" t="s">
        <v>113</v>
      </c>
      <c r="B136" s="67">
        <f>SUM(C136:E136)</f>
        <v>77544.002399999998</v>
      </c>
      <c r="C136" s="67">
        <f>C137+C142+C145+C146</f>
        <v>35067.040000000001</v>
      </c>
      <c r="D136" s="67">
        <f>D137+D142+D145+D146</f>
        <v>35067.040000000001</v>
      </c>
      <c r="E136" s="68">
        <f>E137+E142+E145+E146</f>
        <v>7409.9224000000004</v>
      </c>
    </row>
    <row r="137" spans="1:8" x14ac:dyDescent="0.25">
      <c r="A137" s="21" t="s">
        <v>114</v>
      </c>
      <c r="B137" s="69">
        <f>SUM(C137:E137)</f>
        <v>8052.0960000000005</v>
      </c>
      <c r="C137" s="69">
        <f>SUM(C138:C141)</f>
        <v>2756.6080000000002</v>
      </c>
      <c r="D137" s="69">
        <f>SUM(D138:D141)</f>
        <v>2756.6080000000002</v>
      </c>
      <c r="E137" s="70">
        <f>SUM(E138:E141)</f>
        <v>2538.88</v>
      </c>
    </row>
    <row r="138" spans="1:8" ht="27.6" x14ac:dyDescent="0.25">
      <c r="A138" s="21" t="s">
        <v>245</v>
      </c>
      <c r="B138" s="69">
        <f>SUM(C138:E138)</f>
        <v>0</v>
      </c>
      <c r="C138" s="69">
        <f>SUM(D138:F138)</f>
        <v>0</v>
      </c>
      <c r="D138" s="69">
        <f>SUM(E138:G138)</f>
        <v>0</v>
      </c>
      <c r="E138" s="70">
        <f>SUM(F138:H138)</f>
        <v>0</v>
      </c>
    </row>
    <row r="139" spans="1:8" ht="27.6" x14ac:dyDescent="0.25">
      <c r="A139" s="21" t="s">
        <v>115</v>
      </c>
      <c r="B139" s="69">
        <f>SUM(C139:E139)</f>
        <v>7500</v>
      </c>
      <c r="C139" s="4">
        <f>SUM($E$17:$E$17)</f>
        <v>2500</v>
      </c>
      <c r="D139" s="4">
        <f>SUM($E$17:$E$17)</f>
        <v>2500</v>
      </c>
      <c r="E139" s="5">
        <f>SUM($E$17:$E$17)</f>
        <v>2500</v>
      </c>
    </row>
    <row r="140" spans="1:8" ht="27.6" x14ac:dyDescent="0.25">
      <c r="A140" s="21" t="s">
        <v>116</v>
      </c>
      <c r="B140" s="69">
        <f>SUM(C140:E140)</f>
        <v>552.096</v>
      </c>
      <c r="C140" s="4">
        <f>$B$32</f>
        <v>256.608</v>
      </c>
      <c r="D140" s="4">
        <f>$B$32</f>
        <v>256.608</v>
      </c>
      <c r="E140" s="5">
        <f>$B$32 / 132 * 20</f>
        <v>38.879999999999995</v>
      </c>
    </row>
    <row r="141" spans="1:8" ht="14.4" thickBot="1" x14ac:dyDescent="0.3">
      <c r="A141" s="71" t="s">
        <v>117</v>
      </c>
      <c r="B141" s="72">
        <f>SUM(C141:E141)</f>
        <v>0</v>
      </c>
      <c r="C141" s="72">
        <f>SUM(D141:F141)</f>
        <v>0</v>
      </c>
      <c r="D141" s="72">
        <f>SUM(E141:G141)</f>
        <v>0</v>
      </c>
      <c r="E141" s="73">
        <f>SUM(F141:H141)</f>
        <v>0</v>
      </c>
    </row>
    <row r="142" spans="1:8" ht="27.6" x14ac:dyDescent="0.25">
      <c r="A142" s="44" t="s">
        <v>246</v>
      </c>
      <c r="B142" s="67">
        <f>SUM(C142:E142)</f>
        <v>0</v>
      </c>
      <c r="C142" s="67">
        <f>SUM(C143:C144)</f>
        <v>0</v>
      </c>
      <c r="D142" s="67">
        <f>SUM(D143:D144)</f>
        <v>0</v>
      </c>
      <c r="E142" s="68">
        <f>SUM(E143:E144)</f>
        <v>0</v>
      </c>
    </row>
    <row r="143" spans="1:8" ht="27.6" x14ac:dyDescent="0.25">
      <c r="A143" s="21" t="s">
        <v>118</v>
      </c>
      <c r="B143" s="69">
        <f>SUM(C143:E143)</f>
        <v>0</v>
      </c>
      <c r="C143" s="4">
        <f>D44</f>
        <v>0</v>
      </c>
      <c r="D143" s="4">
        <f>D44</f>
        <v>0</v>
      </c>
      <c r="E143" s="5">
        <f>D44</f>
        <v>0</v>
      </c>
    </row>
    <row r="144" spans="1:8" ht="14.4" thickBot="1" x14ac:dyDescent="0.3">
      <c r="A144" s="23" t="s">
        <v>119</v>
      </c>
      <c r="B144" s="74">
        <f>SUM(C144:E144)</f>
        <v>0</v>
      </c>
      <c r="C144" s="15">
        <f>SUM($B$64:$B$64)</f>
        <v>0</v>
      </c>
      <c r="D144" s="15">
        <f>SUM($B$64:$B$64)</f>
        <v>0</v>
      </c>
      <c r="E144" s="16">
        <f>SUM($B$64:$B$64)</f>
        <v>0</v>
      </c>
    </row>
    <row r="145" spans="1:14" ht="14.4" thickBot="1" x14ac:dyDescent="0.3">
      <c r="A145" s="75" t="s">
        <v>120</v>
      </c>
      <c r="B145" s="76">
        <f>SUM(C145:E145)</f>
        <v>0</v>
      </c>
      <c r="C145" s="76">
        <f>SUM(D145:F145)</f>
        <v>0</v>
      </c>
      <c r="D145" s="76">
        <f>SUM(E145:G145)</f>
        <v>0</v>
      </c>
      <c r="E145" s="77">
        <f>SUM(F145:H145)</f>
        <v>0</v>
      </c>
    </row>
    <row r="146" spans="1:14" x14ac:dyDescent="0.25">
      <c r="A146" s="44" t="s">
        <v>121</v>
      </c>
      <c r="B146" s="67">
        <f>SUM(C146:E146)</f>
        <v>69491.906400000007</v>
      </c>
      <c r="C146" s="67">
        <f>SUM(C147)</f>
        <v>32310.432000000001</v>
      </c>
      <c r="D146" s="67">
        <f>SUM(D147)</f>
        <v>32310.432000000001</v>
      </c>
      <c r="E146" s="68">
        <f>SUM(E147)</f>
        <v>4871.0424000000003</v>
      </c>
    </row>
    <row r="147" spans="1:14" ht="28.2" thickBot="1" x14ac:dyDescent="0.3">
      <c r="A147" s="23" t="s">
        <v>122</v>
      </c>
      <c r="B147" s="74">
        <f>SUM(C147:E147)</f>
        <v>69491.906400000007</v>
      </c>
      <c r="C147" s="15">
        <f>$H$118</f>
        <v>32310.432000000001</v>
      </c>
      <c r="D147" s="15">
        <f>$H$121</f>
        <v>32310.432000000001</v>
      </c>
      <c r="E147" s="16">
        <f>$H$124</f>
        <v>4871.0424000000003</v>
      </c>
    </row>
    <row r="148" spans="1:14" ht="27.6" x14ac:dyDescent="0.25">
      <c r="A148" s="44" t="s">
        <v>123</v>
      </c>
      <c r="B148" s="67">
        <f>SUM(C148:E148)</f>
        <v>1800</v>
      </c>
      <c r="C148" s="67">
        <f>SUM(C149)</f>
        <v>600</v>
      </c>
      <c r="D148" s="67">
        <f>SUM(D149)</f>
        <v>600</v>
      </c>
      <c r="E148" s="68">
        <f>SUM(E149)</f>
        <v>600</v>
      </c>
    </row>
    <row r="149" spans="1:14" ht="14.4" thickBot="1" x14ac:dyDescent="0.3">
      <c r="A149" s="78" t="s">
        <v>124</v>
      </c>
      <c r="B149" s="74">
        <f>SUM(C149:E149)</f>
        <v>1800</v>
      </c>
      <c r="C149" s="79">
        <v>600</v>
      </c>
      <c r="D149" s="79">
        <v>600</v>
      </c>
      <c r="E149" s="80">
        <v>600</v>
      </c>
    </row>
    <row r="151" spans="1:14" ht="14.4" thickBot="1" x14ac:dyDescent="0.3">
      <c r="A151" s="27" t="s">
        <v>125</v>
      </c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</row>
    <row r="152" spans="1:14" ht="13.8" customHeight="1" x14ac:dyDescent="0.25">
      <c r="A152" s="81" t="s">
        <v>126</v>
      </c>
      <c r="B152" s="82" t="s">
        <v>108</v>
      </c>
      <c r="C152" s="196" t="s">
        <v>127</v>
      </c>
      <c r="D152" s="197"/>
      <c r="E152" s="197"/>
      <c r="F152" s="197"/>
      <c r="G152" s="197"/>
      <c r="H152" s="197"/>
      <c r="I152" s="197"/>
      <c r="J152" s="197"/>
      <c r="K152" s="197"/>
      <c r="L152" s="198"/>
      <c r="M152" s="204" t="s">
        <v>128</v>
      </c>
      <c r="N152" s="206" t="s">
        <v>129</v>
      </c>
    </row>
    <row r="153" spans="1:14" ht="14.4" thickBot="1" x14ac:dyDescent="0.3">
      <c r="A153" s="83"/>
      <c r="B153" s="84"/>
      <c r="C153" s="72" t="s">
        <v>130</v>
      </c>
      <c r="D153" s="72" t="s">
        <v>131</v>
      </c>
      <c r="E153" s="72" t="s">
        <v>132</v>
      </c>
      <c r="F153" s="72" t="s">
        <v>133</v>
      </c>
      <c r="G153" s="72" t="s">
        <v>134</v>
      </c>
      <c r="H153" s="72" t="s">
        <v>135</v>
      </c>
      <c r="I153" s="72" t="s">
        <v>136</v>
      </c>
      <c r="J153" s="72" t="s">
        <v>137</v>
      </c>
      <c r="K153" s="72" t="s">
        <v>138</v>
      </c>
      <c r="L153" s="72" t="s">
        <v>139</v>
      </c>
      <c r="M153" s="205"/>
      <c r="N153" s="207"/>
    </row>
    <row r="154" spans="1:14" ht="14.4" thickBot="1" x14ac:dyDescent="0.3">
      <c r="A154" s="85" t="s">
        <v>140</v>
      </c>
      <c r="B154" s="30">
        <f t="shared" ref="B154:N154" si="1">B155+B159+B160+B162+B163</f>
        <v>985245.42400000012</v>
      </c>
      <c r="C154" s="30">
        <f t="shared" si="1"/>
        <v>268703.29745454545</v>
      </c>
      <c r="D154" s="30">
        <f t="shared" si="1"/>
        <v>29855.921939393942</v>
      </c>
      <c r="E154" s="30">
        <f t="shared" si="1"/>
        <v>29855.921939393942</v>
      </c>
      <c r="F154" s="30">
        <f t="shared" si="1"/>
        <v>29855.921939393942</v>
      </c>
      <c r="G154" s="30">
        <f t="shared" si="1"/>
        <v>29855.921939393942</v>
      </c>
      <c r="H154" s="30">
        <f t="shared" si="1"/>
        <v>29855.921939393942</v>
      </c>
      <c r="I154" s="30">
        <f t="shared" si="1"/>
        <v>29855.921939393942</v>
      </c>
      <c r="J154" s="30">
        <f t="shared" si="1"/>
        <v>29855.921939393942</v>
      </c>
      <c r="K154" s="30">
        <f t="shared" si="1"/>
        <v>29855.921939393942</v>
      </c>
      <c r="L154" s="30">
        <f t="shared" si="1"/>
        <v>29855.921939393942</v>
      </c>
      <c r="M154" s="30">
        <f>M155+M159+M160+M162+M163</f>
        <v>358271.0632727273</v>
      </c>
      <c r="N154" s="31">
        <f t="shared" si="1"/>
        <v>358271.0632727273</v>
      </c>
    </row>
    <row r="155" spans="1:14" x14ac:dyDescent="0.25">
      <c r="A155" s="86" t="s">
        <v>114</v>
      </c>
      <c r="B155" s="18">
        <f>SUM(C155,M155:P155)</f>
        <v>139424.56</v>
      </c>
      <c r="C155" s="18">
        <f>SUM(D155:L155)</f>
        <v>38024.879999999997</v>
      </c>
      <c r="D155" s="18">
        <f>SUM(D156:D158)</f>
        <v>4224.9866666666667</v>
      </c>
      <c r="E155" s="18">
        <f>SUM(E156:E158)</f>
        <v>4224.9866666666667</v>
      </c>
      <c r="F155" s="18">
        <f t="shared" ref="F155:N155" si="2">SUM(F156:F158)</f>
        <v>4224.9866666666667</v>
      </c>
      <c r="G155" s="18">
        <f t="shared" si="2"/>
        <v>4224.9866666666667</v>
      </c>
      <c r="H155" s="18">
        <f t="shared" si="2"/>
        <v>4224.9866666666667</v>
      </c>
      <c r="I155" s="18">
        <f t="shared" si="2"/>
        <v>4224.9866666666667</v>
      </c>
      <c r="J155" s="18">
        <f t="shared" si="2"/>
        <v>4224.9866666666667</v>
      </c>
      <c r="K155" s="18">
        <f t="shared" si="2"/>
        <v>4224.9866666666667</v>
      </c>
      <c r="L155" s="18">
        <f t="shared" si="2"/>
        <v>4224.9866666666667</v>
      </c>
      <c r="M155" s="18">
        <f t="shared" si="2"/>
        <v>50699.839999999997</v>
      </c>
      <c r="N155" s="19">
        <f t="shared" si="2"/>
        <v>50699.839999999997</v>
      </c>
    </row>
    <row r="156" spans="1:14" ht="27.6" x14ac:dyDescent="0.25">
      <c r="A156" s="87" t="s">
        <v>141</v>
      </c>
      <c r="B156" s="4">
        <f>SUM(C156,M156:P156)</f>
        <v>0</v>
      </c>
      <c r="C156" s="4">
        <f>SUM(D156:L156)</f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5">
        <v>0</v>
      </c>
    </row>
    <row r="157" spans="1:14" ht="27.6" x14ac:dyDescent="0.25">
      <c r="A157" s="87" t="s">
        <v>247</v>
      </c>
      <c r="B157" s="4">
        <f>SUM(C157,M157:P157)</f>
        <v>137500</v>
      </c>
      <c r="C157" s="69">
        <f>SUM(D157:L157)</f>
        <v>37500</v>
      </c>
      <c r="D157" s="69">
        <f>$E$20</f>
        <v>4166.666666666667</v>
      </c>
      <c r="E157" s="69">
        <f t="shared" ref="E157:L157" si="3">$E$20</f>
        <v>4166.666666666667</v>
      </c>
      <c r="F157" s="69">
        <f t="shared" si="3"/>
        <v>4166.666666666667</v>
      </c>
      <c r="G157" s="69">
        <f t="shared" si="3"/>
        <v>4166.666666666667</v>
      </c>
      <c r="H157" s="69">
        <f t="shared" si="3"/>
        <v>4166.666666666667</v>
      </c>
      <c r="I157" s="69">
        <f t="shared" si="3"/>
        <v>4166.666666666667</v>
      </c>
      <c r="J157" s="69">
        <f t="shared" si="3"/>
        <v>4166.666666666667</v>
      </c>
      <c r="K157" s="69">
        <f t="shared" si="3"/>
        <v>4166.666666666667</v>
      </c>
      <c r="L157" s="69">
        <f t="shared" si="3"/>
        <v>4166.666666666667</v>
      </c>
      <c r="M157" s="69">
        <f>SUM($F$20:$F$20)</f>
        <v>50000</v>
      </c>
      <c r="N157" s="69">
        <f>SUM($F$20:$F$20)</f>
        <v>50000</v>
      </c>
    </row>
    <row r="158" spans="1:14" ht="28.2" thickBot="1" x14ac:dyDescent="0.3">
      <c r="A158" s="23" t="s">
        <v>142</v>
      </c>
      <c r="B158" s="15">
        <f>SUM(C158,M158:P158)</f>
        <v>1924.5600000000004</v>
      </c>
      <c r="C158" s="74">
        <f>SUM(D158:L158)</f>
        <v>524.88000000000011</v>
      </c>
      <c r="D158" s="15">
        <f>SUM($C$32)</f>
        <v>58.320000000000014</v>
      </c>
      <c r="E158" s="15">
        <f t="shared" ref="E158:L158" si="4">SUM($C$32)</f>
        <v>58.320000000000014</v>
      </c>
      <c r="F158" s="15">
        <f t="shared" si="4"/>
        <v>58.320000000000014</v>
      </c>
      <c r="G158" s="15">
        <f t="shared" si="4"/>
        <v>58.320000000000014</v>
      </c>
      <c r="H158" s="15">
        <f t="shared" si="4"/>
        <v>58.320000000000014</v>
      </c>
      <c r="I158" s="15">
        <f t="shared" si="4"/>
        <v>58.320000000000014</v>
      </c>
      <c r="J158" s="15">
        <f t="shared" si="4"/>
        <v>58.320000000000014</v>
      </c>
      <c r="K158" s="15">
        <f t="shared" si="4"/>
        <v>58.320000000000014</v>
      </c>
      <c r="L158" s="15">
        <f t="shared" si="4"/>
        <v>58.320000000000014</v>
      </c>
      <c r="M158" s="15">
        <f>SUM($C$32)*12</f>
        <v>699.84000000000015</v>
      </c>
      <c r="N158" s="15">
        <f>SUM($C$32)*12</f>
        <v>699.84000000000015</v>
      </c>
    </row>
    <row r="159" spans="1:14" ht="28.2" thickBot="1" x14ac:dyDescent="0.3">
      <c r="A159" s="88" t="s">
        <v>143</v>
      </c>
      <c r="B159" s="30">
        <f>SUM(C159,M159:P159)</f>
        <v>0</v>
      </c>
      <c r="C159" s="76">
        <f>SUM(D159:L159)</f>
        <v>0</v>
      </c>
      <c r="D159" s="76">
        <v>0</v>
      </c>
      <c r="E159" s="76">
        <v>0</v>
      </c>
      <c r="F159" s="76">
        <v>0</v>
      </c>
      <c r="G159" s="76">
        <v>0</v>
      </c>
      <c r="H159" s="76">
        <v>0</v>
      </c>
      <c r="I159" s="76">
        <v>0</v>
      </c>
      <c r="J159" s="76">
        <v>0</v>
      </c>
      <c r="K159" s="76">
        <v>0</v>
      </c>
      <c r="L159" s="76">
        <v>0</v>
      </c>
      <c r="M159" s="76">
        <v>0</v>
      </c>
      <c r="N159" s="77">
        <v>0</v>
      </c>
    </row>
    <row r="160" spans="1:14" x14ac:dyDescent="0.25">
      <c r="A160" s="86" t="s">
        <v>120</v>
      </c>
      <c r="B160" s="18">
        <f>SUM(C160,M160:P160)</f>
        <v>0</v>
      </c>
      <c r="C160" s="67">
        <f>SUM(D160:L160)</f>
        <v>0</v>
      </c>
      <c r="D160" s="67">
        <f>SUM(D161)</f>
        <v>0</v>
      </c>
      <c r="E160" s="67">
        <f>SUM(E161)</f>
        <v>0</v>
      </c>
      <c r="F160" s="67">
        <f t="shared" ref="F160:N160" si="5">SUM(F161)</f>
        <v>0</v>
      </c>
      <c r="G160" s="67">
        <f t="shared" si="5"/>
        <v>0</v>
      </c>
      <c r="H160" s="67">
        <f t="shared" si="5"/>
        <v>0</v>
      </c>
      <c r="I160" s="67">
        <f t="shared" si="5"/>
        <v>0</v>
      </c>
      <c r="J160" s="67">
        <f t="shared" si="5"/>
        <v>0</v>
      </c>
      <c r="K160" s="67">
        <f t="shared" si="5"/>
        <v>0</v>
      </c>
      <c r="L160" s="67">
        <f t="shared" si="5"/>
        <v>0</v>
      </c>
      <c r="M160" s="67">
        <f t="shared" si="5"/>
        <v>0</v>
      </c>
      <c r="N160" s="68">
        <f t="shared" si="5"/>
        <v>0</v>
      </c>
    </row>
    <row r="161" spans="1:14" ht="27.6" x14ac:dyDescent="0.25">
      <c r="A161" s="89" t="s">
        <v>144</v>
      </c>
      <c r="B161" s="4">
        <f>SUM(C161,M161:P161)</f>
        <v>0</v>
      </c>
      <c r="C161" s="69">
        <f>SUM(D161:L161)</f>
        <v>0</v>
      </c>
      <c r="D161" s="69">
        <f>$H$136</f>
        <v>0</v>
      </c>
      <c r="E161" s="69">
        <f t="shared" ref="E161:L161" si="6">$H$136</f>
        <v>0</v>
      </c>
      <c r="F161" s="69">
        <f t="shared" si="6"/>
        <v>0</v>
      </c>
      <c r="G161" s="69">
        <f t="shared" si="6"/>
        <v>0</v>
      </c>
      <c r="H161" s="69">
        <f t="shared" si="6"/>
        <v>0</v>
      </c>
      <c r="I161" s="69">
        <f t="shared" si="6"/>
        <v>0</v>
      </c>
      <c r="J161" s="69">
        <f t="shared" si="6"/>
        <v>0</v>
      </c>
      <c r="K161" s="69">
        <f t="shared" si="6"/>
        <v>0</v>
      </c>
      <c r="L161" s="69">
        <f t="shared" si="6"/>
        <v>0</v>
      </c>
      <c r="M161" s="69">
        <f>$H$136*12</f>
        <v>0</v>
      </c>
      <c r="N161" s="70">
        <f>$H$136*12</f>
        <v>0</v>
      </c>
    </row>
    <row r="162" spans="1:14" ht="14.4" thickBot="1" x14ac:dyDescent="0.3">
      <c r="A162" s="90" t="s">
        <v>145</v>
      </c>
      <c r="B162" s="15">
        <f>SUM(C162,M162:P162)</f>
        <v>845820.86400000006</v>
      </c>
      <c r="C162" s="74">
        <f>SUM(D162:L162)</f>
        <v>230678.41745454547</v>
      </c>
      <c r="D162" s="74">
        <f>$H$131</f>
        <v>25630.935272727274</v>
      </c>
      <c r="E162" s="74">
        <f t="shared" ref="E162:L162" si="7">$H$131</f>
        <v>25630.935272727274</v>
      </c>
      <c r="F162" s="74">
        <f t="shared" si="7"/>
        <v>25630.935272727274</v>
      </c>
      <c r="G162" s="74">
        <f t="shared" si="7"/>
        <v>25630.935272727274</v>
      </c>
      <c r="H162" s="74">
        <f t="shared" si="7"/>
        <v>25630.935272727274</v>
      </c>
      <c r="I162" s="74">
        <f t="shared" si="7"/>
        <v>25630.935272727274</v>
      </c>
      <c r="J162" s="74">
        <f t="shared" si="7"/>
        <v>25630.935272727274</v>
      </c>
      <c r="K162" s="74">
        <f t="shared" si="7"/>
        <v>25630.935272727274</v>
      </c>
      <c r="L162" s="74">
        <f t="shared" si="7"/>
        <v>25630.935272727274</v>
      </c>
      <c r="M162" s="74">
        <f>$H$131*12</f>
        <v>307571.22327272728</v>
      </c>
      <c r="N162" s="74">
        <f>$H$131*12</f>
        <v>307571.22327272728</v>
      </c>
    </row>
    <row r="163" spans="1:14" ht="28.2" thickBot="1" x14ac:dyDescent="0.3">
      <c r="A163" s="88" t="s">
        <v>146</v>
      </c>
      <c r="B163" s="30">
        <f>C163+M163+N163</f>
        <v>0</v>
      </c>
      <c r="C163" s="76">
        <f>SUM(D163:L163)</f>
        <v>0</v>
      </c>
      <c r="D163" s="76">
        <v>0</v>
      </c>
      <c r="E163" s="76">
        <v>0</v>
      </c>
      <c r="F163" s="76">
        <v>0</v>
      </c>
      <c r="G163" s="76">
        <v>0</v>
      </c>
      <c r="H163" s="76">
        <v>0</v>
      </c>
      <c r="I163" s="76">
        <v>0</v>
      </c>
      <c r="J163" s="76">
        <v>0</v>
      </c>
      <c r="K163" s="76">
        <v>0</v>
      </c>
      <c r="L163" s="76">
        <v>0</v>
      </c>
      <c r="M163" s="76">
        <v>0</v>
      </c>
      <c r="N163" s="77">
        <v>0</v>
      </c>
    </row>
    <row r="165" spans="1:14" ht="14.4" thickBot="1" x14ac:dyDescent="0.3">
      <c r="A165" s="27" t="s">
        <v>147</v>
      </c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</row>
    <row r="166" spans="1:14" x14ac:dyDescent="0.25">
      <c r="A166" s="81" t="s">
        <v>126</v>
      </c>
      <c r="B166" s="82" t="s">
        <v>108</v>
      </c>
      <c r="C166" s="82" t="s">
        <v>148</v>
      </c>
      <c r="D166" s="196" t="s">
        <v>149</v>
      </c>
      <c r="E166" s="197"/>
      <c r="F166" s="197"/>
      <c r="G166" s="197"/>
      <c r="H166" s="197"/>
      <c r="I166" s="197"/>
      <c r="J166" s="197"/>
      <c r="K166" s="197"/>
      <c r="L166" s="198"/>
      <c r="M166" s="194" t="s">
        <v>150</v>
      </c>
      <c r="N166" s="199" t="s">
        <v>129</v>
      </c>
    </row>
    <row r="167" spans="1:14" ht="14.4" thickBot="1" x14ac:dyDescent="0.3">
      <c r="A167" s="91"/>
      <c r="B167" s="92"/>
      <c r="C167" s="92"/>
      <c r="D167" s="74" t="s">
        <v>151</v>
      </c>
      <c r="E167" s="74" t="s">
        <v>152</v>
      </c>
      <c r="F167" s="74" t="s">
        <v>153</v>
      </c>
      <c r="G167" s="74" t="s">
        <v>154</v>
      </c>
      <c r="H167" s="74" t="s">
        <v>155</v>
      </c>
      <c r="I167" s="74" t="s">
        <v>156</v>
      </c>
      <c r="J167" s="74" t="s">
        <v>157</v>
      </c>
      <c r="K167" s="74" t="s">
        <v>158</v>
      </c>
      <c r="L167" s="74" t="s">
        <v>159</v>
      </c>
      <c r="M167" s="195"/>
      <c r="N167" s="200"/>
    </row>
    <row r="168" spans="1:14" ht="41.4" x14ac:dyDescent="0.25">
      <c r="A168" s="93" t="s">
        <v>160</v>
      </c>
      <c r="B168" s="18">
        <f>B169*0.001</f>
        <v>100.2292456</v>
      </c>
      <c r="C168" s="18">
        <f t="shared" ref="C168:N168" si="8">C169*0.001</f>
        <v>27.335248799999995</v>
      </c>
      <c r="D168" s="18">
        <f>D169*0.001</f>
        <v>3.0372498666666665</v>
      </c>
      <c r="E168" s="18">
        <f t="shared" si="8"/>
        <v>3.0372498666666665</v>
      </c>
      <c r="F168" s="18">
        <f t="shared" si="8"/>
        <v>3.0372498666666665</v>
      </c>
      <c r="G168" s="18">
        <f t="shared" si="8"/>
        <v>3.0372498666666665</v>
      </c>
      <c r="H168" s="18">
        <f t="shared" si="8"/>
        <v>3.0372498666666665</v>
      </c>
      <c r="I168" s="18">
        <f t="shared" si="8"/>
        <v>3.0372498666666665</v>
      </c>
      <c r="J168" s="18">
        <f t="shared" si="8"/>
        <v>3.0372498666666665</v>
      </c>
      <c r="K168" s="18">
        <f t="shared" si="8"/>
        <v>3.0372498666666665</v>
      </c>
      <c r="L168" s="18">
        <f t="shared" si="8"/>
        <v>3.0372498666666665</v>
      </c>
      <c r="M168" s="18">
        <f>M169*0.001</f>
        <v>36.446998399999998</v>
      </c>
      <c r="N168" s="19">
        <f t="shared" si="8"/>
        <v>36.446998399999998</v>
      </c>
    </row>
    <row r="169" spans="1:14" ht="27.6" x14ac:dyDescent="0.25">
      <c r="A169" s="94" t="s">
        <v>161</v>
      </c>
      <c r="B169" s="4">
        <f>SUM(C169,M169,N169)</f>
        <v>100229.24559999999</v>
      </c>
      <c r="C169" s="4">
        <f>SUM(D169:L169)</f>
        <v>27335.248799999994</v>
      </c>
      <c r="D169" s="4">
        <f>D170+D173+D174+D175+D176</f>
        <v>3037.2498666666665</v>
      </c>
      <c r="E169" s="4">
        <f t="shared" ref="E169:L169" si="9">E170+E173+E174+E175+E176</f>
        <v>3037.2498666666665</v>
      </c>
      <c r="F169" s="4">
        <f t="shared" si="9"/>
        <v>3037.2498666666665</v>
      </c>
      <c r="G169" s="4">
        <f t="shared" si="9"/>
        <v>3037.2498666666665</v>
      </c>
      <c r="H169" s="4">
        <f t="shared" si="9"/>
        <v>3037.2498666666665</v>
      </c>
      <c r="I169" s="4">
        <f t="shared" si="9"/>
        <v>3037.2498666666665</v>
      </c>
      <c r="J169" s="4">
        <f t="shared" si="9"/>
        <v>3037.2498666666665</v>
      </c>
      <c r="K169" s="4">
        <f t="shared" si="9"/>
        <v>3037.2498666666665</v>
      </c>
      <c r="L169" s="4">
        <f t="shared" si="9"/>
        <v>3037.2498666666665</v>
      </c>
      <c r="M169" s="4">
        <f>M170+M173+M174+M175+M176</f>
        <v>36446.998399999997</v>
      </c>
      <c r="N169" s="5">
        <f>N170+N173+N174+N175+N176</f>
        <v>36446.998399999997</v>
      </c>
    </row>
    <row r="170" spans="1:14" ht="27.6" x14ac:dyDescent="0.25">
      <c r="A170" s="87" t="s">
        <v>162</v>
      </c>
      <c r="B170" s="4">
        <f>SUM(C170,M170,N170)</f>
        <v>1229.2456</v>
      </c>
      <c r="C170" s="4">
        <f>SUM(D170:L170)</f>
        <v>335.24879999999996</v>
      </c>
      <c r="D170" s="4">
        <f>SUM(D171:D172)</f>
        <v>37.249866666666662</v>
      </c>
      <c r="E170" s="4">
        <f t="shared" ref="E170:L170" si="10">SUM(E171:E172)</f>
        <v>37.249866666666662</v>
      </c>
      <c r="F170" s="4">
        <f t="shared" si="10"/>
        <v>37.249866666666662</v>
      </c>
      <c r="G170" s="4">
        <f t="shared" si="10"/>
        <v>37.249866666666662</v>
      </c>
      <c r="H170" s="4">
        <f t="shared" si="10"/>
        <v>37.249866666666662</v>
      </c>
      <c r="I170" s="4">
        <f t="shared" si="10"/>
        <v>37.249866666666662</v>
      </c>
      <c r="J170" s="4">
        <f t="shared" si="10"/>
        <v>37.249866666666662</v>
      </c>
      <c r="K170" s="4">
        <f t="shared" si="10"/>
        <v>37.249866666666662</v>
      </c>
      <c r="L170" s="4">
        <f t="shared" si="10"/>
        <v>37.249866666666662</v>
      </c>
      <c r="M170" s="4">
        <f>SUM(M171:M172)</f>
        <v>446.9984</v>
      </c>
      <c r="N170" s="5">
        <f>SUM(N171:N172)</f>
        <v>446.9984</v>
      </c>
    </row>
    <row r="171" spans="1:14" ht="41.4" x14ac:dyDescent="0.25">
      <c r="A171" s="95" t="s">
        <v>163</v>
      </c>
      <c r="B171" s="4">
        <f>SUM(C171,M171,N171)</f>
        <v>1210</v>
      </c>
      <c r="C171" s="4">
        <f>SUM(D171:L171)</f>
        <v>330</v>
      </c>
      <c r="D171" s="4">
        <f>$E$22</f>
        <v>36.666666666666664</v>
      </c>
      <c r="E171" s="4">
        <f t="shared" ref="E171:L171" si="11">$E$22</f>
        <v>36.666666666666664</v>
      </c>
      <c r="F171" s="4">
        <f t="shared" si="11"/>
        <v>36.666666666666664</v>
      </c>
      <c r="G171" s="4">
        <f t="shared" si="11"/>
        <v>36.666666666666664</v>
      </c>
      <c r="H171" s="4">
        <f t="shared" si="11"/>
        <v>36.666666666666664</v>
      </c>
      <c r="I171" s="4">
        <f t="shared" si="11"/>
        <v>36.666666666666664</v>
      </c>
      <c r="J171" s="4">
        <f t="shared" si="11"/>
        <v>36.666666666666664</v>
      </c>
      <c r="K171" s="4">
        <f t="shared" si="11"/>
        <v>36.666666666666664</v>
      </c>
      <c r="L171" s="4">
        <f t="shared" si="11"/>
        <v>36.666666666666664</v>
      </c>
      <c r="M171" s="4">
        <f>$E$22*12</f>
        <v>440</v>
      </c>
      <c r="N171" s="5">
        <f>$E$22*12</f>
        <v>440</v>
      </c>
    </row>
    <row r="172" spans="1:14" ht="27.6" x14ac:dyDescent="0.25">
      <c r="A172" s="94" t="s">
        <v>164</v>
      </c>
      <c r="B172" s="4">
        <f>SUM(C172,M172,N172)</f>
        <v>19.2456</v>
      </c>
      <c r="C172" s="4">
        <f>SUM(D172:L172)</f>
        <v>5.2488000000000001</v>
      </c>
      <c r="D172" s="4">
        <f>$D$32</f>
        <v>0.58320000000000005</v>
      </c>
      <c r="E172" s="4">
        <f t="shared" ref="E172:L172" si="12">$D$32</f>
        <v>0.58320000000000005</v>
      </c>
      <c r="F172" s="4">
        <f t="shared" si="12"/>
        <v>0.58320000000000005</v>
      </c>
      <c r="G172" s="4">
        <f t="shared" si="12"/>
        <v>0.58320000000000005</v>
      </c>
      <c r="H172" s="4">
        <f t="shared" si="12"/>
        <v>0.58320000000000005</v>
      </c>
      <c r="I172" s="4">
        <f t="shared" si="12"/>
        <v>0.58320000000000005</v>
      </c>
      <c r="J172" s="4">
        <f t="shared" si="12"/>
        <v>0.58320000000000005</v>
      </c>
      <c r="K172" s="4">
        <f t="shared" si="12"/>
        <v>0.58320000000000005</v>
      </c>
      <c r="L172" s="4">
        <f t="shared" si="12"/>
        <v>0.58320000000000005</v>
      </c>
      <c r="M172" s="4">
        <f>$D$32*12</f>
        <v>6.9984000000000002</v>
      </c>
      <c r="N172" s="5">
        <f>$D$32*12</f>
        <v>6.9984000000000002</v>
      </c>
    </row>
    <row r="173" spans="1:14" ht="41.4" x14ac:dyDescent="0.25">
      <c r="A173" s="94" t="s">
        <v>165</v>
      </c>
      <c r="B173" s="4">
        <f>SUM(C173,M173,N173)</f>
        <v>0</v>
      </c>
      <c r="C173" s="4">
        <f>SUM(D173:L173)</f>
        <v>0</v>
      </c>
      <c r="D173" s="4">
        <f>SUM(E173,O173,P173)</f>
        <v>0</v>
      </c>
      <c r="E173" s="4">
        <f t="shared" ref="E173:N175" si="13">SUM(F173,P173,Q173)</f>
        <v>0</v>
      </c>
      <c r="F173" s="4">
        <f t="shared" si="13"/>
        <v>0</v>
      </c>
      <c r="G173" s="4">
        <f t="shared" si="13"/>
        <v>0</v>
      </c>
      <c r="H173" s="4">
        <f t="shared" si="13"/>
        <v>0</v>
      </c>
      <c r="I173" s="4">
        <f t="shared" si="13"/>
        <v>0</v>
      </c>
      <c r="J173" s="4">
        <f t="shared" si="13"/>
        <v>0</v>
      </c>
      <c r="K173" s="4">
        <f t="shared" si="13"/>
        <v>0</v>
      </c>
      <c r="L173" s="4">
        <f t="shared" si="13"/>
        <v>0</v>
      </c>
      <c r="M173" s="4">
        <f t="shared" si="13"/>
        <v>0</v>
      </c>
      <c r="N173" s="5">
        <f t="shared" si="13"/>
        <v>0</v>
      </c>
    </row>
    <row r="174" spans="1:14" ht="27.6" x14ac:dyDescent="0.25">
      <c r="A174" s="94" t="s">
        <v>166</v>
      </c>
      <c r="B174" s="4">
        <f>SUM(C174,M174,N174)</f>
        <v>0</v>
      </c>
      <c r="C174" s="4">
        <f>SUM(D174:L174)</f>
        <v>0</v>
      </c>
      <c r="D174" s="4">
        <f>SUM(E174,O174,P174)</f>
        <v>0</v>
      </c>
      <c r="E174" s="4">
        <f t="shared" si="13"/>
        <v>0</v>
      </c>
      <c r="F174" s="4">
        <f t="shared" si="13"/>
        <v>0</v>
      </c>
      <c r="G174" s="4">
        <f t="shared" si="13"/>
        <v>0</v>
      </c>
      <c r="H174" s="4">
        <f t="shared" si="13"/>
        <v>0</v>
      </c>
      <c r="I174" s="4">
        <f t="shared" si="13"/>
        <v>0</v>
      </c>
      <c r="J174" s="4">
        <f t="shared" si="13"/>
        <v>0</v>
      </c>
      <c r="K174" s="4">
        <f t="shared" si="13"/>
        <v>0</v>
      </c>
      <c r="L174" s="4">
        <f t="shared" si="13"/>
        <v>0</v>
      </c>
      <c r="M174" s="4">
        <f t="shared" si="13"/>
        <v>0</v>
      </c>
      <c r="N174" s="5">
        <f t="shared" si="13"/>
        <v>0</v>
      </c>
    </row>
    <row r="175" spans="1:14" ht="27.6" x14ac:dyDescent="0.25">
      <c r="A175" s="94" t="s">
        <v>167</v>
      </c>
      <c r="B175" s="4">
        <f>SUM(C175,M175,N175)</f>
        <v>0</v>
      </c>
      <c r="C175" s="4">
        <f>SUM(D175:L175)</f>
        <v>0</v>
      </c>
      <c r="D175" s="4">
        <f>SUM(E175,O175,P175)</f>
        <v>0</v>
      </c>
      <c r="E175" s="4">
        <f t="shared" si="13"/>
        <v>0</v>
      </c>
      <c r="F175" s="4">
        <f t="shared" si="13"/>
        <v>0</v>
      </c>
      <c r="G175" s="4">
        <f t="shared" si="13"/>
        <v>0</v>
      </c>
      <c r="H175" s="4">
        <f t="shared" si="13"/>
        <v>0</v>
      </c>
      <c r="I175" s="4">
        <f t="shared" si="13"/>
        <v>0</v>
      </c>
      <c r="J175" s="4">
        <f t="shared" si="13"/>
        <v>0</v>
      </c>
      <c r="K175" s="4">
        <f t="shared" si="13"/>
        <v>0</v>
      </c>
      <c r="L175" s="4">
        <f t="shared" si="13"/>
        <v>0</v>
      </c>
      <c r="M175" s="4">
        <f t="shared" si="13"/>
        <v>0</v>
      </c>
      <c r="N175" s="5">
        <f t="shared" si="13"/>
        <v>0</v>
      </c>
    </row>
    <row r="176" spans="1:14" ht="42" thickBot="1" x14ac:dyDescent="0.3">
      <c r="A176" s="96" t="s">
        <v>168</v>
      </c>
      <c r="B176" s="15">
        <f>SUM(C176,M176,N176)</f>
        <v>99000</v>
      </c>
      <c r="C176" s="4">
        <f>SUM(D176:L176)</f>
        <v>27000</v>
      </c>
      <c r="D176" s="15">
        <v>3000</v>
      </c>
      <c r="E176" s="15">
        <v>3000</v>
      </c>
      <c r="F176" s="15">
        <v>3000</v>
      </c>
      <c r="G176" s="15">
        <v>3000</v>
      </c>
      <c r="H176" s="15">
        <v>3000</v>
      </c>
      <c r="I176" s="15">
        <v>3000</v>
      </c>
      <c r="J176" s="15">
        <v>3000</v>
      </c>
      <c r="K176" s="15">
        <v>3000</v>
      </c>
      <c r="L176" s="15">
        <v>3000</v>
      </c>
      <c r="M176" s="15">
        <f>3000*12</f>
        <v>36000</v>
      </c>
      <c r="N176" s="16">
        <f>3000*12</f>
        <v>36000</v>
      </c>
    </row>
    <row r="178" spans="1:17" ht="14.4" thickBot="1" x14ac:dyDescent="0.3">
      <c r="A178" s="27" t="s">
        <v>169</v>
      </c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</row>
    <row r="179" spans="1:17" ht="14.4" thickBot="1" x14ac:dyDescent="0.3">
      <c r="A179" s="257" t="s">
        <v>126</v>
      </c>
      <c r="B179" s="257" t="s">
        <v>108</v>
      </c>
      <c r="C179" s="257" t="s">
        <v>149</v>
      </c>
      <c r="D179" s="257"/>
      <c r="E179" s="257"/>
      <c r="F179" s="257"/>
      <c r="G179" s="257"/>
      <c r="H179" s="257"/>
      <c r="I179" s="257"/>
      <c r="J179" s="257"/>
      <c r="K179" s="257"/>
      <c r="L179" s="257"/>
      <c r="M179" s="257"/>
      <c r="N179" s="257"/>
      <c r="O179" s="257"/>
      <c r="P179" s="257" t="s">
        <v>150</v>
      </c>
      <c r="Q179" s="257" t="s">
        <v>129</v>
      </c>
    </row>
    <row r="180" spans="1:17" ht="14.4" thickBot="1" x14ac:dyDescent="0.3">
      <c r="A180" s="257"/>
      <c r="B180" s="257"/>
      <c r="C180" s="258" t="s">
        <v>170</v>
      </c>
      <c r="D180" s="258" t="s">
        <v>171</v>
      </c>
      <c r="E180" s="258" t="s">
        <v>172</v>
      </c>
      <c r="F180" s="258" t="s">
        <v>173</v>
      </c>
      <c r="G180" s="258" t="s">
        <v>151</v>
      </c>
      <c r="H180" s="258" t="s">
        <v>152</v>
      </c>
      <c r="I180" s="258" t="s">
        <v>153</v>
      </c>
      <c r="J180" s="258" t="s">
        <v>154</v>
      </c>
      <c r="K180" s="258" t="s">
        <v>155</v>
      </c>
      <c r="L180" s="258" t="s">
        <v>156</v>
      </c>
      <c r="M180" s="258" t="s">
        <v>157</v>
      </c>
      <c r="N180" s="258" t="s">
        <v>158</v>
      </c>
      <c r="O180" s="258" t="s">
        <v>159</v>
      </c>
      <c r="P180" s="257"/>
      <c r="Q180" s="257"/>
    </row>
    <row r="181" spans="1:17" ht="14.4" thickBot="1" x14ac:dyDescent="0.3">
      <c r="A181" s="250" t="s">
        <v>174</v>
      </c>
      <c r="B181" s="258">
        <f>SUM(C181,P181:Q181)</f>
        <v>1062889.6556456001</v>
      </c>
      <c r="C181" s="258">
        <f>SUM(C182,C188)</f>
        <v>346274.63510334544</v>
      </c>
      <c r="D181" s="258">
        <f t="shared" ref="D181:Q181" si="14">SUM(D182,D188)</f>
        <v>35067.040000000001</v>
      </c>
      <c r="E181" s="258">
        <f t="shared" si="14"/>
        <v>35067.040000000001</v>
      </c>
      <c r="F181" s="258">
        <f t="shared" si="14"/>
        <v>7409.9224000000004</v>
      </c>
      <c r="G181" s="258">
        <f t="shared" si="14"/>
        <v>29858.959189260608</v>
      </c>
      <c r="H181" s="258">
        <f t="shared" si="14"/>
        <v>29858.959189260608</v>
      </c>
      <c r="I181" s="258">
        <f t="shared" si="14"/>
        <v>29858.959189260608</v>
      </c>
      <c r="J181" s="258">
        <f t="shared" si="14"/>
        <v>29858.959189260608</v>
      </c>
      <c r="K181" s="258">
        <f t="shared" si="14"/>
        <v>29858.959189260608</v>
      </c>
      <c r="L181" s="258">
        <f t="shared" si="14"/>
        <v>29858.959189260608</v>
      </c>
      <c r="M181" s="258">
        <f t="shared" si="14"/>
        <v>29858.959189260608</v>
      </c>
      <c r="N181" s="258">
        <f t="shared" si="14"/>
        <v>29858.959189260608</v>
      </c>
      <c r="O181" s="258">
        <f t="shared" si="14"/>
        <v>29858.959189260608</v>
      </c>
      <c r="P181" s="258">
        <f t="shared" si="14"/>
        <v>358307.51027112728</v>
      </c>
      <c r="Q181" s="258">
        <f t="shared" si="14"/>
        <v>358307.51027112728</v>
      </c>
    </row>
    <row r="182" spans="1:17" ht="14.4" thickBot="1" x14ac:dyDescent="0.3">
      <c r="A182" s="250" t="s">
        <v>175</v>
      </c>
      <c r="B182" s="258">
        <f>SUM(C182,P182:Q182)</f>
        <v>77544.002399999998</v>
      </c>
      <c r="C182" s="258">
        <f>SUM(D182:F182)</f>
        <v>77544.002399999998</v>
      </c>
      <c r="D182" s="258">
        <f>C136</f>
        <v>35067.040000000001</v>
      </c>
      <c r="E182" s="258">
        <f>D136</f>
        <v>35067.040000000001</v>
      </c>
      <c r="F182" s="258">
        <f t="shared" ref="F182" si="15">E136</f>
        <v>7409.9224000000004</v>
      </c>
      <c r="G182" s="258">
        <v>0</v>
      </c>
      <c r="H182" s="258">
        <v>0</v>
      </c>
      <c r="I182" s="258">
        <v>0</v>
      </c>
      <c r="J182" s="258">
        <v>0</v>
      </c>
      <c r="K182" s="258">
        <v>0</v>
      </c>
      <c r="L182" s="258">
        <v>0</v>
      </c>
      <c r="M182" s="258">
        <v>0</v>
      </c>
      <c r="N182" s="258">
        <v>0</v>
      </c>
      <c r="O182" s="258">
        <v>0</v>
      </c>
      <c r="P182" s="258">
        <v>0</v>
      </c>
      <c r="Q182" s="258">
        <v>0</v>
      </c>
    </row>
    <row r="183" spans="1:17" ht="14.4" thickBot="1" x14ac:dyDescent="0.3">
      <c r="A183" s="259" t="s">
        <v>176</v>
      </c>
      <c r="B183" s="258">
        <f>SUM(C183,P183:Q183)</f>
        <v>8052.0960000000005</v>
      </c>
      <c r="C183" s="258">
        <f>SUM(D183:F183)</f>
        <v>8052.0960000000005</v>
      </c>
      <c r="D183" s="258">
        <f>C137</f>
        <v>2756.6080000000002</v>
      </c>
      <c r="E183" s="258">
        <f>D137</f>
        <v>2756.6080000000002</v>
      </c>
      <c r="F183" s="258">
        <f t="shared" ref="F183" si="16">E137</f>
        <v>2538.88</v>
      </c>
      <c r="G183" s="258">
        <v>0</v>
      </c>
      <c r="H183" s="258">
        <v>0</v>
      </c>
      <c r="I183" s="258">
        <v>0</v>
      </c>
      <c r="J183" s="258">
        <v>0</v>
      </c>
      <c r="K183" s="258">
        <v>0</v>
      </c>
      <c r="L183" s="258">
        <v>0</v>
      </c>
      <c r="M183" s="258">
        <v>0</v>
      </c>
      <c r="N183" s="258">
        <v>0</v>
      </c>
      <c r="O183" s="258">
        <v>0</v>
      </c>
      <c r="P183" s="258">
        <v>0</v>
      </c>
      <c r="Q183" s="258">
        <v>0</v>
      </c>
    </row>
    <row r="184" spans="1:17" ht="28.2" thickBot="1" x14ac:dyDescent="0.3">
      <c r="A184" s="259" t="s">
        <v>248</v>
      </c>
      <c r="B184" s="258">
        <f>SUM(C184,P184:Q184)</f>
        <v>0</v>
      </c>
      <c r="C184" s="258">
        <f>SUM(D184:F184)</f>
        <v>0</v>
      </c>
      <c r="D184" s="258">
        <f>C141</f>
        <v>0</v>
      </c>
      <c r="E184" s="258">
        <f>D141</f>
        <v>0</v>
      </c>
      <c r="F184" s="258">
        <f>E141</f>
        <v>0</v>
      </c>
      <c r="G184" s="258">
        <v>0</v>
      </c>
      <c r="H184" s="258">
        <v>0</v>
      </c>
      <c r="I184" s="258">
        <v>0</v>
      </c>
      <c r="J184" s="258">
        <v>0</v>
      </c>
      <c r="K184" s="258">
        <v>0</v>
      </c>
      <c r="L184" s="258">
        <v>0</v>
      </c>
      <c r="M184" s="258">
        <v>0</v>
      </c>
      <c r="N184" s="258">
        <v>0</v>
      </c>
      <c r="O184" s="258">
        <v>0</v>
      </c>
      <c r="P184" s="258">
        <v>0</v>
      </c>
      <c r="Q184" s="258">
        <v>0</v>
      </c>
    </row>
    <row r="185" spans="1:17" ht="14.4" thickBot="1" x14ac:dyDescent="0.3">
      <c r="A185" s="259" t="s">
        <v>177</v>
      </c>
      <c r="B185" s="258">
        <f>SUM(C185,P185:Q185)</f>
        <v>0</v>
      </c>
      <c r="C185" s="258">
        <f>SUM(D185:F185)</f>
        <v>0</v>
      </c>
      <c r="D185" s="258">
        <f t="shared" ref="D185:Q187" si="17">C144</f>
        <v>0</v>
      </c>
      <c r="E185" s="258">
        <f>D144</f>
        <v>0</v>
      </c>
      <c r="F185" s="258">
        <f t="shared" si="17"/>
        <v>0</v>
      </c>
      <c r="G185" s="258">
        <f t="shared" si="17"/>
        <v>0</v>
      </c>
      <c r="H185" s="258">
        <f t="shared" si="17"/>
        <v>0</v>
      </c>
      <c r="I185" s="258">
        <f t="shared" si="17"/>
        <v>0</v>
      </c>
      <c r="J185" s="258">
        <f t="shared" si="17"/>
        <v>0</v>
      </c>
      <c r="K185" s="258">
        <f t="shared" si="17"/>
        <v>0</v>
      </c>
      <c r="L185" s="258">
        <f t="shared" si="17"/>
        <v>0</v>
      </c>
      <c r="M185" s="258">
        <f t="shared" si="17"/>
        <v>0</v>
      </c>
      <c r="N185" s="258">
        <f t="shared" si="17"/>
        <v>0</v>
      </c>
      <c r="O185" s="258">
        <f t="shared" si="17"/>
        <v>0</v>
      </c>
      <c r="P185" s="258">
        <f t="shared" si="17"/>
        <v>0</v>
      </c>
      <c r="Q185" s="258">
        <f t="shared" si="17"/>
        <v>0</v>
      </c>
    </row>
    <row r="186" spans="1:17" ht="14.4" customHeight="1" thickBot="1" x14ac:dyDescent="0.3">
      <c r="A186" s="259" t="s">
        <v>178</v>
      </c>
      <c r="B186" s="258">
        <f>SUM(C186,P186:Q186)</f>
        <v>69491.906400000007</v>
      </c>
      <c r="C186" s="258">
        <f>SUM(D186:F186)</f>
        <v>69491.906400000007</v>
      </c>
      <c r="D186" s="258">
        <f>C146</f>
        <v>32310.432000000001</v>
      </c>
      <c r="E186" s="258">
        <f>D146</f>
        <v>32310.432000000001</v>
      </c>
      <c r="F186" s="258">
        <f t="shared" ref="F186" si="18">E146</f>
        <v>4871.0424000000003</v>
      </c>
      <c r="G186" s="258">
        <f t="shared" si="17"/>
        <v>0</v>
      </c>
      <c r="H186" s="258">
        <f t="shared" si="17"/>
        <v>0</v>
      </c>
      <c r="I186" s="258">
        <f t="shared" si="17"/>
        <v>0</v>
      </c>
      <c r="J186" s="258">
        <f t="shared" si="17"/>
        <v>0</v>
      </c>
      <c r="K186" s="258">
        <f t="shared" si="17"/>
        <v>0</v>
      </c>
      <c r="L186" s="258">
        <f t="shared" si="17"/>
        <v>0</v>
      </c>
      <c r="M186" s="258">
        <f t="shared" si="17"/>
        <v>0</v>
      </c>
      <c r="N186" s="258">
        <f t="shared" si="17"/>
        <v>0</v>
      </c>
      <c r="O186" s="258">
        <f t="shared" si="17"/>
        <v>0</v>
      </c>
      <c r="P186" s="258">
        <f t="shared" si="17"/>
        <v>0</v>
      </c>
      <c r="Q186" s="258">
        <f t="shared" si="17"/>
        <v>0</v>
      </c>
    </row>
    <row r="187" spans="1:17" ht="28.2" thickBot="1" x14ac:dyDescent="0.3">
      <c r="A187" s="259" t="s">
        <v>179</v>
      </c>
      <c r="B187" s="258">
        <f>SUM(C187,P187:Q187)</f>
        <v>1800</v>
      </c>
      <c r="C187" s="258">
        <f>SUM(D187:F187)</f>
        <v>1800</v>
      </c>
      <c r="D187" s="258">
        <f>C148</f>
        <v>600</v>
      </c>
      <c r="E187" s="258">
        <f>D148</f>
        <v>600</v>
      </c>
      <c r="F187" s="258">
        <f t="shared" ref="F187" si="19">E148</f>
        <v>600</v>
      </c>
      <c r="G187" s="258">
        <f t="shared" si="17"/>
        <v>0</v>
      </c>
      <c r="H187" s="258">
        <f t="shared" si="17"/>
        <v>0</v>
      </c>
      <c r="I187" s="258">
        <f t="shared" si="17"/>
        <v>0</v>
      </c>
      <c r="J187" s="258">
        <f t="shared" si="17"/>
        <v>0</v>
      </c>
      <c r="K187" s="258">
        <f t="shared" si="17"/>
        <v>0</v>
      </c>
      <c r="L187" s="258">
        <f t="shared" si="17"/>
        <v>0</v>
      </c>
      <c r="M187" s="258">
        <f t="shared" si="17"/>
        <v>0</v>
      </c>
      <c r="N187" s="258">
        <f t="shared" si="17"/>
        <v>0</v>
      </c>
      <c r="O187" s="258">
        <f t="shared" si="17"/>
        <v>0</v>
      </c>
      <c r="P187" s="258">
        <f t="shared" si="17"/>
        <v>0</v>
      </c>
      <c r="Q187" s="258">
        <f t="shared" si="17"/>
        <v>0</v>
      </c>
    </row>
    <row r="188" spans="1:17" ht="14.4" thickBot="1" x14ac:dyDescent="0.3">
      <c r="A188" s="250" t="s">
        <v>180</v>
      </c>
      <c r="B188" s="258">
        <f>SUM(C188,P188:Q188)</f>
        <v>985345.65324559994</v>
      </c>
      <c r="C188" s="258">
        <f>SUM(G188:O188)</f>
        <v>268730.63270334544</v>
      </c>
      <c r="D188" s="260">
        <f>SUM(D189:D194)</f>
        <v>0</v>
      </c>
      <c r="E188" s="260">
        <f>SUM(E189:E194)</f>
        <v>0</v>
      </c>
      <c r="F188" s="260">
        <f>SUM(F189:F194)</f>
        <v>0</v>
      </c>
      <c r="G188" s="260">
        <f>SUM(G189:G190)</f>
        <v>29858.959189260608</v>
      </c>
      <c r="H188" s="260">
        <f>SUM(H189:H190)</f>
        <v>29858.959189260608</v>
      </c>
      <c r="I188" s="260">
        <f t="shared" ref="I188:P188" si="20">SUM(I189:I190)</f>
        <v>29858.959189260608</v>
      </c>
      <c r="J188" s="260">
        <f t="shared" si="20"/>
        <v>29858.959189260608</v>
      </c>
      <c r="K188" s="260">
        <f t="shared" si="20"/>
        <v>29858.959189260608</v>
      </c>
      <c r="L188" s="260">
        <f t="shared" si="20"/>
        <v>29858.959189260608</v>
      </c>
      <c r="M188" s="260">
        <f t="shared" si="20"/>
        <v>29858.959189260608</v>
      </c>
      <c r="N188" s="260">
        <f t="shared" si="20"/>
        <v>29858.959189260608</v>
      </c>
      <c r="O188" s="260">
        <f t="shared" si="20"/>
        <v>29858.959189260608</v>
      </c>
      <c r="P188" s="260">
        <f t="shared" si="20"/>
        <v>358307.51027112728</v>
      </c>
      <c r="Q188" s="260">
        <f>SUM(Q189:Q190)</f>
        <v>358307.51027112728</v>
      </c>
    </row>
    <row r="189" spans="1:17" ht="14.4" thickBot="1" x14ac:dyDescent="0.3">
      <c r="A189" s="250" t="s">
        <v>181</v>
      </c>
      <c r="B189" s="258">
        <f>SUM(C189,P189:Q189)</f>
        <v>985245.42400000012</v>
      </c>
      <c r="C189" s="258">
        <f>SUM(G189:O189)</f>
        <v>268703.29745454551</v>
      </c>
      <c r="D189" s="258">
        <v>0</v>
      </c>
      <c r="E189" s="258">
        <v>0</v>
      </c>
      <c r="F189" s="258">
        <v>0</v>
      </c>
      <c r="G189" s="260">
        <f>D154</f>
        <v>29855.921939393942</v>
      </c>
      <c r="H189" s="260">
        <f>E154</f>
        <v>29855.921939393942</v>
      </c>
      <c r="I189" s="260">
        <f t="shared" ref="I189:O189" si="21">F154</f>
        <v>29855.921939393942</v>
      </c>
      <c r="J189" s="260">
        <f t="shared" si="21"/>
        <v>29855.921939393942</v>
      </c>
      <c r="K189" s="260">
        <f t="shared" si="21"/>
        <v>29855.921939393942</v>
      </c>
      <c r="L189" s="260">
        <f t="shared" si="21"/>
        <v>29855.921939393942</v>
      </c>
      <c r="M189" s="260">
        <f t="shared" si="21"/>
        <v>29855.921939393942</v>
      </c>
      <c r="N189" s="260">
        <f t="shared" si="21"/>
        <v>29855.921939393942</v>
      </c>
      <c r="O189" s="260">
        <f t="shared" si="21"/>
        <v>29855.921939393942</v>
      </c>
      <c r="P189" s="260">
        <f>M154</f>
        <v>358271.0632727273</v>
      </c>
      <c r="Q189" s="260">
        <f>N154</f>
        <v>358271.0632727273</v>
      </c>
    </row>
    <row r="190" spans="1:17" ht="14.4" thickBot="1" x14ac:dyDescent="0.3">
      <c r="A190" s="250" t="s">
        <v>182</v>
      </c>
      <c r="B190" s="258">
        <f>SUM(C190,P190:Q190)</f>
        <v>100.2292456</v>
      </c>
      <c r="C190" s="258">
        <f>SUM(D190:O190)</f>
        <v>27.335248799999999</v>
      </c>
      <c r="D190" s="258">
        <v>0</v>
      </c>
      <c r="E190" s="258">
        <v>0</v>
      </c>
      <c r="F190" s="258">
        <v>0</v>
      </c>
      <c r="G190" s="260">
        <f>D168</f>
        <v>3.0372498666666665</v>
      </c>
      <c r="H190" s="260">
        <f>E168</f>
        <v>3.0372498666666665</v>
      </c>
      <c r="I190" s="260">
        <f t="shared" ref="I190:Q190" si="22">F168</f>
        <v>3.0372498666666665</v>
      </c>
      <c r="J190" s="260">
        <f t="shared" si="22"/>
        <v>3.0372498666666665</v>
      </c>
      <c r="K190" s="260">
        <f t="shared" si="22"/>
        <v>3.0372498666666665</v>
      </c>
      <c r="L190" s="260">
        <f t="shared" si="22"/>
        <v>3.0372498666666665</v>
      </c>
      <c r="M190" s="260">
        <f t="shared" si="22"/>
        <v>3.0372498666666665</v>
      </c>
      <c r="N190" s="260">
        <f t="shared" si="22"/>
        <v>3.0372498666666665</v>
      </c>
      <c r="O190" s="260">
        <f t="shared" si="22"/>
        <v>3.0372498666666665</v>
      </c>
      <c r="P190" s="260">
        <f>M168</f>
        <v>36.446998399999998</v>
      </c>
      <c r="Q190" s="260">
        <f t="shared" si="22"/>
        <v>36.446998399999998</v>
      </c>
    </row>
    <row r="192" spans="1:17" ht="60" customHeight="1" x14ac:dyDescent="0.25">
      <c r="A192" s="188" t="s">
        <v>244</v>
      </c>
      <c r="B192" s="188"/>
      <c r="C192" s="188"/>
      <c r="D192" s="188"/>
      <c r="E192" s="188"/>
      <c r="F192" s="188"/>
    </row>
    <row r="194" spans="1:9" ht="14.4" thickBot="1" x14ac:dyDescent="0.3">
      <c r="A194" s="27" t="s">
        <v>190</v>
      </c>
      <c r="B194" s="28"/>
      <c r="C194" s="28"/>
      <c r="D194" s="28"/>
      <c r="E194" s="28"/>
    </row>
    <row r="195" spans="1:9" x14ac:dyDescent="0.25">
      <c r="A195" s="98"/>
      <c r="B195" s="189" t="s">
        <v>184</v>
      </c>
      <c r="C195" s="191" t="s">
        <v>94</v>
      </c>
      <c r="D195" s="192"/>
      <c r="E195" s="193"/>
    </row>
    <row r="196" spans="1:9" ht="28.2" thickBot="1" x14ac:dyDescent="0.3">
      <c r="A196" s="99"/>
      <c r="B196" s="190"/>
      <c r="C196" s="74" t="s">
        <v>185</v>
      </c>
      <c r="D196" s="74" t="s">
        <v>186</v>
      </c>
      <c r="E196" s="100" t="s">
        <v>187</v>
      </c>
    </row>
    <row r="197" spans="1:9" x14ac:dyDescent="0.25">
      <c r="A197" s="101" t="s">
        <v>188</v>
      </c>
      <c r="B197" s="189" t="s">
        <v>191</v>
      </c>
      <c r="C197" s="97">
        <v>16</v>
      </c>
      <c r="D197" s="97">
        <f>D84</f>
        <v>8</v>
      </c>
      <c r="E197" s="102">
        <f>C197-D197</f>
        <v>8</v>
      </c>
    </row>
    <row r="198" spans="1:9" ht="14.4" thickBot="1" x14ac:dyDescent="0.3">
      <c r="A198" s="103" t="s">
        <v>189</v>
      </c>
      <c r="B198" s="190"/>
      <c r="C198" s="74">
        <f>C197*C109</f>
        <v>160</v>
      </c>
      <c r="D198" s="74">
        <f>C109*D197</f>
        <v>80</v>
      </c>
      <c r="E198" s="100">
        <f>C198-D198</f>
        <v>80</v>
      </c>
    </row>
    <row r="199" spans="1:9" ht="15" customHeight="1" x14ac:dyDescent="0.25">
      <c r="A199" s="188" t="s">
        <v>223</v>
      </c>
      <c r="B199" s="188"/>
      <c r="C199" s="188"/>
      <c r="D199" s="188"/>
      <c r="E199" s="188"/>
      <c r="F199" s="188"/>
      <c r="G199" s="188"/>
      <c r="H199" s="188"/>
      <c r="I199" s="188"/>
    </row>
    <row r="200" spans="1:9" ht="15" customHeight="1" x14ac:dyDescent="0.25">
      <c r="A200" s="188"/>
      <c r="B200" s="188"/>
      <c r="C200" s="188"/>
      <c r="D200" s="188"/>
      <c r="E200" s="188"/>
      <c r="F200" s="188"/>
      <c r="G200" s="188"/>
      <c r="H200" s="188"/>
      <c r="I200" s="188"/>
    </row>
    <row r="201" spans="1:9" ht="15" customHeight="1" x14ac:dyDescent="0.25">
      <c r="A201" s="188"/>
      <c r="B201" s="188"/>
      <c r="C201" s="188"/>
      <c r="D201" s="188"/>
      <c r="E201" s="188"/>
      <c r="F201" s="188"/>
      <c r="G201" s="188"/>
      <c r="H201" s="188"/>
      <c r="I201" s="188"/>
    </row>
    <row r="202" spans="1:9" ht="15" customHeight="1" x14ac:dyDescent="0.25">
      <c r="A202" s="188"/>
      <c r="B202" s="188"/>
      <c r="C202" s="188"/>
      <c r="D202" s="188"/>
      <c r="E202" s="188"/>
      <c r="F202" s="188"/>
      <c r="G202" s="188"/>
      <c r="H202" s="188"/>
      <c r="I202" s="188"/>
    </row>
    <row r="203" spans="1:9" ht="15" customHeight="1" x14ac:dyDescent="0.25">
      <c r="A203" s="188"/>
      <c r="B203" s="188"/>
      <c r="C203" s="188"/>
      <c r="D203" s="188"/>
      <c r="E203" s="188"/>
      <c r="F203" s="188"/>
      <c r="G203" s="188"/>
      <c r="H203" s="188"/>
      <c r="I203" s="188"/>
    </row>
    <row r="205" spans="1:9" ht="14.4" thickBot="1" x14ac:dyDescent="0.3">
      <c r="A205" s="11" t="s">
        <v>194</v>
      </c>
    </row>
    <row r="206" spans="1:9" ht="55.8" thickBot="1" x14ac:dyDescent="0.3">
      <c r="A206" s="104" t="s">
        <v>207</v>
      </c>
      <c r="B206" s="105" t="s">
        <v>202</v>
      </c>
      <c r="C206" s="106" t="s">
        <v>195</v>
      </c>
      <c r="D206" s="106" t="s">
        <v>196</v>
      </c>
      <c r="E206" s="107" t="s">
        <v>197</v>
      </c>
    </row>
    <row r="207" spans="1:9" ht="14.4" thickBot="1" x14ac:dyDescent="0.3">
      <c r="A207" s="108">
        <f>E198</f>
        <v>80</v>
      </c>
      <c r="B207" s="109">
        <f xml:space="preserve"> 4 * 2 * 12</f>
        <v>96</v>
      </c>
      <c r="C207" s="109">
        <f>E109</f>
        <v>227.27272727272728</v>
      </c>
      <c r="D207" s="109">
        <f xml:space="preserve"> C207 * A207 *12</f>
        <v>218181.81818181821</v>
      </c>
      <c r="E207" s="110">
        <f>D207/12</f>
        <v>18181.818181818184</v>
      </c>
    </row>
    <row r="209" spans="1:18" ht="14.4" thickBot="1" x14ac:dyDescent="0.3">
      <c r="A209" s="27" t="s">
        <v>213</v>
      </c>
      <c r="B209" s="28"/>
      <c r="C209" s="28"/>
      <c r="D209" s="28"/>
    </row>
    <row r="210" spans="1:18" ht="28.2" thickBot="1" x14ac:dyDescent="0.3">
      <c r="A210" s="111" t="s">
        <v>201</v>
      </c>
      <c r="B210" s="112" t="s">
        <v>199</v>
      </c>
      <c r="C210" s="76" t="s">
        <v>200</v>
      </c>
      <c r="D210" s="77" t="s">
        <v>187</v>
      </c>
      <c r="F210" s="11" t="s">
        <v>249</v>
      </c>
    </row>
    <row r="211" spans="1:18" x14ac:dyDescent="0.25">
      <c r="A211" s="101" t="s">
        <v>188</v>
      </c>
      <c r="B211" s="113">
        <f>G217</f>
        <v>4200</v>
      </c>
      <c r="C211" s="114">
        <f xml:space="preserve"> B211 * 0.5</f>
        <v>2100</v>
      </c>
      <c r="D211" s="115">
        <f>C211-B211</f>
        <v>-2100</v>
      </c>
      <c r="F211" s="151" t="s">
        <v>208</v>
      </c>
      <c r="G211" s="116" t="s">
        <v>214</v>
      </c>
    </row>
    <row r="212" spans="1:18" ht="28.2" thickBot="1" x14ac:dyDescent="0.3">
      <c r="A212" s="103" t="s">
        <v>189</v>
      </c>
      <c r="B212" s="117">
        <f>B211*10</f>
        <v>42000</v>
      </c>
      <c r="C212" s="117">
        <f>ROUND(C211 * 10, 12)</f>
        <v>21000</v>
      </c>
      <c r="D212" s="118">
        <f>C212-B212</f>
        <v>-21000</v>
      </c>
      <c r="F212" s="151" t="s">
        <v>198</v>
      </c>
      <c r="G212" s="116">
        <v>1700</v>
      </c>
    </row>
    <row r="213" spans="1:18" ht="28.2" thickBot="1" x14ac:dyDescent="0.3">
      <c r="A213" s="85" t="s">
        <v>203</v>
      </c>
      <c r="B213" s="179">
        <f>D212*12</f>
        <v>-252000</v>
      </c>
      <c r="C213" s="180"/>
      <c r="D213" s="181"/>
      <c r="F213" s="151" t="s">
        <v>209</v>
      </c>
      <c r="G213" s="116">
        <v>300</v>
      </c>
    </row>
    <row r="214" spans="1:18" ht="41.4" x14ac:dyDescent="0.25">
      <c r="F214" s="151" t="s">
        <v>210</v>
      </c>
      <c r="G214" s="116">
        <v>1000</v>
      </c>
    </row>
    <row r="215" spans="1:18" ht="42" thickBot="1" x14ac:dyDescent="0.3">
      <c r="A215" s="27" t="s">
        <v>204</v>
      </c>
      <c r="B215" s="28"/>
      <c r="C215" s="28"/>
      <c r="F215" s="151" t="s">
        <v>211</v>
      </c>
      <c r="G215" s="116">
        <v>500</v>
      </c>
    </row>
    <row r="216" spans="1:18" ht="42" thickBot="1" x14ac:dyDescent="0.3">
      <c r="A216" s="119" t="s">
        <v>205</v>
      </c>
      <c r="B216" s="120" t="s">
        <v>206</v>
      </c>
      <c r="C216" s="121" t="s">
        <v>196</v>
      </c>
      <c r="F216" s="151" t="s">
        <v>212</v>
      </c>
      <c r="G216" s="116">
        <v>700</v>
      </c>
    </row>
    <row r="217" spans="1:18" ht="16.2" thickBot="1" x14ac:dyDescent="0.35">
      <c r="A217" s="122">
        <f>D207</f>
        <v>218181.81818181821</v>
      </c>
      <c r="B217" s="123">
        <f>-B213</f>
        <v>252000</v>
      </c>
      <c r="C217" s="124">
        <f>A217+B217</f>
        <v>470181.81818181823</v>
      </c>
      <c r="F217" s="25" t="s">
        <v>224</v>
      </c>
      <c r="G217" s="26">
        <f>SUM(G212:G216)</f>
        <v>4200</v>
      </c>
    </row>
    <row r="220" spans="1:18" ht="14.4" thickBot="1" x14ac:dyDescent="0.3">
      <c r="A220" s="125" t="s">
        <v>215</v>
      </c>
      <c r="B220" s="126"/>
      <c r="C220" s="126"/>
      <c r="D220" s="126"/>
      <c r="E220" s="126"/>
      <c r="F220" s="126"/>
      <c r="G220" s="126"/>
      <c r="H220" s="126"/>
      <c r="I220" s="126"/>
      <c r="J220" s="126"/>
      <c r="K220" s="126"/>
      <c r="L220" s="126"/>
      <c r="M220" s="126"/>
      <c r="N220" s="126"/>
      <c r="O220" s="126"/>
      <c r="P220" s="126"/>
      <c r="Q220" s="126"/>
      <c r="R220" s="126"/>
    </row>
    <row r="221" spans="1:18" x14ac:dyDescent="0.25">
      <c r="A221" s="182" t="s">
        <v>126</v>
      </c>
      <c r="B221" s="166"/>
      <c r="C221" s="152" t="s">
        <v>108</v>
      </c>
      <c r="D221" s="185" t="s">
        <v>149</v>
      </c>
      <c r="E221" s="186"/>
      <c r="F221" s="186"/>
      <c r="G221" s="186"/>
      <c r="H221" s="186"/>
      <c r="I221" s="186"/>
      <c r="J221" s="186"/>
      <c r="K221" s="186"/>
      <c r="L221" s="186"/>
      <c r="M221" s="186"/>
      <c r="N221" s="186"/>
      <c r="O221" s="186"/>
      <c r="P221" s="187"/>
      <c r="Q221" s="152" t="s">
        <v>150</v>
      </c>
      <c r="R221" s="155" t="s">
        <v>129</v>
      </c>
    </row>
    <row r="222" spans="1:18" ht="14.4" thickBot="1" x14ac:dyDescent="0.3">
      <c r="A222" s="183"/>
      <c r="B222" s="184"/>
      <c r="C222" s="161"/>
      <c r="D222" s="127" t="s">
        <v>170</v>
      </c>
      <c r="E222" s="127" t="s">
        <v>171</v>
      </c>
      <c r="F222" s="127" t="s">
        <v>172</v>
      </c>
      <c r="G222" s="127" t="s">
        <v>173</v>
      </c>
      <c r="H222" s="127" t="s">
        <v>151</v>
      </c>
      <c r="I222" s="127" t="s">
        <v>152</v>
      </c>
      <c r="J222" s="127" t="s">
        <v>153</v>
      </c>
      <c r="K222" s="127" t="s">
        <v>154</v>
      </c>
      <c r="L222" s="127" t="s">
        <v>155</v>
      </c>
      <c r="M222" s="127" t="s">
        <v>156</v>
      </c>
      <c r="N222" s="127" t="s">
        <v>157</v>
      </c>
      <c r="O222" s="127" t="s">
        <v>158</v>
      </c>
      <c r="P222" s="127" t="s">
        <v>159</v>
      </c>
      <c r="Q222" s="161"/>
      <c r="R222" s="176"/>
    </row>
    <row r="223" spans="1:18" x14ac:dyDescent="0.25">
      <c r="A223" s="177" t="s">
        <v>216</v>
      </c>
      <c r="B223" s="178"/>
      <c r="C223" s="128">
        <f>SUM(D223,Q223,R223)</f>
        <v>1293000</v>
      </c>
      <c r="D223" s="128">
        <f t="shared" ref="D223:D229" si="23">SUM(E223:P223)</f>
        <v>352636.36363636365</v>
      </c>
      <c r="E223" s="128">
        <v>0</v>
      </c>
      <c r="F223" s="128">
        <v>0</v>
      </c>
      <c r="G223" s="128">
        <v>0</v>
      </c>
      <c r="H223" s="128">
        <f>SUM(H224:H225)</f>
        <v>39181.818181818184</v>
      </c>
      <c r="I223" s="128">
        <f t="shared" ref="I223:N223" si="24">SUM(I224:I225)</f>
        <v>39181.818181818184</v>
      </c>
      <c r="J223" s="128">
        <f t="shared" si="24"/>
        <v>39181.818181818184</v>
      </c>
      <c r="K223" s="128">
        <f>SUM(K224:K225)</f>
        <v>39181.818181818184</v>
      </c>
      <c r="L223" s="128">
        <f t="shared" si="24"/>
        <v>39181.818181818184</v>
      </c>
      <c r="M223" s="128">
        <f t="shared" si="24"/>
        <v>39181.818181818184</v>
      </c>
      <c r="N223" s="128">
        <f t="shared" si="24"/>
        <v>39181.818181818184</v>
      </c>
      <c r="O223" s="128">
        <f>SUM(O224:O225)</f>
        <v>39181.818181818184</v>
      </c>
      <c r="P223" s="128">
        <f>SUM(P224:P225)</f>
        <v>39181.818181818184</v>
      </c>
      <c r="Q223" s="128">
        <f>SUM(Q224:Q225)</f>
        <v>470181.81818181823</v>
      </c>
      <c r="R223" s="129">
        <f>SUM(R224:R225)</f>
        <v>470181.81818181823</v>
      </c>
    </row>
    <row r="224" spans="1:18" x14ac:dyDescent="0.25">
      <c r="A224" s="170" t="s">
        <v>217</v>
      </c>
      <c r="B224" s="171"/>
      <c r="C224" s="130">
        <f>SUM(D224,Q224,R224)</f>
        <v>600000</v>
      </c>
      <c r="D224" s="130">
        <f t="shared" si="23"/>
        <v>163636.36363636362</v>
      </c>
      <c r="E224" s="131">
        <v>0</v>
      </c>
      <c r="F224" s="131">
        <v>0</v>
      </c>
      <c r="G224" s="131">
        <v>0</v>
      </c>
      <c r="H224" s="131">
        <f>$E$207</f>
        <v>18181.818181818184</v>
      </c>
      <c r="I224" s="131">
        <f t="shared" ref="I224:P224" si="25">$E$207</f>
        <v>18181.818181818184</v>
      </c>
      <c r="J224" s="131">
        <f t="shared" si="25"/>
        <v>18181.818181818184</v>
      </c>
      <c r="K224" s="131">
        <f t="shared" si="25"/>
        <v>18181.818181818184</v>
      </c>
      <c r="L224" s="131">
        <f t="shared" si="25"/>
        <v>18181.818181818184</v>
      </c>
      <c r="M224" s="131">
        <f t="shared" si="25"/>
        <v>18181.818181818184</v>
      </c>
      <c r="N224" s="131">
        <f t="shared" si="25"/>
        <v>18181.818181818184</v>
      </c>
      <c r="O224" s="131">
        <f t="shared" si="25"/>
        <v>18181.818181818184</v>
      </c>
      <c r="P224" s="131">
        <f t="shared" si="25"/>
        <v>18181.818181818184</v>
      </c>
      <c r="Q224" s="1">
        <f>$A$217</f>
        <v>218181.81818181821</v>
      </c>
      <c r="R224" s="1">
        <f>$A$217</f>
        <v>218181.81818181821</v>
      </c>
    </row>
    <row r="225" spans="1:18" x14ac:dyDescent="0.25">
      <c r="A225" s="170" t="s">
        <v>218</v>
      </c>
      <c r="B225" s="171"/>
      <c r="C225" s="130">
        <f>SUM(D225,Q225,R225)</f>
        <v>693000</v>
      </c>
      <c r="D225" s="130">
        <f t="shared" si="23"/>
        <v>189000</v>
      </c>
      <c r="E225" s="131">
        <v>0</v>
      </c>
      <c r="F225" s="131">
        <v>0</v>
      </c>
      <c r="G225" s="131">
        <v>0</v>
      </c>
      <c r="H225" s="1">
        <f>-$D$212</f>
        <v>21000</v>
      </c>
      <c r="I225" s="1">
        <f t="shared" ref="I225:P225" si="26">-$D$212</f>
        <v>21000</v>
      </c>
      <c r="J225" s="1">
        <f t="shared" si="26"/>
        <v>21000</v>
      </c>
      <c r="K225" s="1">
        <f t="shared" si="26"/>
        <v>21000</v>
      </c>
      <c r="L225" s="1">
        <f t="shared" si="26"/>
        <v>21000</v>
      </c>
      <c r="M225" s="1">
        <f t="shared" si="26"/>
        <v>21000</v>
      </c>
      <c r="N225" s="1">
        <f t="shared" si="26"/>
        <v>21000</v>
      </c>
      <c r="O225" s="1">
        <f t="shared" si="26"/>
        <v>21000</v>
      </c>
      <c r="P225" s="1">
        <f t="shared" si="26"/>
        <v>21000</v>
      </c>
      <c r="Q225" s="1">
        <f>B217</f>
        <v>252000</v>
      </c>
      <c r="R225" s="1">
        <f>B217</f>
        <v>252000</v>
      </c>
    </row>
    <row r="226" spans="1:18" x14ac:dyDescent="0.25">
      <c r="A226" s="170" t="s">
        <v>219</v>
      </c>
      <c r="B226" s="171"/>
      <c r="C226" s="130">
        <f>SUM(D226,Q226,R226)</f>
        <v>1062889.6556456001</v>
      </c>
      <c r="D226" s="130">
        <f>SUM(E226:P226)</f>
        <v>346274.6351033455</v>
      </c>
      <c r="E226" s="131">
        <f>SUM(E227:E228)</f>
        <v>35067.040000000001</v>
      </c>
      <c r="F226" s="131">
        <f t="shared" ref="F226:R226" si="27">SUM(F227:F228)</f>
        <v>35067.040000000001</v>
      </c>
      <c r="G226" s="131">
        <f t="shared" si="27"/>
        <v>7409.9224000000004</v>
      </c>
      <c r="H226" s="131">
        <f t="shared" si="27"/>
        <v>29858.959189260608</v>
      </c>
      <c r="I226" s="131">
        <f t="shared" si="27"/>
        <v>29858.959189260608</v>
      </c>
      <c r="J226" s="131">
        <f t="shared" si="27"/>
        <v>29858.959189260608</v>
      </c>
      <c r="K226" s="131">
        <f t="shared" si="27"/>
        <v>29858.959189260608</v>
      </c>
      <c r="L226" s="131">
        <f t="shared" si="27"/>
        <v>29858.959189260608</v>
      </c>
      <c r="M226" s="131">
        <f t="shared" si="27"/>
        <v>29858.959189260608</v>
      </c>
      <c r="N226" s="131">
        <f t="shared" si="27"/>
        <v>29858.959189260608</v>
      </c>
      <c r="O226" s="131">
        <f t="shared" si="27"/>
        <v>29858.959189260608</v>
      </c>
      <c r="P226" s="131">
        <f t="shared" si="27"/>
        <v>29858.959189260608</v>
      </c>
      <c r="Q226" s="131">
        <f>SUM(Q227:Q228)</f>
        <v>358307.51027112728</v>
      </c>
      <c r="R226" s="132">
        <f t="shared" si="27"/>
        <v>358307.51027112728</v>
      </c>
    </row>
    <row r="227" spans="1:18" x14ac:dyDescent="0.25">
      <c r="A227" s="170" t="s">
        <v>220</v>
      </c>
      <c r="B227" s="171"/>
      <c r="C227" s="130">
        <f>SUM(D227,Q227,R227)</f>
        <v>77544.002399999998</v>
      </c>
      <c r="D227" s="130">
        <f>SUM(E227:P227)</f>
        <v>77544.002399999998</v>
      </c>
      <c r="E227" s="131">
        <f>D182</f>
        <v>35067.040000000001</v>
      </c>
      <c r="F227" s="131">
        <f t="shared" ref="F227:G227" si="28">E182</f>
        <v>35067.040000000001</v>
      </c>
      <c r="G227" s="131">
        <f t="shared" si="28"/>
        <v>7409.9224000000004</v>
      </c>
      <c r="H227" s="131">
        <f t="shared" ref="H227:R227" si="29">G186</f>
        <v>0</v>
      </c>
      <c r="I227" s="131">
        <f t="shared" si="29"/>
        <v>0</v>
      </c>
      <c r="J227" s="131">
        <f t="shared" si="29"/>
        <v>0</v>
      </c>
      <c r="K227" s="131">
        <f t="shared" si="29"/>
        <v>0</v>
      </c>
      <c r="L227" s="131">
        <f t="shared" si="29"/>
        <v>0</v>
      </c>
      <c r="M227" s="131">
        <f t="shared" si="29"/>
        <v>0</v>
      </c>
      <c r="N227" s="131">
        <f t="shared" si="29"/>
        <v>0</v>
      </c>
      <c r="O227" s="131">
        <f t="shared" si="29"/>
        <v>0</v>
      </c>
      <c r="P227" s="131">
        <f t="shared" si="29"/>
        <v>0</v>
      </c>
      <c r="Q227" s="131">
        <f t="shared" si="29"/>
        <v>0</v>
      </c>
      <c r="R227" s="131">
        <f t="shared" si="29"/>
        <v>0</v>
      </c>
    </row>
    <row r="228" spans="1:18" x14ac:dyDescent="0.25">
      <c r="A228" s="170" t="s">
        <v>221</v>
      </c>
      <c r="B228" s="171"/>
      <c r="C228" s="130">
        <f>SUM(D228,Q228,R228)</f>
        <v>985345.65324559994</v>
      </c>
      <c r="D228" s="130">
        <f t="shared" si="23"/>
        <v>268730.63270334544</v>
      </c>
      <c r="E228" s="133">
        <f>D188</f>
        <v>0</v>
      </c>
      <c r="F228" s="133">
        <f t="shared" ref="F228:R228" si="30">E188</f>
        <v>0</v>
      </c>
      <c r="G228" s="133">
        <f t="shared" si="30"/>
        <v>0</v>
      </c>
      <c r="H228" s="133">
        <f t="shared" si="30"/>
        <v>29858.959189260608</v>
      </c>
      <c r="I228" s="133">
        <f t="shared" si="30"/>
        <v>29858.959189260608</v>
      </c>
      <c r="J228" s="133">
        <f t="shared" si="30"/>
        <v>29858.959189260608</v>
      </c>
      <c r="K228" s="133">
        <f t="shared" si="30"/>
        <v>29858.959189260608</v>
      </c>
      <c r="L228" s="133">
        <f t="shared" si="30"/>
        <v>29858.959189260608</v>
      </c>
      <c r="M228" s="133">
        <f t="shared" si="30"/>
        <v>29858.959189260608</v>
      </c>
      <c r="N228" s="133">
        <f t="shared" si="30"/>
        <v>29858.959189260608</v>
      </c>
      <c r="O228" s="133">
        <f t="shared" si="30"/>
        <v>29858.959189260608</v>
      </c>
      <c r="P228" s="133">
        <f t="shared" si="30"/>
        <v>29858.959189260608</v>
      </c>
      <c r="Q228" s="133">
        <f t="shared" si="30"/>
        <v>358307.51027112728</v>
      </c>
      <c r="R228" s="133">
        <f t="shared" si="30"/>
        <v>358307.51027112728</v>
      </c>
    </row>
    <row r="229" spans="1:18" ht="14.4" thickBot="1" x14ac:dyDescent="0.3">
      <c r="A229" s="172" t="s">
        <v>222</v>
      </c>
      <c r="B229" s="173"/>
      <c r="C229" s="134">
        <f>SUM(D229,Q229,R229)</f>
        <v>230110.34435440012</v>
      </c>
      <c r="D229" s="134">
        <f t="shared" si="23"/>
        <v>6361.7285330182021</v>
      </c>
      <c r="E229" s="135">
        <f>E223-E226</f>
        <v>-35067.040000000001</v>
      </c>
      <c r="F229" s="135">
        <f t="shared" ref="F229:R229" si="31">F223-F226</f>
        <v>-35067.040000000001</v>
      </c>
      <c r="G229" s="135">
        <f t="shared" si="31"/>
        <v>-7409.9224000000004</v>
      </c>
      <c r="H229" s="135">
        <f>H223-H226</f>
        <v>9322.8589925575761</v>
      </c>
      <c r="I229" s="135">
        <f t="shared" si="31"/>
        <v>9322.8589925575761</v>
      </c>
      <c r="J229" s="135">
        <f t="shared" si="31"/>
        <v>9322.8589925575761</v>
      </c>
      <c r="K229" s="135">
        <f t="shared" si="31"/>
        <v>9322.8589925575761</v>
      </c>
      <c r="L229" s="135">
        <f t="shared" si="31"/>
        <v>9322.8589925575761</v>
      </c>
      <c r="M229" s="135">
        <f t="shared" si="31"/>
        <v>9322.8589925575761</v>
      </c>
      <c r="N229" s="135">
        <f t="shared" si="31"/>
        <v>9322.8589925575761</v>
      </c>
      <c r="O229" s="135">
        <f t="shared" si="31"/>
        <v>9322.8589925575761</v>
      </c>
      <c r="P229" s="135">
        <f t="shared" si="31"/>
        <v>9322.8589925575761</v>
      </c>
      <c r="Q229" s="135">
        <f t="shared" si="31"/>
        <v>111874.30791069096</v>
      </c>
      <c r="R229" s="135">
        <f t="shared" si="31"/>
        <v>111874.30791069096</v>
      </c>
    </row>
    <row r="231" spans="1:18" ht="16.2" thickBot="1" x14ac:dyDescent="0.3">
      <c r="A231" s="136" t="s">
        <v>225</v>
      </c>
      <c r="B231" s="137"/>
      <c r="C231" s="137"/>
      <c r="D231" s="137"/>
      <c r="E231" s="137"/>
      <c r="F231" s="137"/>
      <c r="G231" s="137"/>
      <c r="H231" s="137"/>
      <c r="I231" s="137"/>
      <c r="J231" s="137"/>
      <c r="K231" s="137"/>
      <c r="L231" s="137"/>
      <c r="M231" s="137"/>
      <c r="N231" s="137"/>
      <c r="O231" s="137"/>
      <c r="P231" s="137"/>
      <c r="Q231" s="137"/>
    </row>
    <row r="232" spans="1:18" x14ac:dyDescent="0.25">
      <c r="A232" s="159" t="s">
        <v>126</v>
      </c>
      <c r="B232" s="152" t="s">
        <v>108</v>
      </c>
      <c r="C232" s="164" t="s">
        <v>149</v>
      </c>
      <c r="D232" s="165"/>
      <c r="E232" s="165"/>
      <c r="F232" s="165"/>
      <c r="G232" s="165"/>
      <c r="H232" s="165"/>
      <c r="I232" s="165"/>
      <c r="J232" s="165"/>
      <c r="K232" s="165"/>
      <c r="L232" s="165"/>
      <c r="M232" s="165"/>
      <c r="N232" s="165"/>
      <c r="O232" s="166"/>
      <c r="P232" s="152" t="s">
        <v>150</v>
      </c>
      <c r="Q232" s="155" t="s">
        <v>129</v>
      </c>
    </row>
    <row r="233" spans="1:18" x14ac:dyDescent="0.25">
      <c r="A233" s="174"/>
      <c r="B233" s="153"/>
      <c r="C233" s="167"/>
      <c r="D233" s="168"/>
      <c r="E233" s="168"/>
      <c r="F233" s="168"/>
      <c r="G233" s="168"/>
      <c r="H233" s="168"/>
      <c r="I233" s="168"/>
      <c r="J233" s="168"/>
      <c r="K233" s="168"/>
      <c r="L233" s="168"/>
      <c r="M233" s="168"/>
      <c r="N233" s="168"/>
      <c r="O233" s="169"/>
      <c r="P233" s="153"/>
      <c r="Q233" s="156"/>
    </row>
    <row r="234" spans="1:18" x14ac:dyDescent="0.25">
      <c r="A234" s="175"/>
      <c r="B234" s="154"/>
      <c r="C234" s="138" t="s">
        <v>170</v>
      </c>
      <c r="D234" s="138" t="s">
        <v>171</v>
      </c>
      <c r="E234" s="138" t="s">
        <v>172</v>
      </c>
      <c r="F234" s="138" t="s">
        <v>173</v>
      </c>
      <c r="G234" s="138" t="s">
        <v>151</v>
      </c>
      <c r="H234" s="138" t="s">
        <v>152</v>
      </c>
      <c r="I234" s="138" t="s">
        <v>153</v>
      </c>
      <c r="J234" s="138" t="s">
        <v>154</v>
      </c>
      <c r="K234" s="138" t="s">
        <v>155</v>
      </c>
      <c r="L234" s="138" t="s">
        <v>156</v>
      </c>
      <c r="M234" s="138" t="s">
        <v>157</v>
      </c>
      <c r="N234" s="138" t="s">
        <v>158</v>
      </c>
      <c r="O234" s="138" t="s">
        <v>159</v>
      </c>
      <c r="P234" s="154"/>
      <c r="Q234" s="157"/>
    </row>
    <row r="235" spans="1:18" x14ac:dyDescent="0.25">
      <c r="A235" s="139" t="s">
        <v>226</v>
      </c>
      <c r="B235" s="131">
        <f>SUM(C235,P235,Q235)</f>
        <v>1293000</v>
      </c>
      <c r="C235" s="133">
        <f>SUM(D235:O235)</f>
        <v>352636.36363636365</v>
      </c>
      <c r="D235" s="131">
        <v>0</v>
      </c>
      <c r="E235" s="131">
        <v>0</v>
      </c>
      <c r="F235" s="131">
        <v>0</v>
      </c>
      <c r="G235" s="131">
        <f>H223</f>
        <v>39181.818181818184</v>
      </c>
      <c r="H235" s="131">
        <f t="shared" ref="H235:O235" si="32">I223</f>
        <v>39181.818181818184</v>
      </c>
      <c r="I235" s="131">
        <f>J223</f>
        <v>39181.818181818184</v>
      </c>
      <c r="J235" s="131">
        <f t="shared" si="32"/>
        <v>39181.818181818184</v>
      </c>
      <c r="K235" s="131">
        <f t="shared" si="32"/>
        <v>39181.818181818184</v>
      </c>
      <c r="L235" s="131">
        <f t="shared" si="32"/>
        <v>39181.818181818184</v>
      </c>
      <c r="M235" s="131">
        <f t="shared" si="32"/>
        <v>39181.818181818184</v>
      </c>
      <c r="N235" s="131">
        <f t="shared" si="32"/>
        <v>39181.818181818184</v>
      </c>
      <c r="O235" s="131">
        <f t="shared" si="32"/>
        <v>39181.818181818184</v>
      </c>
      <c r="P235" s="131">
        <f>Q223</f>
        <v>470181.81818181823</v>
      </c>
      <c r="Q235" s="131">
        <f>R223</f>
        <v>470181.81818181823</v>
      </c>
    </row>
    <row r="236" spans="1:18" x14ac:dyDescent="0.25">
      <c r="A236" s="139" t="s">
        <v>227</v>
      </c>
      <c r="B236" s="131">
        <f>SUM(C236,P236,Q236)</f>
        <v>1062889.6556456001</v>
      </c>
      <c r="C236" s="133">
        <f>SUM(D236:O236)</f>
        <v>346274.6351033455</v>
      </c>
      <c r="D236" s="131">
        <f>E226</f>
        <v>35067.040000000001</v>
      </c>
      <c r="E236" s="131">
        <f>F226</f>
        <v>35067.040000000001</v>
      </c>
      <c r="F236" s="131">
        <f t="shared" ref="F236:O236" si="33">G226</f>
        <v>7409.9224000000004</v>
      </c>
      <c r="G236" s="131">
        <f t="shared" si="33"/>
        <v>29858.959189260608</v>
      </c>
      <c r="H236" s="131">
        <f t="shared" si="33"/>
        <v>29858.959189260608</v>
      </c>
      <c r="I236" s="131">
        <f t="shared" si="33"/>
        <v>29858.959189260608</v>
      </c>
      <c r="J236" s="131">
        <f>K226</f>
        <v>29858.959189260608</v>
      </c>
      <c r="K236" s="131">
        <f t="shared" si="33"/>
        <v>29858.959189260608</v>
      </c>
      <c r="L236" s="131">
        <f t="shared" si="33"/>
        <v>29858.959189260608</v>
      </c>
      <c r="M236" s="131">
        <f t="shared" si="33"/>
        <v>29858.959189260608</v>
      </c>
      <c r="N236" s="131">
        <f t="shared" si="33"/>
        <v>29858.959189260608</v>
      </c>
      <c r="O236" s="131">
        <f t="shared" si="33"/>
        <v>29858.959189260608</v>
      </c>
      <c r="P236" s="131">
        <f>Q226</f>
        <v>358307.51027112728</v>
      </c>
      <c r="Q236" s="131">
        <f>R226</f>
        <v>358307.51027112728</v>
      </c>
    </row>
    <row r="237" spans="1:18" x14ac:dyDescent="0.25">
      <c r="A237" s="139" t="s">
        <v>228</v>
      </c>
      <c r="B237" s="131">
        <f>SUM(C237,P237,Q237)</f>
        <v>230110.34435440012</v>
      </c>
      <c r="C237" s="133">
        <f>SUM(D237:O237)</f>
        <v>6361.7285330182021</v>
      </c>
      <c r="D237" s="133">
        <f t="shared" ref="D237:Q237" si="34">D235-D236</f>
        <v>-35067.040000000001</v>
      </c>
      <c r="E237" s="133">
        <f t="shared" si="34"/>
        <v>-35067.040000000001</v>
      </c>
      <c r="F237" s="133">
        <f t="shared" si="34"/>
        <v>-7409.9224000000004</v>
      </c>
      <c r="G237" s="133">
        <f t="shared" si="34"/>
        <v>9322.8589925575761</v>
      </c>
      <c r="H237" s="133">
        <f t="shared" si="34"/>
        <v>9322.8589925575761</v>
      </c>
      <c r="I237" s="133">
        <f t="shared" si="34"/>
        <v>9322.8589925575761</v>
      </c>
      <c r="J237" s="133">
        <f t="shared" si="34"/>
        <v>9322.8589925575761</v>
      </c>
      <c r="K237" s="133">
        <f t="shared" si="34"/>
        <v>9322.8589925575761</v>
      </c>
      <c r="L237" s="133">
        <f t="shared" si="34"/>
        <v>9322.8589925575761</v>
      </c>
      <c r="M237" s="133">
        <f t="shared" si="34"/>
        <v>9322.8589925575761</v>
      </c>
      <c r="N237" s="133">
        <f t="shared" si="34"/>
        <v>9322.8589925575761</v>
      </c>
      <c r="O237" s="133">
        <f t="shared" si="34"/>
        <v>9322.8589925575761</v>
      </c>
      <c r="P237" s="133">
        <f t="shared" si="34"/>
        <v>111874.30791069096</v>
      </c>
      <c r="Q237" s="133">
        <f t="shared" si="34"/>
        <v>111874.30791069096</v>
      </c>
    </row>
    <row r="238" spans="1:18" ht="41.4" x14ac:dyDescent="0.25">
      <c r="A238" s="139" t="s">
        <v>229</v>
      </c>
      <c r="B238" s="131">
        <f>Q238</f>
        <v>230110.34435440012</v>
      </c>
      <c r="C238" s="133">
        <f>O238</f>
        <v>6361.7285330182021</v>
      </c>
      <c r="D238" s="131">
        <f>D237</f>
        <v>-35067.040000000001</v>
      </c>
      <c r="E238" s="131">
        <f>D238+E237</f>
        <v>-70134.080000000002</v>
      </c>
      <c r="F238" s="131">
        <f t="shared" ref="F238:O238" si="35">E238+F237</f>
        <v>-77544.002399999998</v>
      </c>
      <c r="G238" s="131">
        <f t="shared" si="35"/>
        <v>-68221.143407442418</v>
      </c>
      <c r="H238" s="131">
        <f t="shared" si="35"/>
        <v>-58898.284414884838</v>
      </c>
      <c r="I238" s="131">
        <f t="shared" si="35"/>
        <v>-49575.425422327258</v>
      </c>
      <c r="J238" s="131">
        <f t="shared" si="35"/>
        <v>-40252.566429769679</v>
      </c>
      <c r="K238" s="131">
        <f t="shared" si="35"/>
        <v>-30929.707437212102</v>
      </c>
      <c r="L238" s="131">
        <f t="shared" si="35"/>
        <v>-21606.848444654526</v>
      </c>
      <c r="M238" s="131">
        <f t="shared" si="35"/>
        <v>-12283.98945209695</v>
      </c>
      <c r="N238" s="131">
        <f t="shared" si="35"/>
        <v>-2961.130459539374</v>
      </c>
      <c r="O238" s="131">
        <f t="shared" si="35"/>
        <v>6361.7285330182021</v>
      </c>
      <c r="P238" s="131">
        <f>P237+C238</f>
        <v>118236.03644370916</v>
      </c>
      <c r="Q238" s="131">
        <f>P238+Q237</f>
        <v>230110.34435440012</v>
      </c>
    </row>
    <row r="239" spans="1:18" ht="27.6" x14ac:dyDescent="0.25">
      <c r="A239" s="140" t="s">
        <v>230</v>
      </c>
      <c r="B239" s="141" t="s">
        <v>43</v>
      </c>
      <c r="C239" s="141">
        <v>1</v>
      </c>
      <c r="D239" s="141"/>
      <c r="E239" s="141"/>
      <c r="F239" s="141"/>
      <c r="G239" s="141"/>
      <c r="H239" s="141"/>
      <c r="I239" s="141"/>
      <c r="J239" s="141"/>
      <c r="K239" s="141"/>
      <c r="L239" s="141"/>
      <c r="M239" s="141"/>
      <c r="N239" s="141"/>
      <c r="O239" s="141"/>
      <c r="P239" s="141">
        <f>1/(1+0.25)^1</f>
        <v>0.8</v>
      </c>
      <c r="Q239" s="141">
        <f>1/(1+0.25)^2</f>
        <v>0.64</v>
      </c>
    </row>
    <row r="240" spans="1:18" ht="27.6" x14ac:dyDescent="0.25">
      <c r="A240" s="140" t="s">
        <v>231</v>
      </c>
      <c r="B240" s="131">
        <f>SUM(C240,P240,Q240)</f>
        <v>167460.73192441318</v>
      </c>
      <c r="C240" s="142">
        <f>C237</f>
        <v>6361.7285330182021</v>
      </c>
      <c r="D240" s="141"/>
      <c r="E240" s="141"/>
      <c r="F240" s="141"/>
      <c r="G240" s="141"/>
      <c r="H240" s="141"/>
      <c r="I240" s="141"/>
      <c r="J240" s="141"/>
      <c r="K240" s="141"/>
      <c r="L240" s="141"/>
      <c r="M240" s="141"/>
      <c r="N240" s="141"/>
      <c r="O240" s="141"/>
      <c r="P240" s="142">
        <f>P237/(1+0.25)^1</f>
        <v>89499.44632855276</v>
      </c>
      <c r="Q240" s="142">
        <f>Q237/(1+0.25)^2</f>
        <v>71599.557062842214</v>
      </c>
    </row>
    <row r="241" spans="1:17" ht="41.4" x14ac:dyDescent="0.25">
      <c r="A241" s="140" t="s">
        <v>232</v>
      </c>
      <c r="B241" s="131">
        <f>SUM(C241,P241,Q241)</f>
        <v>269683.63531900232</v>
      </c>
      <c r="C241" s="142">
        <f>C237</f>
        <v>6361.7285330182021</v>
      </c>
      <c r="D241" s="142">
        <f>D237</f>
        <v>-35067.040000000001</v>
      </c>
      <c r="E241" s="142">
        <f>E237+D241</f>
        <v>-70134.080000000002</v>
      </c>
      <c r="F241" s="142">
        <f t="shared" ref="F241:O241" si="36">F237+E241</f>
        <v>-77544.002399999998</v>
      </c>
      <c r="G241" s="142">
        <f t="shared" si="36"/>
        <v>-68221.143407442418</v>
      </c>
      <c r="H241" s="142">
        <f t="shared" si="36"/>
        <v>-58898.284414884838</v>
      </c>
      <c r="I241" s="142">
        <f t="shared" si="36"/>
        <v>-49575.425422327258</v>
      </c>
      <c r="J241" s="142">
        <f t="shared" si="36"/>
        <v>-40252.566429769679</v>
      </c>
      <c r="K241" s="142">
        <f t="shared" si="36"/>
        <v>-30929.707437212102</v>
      </c>
      <c r="L241" s="142">
        <f t="shared" si="36"/>
        <v>-21606.848444654526</v>
      </c>
      <c r="M241" s="142">
        <f>M237+L241</f>
        <v>-12283.98945209695</v>
      </c>
      <c r="N241" s="142">
        <f t="shared" si="36"/>
        <v>-2961.130459539374</v>
      </c>
      <c r="O241" s="142">
        <f t="shared" si="36"/>
        <v>6361.7285330182021</v>
      </c>
      <c r="P241" s="142">
        <f>P240+C241</f>
        <v>95861.174861570966</v>
      </c>
      <c r="Q241" s="142">
        <f>Q240+P241</f>
        <v>167460.73192441318</v>
      </c>
    </row>
    <row r="243" spans="1:17" ht="15.75" customHeight="1" thickBot="1" x14ac:dyDescent="0.3">
      <c r="A243" s="158" t="s">
        <v>233</v>
      </c>
      <c r="B243" s="158"/>
      <c r="C243" s="158"/>
    </row>
    <row r="244" spans="1:17" x14ac:dyDescent="0.25">
      <c r="A244" s="159" t="s">
        <v>126</v>
      </c>
      <c r="B244" s="152" t="s">
        <v>234</v>
      </c>
      <c r="C244" s="162" t="s">
        <v>235</v>
      </c>
    </row>
    <row r="245" spans="1:17" ht="14.4" thickBot="1" x14ac:dyDescent="0.3">
      <c r="A245" s="160"/>
      <c r="B245" s="161"/>
      <c r="C245" s="163"/>
    </row>
    <row r="246" spans="1:17" x14ac:dyDescent="0.25">
      <c r="A246" s="143" t="s">
        <v>236</v>
      </c>
      <c r="B246" s="144" t="s">
        <v>237</v>
      </c>
      <c r="C246" s="145">
        <f>B241</f>
        <v>269683.63531900232</v>
      </c>
    </row>
    <row r="247" spans="1:17" ht="14.4" x14ac:dyDescent="0.3">
      <c r="A247" s="146" t="s">
        <v>238</v>
      </c>
      <c r="B247" s="147" t="s">
        <v>239</v>
      </c>
      <c r="C247" s="148">
        <v>0.94</v>
      </c>
      <c r="D247"/>
    </row>
    <row r="248" spans="1:17" ht="14.4" thickBot="1" x14ac:dyDescent="0.3">
      <c r="A248" s="149" t="s">
        <v>240</v>
      </c>
      <c r="B248" s="147" t="s">
        <v>241</v>
      </c>
      <c r="C248" s="244">
        <f>(C235/C236 + P235/P236 + Q235/ Q236)/3</f>
        <v>1.214277219729281</v>
      </c>
      <c r="D248" s="241"/>
    </row>
    <row r="249" spans="1:17" ht="28.2" thickBot="1" x14ac:dyDescent="0.3">
      <c r="A249" s="150" t="s">
        <v>242</v>
      </c>
      <c r="B249" s="242" t="s">
        <v>243</v>
      </c>
      <c r="C249" s="245" t="s">
        <v>251</v>
      </c>
      <c r="D249" s="243"/>
      <c r="E249" s="243"/>
    </row>
    <row r="250" spans="1:17" x14ac:dyDescent="0.25">
      <c r="D250" s="243"/>
      <c r="E250" s="243"/>
    </row>
    <row r="251" spans="1:17" x14ac:dyDescent="0.25">
      <c r="E251" s="243"/>
    </row>
  </sheetData>
  <mergeCells count="90">
    <mergeCell ref="A226:B226"/>
    <mergeCell ref="A225:B225"/>
    <mergeCell ref="A224:B224"/>
    <mergeCell ref="A223:B223"/>
    <mergeCell ref="A71:A80"/>
    <mergeCell ref="E93:E105"/>
    <mergeCell ref="A125:E125"/>
    <mergeCell ref="A134:A135"/>
    <mergeCell ref="B134:B135"/>
    <mergeCell ref="C134:E134"/>
    <mergeCell ref="B108:E108"/>
    <mergeCell ref="B111:E111"/>
    <mergeCell ref="A118:D118"/>
    <mergeCell ref="A121:D121"/>
    <mergeCell ref="A124:D124"/>
    <mergeCell ref="A40:F40"/>
    <mergeCell ref="B41:F41"/>
    <mergeCell ref="A45:A46"/>
    <mergeCell ref="B45:B46"/>
    <mergeCell ref="C45:C46"/>
    <mergeCell ref="D45:E45"/>
    <mergeCell ref="F45:F46"/>
    <mergeCell ref="A25:A26"/>
    <mergeCell ref="B25:B26"/>
    <mergeCell ref="C25:D25"/>
    <mergeCell ref="A36:F36"/>
    <mergeCell ref="B37:F37"/>
    <mergeCell ref="A3:H3"/>
    <mergeCell ref="B4:H4"/>
    <mergeCell ref="A6:H6"/>
    <mergeCell ref="B7:H7"/>
    <mergeCell ref="B9:H9"/>
    <mergeCell ref="A13:A14"/>
    <mergeCell ref="B13:B14"/>
    <mergeCell ref="C13:C14"/>
    <mergeCell ref="D13:D14"/>
    <mergeCell ref="E13:F13"/>
    <mergeCell ref="A15:F15"/>
    <mergeCell ref="B16:F16"/>
    <mergeCell ref="A18:F18"/>
    <mergeCell ref="B19:F19"/>
    <mergeCell ref="B21:F21"/>
    <mergeCell ref="A47:F47"/>
    <mergeCell ref="B48:F48"/>
    <mergeCell ref="A53:A54"/>
    <mergeCell ref="B53:C53"/>
    <mergeCell ref="D53:D54"/>
    <mergeCell ref="A55:D55"/>
    <mergeCell ref="C152:L152"/>
    <mergeCell ref="M152:M153"/>
    <mergeCell ref="N152:N153"/>
    <mergeCell ref="D166:L166"/>
    <mergeCell ref="M166:M167"/>
    <mergeCell ref="N166:N167"/>
    <mergeCell ref="A88:B88"/>
    <mergeCell ref="B56:D56"/>
    <mergeCell ref="A57:D57"/>
    <mergeCell ref="A107:E107"/>
    <mergeCell ref="A92:E92"/>
    <mergeCell ref="B93:B105"/>
    <mergeCell ref="C93:C105"/>
    <mergeCell ref="D93:D105"/>
    <mergeCell ref="A179:A180"/>
    <mergeCell ref="B179:B180"/>
    <mergeCell ref="C179:O179"/>
    <mergeCell ref="P179:P180"/>
    <mergeCell ref="Q179:Q180"/>
    <mergeCell ref="A199:I203"/>
    <mergeCell ref="A192:F192"/>
    <mergeCell ref="B195:B196"/>
    <mergeCell ref="C195:E195"/>
    <mergeCell ref="B197:B198"/>
    <mergeCell ref="B213:D213"/>
    <mergeCell ref="A221:B222"/>
    <mergeCell ref="C221:C222"/>
    <mergeCell ref="D221:P221"/>
    <mergeCell ref="Q221:Q222"/>
    <mergeCell ref="R221:R222"/>
    <mergeCell ref="A227:B227"/>
    <mergeCell ref="A228:B228"/>
    <mergeCell ref="A229:B229"/>
    <mergeCell ref="A232:A234"/>
    <mergeCell ref="B232:B234"/>
    <mergeCell ref="P232:P234"/>
    <mergeCell ref="Q232:Q234"/>
    <mergeCell ref="A243:C243"/>
    <mergeCell ref="A244:A245"/>
    <mergeCell ref="B244:B245"/>
    <mergeCell ref="C244:C245"/>
    <mergeCell ref="C232:O2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Егоров</dc:creator>
  <cp:lastModifiedBy>Михаил Егоров</cp:lastModifiedBy>
  <dcterms:created xsi:type="dcterms:W3CDTF">2025-04-02T05:50:34Z</dcterms:created>
  <dcterms:modified xsi:type="dcterms:W3CDTF">2025-04-06T16:58:21Z</dcterms:modified>
</cp:coreProperties>
</file>