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2022-2024\实验室\创新点1\实验记录\无MDDM数据\"/>
    </mc:Choice>
  </mc:AlternateContent>
  <xr:revisionPtr revIDLastSave="0" documentId="13_ncr:1_{C9262AE8-4020-4146-9AE9-36E9998A8C51}" xr6:coauthVersionLast="47" xr6:coauthVersionMax="47" xr10:uidLastSave="{00000000-0000-0000-0000-000000000000}"/>
  <bookViews>
    <workbookView xWindow="19090" yWindow="-110" windowWidth="38620" windowHeight="21220" xr2:uid="{00000000-000D-0000-FFFF-FFFF00000000}"/>
  </bookViews>
  <sheets>
    <sheet name="KDDM2" sheetId="5" r:id="rId1"/>
    <sheet name="NB-sum" sheetId="2" r:id="rId2"/>
    <sheet name="HT-sum" sheetId="6" r:id="rId3"/>
    <sheet name="ACC " sheetId="10" r:id="rId4"/>
    <sheet name="DD" sheetId="9" r:id="rId5"/>
    <sheet name="FPR" sheetId="12" r:id="rId6"/>
    <sheet name="Runtime" sheetId="1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75" i="6" l="1"/>
  <c r="AB75" i="6"/>
  <c r="AA75" i="6"/>
  <c r="AF67" i="6"/>
  <c r="AC67" i="6"/>
  <c r="AB67" i="6"/>
  <c r="AA67" i="6"/>
  <c r="AH66" i="6"/>
  <c r="AG66" i="6"/>
  <c r="AE66" i="6"/>
  <c r="AD66" i="6"/>
  <c r="AG65" i="6"/>
  <c r="AE65" i="6"/>
  <c r="AD65" i="6"/>
  <c r="AH65" i="6" s="1"/>
  <c r="AH64" i="6"/>
  <c r="AG64" i="6"/>
  <c r="AE64" i="6"/>
  <c r="AD64" i="6"/>
  <c r="AG63" i="6"/>
  <c r="AE63" i="6"/>
  <c r="AE67" i="6" s="1"/>
  <c r="AD63" i="6"/>
  <c r="AD67" i="6" s="1"/>
  <c r="AH62" i="6"/>
  <c r="AG62" i="6"/>
  <c r="AD62" i="6"/>
  <c r="AF60" i="6"/>
  <c r="AC60" i="6"/>
  <c r="AB60" i="6"/>
  <c r="AA60" i="6"/>
  <c r="AH59" i="6"/>
  <c r="AG59" i="6"/>
  <c r="AE59" i="6"/>
  <c r="AD59" i="6"/>
  <c r="AG58" i="6"/>
  <c r="AE58" i="6"/>
  <c r="AD58" i="6"/>
  <c r="AH58" i="6" s="1"/>
  <c r="AG57" i="6"/>
  <c r="AE57" i="6"/>
  <c r="AD57" i="6"/>
  <c r="AH57" i="6" s="1"/>
  <c r="AG56" i="6"/>
  <c r="AE56" i="6"/>
  <c r="AD56" i="6"/>
  <c r="AH56" i="6" s="1"/>
  <c r="AH55" i="6"/>
  <c r="AG55" i="6"/>
  <c r="AE55" i="6"/>
  <c r="AE60" i="6" s="1"/>
  <c r="AD55" i="6"/>
  <c r="AF53" i="6"/>
  <c r="AC53" i="6"/>
  <c r="AB53" i="6"/>
  <c r="AA53" i="6"/>
  <c r="AG52" i="6"/>
  <c r="AE52" i="6"/>
  <c r="AD52" i="6"/>
  <c r="AH52" i="6" s="1"/>
  <c r="AH51" i="6"/>
  <c r="AG51" i="6"/>
  <c r="AE51" i="6"/>
  <c r="AD51" i="6"/>
  <c r="AG50" i="6"/>
  <c r="AE50" i="6"/>
  <c r="AD50" i="6"/>
  <c r="AH50" i="6" s="1"/>
  <c r="AH49" i="6"/>
  <c r="AG49" i="6"/>
  <c r="AE49" i="6"/>
  <c r="AD49" i="6"/>
  <c r="AG48" i="6"/>
  <c r="AG53" i="6" s="1"/>
  <c r="AE48" i="6"/>
  <c r="AE53" i="6" s="1"/>
  <c r="AD48" i="6"/>
  <c r="AF46" i="6"/>
  <c r="AF68" i="6" s="1"/>
  <c r="AC46" i="6"/>
  <c r="AB46" i="6"/>
  <c r="AA46" i="6"/>
  <c r="AG45" i="6"/>
  <c r="AE45" i="6"/>
  <c r="AD45" i="6"/>
  <c r="AH45" i="6" s="1"/>
  <c r="AG44" i="6"/>
  <c r="AD44" i="6"/>
  <c r="AH44" i="6" s="1"/>
  <c r="AG43" i="6"/>
  <c r="AE43" i="6"/>
  <c r="AD43" i="6"/>
  <c r="AH43" i="6" s="1"/>
  <c r="AG42" i="6"/>
  <c r="AE42" i="6"/>
  <c r="AD42" i="6"/>
  <c r="AH42" i="6" s="1"/>
  <c r="AG41" i="6"/>
  <c r="AE41" i="6"/>
  <c r="AE46" i="6" s="1"/>
  <c r="AD41" i="6"/>
  <c r="P35" i="9"/>
  <c r="O78" i="10"/>
  <c r="O77" i="10"/>
  <c r="N77" i="10"/>
  <c r="P8" i="2"/>
  <c r="P30" i="2" s="1"/>
  <c r="Q3" i="2"/>
  <c r="Y42" i="2"/>
  <c r="C67" i="2"/>
  <c r="AT28" i="6"/>
  <c r="AX28" i="6" s="1"/>
  <c r="AT27" i="6"/>
  <c r="AX27" i="6" s="1"/>
  <c r="AT26" i="6"/>
  <c r="AX26" i="6" s="1"/>
  <c r="AT25" i="6"/>
  <c r="AX25" i="6" s="1"/>
  <c r="AT24" i="6"/>
  <c r="AX24" i="6" s="1"/>
  <c r="AT21" i="6"/>
  <c r="AX21" i="6" s="1"/>
  <c r="AT20" i="6"/>
  <c r="AX20" i="6" s="1"/>
  <c r="AT19" i="6"/>
  <c r="AX19" i="6" s="1"/>
  <c r="AT18" i="6"/>
  <c r="AX18" i="6" s="1"/>
  <c r="AT17" i="6"/>
  <c r="AX17" i="6" s="1"/>
  <c r="AL28" i="6"/>
  <c r="AP28" i="6" s="1"/>
  <c r="AL27" i="6"/>
  <c r="AP27" i="6" s="1"/>
  <c r="AL26" i="6"/>
  <c r="AP26" i="6" s="1"/>
  <c r="AL25" i="6"/>
  <c r="AP25" i="6" s="1"/>
  <c r="AL24" i="6"/>
  <c r="AP24" i="6" s="1"/>
  <c r="AL21" i="6"/>
  <c r="AP21" i="6" s="1"/>
  <c r="AL20" i="6"/>
  <c r="AP20" i="6" s="1"/>
  <c r="AL19" i="6"/>
  <c r="AP19" i="6" s="1"/>
  <c r="AL18" i="6"/>
  <c r="AP18" i="6" s="1"/>
  <c r="AL17" i="6"/>
  <c r="AP17" i="6" s="1"/>
  <c r="AD28" i="6"/>
  <c r="AH28" i="6" s="1"/>
  <c r="AD27" i="6"/>
  <c r="AH27" i="6" s="1"/>
  <c r="AD26" i="6"/>
  <c r="AH26" i="6" s="1"/>
  <c r="AD25" i="6"/>
  <c r="AH25" i="6" s="1"/>
  <c r="AD24" i="6"/>
  <c r="AH24" i="6" s="1"/>
  <c r="AD21" i="6"/>
  <c r="AH21" i="6" s="1"/>
  <c r="AD20" i="6"/>
  <c r="AH20" i="6" s="1"/>
  <c r="AD19" i="6"/>
  <c r="AH19" i="6" s="1"/>
  <c r="AD18" i="6"/>
  <c r="AH18" i="6" s="1"/>
  <c r="AD17" i="6"/>
  <c r="AH17" i="6" s="1"/>
  <c r="V66" i="6"/>
  <c r="Z66" i="6" s="1"/>
  <c r="V65" i="6"/>
  <c r="Z65" i="6" s="1"/>
  <c r="V64" i="6"/>
  <c r="Z64" i="6" s="1"/>
  <c r="V63" i="6"/>
  <c r="V62" i="6"/>
  <c r="Z62" i="6" s="1"/>
  <c r="V59" i="6"/>
  <c r="Z59" i="6" s="1"/>
  <c r="V58" i="6"/>
  <c r="Z58" i="6" s="1"/>
  <c r="V57" i="6"/>
  <c r="Z57" i="6" s="1"/>
  <c r="V56" i="6"/>
  <c r="Z56" i="6" s="1"/>
  <c r="V55" i="6"/>
  <c r="Z55" i="6" s="1"/>
  <c r="N66" i="6"/>
  <c r="R66" i="6" s="1"/>
  <c r="N65" i="6"/>
  <c r="R65" i="6" s="1"/>
  <c r="N64" i="6"/>
  <c r="R64" i="6" s="1"/>
  <c r="N63" i="6"/>
  <c r="R63" i="6" s="1"/>
  <c r="N62" i="6"/>
  <c r="N59" i="6"/>
  <c r="R59" i="6" s="1"/>
  <c r="N58" i="6"/>
  <c r="R58" i="6" s="1"/>
  <c r="N57" i="6"/>
  <c r="R57" i="6" s="1"/>
  <c r="N56" i="6"/>
  <c r="R56" i="6" s="1"/>
  <c r="N55" i="6"/>
  <c r="F66" i="6"/>
  <c r="J66" i="6" s="1"/>
  <c r="F65" i="6"/>
  <c r="J65" i="6" s="1"/>
  <c r="F64" i="6"/>
  <c r="J64" i="6" s="1"/>
  <c r="F63" i="6"/>
  <c r="J63" i="6" s="1"/>
  <c r="F62" i="6"/>
  <c r="F59" i="6"/>
  <c r="J59" i="6" s="1"/>
  <c r="F58" i="6"/>
  <c r="J58" i="6" s="1"/>
  <c r="F57" i="6"/>
  <c r="J57" i="6" s="1"/>
  <c r="F56" i="6"/>
  <c r="J56" i="6" s="1"/>
  <c r="F55" i="6"/>
  <c r="J55" i="6" s="1"/>
  <c r="V28" i="6"/>
  <c r="Z28" i="6" s="1"/>
  <c r="V27" i="6"/>
  <c r="Z27" i="6" s="1"/>
  <c r="V26" i="6"/>
  <c r="Z26" i="6" s="1"/>
  <c r="V25" i="6"/>
  <c r="Z25" i="6" s="1"/>
  <c r="V24" i="6"/>
  <c r="Z24" i="6" s="1"/>
  <c r="V21" i="6"/>
  <c r="Z21" i="6" s="1"/>
  <c r="V20" i="6"/>
  <c r="Z20" i="6" s="1"/>
  <c r="V19" i="6"/>
  <c r="Z19" i="6" s="1"/>
  <c r="V18" i="6"/>
  <c r="Z18" i="6" s="1"/>
  <c r="V17" i="6"/>
  <c r="Z17" i="6" s="1"/>
  <c r="N28" i="6"/>
  <c r="R28" i="6" s="1"/>
  <c r="N27" i="6"/>
  <c r="R27" i="6" s="1"/>
  <c r="N26" i="6"/>
  <c r="R26" i="6" s="1"/>
  <c r="N25" i="6"/>
  <c r="R25" i="6" s="1"/>
  <c r="N24" i="6"/>
  <c r="R24" i="6" s="1"/>
  <c r="N21" i="6"/>
  <c r="R21" i="6" s="1"/>
  <c r="N20" i="6"/>
  <c r="R20" i="6" s="1"/>
  <c r="N19" i="6"/>
  <c r="R19" i="6" s="1"/>
  <c r="N18" i="6"/>
  <c r="R18" i="6" s="1"/>
  <c r="N17" i="6"/>
  <c r="R17" i="6" s="1"/>
  <c r="F28" i="6"/>
  <c r="J28" i="6" s="1"/>
  <c r="F27" i="6"/>
  <c r="J27" i="6" s="1"/>
  <c r="F26" i="6"/>
  <c r="J26" i="6" s="1"/>
  <c r="F25" i="6"/>
  <c r="J25" i="6" s="1"/>
  <c r="F24" i="6"/>
  <c r="J24" i="6" s="1"/>
  <c r="F21" i="6"/>
  <c r="J21" i="6" s="1"/>
  <c r="F20" i="6"/>
  <c r="J20" i="6" s="1"/>
  <c r="F19" i="6"/>
  <c r="J19" i="6" s="1"/>
  <c r="F18" i="6"/>
  <c r="J18" i="6" s="1"/>
  <c r="F17" i="6"/>
  <c r="J17" i="6" s="1"/>
  <c r="AT14" i="6"/>
  <c r="AX14" i="6" s="1"/>
  <c r="AT13" i="6"/>
  <c r="AX13" i="6" s="1"/>
  <c r="AT12" i="6"/>
  <c r="AX12" i="6" s="1"/>
  <c r="AT11" i="6"/>
  <c r="AX11" i="6" s="1"/>
  <c r="AT10" i="6"/>
  <c r="AX10" i="6" s="1"/>
  <c r="AT7" i="6"/>
  <c r="AX7" i="6" s="1"/>
  <c r="AT6" i="6"/>
  <c r="AX6" i="6" s="1"/>
  <c r="AT5" i="6"/>
  <c r="AX5" i="6" s="1"/>
  <c r="AT4" i="6"/>
  <c r="AX4" i="6" s="1"/>
  <c r="AT3" i="6"/>
  <c r="AX3" i="6" s="1"/>
  <c r="AL14" i="6"/>
  <c r="AP14" i="6" s="1"/>
  <c r="AL13" i="6"/>
  <c r="AP13" i="6" s="1"/>
  <c r="AL12" i="6"/>
  <c r="AP12" i="6" s="1"/>
  <c r="AL11" i="6"/>
  <c r="AP11" i="6" s="1"/>
  <c r="AL10" i="6"/>
  <c r="AP10" i="6" s="1"/>
  <c r="AL7" i="6"/>
  <c r="AP7" i="6" s="1"/>
  <c r="AL6" i="6"/>
  <c r="AP6" i="6" s="1"/>
  <c r="AL5" i="6"/>
  <c r="AP5" i="6" s="1"/>
  <c r="AL4" i="6"/>
  <c r="AP4" i="6" s="1"/>
  <c r="AL3" i="6"/>
  <c r="AP3" i="6" s="1"/>
  <c r="AD14" i="6"/>
  <c r="AH14" i="6" s="1"/>
  <c r="AD13" i="6"/>
  <c r="AD12" i="6"/>
  <c r="AH12" i="6" s="1"/>
  <c r="AD11" i="6"/>
  <c r="AH11" i="6" s="1"/>
  <c r="AD10" i="6"/>
  <c r="AH10" i="6" s="1"/>
  <c r="AD7" i="6"/>
  <c r="AH7" i="6" s="1"/>
  <c r="AD6" i="6"/>
  <c r="AH6" i="6" s="1"/>
  <c r="AD5" i="6"/>
  <c r="AH5" i="6" s="1"/>
  <c r="AD4" i="6"/>
  <c r="AH4" i="6" s="1"/>
  <c r="AD3" i="6"/>
  <c r="V52" i="6"/>
  <c r="Z52" i="6" s="1"/>
  <c r="V51" i="6"/>
  <c r="Z51" i="6" s="1"/>
  <c r="V50" i="6"/>
  <c r="Z50" i="6" s="1"/>
  <c r="V49" i="6"/>
  <c r="Z49" i="6" s="1"/>
  <c r="V48" i="6"/>
  <c r="Z48" i="6" s="1"/>
  <c r="V45" i="6"/>
  <c r="Z45" i="6" s="1"/>
  <c r="V44" i="6"/>
  <c r="Z44" i="6" s="1"/>
  <c r="V43" i="6"/>
  <c r="Z43" i="6" s="1"/>
  <c r="V42" i="6"/>
  <c r="Z42" i="6" s="1"/>
  <c r="V41" i="6"/>
  <c r="Z41" i="6" s="1"/>
  <c r="N52" i="6"/>
  <c r="R52" i="6" s="1"/>
  <c r="N51" i="6"/>
  <c r="R51" i="6" s="1"/>
  <c r="N50" i="6"/>
  <c r="R50" i="6" s="1"/>
  <c r="N49" i="6"/>
  <c r="R49" i="6" s="1"/>
  <c r="N48" i="6"/>
  <c r="R48" i="6" s="1"/>
  <c r="N45" i="6"/>
  <c r="R45" i="6" s="1"/>
  <c r="N44" i="6"/>
  <c r="R44" i="6" s="1"/>
  <c r="N43" i="6"/>
  <c r="R43" i="6" s="1"/>
  <c r="N42" i="6"/>
  <c r="R42" i="6" s="1"/>
  <c r="N41" i="6"/>
  <c r="R41" i="6" s="1"/>
  <c r="F52" i="6"/>
  <c r="J52" i="6" s="1"/>
  <c r="F51" i="6"/>
  <c r="J51" i="6" s="1"/>
  <c r="F50" i="6"/>
  <c r="J50" i="6" s="1"/>
  <c r="F49" i="6"/>
  <c r="F48" i="6"/>
  <c r="J48" i="6" s="1"/>
  <c r="F45" i="6"/>
  <c r="J45" i="6" s="1"/>
  <c r="F44" i="6"/>
  <c r="J44" i="6" s="1"/>
  <c r="F43" i="6"/>
  <c r="J43" i="6" s="1"/>
  <c r="F42" i="6"/>
  <c r="J42" i="6" s="1"/>
  <c r="F41" i="6"/>
  <c r="V7" i="6"/>
  <c r="Z7" i="6" s="1"/>
  <c r="V6" i="6"/>
  <c r="Z6" i="6" s="1"/>
  <c r="V5" i="6"/>
  <c r="Z5" i="6" s="1"/>
  <c r="V4" i="6"/>
  <c r="V3" i="6"/>
  <c r="Z3" i="6" s="1"/>
  <c r="V14" i="6"/>
  <c r="Z14" i="6" s="1"/>
  <c r="V13" i="6"/>
  <c r="Z13" i="6" s="1"/>
  <c r="V12" i="6"/>
  <c r="Z12" i="6" s="1"/>
  <c r="V11" i="6"/>
  <c r="Z11" i="6" s="1"/>
  <c r="V10" i="6"/>
  <c r="N14" i="6"/>
  <c r="R14" i="6" s="1"/>
  <c r="N13" i="6"/>
  <c r="R13" i="6" s="1"/>
  <c r="N12" i="6"/>
  <c r="R12" i="6" s="1"/>
  <c r="N11" i="6"/>
  <c r="R11" i="6" s="1"/>
  <c r="N10" i="6"/>
  <c r="R10" i="6" s="1"/>
  <c r="F14" i="6"/>
  <c r="J14" i="6" s="1"/>
  <c r="F13" i="6"/>
  <c r="J13" i="6" s="1"/>
  <c r="F12" i="6"/>
  <c r="F11" i="6"/>
  <c r="J11" i="6" s="1"/>
  <c r="F10" i="6"/>
  <c r="J10" i="6" s="1"/>
  <c r="N7" i="6"/>
  <c r="R7" i="6" s="1"/>
  <c r="N6" i="6"/>
  <c r="R6" i="6" s="1"/>
  <c r="N5" i="6"/>
  <c r="R5" i="6" s="1"/>
  <c r="N4" i="6"/>
  <c r="R4" i="6" s="1"/>
  <c r="N3" i="6"/>
  <c r="R3" i="6" s="1"/>
  <c r="F7" i="6"/>
  <c r="J7" i="6" s="1"/>
  <c r="F6" i="6"/>
  <c r="J6" i="6" s="1"/>
  <c r="F5" i="6"/>
  <c r="J5" i="6" s="1"/>
  <c r="F4" i="6"/>
  <c r="J4" i="6" s="1"/>
  <c r="F3" i="6"/>
  <c r="AD66" i="2"/>
  <c r="AH66" i="2" s="1"/>
  <c r="AD65" i="2"/>
  <c r="AH65" i="2" s="1"/>
  <c r="AD64" i="2"/>
  <c r="AH64" i="2" s="1"/>
  <c r="AD63" i="2"/>
  <c r="AH63" i="2" s="1"/>
  <c r="AD62" i="2"/>
  <c r="AD59" i="2"/>
  <c r="AH59" i="2" s="1"/>
  <c r="AD58" i="2"/>
  <c r="AH58" i="2" s="1"/>
  <c r="AD57" i="2"/>
  <c r="AH57" i="2" s="1"/>
  <c r="AD56" i="2"/>
  <c r="AH56" i="2" s="1"/>
  <c r="AD55" i="2"/>
  <c r="AT28" i="2"/>
  <c r="AX28" i="2" s="1"/>
  <c r="AT27" i="2"/>
  <c r="AX27" i="2" s="1"/>
  <c r="AT26" i="2"/>
  <c r="AX26" i="2" s="1"/>
  <c r="AT25" i="2"/>
  <c r="AX25" i="2" s="1"/>
  <c r="AT24" i="2"/>
  <c r="AX24" i="2" s="1"/>
  <c r="AT21" i="2"/>
  <c r="AX21" i="2" s="1"/>
  <c r="AT20" i="2"/>
  <c r="AX20" i="2" s="1"/>
  <c r="AT19" i="2"/>
  <c r="AT18" i="2"/>
  <c r="AX18" i="2" s="1"/>
  <c r="AT17" i="2"/>
  <c r="AX17" i="2" s="1"/>
  <c r="AL28" i="2"/>
  <c r="AP28" i="2" s="1"/>
  <c r="AL27" i="2"/>
  <c r="AP27" i="2" s="1"/>
  <c r="AL26" i="2"/>
  <c r="AP26" i="2" s="1"/>
  <c r="AL25" i="2"/>
  <c r="AP25" i="2" s="1"/>
  <c r="AL24" i="2"/>
  <c r="AP24" i="2" s="1"/>
  <c r="AL21" i="2"/>
  <c r="AP21" i="2" s="1"/>
  <c r="AL20" i="2"/>
  <c r="AP20" i="2" s="1"/>
  <c r="AL19" i="2"/>
  <c r="AP19" i="2" s="1"/>
  <c r="AL18" i="2"/>
  <c r="AP18" i="2" s="1"/>
  <c r="AL17" i="2"/>
  <c r="AP17" i="2" s="1"/>
  <c r="AD28" i="2"/>
  <c r="AH28" i="2" s="1"/>
  <c r="AD27" i="2"/>
  <c r="AH27" i="2" s="1"/>
  <c r="AD26" i="2"/>
  <c r="AH26" i="2" s="1"/>
  <c r="AD25" i="2"/>
  <c r="AD24" i="2"/>
  <c r="AH24" i="2" s="1"/>
  <c r="AD21" i="2"/>
  <c r="AH21" i="2" s="1"/>
  <c r="AD20" i="2"/>
  <c r="AH20" i="2" s="1"/>
  <c r="AD19" i="2"/>
  <c r="AH19" i="2" s="1"/>
  <c r="AD18" i="2"/>
  <c r="AH18" i="2" s="1"/>
  <c r="AD17" i="2"/>
  <c r="V66" i="2"/>
  <c r="Z66" i="2" s="1"/>
  <c r="V65" i="2"/>
  <c r="Z65" i="2" s="1"/>
  <c r="V64" i="2"/>
  <c r="Z64" i="2" s="1"/>
  <c r="V63" i="2"/>
  <c r="Z63" i="2" s="1"/>
  <c r="V62" i="2"/>
  <c r="V59" i="2"/>
  <c r="Z59" i="2" s="1"/>
  <c r="V58" i="2"/>
  <c r="Z58" i="2" s="1"/>
  <c r="V57" i="2"/>
  <c r="Z57" i="2" s="1"/>
  <c r="V56" i="2"/>
  <c r="Z56" i="2" s="1"/>
  <c r="V55" i="2"/>
  <c r="Z55" i="2" s="1"/>
  <c r="N66" i="2"/>
  <c r="R66" i="2" s="1"/>
  <c r="N65" i="2"/>
  <c r="R65" i="2" s="1"/>
  <c r="N64" i="2"/>
  <c r="R64" i="2" s="1"/>
  <c r="N63" i="2"/>
  <c r="R63" i="2" s="1"/>
  <c r="N62" i="2"/>
  <c r="R62" i="2" s="1"/>
  <c r="N59" i="2"/>
  <c r="R59" i="2" s="1"/>
  <c r="N58" i="2"/>
  <c r="R58" i="2" s="1"/>
  <c r="N57" i="2"/>
  <c r="R57" i="2" s="1"/>
  <c r="N56" i="2"/>
  <c r="R56" i="2" s="1"/>
  <c r="N55" i="2"/>
  <c r="R55" i="2" s="1"/>
  <c r="F66" i="2"/>
  <c r="J66" i="2" s="1"/>
  <c r="F65" i="2"/>
  <c r="J65" i="2" s="1"/>
  <c r="F64" i="2"/>
  <c r="J64" i="2" s="1"/>
  <c r="F63" i="2"/>
  <c r="J63" i="2" s="1"/>
  <c r="F62" i="2"/>
  <c r="J62" i="2" s="1"/>
  <c r="F59" i="2"/>
  <c r="J59" i="2" s="1"/>
  <c r="F58" i="2"/>
  <c r="J58" i="2" s="1"/>
  <c r="F57" i="2"/>
  <c r="J57" i="2" s="1"/>
  <c r="F56" i="2"/>
  <c r="J56" i="2" s="1"/>
  <c r="F55" i="2"/>
  <c r="J55" i="2" s="1"/>
  <c r="V28" i="2"/>
  <c r="Z28" i="2" s="1"/>
  <c r="V27" i="2"/>
  <c r="Z27" i="2" s="1"/>
  <c r="V26" i="2"/>
  <c r="Z26" i="2" s="1"/>
  <c r="V25" i="2"/>
  <c r="Z25" i="2" s="1"/>
  <c r="V24" i="2"/>
  <c r="Z24" i="2" s="1"/>
  <c r="V21" i="2"/>
  <c r="Z21" i="2" s="1"/>
  <c r="V20" i="2"/>
  <c r="Z20" i="2" s="1"/>
  <c r="V19" i="2"/>
  <c r="Z19" i="2" s="1"/>
  <c r="V18" i="2"/>
  <c r="Z18" i="2" s="1"/>
  <c r="V17" i="2"/>
  <c r="Z17" i="2" s="1"/>
  <c r="N28" i="2"/>
  <c r="R28" i="2" s="1"/>
  <c r="N27" i="2"/>
  <c r="R27" i="2" s="1"/>
  <c r="N26" i="2"/>
  <c r="R26" i="2" s="1"/>
  <c r="N25" i="2"/>
  <c r="R25" i="2" s="1"/>
  <c r="N24" i="2"/>
  <c r="R24" i="2" s="1"/>
  <c r="N21" i="2"/>
  <c r="R21" i="2" s="1"/>
  <c r="N20" i="2"/>
  <c r="R20" i="2" s="1"/>
  <c r="N19" i="2"/>
  <c r="R19" i="2" s="1"/>
  <c r="N18" i="2"/>
  <c r="R18" i="2" s="1"/>
  <c r="N17" i="2"/>
  <c r="R17" i="2" s="1"/>
  <c r="F28" i="2"/>
  <c r="J28" i="2" s="1"/>
  <c r="F27" i="2"/>
  <c r="J27" i="2" s="1"/>
  <c r="F26" i="2"/>
  <c r="J26" i="2" s="1"/>
  <c r="F25" i="2"/>
  <c r="J25" i="2" s="1"/>
  <c r="F24" i="2"/>
  <c r="J24" i="2" s="1"/>
  <c r="F18" i="2"/>
  <c r="J18" i="2" s="1"/>
  <c r="F19" i="2"/>
  <c r="J19" i="2" s="1"/>
  <c r="F20" i="2"/>
  <c r="J20" i="2" s="1"/>
  <c r="F21" i="2"/>
  <c r="J21" i="2" s="1"/>
  <c r="F17" i="2"/>
  <c r="J17" i="2" s="1"/>
  <c r="AD52" i="2"/>
  <c r="AH52" i="2" s="1"/>
  <c r="AD51" i="2"/>
  <c r="AH51" i="2" s="1"/>
  <c r="AD50" i="2"/>
  <c r="AH50" i="2" s="1"/>
  <c r="AD49" i="2"/>
  <c r="AH49" i="2" s="1"/>
  <c r="AD48" i="2"/>
  <c r="AH48" i="2" s="1"/>
  <c r="AT14" i="2"/>
  <c r="AX14" i="2" s="1"/>
  <c r="AT13" i="2"/>
  <c r="AX13" i="2" s="1"/>
  <c r="AT12" i="2"/>
  <c r="AX12" i="2" s="1"/>
  <c r="AT11" i="2"/>
  <c r="AX11" i="2" s="1"/>
  <c r="AT10" i="2"/>
  <c r="AX10" i="2" s="1"/>
  <c r="AL14" i="2"/>
  <c r="AP14" i="2" s="1"/>
  <c r="AL13" i="2"/>
  <c r="AP13" i="2" s="1"/>
  <c r="AL12" i="2"/>
  <c r="AP12" i="2" s="1"/>
  <c r="AL11" i="2"/>
  <c r="AP11" i="2" s="1"/>
  <c r="AL10" i="2"/>
  <c r="AP10" i="2" s="1"/>
  <c r="AD14" i="2"/>
  <c r="AH14" i="2" s="1"/>
  <c r="AD13" i="2"/>
  <c r="AH13" i="2" s="1"/>
  <c r="AD12" i="2"/>
  <c r="AH12" i="2" s="1"/>
  <c r="AD11" i="2"/>
  <c r="AD10" i="2"/>
  <c r="AH10" i="2" s="1"/>
  <c r="V52" i="2"/>
  <c r="V51" i="2"/>
  <c r="Z51" i="2" s="1"/>
  <c r="V50" i="2"/>
  <c r="Z50" i="2" s="1"/>
  <c r="V49" i="2"/>
  <c r="Z49" i="2" s="1"/>
  <c r="V48" i="2"/>
  <c r="Z48" i="2" s="1"/>
  <c r="N52" i="2"/>
  <c r="R52" i="2" s="1"/>
  <c r="N51" i="2"/>
  <c r="R51" i="2" s="1"/>
  <c r="N50" i="2"/>
  <c r="R50" i="2" s="1"/>
  <c r="N49" i="2"/>
  <c r="N48" i="2"/>
  <c r="R48" i="2" s="1"/>
  <c r="F52" i="2"/>
  <c r="J52" i="2" s="1"/>
  <c r="F51" i="2"/>
  <c r="J51" i="2" s="1"/>
  <c r="F50" i="2"/>
  <c r="J50" i="2" s="1"/>
  <c r="F49" i="2"/>
  <c r="J49" i="2" s="1"/>
  <c r="F48" i="2"/>
  <c r="J48" i="2" s="1"/>
  <c r="AD45" i="2"/>
  <c r="AH45" i="2" s="1"/>
  <c r="AD44" i="2"/>
  <c r="AD43" i="2"/>
  <c r="AH43" i="2" s="1"/>
  <c r="AD42" i="2"/>
  <c r="AH42" i="2" s="1"/>
  <c r="AD41" i="2"/>
  <c r="AH41" i="2" s="1"/>
  <c r="AT7" i="2"/>
  <c r="AX7" i="2" s="1"/>
  <c r="AT6" i="2"/>
  <c r="AX6" i="2" s="1"/>
  <c r="AT5" i="2"/>
  <c r="AT4" i="2"/>
  <c r="AX4" i="2" s="1"/>
  <c r="AT3" i="2"/>
  <c r="AX3" i="2" s="1"/>
  <c r="AL7" i="2"/>
  <c r="AP7" i="2" s="1"/>
  <c r="AL6" i="2"/>
  <c r="AP6" i="2" s="1"/>
  <c r="AL5" i="2"/>
  <c r="AP5" i="2" s="1"/>
  <c r="AL4" i="2"/>
  <c r="AP4" i="2" s="1"/>
  <c r="AL3" i="2"/>
  <c r="AP3" i="2" s="1"/>
  <c r="AD7" i="2"/>
  <c r="AH7" i="2" s="1"/>
  <c r="AD6" i="2"/>
  <c r="AH6" i="2" s="1"/>
  <c r="AD5" i="2"/>
  <c r="AH5" i="2" s="1"/>
  <c r="AD4" i="2"/>
  <c r="AH4" i="2" s="1"/>
  <c r="AD3" i="2"/>
  <c r="AH3" i="2" s="1"/>
  <c r="V45" i="2"/>
  <c r="Z45" i="2" s="1"/>
  <c r="V44" i="2"/>
  <c r="Z44" i="2" s="1"/>
  <c r="V43" i="2"/>
  <c r="Z43" i="2" s="1"/>
  <c r="V42" i="2"/>
  <c r="Z42" i="2" s="1"/>
  <c r="V41" i="2"/>
  <c r="Z41" i="2" s="1"/>
  <c r="N45" i="2"/>
  <c r="R45" i="2" s="1"/>
  <c r="N44" i="2"/>
  <c r="R44" i="2" s="1"/>
  <c r="N43" i="2"/>
  <c r="R43" i="2" s="1"/>
  <c r="N42" i="2"/>
  <c r="N41" i="2"/>
  <c r="R41" i="2" s="1"/>
  <c r="F45" i="2"/>
  <c r="J45" i="2" s="1"/>
  <c r="F44" i="2"/>
  <c r="J44" i="2" s="1"/>
  <c r="F43" i="2"/>
  <c r="J43" i="2" s="1"/>
  <c r="F42" i="2"/>
  <c r="F41" i="2"/>
  <c r="J41" i="2" s="1"/>
  <c r="V14" i="2"/>
  <c r="Z14" i="2" s="1"/>
  <c r="V13" i="2"/>
  <c r="Z13" i="2" s="1"/>
  <c r="V12" i="2"/>
  <c r="Z12" i="2" s="1"/>
  <c r="V11" i="2"/>
  <c r="Z11" i="2" s="1"/>
  <c r="V10" i="2"/>
  <c r="Z10" i="2" s="1"/>
  <c r="N14" i="2"/>
  <c r="R14" i="2" s="1"/>
  <c r="N13" i="2"/>
  <c r="R13" i="2" s="1"/>
  <c r="N12" i="2"/>
  <c r="R12" i="2" s="1"/>
  <c r="N11" i="2"/>
  <c r="R11" i="2" s="1"/>
  <c r="N10" i="2"/>
  <c r="R10" i="2" s="1"/>
  <c r="F14" i="2"/>
  <c r="J14" i="2" s="1"/>
  <c r="F13" i="2"/>
  <c r="J13" i="2" s="1"/>
  <c r="F12" i="2"/>
  <c r="J12" i="2" s="1"/>
  <c r="F11" i="2"/>
  <c r="J11" i="2" s="1"/>
  <c r="F10" i="2"/>
  <c r="J10" i="2" s="1"/>
  <c r="V7" i="2"/>
  <c r="Z7" i="2" s="1"/>
  <c r="V6" i="2"/>
  <c r="Z6" i="2" s="1"/>
  <c r="V5" i="2"/>
  <c r="Z5" i="2" s="1"/>
  <c r="V4" i="2"/>
  <c r="Z4" i="2" s="1"/>
  <c r="V3" i="2"/>
  <c r="Z3" i="2" s="1"/>
  <c r="N7" i="2"/>
  <c r="R7" i="2" s="1"/>
  <c r="N6" i="2"/>
  <c r="R6" i="2" s="1"/>
  <c r="N5" i="2"/>
  <c r="N4" i="2"/>
  <c r="R4" i="2" s="1"/>
  <c r="N3" i="2"/>
  <c r="R3" i="2" s="1"/>
  <c r="F4" i="2"/>
  <c r="J4" i="2" s="1"/>
  <c r="F5" i="2"/>
  <c r="J5" i="2" s="1"/>
  <c r="F6" i="2"/>
  <c r="J6" i="2" s="1"/>
  <c r="F7" i="2"/>
  <c r="J7" i="2" s="1"/>
  <c r="F3" i="2"/>
  <c r="O83" i="13"/>
  <c r="P83" i="13"/>
  <c r="Q83" i="13"/>
  <c r="R83" i="13"/>
  <c r="S83" i="13"/>
  <c r="T83" i="13"/>
  <c r="U83" i="13"/>
  <c r="V83" i="13"/>
  <c r="W83" i="13"/>
  <c r="N83" i="13"/>
  <c r="N81" i="13"/>
  <c r="O81" i="13"/>
  <c r="P81" i="13"/>
  <c r="Q81" i="13"/>
  <c r="R81" i="13"/>
  <c r="S81" i="13"/>
  <c r="T81" i="13"/>
  <c r="U81" i="13"/>
  <c r="V81" i="13"/>
  <c r="W81" i="13"/>
  <c r="B79" i="13"/>
  <c r="C79" i="13"/>
  <c r="D79" i="13"/>
  <c r="E79" i="13"/>
  <c r="F79" i="13"/>
  <c r="G79" i="13"/>
  <c r="H79" i="13"/>
  <c r="I79" i="13"/>
  <c r="J79" i="13"/>
  <c r="K79" i="13"/>
  <c r="W49" i="13"/>
  <c r="V49" i="13"/>
  <c r="U49" i="13"/>
  <c r="T49" i="13"/>
  <c r="S49" i="13"/>
  <c r="R49" i="13"/>
  <c r="Q49" i="13"/>
  <c r="P49" i="13"/>
  <c r="O49" i="13"/>
  <c r="N49" i="13"/>
  <c r="W47" i="13"/>
  <c r="V47" i="13"/>
  <c r="U47" i="13"/>
  <c r="T47" i="13"/>
  <c r="S47" i="13"/>
  <c r="R47" i="13"/>
  <c r="Q47" i="13"/>
  <c r="P47" i="13"/>
  <c r="O47" i="13"/>
  <c r="N47" i="13"/>
  <c r="W45" i="13"/>
  <c r="V45" i="13"/>
  <c r="U45" i="13"/>
  <c r="T45" i="13"/>
  <c r="S45" i="13"/>
  <c r="R45" i="13"/>
  <c r="Q45" i="13"/>
  <c r="P45" i="13"/>
  <c r="O45" i="13"/>
  <c r="N45" i="13"/>
  <c r="W43" i="13"/>
  <c r="V43" i="13"/>
  <c r="U43" i="13"/>
  <c r="T43" i="13"/>
  <c r="S43" i="13"/>
  <c r="R43" i="13"/>
  <c r="Q43" i="13"/>
  <c r="P43" i="13"/>
  <c r="O43" i="13"/>
  <c r="N43" i="13"/>
  <c r="W41" i="13"/>
  <c r="V41" i="13"/>
  <c r="U41" i="13"/>
  <c r="T41" i="13"/>
  <c r="S41" i="13"/>
  <c r="R41" i="13"/>
  <c r="Q41" i="13"/>
  <c r="P41" i="13"/>
  <c r="O41" i="13"/>
  <c r="N41" i="13"/>
  <c r="W37" i="13"/>
  <c r="V37" i="13"/>
  <c r="U37" i="13"/>
  <c r="T37" i="13"/>
  <c r="S37" i="13"/>
  <c r="R37" i="13"/>
  <c r="Q37" i="13"/>
  <c r="P37" i="13"/>
  <c r="O37" i="13"/>
  <c r="N37" i="13"/>
  <c r="W35" i="13"/>
  <c r="V35" i="13"/>
  <c r="U35" i="13"/>
  <c r="T35" i="13"/>
  <c r="S35" i="13"/>
  <c r="R35" i="13"/>
  <c r="Q35" i="13"/>
  <c r="P35" i="13"/>
  <c r="O35" i="13"/>
  <c r="N35" i="13"/>
  <c r="W33" i="13"/>
  <c r="V33" i="13"/>
  <c r="U33" i="13"/>
  <c r="T33" i="13"/>
  <c r="S33" i="13"/>
  <c r="R33" i="13"/>
  <c r="Q33" i="13"/>
  <c r="P33" i="13"/>
  <c r="O33" i="13"/>
  <c r="N33" i="13"/>
  <c r="W31" i="13"/>
  <c r="V31" i="13"/>
  <c r="U31" i="13"/>
  <c r="T31" i="13"/>
  <c r="S31" i="13"/>
  <c r="R31" i="13"/>
  <c r="Q31" i="13"/>
  <c r="P31" i="13"/>
  <c r="O31" i="13"/>
  <c r="N31" i="13"/>
  <c r="W29" i="13"/>
  <c r="V29" i="13"/>
  <c r="U29" i="13"/>
  <c r="T29" i="13"/>
  <c r="S29" i="13"/>
  <c r="R29" i="13"/>
  <c r="Q29" i="13"/>
  <c r="P29" i="13"/>
  <c r="O29" i="13"/>
  <c r="N29" i="13"/>
  <c r="W25" i="13"/>
  <c r="V25" i="13"/>
  <c r="U25" i="13"/>
  <c r="T25" i="13"/>
  <c r="S25" i="13"/>
  <c r="R25" i="13"/>
  <c r="Q25" i="13"/>
  <c r="P25" i="13"/>
  <c r="O25" i="13"/>
  <c r="N25" i="13"/>
  <c r="W23" i="13"/>
  <c r="V23" i="13"/>
  <c r="U23" i="13"/>
  <c r="T23" i="13"/>
  <c r="S23" i="13"/>
  <c r="R23" i="13"/>
  <c r="Q23" i="13"/>
  <c r="P23" i="13"/>
  <c r="O23" i="13"/>
  <c r="N23" i="13"/>
  <c r="W21" i="13"/>
  <c r="V21" i="13"/>
  <c r="U21" i="13"/>
  <c r="T21" i="13"/>
  <c r="S21" i="13"/>
  <c r="R21" i="13"/>
  <c r="Q21" i="13"/>
  <c r="P21" i="13"/>
  <c r="O21" i="13"/>
  <c r="N21" i="13"/>
  <c r="W19" i="13"/>
  <c r="V19" i="13"/>
  <c r="U19" i="13"/>
  <c r="T19" i="13"/>
  <c r="S19" i="13"/>
  <c r="R19" i="13"/>
  <c r="Q19" i="13"/>
  <c r="P19" i="13"/>
  <c r="O19" i="13"/>
  <c r="N19" i="13"/>
  <c r="W17" i="13"/>
  <c r="V17" i="13"/>
  <c r="U17" i="13"/>
  <c r="T17" i="13"/>
  <c r="S17" i="13"/>
  <c r="R17" i="13"/>
  <c r="Q17" i="13"/>
  <c r="P17" i="13"/>
  <c r="O17" i="13"/>
  <c r="N17" i="13"/>
  <c r="W13" i="13"/>
  <c r="V13" i="13"/>
  <c r="U13" i="13"/>
  <c r="T13" i="13"/>
  <c r="S13" i="13"/>
  <c r="R13" i="13"/>
  <c r="Q13" i="13"/>
  <c r="P13" i="13"/>
  <c r="O13" i="13"/>
  <c r="N13" i="13"/>
  <c r="W11" i="13"/>
  <c r="V11" i="13"/>
  <c r="U11" i="13"/>
  <c r="T11" i="13"/>
  <c r="S11" i="13"/>
  <c r="R11" i="13"/>
  <c r="Q11" i="13"/>
  <c r="P11" i="13"/>
  <c r="O11" i="13"/>
  <c r="N11" i="13"/>
  <c r="W9" i="13"/>
  <c r="V9" i="13"/>
  <c r="U9" i="13"/>
  <c r="T9" i="13"/>
  <c r="S9" i="13"/>
  <c r="R9" i="13"/>
  <c r="Q9" i="13"/>
  <c r="P9" i="13"/>
  <c r="O9" i="13"/>
  <c r="N9" i="13"/>
  <c r="W7" i="13"/>
  <c r="V7" i="13"/>
  <c r="U7" i="13"/>
  <c r="T7" i="13"/>
  <c r="S7" i="13"/>
  <c r="R7" i="13"/>
  <c r="Q7" i="13"/>
  <c r="P7" i="13"/>
  <c r="O7" i="13"/>
  <c r="N7" i="13"/>
  <c r="W5" i="13"/>
  <c r="V5" i="13"/>
  <c r="U5" i="13"/>
  <c r="T5" i="13"/>
  <c r="S5" i="13"/>
  <c r="R5" i="13"/>
  <c r="Q5" i="13"/>
  <c r="P5" i="13"/>
  <c r="O5" i="13"/>
  <c r="N5" i="13"/>
  <c r="K37" i="13"/>
  <c r="J37" i="13"/>
  <c r="I37" i="13"/>
  <c r="H37" i="13"/>
  <c r="G37" i="13"/>
  <c r="F37" i="13"/>
  <c r="E37" i="13"/>
  <c r="D37" i="13"/>
  <c r="C37" i="13"/>
  <c r="B37" i="13"/>
  <c r="K49" i="13"/>
  <c r="J49" i="13"/>
  <c r="I49" i="13"/>
  <c r="H49" i="13"/>
  <c r="G49" i="13"/>
  <c r="F49" i="13"/>
  <c r="E49" i="13"/>
  <c r="D49" i="13"/>
  <c r="C49" i="13"/>
  <c r="B49" i="13"/>
  <c r="K47" i="13"/>
  <c r="J47" i="13"/>
  <c r="I47" i="13"/>
  <c r="H47" i="13"/>
  <c r="G47" i="13"/>
  <c r="F47" i="13"/>
  <c r="E47" i="13"/>
  <c r="D47" i="13"/>
  <c r="C47" i="13"/>
  <c r="B47" i="13"/>
  <c r="K45" i="13"/>
  <c r="J45" i="13"/>
  <c r="I45" i="13"/>
  <c r="H45" i="13"/>
  <c r="G45" i="13"/>
  <c r="F45" i="13"/>
  <c r="E45" i="13"/>
  <c r="D45" i="13"/>
  <c r="C45" i="13"/>
  <c r="B45" i="13"/>
  <c r="K43" i="13"/>
  <c r="J43" i="13"/>
  <c r="I43" i="13"/>
  <c r="H43" i="13"/>
  <c r="G43" i="13"/>
  <c r="F43" i="13"/>
  <c r="E43" i="13"/>
  <c r="D43" i="13"/>
  <c r="C43" i="13"/>
  <c r="B43" i="13"/>
  <c r="K41" i="13"/>
  <c r="J41" i="13"/>
  <c r="I41" i="13"/>
  <c r="H41" i="13"/>
  <c r="G41" i="13"/>
  <c r="F41" i="13"/>
  <c r="E41" i="13"/>
  <c r="D41" i="13"/>
  <c r="C41" i="13"/>
  <c r="B41" i="13"/>
  <c r="K35" i="13"/>
  <c r="J35" i="13"/>
  <c r="I35" i="13"/>
  <c r="H35" i="13"/>
  <c r="G35" i="13"/>
  <c r="F35" i="13"/>
  <c r="E35" i="13"/>
  <c r="D35" i="13"/>
  <c r="C35" i="13"/>
  <c r="B35" i="13"/>
  <c r="K33" i="13"/>
  <c r="J33" i="13"/>
  <c r="I33" i="13"/>
  <c r="H33" i="13"/>
  <c r="G33" i="13"/>
  <c r="F33" i="13"/>
  <c r="E33" i="13"/>
  <c r="D33" i="13"/>
  <c r="C33" i="13"/>
  <c r="B33" i="13"/>
  <c r="K31" i="13"/>
  <c r="J31" i="13"/>
  <c r="I31" i="13"/>
  <c r="H31" i="13"/>
  <c r="G31" i="13"/>
  <c r="F31" i="13"/>
  <c r="E31" i="13"/>
  <c r="D31" i="13"/>
  <c r="C31" i="13"/>
  <c r="B31" i="13"/>
  <c r="K29" i="13"/>
  <c r="J29" i="13"/>
  <c r="I29" i="13"/>
  <c r="H29" i="13"/>
  <c r="G29" i="13"/>
  <c r="F29" i="13"/>
  <c r="E29" i="13"/>
  <c r="D29" i="13"/>
  <c r="C29" i="13"/>
  <c r="B29" i="13"/>
  <c r="K25" i="13"/>
  <c r="J25" i="13"/>
  <c r="I25" i="13"/>
  <c r="H25" i="13"/>
  <c r="G25" i="13"/>
  <c r="F25" i="13"/>
  <c r="E25" i="13"/>
  <c r="D25" i="13"/>
  <c r="C25" i="13"/>
  <c r="B25" i="13"/>
  <c r="K23" i="13"/>
  <c r="J23" i="13"/>
  <c r="I23" i="13"/>
  <c r="H23" i="13"/>
  <c r="G23" i="13"/>
  <c r="F23" i="13"/>
  <c r="E23" i="13"/>
  <c r="D23" i="13"/>
  <c r="C23" i="13"/>
  <c r="B23" i="13"/>
  <c r="K21" i="13"/>
  <c r="J21" i="13"/>
  <c r="I21" i="13"/>
  <c r="H21" i="13"/>
  <c r="G21" i="13"/>
  <c r="F21" i="13"/>
  <c r="E21" i="13"/>
  <c r="D21" i="13"/>
  <c r="C21" i="13"/>
  <c r="B21" i="13"/>
  <c r="K19" i="13"/>
  <c r="J19" i="13"/>
  <c r="I19" i="13"/>
  <c r="H19" i="13"/>
  <c r="G19" i="13"/>
  <c r="F19" i="13"/>
  <c r="E19" i="13"/>
  <c r="D19" i="13"/>
  <c r="C19" i="13"/>
  <c r="B19" i="13"/>
  <c r="K17" i="13"/>
  <c r="J17" i="13"/>
  <c r="I17" i="13"/>
  <c r="H17" i="13"/>
  <c r="G17" i="13"/>
  <c r="F17" i="13"/>
  <c r="E17" i="13"/>
  <c r="D17" i="13"/>
  <c r="C17" i="13"/>
  <c r="B17" i="13"/>
  <c r="K13" i="13"/>
  <c r="J13" i="13"/>
  <c r="I13" i="13"/>
  <c r="H13" i="13"/>
  <c r="G13" i="13"/>
  <c r="F13" i="13"/>
  <c r="E13" i="13"/>
  <c r="D13" i="13"/>
  <c r="C13" i="13"/>
  <c r="B13" i="13"/>
  <c r="K11" i="13"/>
  <c r="J11" i="13"/>
  <c r="I11" i="13"/>
  <c r="H11" i="13"/>
  <c r="G11" i="13"/>
  <c r="F11" i="13"/>
  <c r="E11" i="13"/>
  <c r="D11" i="13"/>
  <c r="C11" i="13"/>
  <c r="B11" i="13"/>
  <c r="K9" i="13"/>
  <c r="J9" i="13"/>
  <c r="I9" i="13"/>
  <c r="H9" i="13"/>
  <c r="G9" i="13"/>
  <c r="F9" i="13"/>
  <c r="E9" i="13"/>
  <c r="D9" i="13"/>
  <c r="C9" i="13"/>
  <c r="B9" i="13"/>
  <c r="K7" i="13"/>
  <c r="J7" i="13"/>
  <c r="I7" i="13"/>
  <c r="H7" i="13"/>
  <c r="G7" i="13"/>
  <c r="F7" i="13"/>
  <c r="E7" i="13"/>
  <c r="D7" i="13"/>
  <c r="C7" i="13"/>
  <c r="B7" i="13"/>
  <c r="K5" i="13"/>
  <c r="J5" i="13"/>
  <c r="I5" i="13"/>
  <c r="H5" i="13"/>
  <c r="G5" i="13"/>
  <c r="F5" i="13"/>
  <c r="E5" i="13"/>
  <c r="D5" i="13"/>
  <c r="C5" i="13"/>
  <c r="B5" i="13"/>
  <c r="W72" i="13"/>
  <c r="V72" i="13"/>
  <c r="U72" i="13"/>
  <c r="T72" i="13"/>
  <c r="S72" i="13"/>
  <c r="R72" i="13"/>
  <c r="Q72" i="13"/>
  <c r="P72" i="13"/>
  <c r="O72" i="13"/>
  <c r="N72" i="13"/>
  <c r="K72" i="13"/>
  <c r="J72" i="13"/>
  <c r="I72" i="13"/>
  <c r="H72" i="13"/>
  <c r="G72" i="13"/>
  <c r="F72" i="13"/>
  <c r="E72" i="13"/>
  <c r="D72" i="13"/>
  <c r="C72" i="13"/>
  <c r="B72" i="13"/>
  <c r="W71" i="13"/>
  <c r="V71" i="13"/>
  <c r="U71" i="13"/>
  <c r="T71" i="13"/>
  <c r="S71" i="13"/>
  <c r="R71" i="13"/>
  <c r="Q71" i="13"/>
  <c r="P71" i="13"/>
  <c r="O71" i="13"/>
  <c r="N71" i="13"/>
  <c r="K71" i="13"/>
  <c r="J71" i="13"/>
  <c r="I71" i="13"/>
  <c r="H71" i="13"/>
  <c r="G71" i="13"/>
  <c r="F71" i="13"/>
  <c r="E71" i="13"/>
  <c r="D71" i="13"/>
  <c r="C71" i="13"/>
  <c r="B71" i="13"/>
  <c r="W69" i="13"/>
  <c r="V69" i="13"/>
  <c r="U69" i="13"/>
  <c r="T69" i="13"/>
  <c r="S69" i="13"/>
  <c r="R69" i="13"/>
  <c r="Q69" i="13"/>
  <c r="P69" i="13"/>
  <c r="O69" i="13"/>
  <c r="N69" i="13"/>
  <c r="K69" i="13"/>
  <c r="J69" i="13"/>
  <c r="I69" i="13"/>
  <c r="H69" i="13"/>
  <c r="G69" i="13"/>
  <c r="F69" i="13"/>
  <c r="E69" i="13"/>
  <c r="D69" i="13"/>
  <c r="C69" i="13"/>
  <c r="B69" i="13"/>
  <c r="W67" i="13"/>
  <c r="V67" i="13"/>
  <c r="U67" i="13"/>
  <c r="T67" i="13"/>
  <c r="S67" i="13"/>
  <c r="R67" i="13"/>
  <c r="Q67" i="13"/>
  <c r="P67" i="13"/>
  <c r="O67" i="13"/>
  <c r="N67" i="13"/>
  <c r="K67" i="13"/>
  <c r="J67" i="13"/>
  <c r="I67" i="13"/>
  <c r="H67" i="13"/>
  <c r="G67" i="13"/>
  <c r="F67" i="13"/>
  <c r="E67" i="13"/>
  <c r="D67" i="13"/>
  <c r="C67" i="13"/>
  <c r="B67" i="13"/>
  <c r="W65" i="13"/>
  <c r="V65" i="13"/>
  <c r="U65" i="13"/>
  <c r="T65" i="13"/>
  <c r="S65" i="13"/>
  <c r="R65" i="13"/>
  <c r="Q65" i="13"/>
  <c r="P65" i="13"/>
  <c r="O65" i="13"/>
  <c r="N65" i="13"/>
  <c r="K65" i="13"/>
  <c r="J65" i="13"/>
  <c r="I65" i="13"/>
  <c r="H65" i="13"/>
  <c r="G65" i="13"/>
  <c r="F65" i="13"/>
  <c r="E65" i="13"/>
  <c r="D65" i="13"/>
  <c r="C65" i="13"/>
  <c r="B65" i="13"/>
  <c r="W63" i="13"/>
  <c r="V63" i="13"/>
  <c r="U63" i="13"/>
  <c r="T63" i="13"/>
  <c r="S63" i="13"/>
  <c r="R63" i="13"/>
  <c r="Q63" i="13"/>
  <c r="P63" i="13"/>
  <c r="O63" i="13"/>
  <c r="N63" i="13"/>
  <c r="K63" i="13"/>
  <c r="J63" i="13"/>
  <c r="I63" i="13"/>
  <c r="H63" i="13"/>
  <c r="G63" i="13"/>
  <c r="F63" i="13"/>
  <c r="E63" i="13"/>
  <c r="D63" i="13"/>
  <c r="C63" i="13"/>
  <c r="B63" i="13"/>
  <c r="BB52" i="13"/>
  <c r="BA52" i="13"/>
  <c r="AZ52" i="13"/>
  <c r="AY52" i="13"/>
  <c r="AX52" i="13"/>
  <c r="AW52" i="13"/>
  <c r="AV52" i="13"/>
  <c r="AU52" i="13"/>
  <c r="AT52" i="13"/>
  <c r="AS52" i="13"/>
  <c r="AP52" i="13"/>
  <c r="AO52" i="13"/>
  <c r="AN52" i="13"/>
  <c r="AM52" i="13"/>
  <c r="AL52" i="13"/>
  <c r="AK52" i="13"/>
  <c r="AJ52" i="13"/>
  <c r="AI52" i="13"/>
  <c r="AH52" i="13"/>
  <c r="AG52" i="13"/>
  <c r="BB51" i="13"/>
  <c r="BA51" i="13"/>
  <c r="AZ51" i="13"/>
  <c r="AY51" i="13"/>
  <c r="AX51" i="13"/>
  <c r="AW51" i="13"/>
  <c r="AV51" i="13"/>
  <c r="AU51" i="13"/>
  <c r="AT51" i="13"/>
  <c r="AS51" i="13"/>
  <c r="AP51" i="13"/>
  <c r="AO51" i="13"/>
  <c r="AN51" i="13"/>
  <c r="AM51" i="13"/>
  <c r="AL51" i="13"/>
  <c r="AK51" i="13"/>
  <c r="AJ51" i="13"/>
  <c r="AI51" i="13"/>
  <c r="AH51" i="13"/>
  <c r="AG51" i="13"/>
  <c r="BB49" i="13"/>
  <c r="BA49" i="13"/>
  <c r="AZ49" i="13"/>
  <c r="AY49" i="13"/>
  <c r="AX49" i="13"/>
  <c r="AW49" i="13"/>
  <c r="AV49" i="13"/>
  <c r="AU49" i="13"/>
  <c r="AT49" i="13"/>
  <c r="AS49" i="13"/>
  <c r="AP49" i="13"/>
  <c r="AO49" i="13"/>
  <c r="AN49" i="13"/>
  <c r="AM49" i="13"/>
  <c r="AL49" i="13"/>
  <c r="AK49" i="13"/>
  <c r="AJ49" i="13"/>
  <c r="AI49" i="13"/>
  <c r="AH49" i="13"/>
  <c r="AG49" i="13"/>
  <c r="BB47" i="13"/>
  <c r="BA47" i="13"/>
  <c r="AZ47" i="13"/>
  <c r="AY47" i="13"/>
  <c r="AX47" i="13"/>
  <c r="AW47" i="13"/>
  <c r="AV47" i="13"/>
  <c r="AU47" i="13"/>
  <c r="AT47" i="13"/>
  <c r="AS47" i="13"/>
  <c r="AP47" i="13"/>
  <c r="AO47" i="13"/>
  <c r="AN47" i="13"/>
  <c r="AM47" i="13"/>
  <c r="AL47" i="13"/>
  <c r="AK47" i="13"/>
  <c r="AJ47" i="13"/>
  <c r="AI47" i="13"/>
  <c r="AH47" i="13"/>
  <c r="AG47" i="13"/>
  <c r="BB45" i="13"/>
  <c r="BA45" i="13"/>
  <c r="AZ45" i="13"/>
  <c r="AY45" i="13"/>
  <c r="AX45" i="13"/>
  <c r="AW45" i="13"/>
  <c r="AV45" i="13"/>
  <c r="AU45" i="13"/>
  <c r="AT45" i="13"/>
  <c r="AS45" i="13"/>
  <c r="AP45" i="13"/>
  <c r="AO45" i="13"/>
  <c r="AN45" i="13"/>
  <c r="AM45" i="13"/>
  <c r="AL45" i="13"/>
  <c r="AK45" i="13"/>
  <c r="AJ45" i="13"/>
  <c r="AI45" i="13"/>
  <c r="AH45" i="13"/>
  <c r="AG45" i="13"/>
  <c r="BB43" i="13"/>
  <c r="BA43" i="13"/>
  <c r="AZ43" i="13"/>
  <c r="AY43" i="13"/>
  <c r="AX43" i="13"/>
  <c r="AW43" i="13"/>
  <c r="AV43" i="13"/>
  <c r="AU43" i="13"/>
  <c r="AT43" i="13"/>
  <c r="AS43" i="13"/>
  <c r="AP43" i="13"/>
  <c r="AO43" i="13"/>
  <c r="AN43" i="13"/>
  <c r="AM43" i="13"/>
  <c r="AL43" i="13"/>
  <c r="AK43" i="13"/>
  <c r="AJ43" i="13"/>
  <c r="AI43" i="13"/>
  <c r="AH43" i="13"/>
  <c r="AG43" i="13"/>
  <c r="BB30" i="13"/>
  <c r="BB32" i="13" s="1"/>
  <c r="BA30" i="13"/>
  <c r="AZ30" i="13"/>
  <c r="AZ32" i="13" s="1"/>
  <c r="AY30" i="13"/>
  <c r="AY32" i="13" s="1"/>
  <c r="AX30" i="13"/>
  <c r="AX32" i="13" s="1"/>
  <c r="AW30" i="13"/>
  <c r="AW32" i="13" s="1"/>
  <c r="AV30" i="13"/>
  <c r="AV32" i="13" s="1"/>
  <c r="AU30" i="13"/>
  <c r="AU32" i="13" s="1"/>
  <c r="AT30" i="13"/>
  <c r="AT32" i="13" s="1"/>
  <c r="AS30" i="13"/>
  <c r="AP30" i="13"/>
  <c r="AP32" i="13" s="1"/>
  <c r="AO30" i="13"/>
  <c r="AO32" i="13" s="1"/>
  <c r="AN30" i="13"/>
  <c r="AN32" i="13" s="1"/>
  <c r="AM30" i="13"/>
  <c r="AM32" i="13" s="1"/>
  <c r="AL30" i="13"/>
  <c r="AK30" i="13"/>
  <c r="AK32" i="13" s="1"/>
  <c r="AJ30" i="13"/>
  <c r="AJ32" i="13" s="1"/>
  <c r="AI30" i="13"/>
  <c r="AI32" i="13" s="1"/>
  <c r="AH30" i="13"/>
  <c r="AH32" i="13" s="1"/>
  <c r="AG30" i="13"/>
  <c r="AG32" i="13" s="1"/>
  <c r="BB23" i="13"/>
  <c r="BA23" i="13"/>
  <c r="AZ23" i="13"/>
  <c r="AY23" i="13"/>
  <c r="AX23" i="13"/>
  <c r="AW23" i="13"/>
  <c r="AV23" i="13"/>
  <c r="AU23" i="13"/>
  <c r="AT23" i="13"/>
  <c r="AS23" i="13"/>
  <c r="AP23" i="13"/>
  <c r="AO23" i="13"/>
  <c r="AN23" i="13"/>
  <c r="AM23" i="13"/>
  <c r="AL23" i="13"/>
  <c r="AK23" i="13"/>
  <c r="AJ23" i="13"/>
  <c r="AI23" i="13"/>
  <c r="AH23" i="13"/>
  <c r="AG23" i="13"/>
  <c r="BB16" i="13"/>
  <c r="BA16" i="13"/>
  <c r="AZ16" i="13"/>
  <c r="AY16" i="13"/>
  <c r="AX16" i="13"/>
  <c r="AW16" i="13"/>
  <c r="AV16" i="13"/>
  <c r="AU16" i="13"/>
  <c r="AT16" i="13"/>
  <c r="AS16" i="13"/>
  <c r="AP16" i="13"/>
  <c r="AO16" i="13"/>
  <c r="AN16" i="13"/>
  <c r="AM16" i="13"/>
  <c r="AL16" i="13"/>
  <c r="AK16" i="13"/>
  <c r="AJ16" i="13"/>
  <c r="AI16" i="13"/>
  <c r="AH16" i="13"/>
  <c r="AG16" i="13"/>
  <c r="BB9" i="13"/>
  <c r="BA9" i="13"/>
  <c r="AZ9" i="13"/>
  <c r="AY9" i="13"/>
  <c r="AX9" i="13"/>
  <c r="AW9" i="13"/>
  <c r="AV9" i="13"/>
  <c r="AU9" i="13"/>
  <c r="AT9" i="13"/>
  <c r="AS9" i="13"/>
  <c r="AP9" i="13"/>
  <c r="AO9" i="13"/>
  <c r="AN9" i="13"/>
  <c r="AM9" i="13"/>
  <c r="AL9" i="13"/>
  <c r="AK9" i="13"/>
  <c r="AJ9" i="13"/>
  <c r="AI9" i="13"/>
  <c r="AH9" i="13"/>
  <c r="AG9" i="13"/>
  <c r="W71" i="10"/>
  <c r="W50" i="10"/>
  <c r="V50" i="10"/>
  <c r="U50" i="10"/>
  <c r="T50" i="10"/>
  <c r="S50" i="10"/>
  <c r="R50" i="10"/>
  <c r="Q50" i="10"/>
  <c r="P50" i="10"/>
  <c r="O50" i="10"/>
  <c r="N50" i="10"/>
  <c r="W38" i="10"/>
  <c r="V38" i="10"/>
  <c r="U38" i="10"/>
  <c r="T38" i="10"/>
  <c r="S38" i="10"/>
  <c r="R38" i="10"/>
  <c r="Q38" i="10"/>
  <c r="P38" i="10"/>
  <c r="O38" i="10"/>
  <c r="N38" i="10"/>
  <c r="W26" i="10"/>
  <c r="V26" i="10"/>
  <c r="U26" i="10"/>
  <c r="T26" i="10"/>
  <c r="S26" i="10"/>
  <c r="R26" i="10"/>
  <c r="Q26" i="10"/>
  <c r="P26" i="10"/>
  <c r="O26" i="10"/>
  <c r="N26" i="10"/>
  <c r="W14" i="10"/>
  <c r="V14" i="10"/>
  <c r="U14" i="10"/>
  <c r="T14" i="10"/>
  <c r="S14" i="10"/>
  <c r="R14" i="10"/>
  <c r="Q14" i="10"/>
  <c r="P14" i="10"/>
  <c r="O14" i="10"/>
  <c r="N14" i="10"/>
  <c r="K50" i="10"/>
  <c r="J50" i="10"/>
  <c r="I50" i="10"/>
  <c r="H50" i="10"/>
  <c r="G50" i="10"/>
  <c r="F50" i="10"/>
  <c r="F52" i="10" s="1"/>
  <c r="E50" i="10"/>
  <c r="D50" i="10"/>
  <c r="C50" i="10"/>
  <c r="B50" i="10"/>
  <c r="K38" i="10"/>
  <c r="J38" i="10"/>
  <c r="I38" i="10"/>
  <c r="H38" i="10"/>
  <c r="G38" i="10"/>
  <c r="F38" i="10"/>
  <c r="E38" i="10"/>
  <c r="D38" i="10"/>
  <c r="C38" i="10"/>
  <c r="B38" i="10"/>
  <c r="K26" i="10"/>
  <c r="J26" i="10"/>
  <c r="I26" i="10"/>
  <c r="H26" i="10"/>
  <c r="G26" i="10"/>
  <c r="F26" i="10"/>
  <c r="E26" i="10"/>
  <c r="D26" i="10"/>
  <c r="C26" i="10"/>
  <c r="B26" i="10"/>
  <c r="C14" i="10"/>
  <c r="D14" i="10"/>
  <c r="E14" i="10"/>
  <c r="F14" i="10"/>
  <c r="G14" i="10"/>
  <c r="H14" i="10"/>
  <c r="I14" i="10"/>
  <c r="J14" i="10"/>
  <c r="K14" i="10"/>
  <c r="B14" i="10"/>
  <c r="W49" i="10"/>
  <c r="V49" i="10"/>
  <c r="U49" i="10"/>
  <c r="T49" i="10"/>
  <c r="S49" i="10"/>
  <c r="R49" i="10"/>
  <c r="Q49" i="10"/>
  <c r="P49" i="10"/>
  <c r="O49" i="10"/>
  <c r="N49" i="10"/>
  <c r="W47" i="10"/>
  <c r="V47" i="10"/>
  <c r="U47" i="10"/>
  <c r="T47" i="10"/>
  <c r="S47" i="10"/>
  <c r="R47" i="10"/>
  <c r="Q47" i="10"/>
  <c r="P47" i="10"/>
  <c r="O47" i="10"/>
  <c r="N47" i="10"/>
  <c r="W45" i="10"/>
  <c r="V45" i="10"/>
  <c r="U45" i="10"/>
  <c r="T45" i="10"/>
  <c r="S45" i="10"/>
  <c r="R45" i="10"/>
  <c r="Q45" i="10"/>
  <c r="P45" i="10"/>
  <c r="O45" i="10"/>
  <c r="N45" i="10"/>
  <c r="W43" i="10"/>
  <c r="V43" i="10"/>
  <c r="U43" i="10"/>
  <c r="T43" i="10"/>
  <c r="S43" i="10"/>
  <c r="R43" i="10"/>
  <c r="Q43" i="10"/>
  <c r="P43" i="10"/>
  <c r="O43" i="10"/>
  <c r="N43" i="10"/>
  <c r="W41" i="10"/>
  <c r="V41" i="10"/>
  <c r="U41" i="10"/>
  <c r="T41" i="10"/>
  <c r="S41" i="10"/>
  <c r="R41" i="10"/>
  <c r="Q41" i="10"/>
  <c r="P41" i="10"/>
  <c r="O41" i="10"/>
  <c r="N41" i="10"/>
  <c r="W37" i="10"/>
  <c r="V37" i="10"/>
  <c r="U37" i="10"/>
  <c r="T37" i="10"/>
  <c r="S37" i="10"/>
  <c r="R37" i="10"/>
  <c r="Q37" i="10"/>
  <c r="P37" i="10"/>
  <c r="O37" i="10"/>
  <c r="N37" i="10"/>
  <c r="W35" i="10"/>
  <c r="V35" i="10"/>
  <c r="U35" i="10"/>
  <c r="T35" i="10"/>
  <c r="S35" i="10"/>
  <c r="R35" i="10"/>
  <c r="Q35" i="10"/>
  <c r="P35" i="10"/>
  <c r="O35" i="10"/>
  <c r="N35" i="10"/>
  <c r="W33" i="10"/>
  <c r="V33" i="10"/>
  <c r="U33" i="10"/>
  <c r="T33" i="10"/>
  <c r="S33" i="10"/>
  <c r="R33" i="10"/>
  <c r="Q33" i="10"/>
  <c r="P33" i="10"/>
  <c r="O33" i="10"/>
  <c r="N33" i="10"/>
  <c r="W31" i="10"/>
  <c r="V31" i="10"/>
  <c r="U31" i="10"/>
  <c r="T31" i="10"/>
  <c r="S31" i="10"/>
  <c r="R31" i="10"/>
  <c r="Q31" i="10"/>
  <c r="P31" i="10"/>
  <c r="O31" i="10"/>
  <c r="N31" i="10"/>
  <c r="W29" i="10"/>
  <c r="V29" i="10"/>
  <c r="U29" i="10"/>
  <c r="T29" i="10"/>
  <c r="S29" i="10"/>
  <c r="R29" i="10"/>
  <c r="Q29" i="10"/>
  <c r="P29" i="10"/>
  <c r="O29" i="10"/>
  <c r="N29" i="10"/>
  <c r="W25" i="10"/>
  <c r="V25" i="10"/>
  <c r="U25" i="10"/>
  <c r="T25" i="10"/>
  <c r="S25" i="10"/>
  <c r="R25" i="10"/>
  <c r="Q25" i="10"/>
  <c r="P25" i="10"/>
  <c r="O25" i="10"/>
  <c r="N25" i="10"/>
  <c r="W23" i="10"/>
  <c r="V23" i="10"/>
  <c r="U23" i="10"/>
  <c r="T23" i="10"/>
  <c r="S23" i="10"/>
  <c r="R23" i="10"/>
  <c r="Q23" i="10"/>
  <c r="P23" i="10"/>
  <c r="O23" i="10"/>
  <c r="N23" i="10"/>
  <c r="W21" i="10"/>
  <c r="V21" i="10"/>
  <c r="U21" i="10"/>
  <c r="T21" i="10"/>
  <c r="S21" i="10"/>
  <c r="R21" i="10"/>
  <c r="Q21" i="10"/>
  <c r="P21" i="10"/>
  <c r="O21" i="10"/>
  <c r="N21" i="10"/>
  <c r="W19" i="10"/>
  <c r="V19" i="10"/>
  <c r="U19" i="10"/>
  <c r="T19" i="10"/>
  <c r="S19" i="10"/>
  <c r="R19" i="10"/>
  <c r="Q19" i="10"/>
  <c r="P19" i="10"/>
  <c r="O19" i="10"/>
  <c r="N19" i="10"/>
  <c r="W17" i="10"/>
  <c r="V17" i="10"/>
  <c r="U17" i="10"/>
  <c r="T17" i="10"/>
  <c r="S17" i="10"/>
  <c r="R17" i="10"/>
  <c r="Q17" i="10"/>
  <c r="P17" i="10"/>
  <c r="O17" i="10"/>
  <c r="N17" i="10"/>
  <c r="W13" i="10"/>
  <c r="V13" i="10"/>
  <c r="U13" i="10"/>
  <c r="T13" i="10"/>
  <c r="S13" i="10"/>
  <c r="R13" i="10"/>
  <c r="Q13" i="10"/>
  <c r="P13" i="10"/>
  <c r="O13" i="10"/>
  <c r="N13" i="10"/>
  <c r="W11" i="10"/>
  <c r="V11" i="10"/>
  <c r="U11" i="10"/>
  <c r="T11" i="10"/>
  <c r="S11" i="10"/>
  <c r="R11" i="10"/>
  <c r="Q11" i="10"/>
  <c r="P11" i="10"/>
  <c r="O11" i="10"/>
  <c r="N11" i="10"/>
  <c r="W9" i="10"/>
  <c r="V9" i="10"/>
  <c r="U9" i="10"/>
  <c r="T9" i="10"/>
  <c r="S9" i="10"/>
  <c r="R9" i="10"/>
  <c r="Q9" i="10"/>
  <c r="P9" i="10"/>
  <c r="O9" i="10"/>
  <c r="N9" i="10"/>
  <c r="W7" i="10"/>
  <c r="V7" i="10"/>
  <c r="U7" i="10"/>
  <c r="T7" i="10"/>
  <c r="S7" i="10"/>
  <c r="R7" i="10"/>
  <c r="Q7" i="10"/>
  <c r="P7" i="10"/>
  <c r="O7" i="10"/>
  <c r="N7" i="10"/>
  <c r="W5" i="10"/>
  <c r="V5" i="10"/>
  <c r="U5" i="10"/>
  <c r="T5" i="10"/>
  <c r="S5" i="10"/>
  <c r="R5" i="10"/>
  <c r="Q5" i="10"/>
  <c r="P5" i="10"/>
  <c r="O5" i="10"/>
  <c r="N5" i="10"/>
  <c r="K49" i="10"/>
  <c r="J49" i="10"/>
  <c r="I49" i="10"/>
  <c r="H49" i="10"/>
  <c r="G49" i="10"/>
  <c r="F49" i="10"/>
  <c r="E49" i="10"/>
  <c r="D49" i="10"/>
  <c r="C49" i="10"/>
  <c r="B49" i="10"/>
  <c r="K47" i="10"/>
  <c r="J47" i="10"/>
  <c r="I47" i="10"/>
  <c r="H47" i="10"/>
  <c r="G47" i="10"/>
  <c r="F47" i="10"/>
  <c r="E47" i="10"/>
  <c r="D47" i="10"/>
  <c r="C47" i="10"/>
  <c r="B47" i="10"/>
  <c r="K45" i="10"/>
  <c r="J45" i="10"/>
  <c r="I45" i="10"/>
  <c r="H45" i="10"/>
  <c r="G45" i="10"/>
  <c r="F45" i="10"/>
  <c r="E45" i="10"/>
  <c r="D45" i="10"/>
  <c r="C45" i="10"/>
  <c r="B45" i="10"/>
  <c r="K43" i="10"/>
  <c r="J43" i="10"/>
  <c r="I43" i="10"/>
  <c r="H43" i="10"/>
  <c r="G43" i="10"/>
  <c r="F43" i="10"/>
  <c r="E43" i="10"/>
  <c r="D43" i="10"/>
  <c r="C43" i="10"/>
  <c r="B43" i="10"/>
  <c r="K41" i="10"/>
  <c r="J41" i="10"/>
  <c r="I41" i="10"/>
  <c r="H41" i="10"/>
  <c r="G41" i="10"/>
  <c r="F41" i="10"/>
  <c r="E41" i="10"/>
  <c r="D41" i="10"/>
  <c r="C41" i="10"/>
  <c r="B41" i="10"/>
  <c r="K37" i="10"/>
  <c r="J37" i="10"/>
  <c r="I37" i="10"/>
  <c r="H37" i="10"/>
  <c r="G37" i="10"/>
  <c r="F37" i="10"/>
  <c r="E37" i="10"/>
  <c r="D37" i="10"/>
  <c r="C37" i="10"/>
  <c r="B37" i="10"/>
  <c r="K35" i="10"/>
  <c r="J35" i="10"/>
  <c r="I35" i="10"/>
  <c r="H35" i="10"/>
  <c r="G35" i="10"/>
  <c r="F35" i="10"/>
  <c r="E35" i="10"/>
  <c r="D35" i="10"/>
  <c r="C35" i="10"/>
  <c r="B35" i="10"/>
  <c r="K33" i="10"/>
  <c r="J33" i="10"/>
  <c r="I33" i="10"/>
  <c r="H33" i="10"/>
  <c r="G33" i="10"/>
  <c r="F33" i="10"/>
  <c r="E33" i="10"/>
  <c r="D33" i="10"/>
  <c r="C33" i="10"/>
  <c r="B33" i="10"/>
  <c r="K31" i="10"/>
  <c r="J31" i="10"/>
  <c r="I31" i="10"/>
  <c r="H31" i="10"/>
  <c r="G31" i="10"/>
  <c r="F31" i="10"/>
  <c r="E31" i="10"/>
  <c r="D31" i="10"/>
  <c r="C31" i="10"/>
  <c r="B31" i="10"/>
  <c r="K29" i="10"/>
  <c r="J29" i="10"/>
  <c r="I29" i="10"/>
  <c r="H29" i="10"/>
  <c r="G29" i="10"/>
  <c r="F29" i="10"/>
  <c r="E29" i="10"/>
  <c r="D29" i="10"/>
  <c r="C29" i="10"/>
  <c r="B29" i="10"/>
  <c r="K25" i="10"/>
  <c r="J25" i="10"/>
  <c r="I25" i="10"/>
  <c r="H25" i="10"/>
  <c r="G25" i="10"/>
  <c r="F25" i="10"/>
  <c r="E25" i="10"/>
  <c r="D25" i="10"/>
  <c r="C25" i="10"/>
  <c r="B25" i="10"/>
  <c r="K23" i="10"/>
  <c r="J23" i="10"/>
  <c r="I23" i="10"/>
  <c r="H23" i="10"/>
  <c r="G23" i="10"/>
  <c r="F23" i="10"/>
  <c r="E23" i="10"/>
  <c r="D23" i="10"/>
  <c r="C23" i="10"/>
  <c r="B23" i="10"/>
  <c r="K21" i="10"/>
  <c r="J21" i="10"/>
  <c r="I21" i="10"/>
  <c r="H21" i="10"/>
  <c r="G21" i="10"/>
  <c r="F21" i="10"/>
  <c r="E21" i="10"/>
  <c r="D21" i="10"/>
  <c r="C21" i="10"/>
  <c r="B21" i="10"/>
  <c r="K19" i="10"/>
  <c r="J19" i="10"/>
  <c r="I19" i="10"/>
  <c r="H19" i="10"/>
  <c r="G19" i="10"/>
  <c r="F19" i="10"/>
  <c r="E19" i="10"/>
  <c r="D19" i="10"/>
  <c r="C19" i="10"/>
  <c r="B19" i="10"/>
  <c r="K17" i="10"/>
  <c r="J17" i="10"/>
  <c r="I17" i="10"/>
  <c r="H17" i="10"/>
  <c r="G17" i="10"/>
  <c r="F17" i="10"/>
  <c r="E17" i="10"/>
  <c r="D17" i="10"/>
  <c r="C17" i="10"/>
  <c r="B17" i="10"/>
  <c r="K13" i="10"/>
  <c r="J13" i="10"/>
  <c r="I13" i="10"/>
  <c r="H13" i="10"/>
  <c r="G13" i="10"/>
  <c r="F13" i="10"/>
  <c r="E13" i="10"/>
  <c r="D13" i="10"/>
  <c r="C13" i="10"/>
  <c r="B13" i="10"/>
  <c r="K11" i="10"/>
  <c r="J11" i="10"/>
  <c r="I11" i="10"/>
  <c r="H11" i="10"/>
  <c r="G11" i="10"/>
  <c r="F11" i="10"/>
  <c r="E11" i="10"/>
  <c r="D11" i="10"/>
  <c r="C11" i="10"/>
  <c r="B11" i="10"/>
  <c r="K9" i="10"/>
  <c r="J9" i="10"/>
  <c r="I9" i="10"/>
  <c r="H9" i="10"/>
  <c r="G9" i="10"/>
  <c r="F9" i="10"/>
  <c r="E9" i="10"/>
  <c r="D9" i="10"/>
  <c r="C9" i="10"/>
  <c r="B9" i="10"/>
  <c r="K7" i="10"/>
  <c r="J7" i="10"/>
  <c r="I7" i="10"/>
  <c r="H7" i="10"/>
  <c r="G7" i="10"/>
  <c r="F7" i="10"/>
  <c r="E7" i="10"/>
  <c r="D7" i="10"/>
  <c r="C7" i="10"/>
  <c r="B7" i="10"/>
  <c r="K5" i="10"/>
  <c r="J5" i="10"/>
  <c r="I5" i="10"/>
  <c r="H5" i="10"/>
  <c r="G5" i="10"/>
  <c r="F5" i="10"/>
  <c r="E5" i="10"/>
  <c r="D5" i="10"/>
  <c r="C5" i="10"/>
  <c r="B5" i="10"/>
  <c r="W72" i="10"/>
  <c r="V72" i="10"/>
  <c r="U72" i="10"/>
  <c r="T72" i="10"/>
  <c r="S72" i="10"/>
  <c r="R72" i="10"/>
  <c r="Q72" i="10"/>
  <c r="P72" i="10"/>
  <c r="O72" i="10"/>
  <c r="N72" i="10"/>
  <c r="K72" i="10"/>
  <c r="J72" i="10"/>
  <c r="I72" i="10"/>
  <c r="H72" i="10"/>
  <c r="G72" i="10"/>
  <c r="F72" i="10"/>
  <c r="E72" i="10"/>
  <c r="D72" i="10"/>
  <c r="C72" i="10"/>
  <c r="B72" i="10"/>
  <c r="T71" i="10"/>
  <c r="S71" i="10"/>
  <c r="R71" i="10"/>
  <c r="Q71" i="10"/>
  <c r="P71" i="10"/>
  <c r="K71" i="10"/>
  <c r="J71" i="10"/>
  <c r="I71" i="10"/>
  <c r="H71" i="10"/>
  <c r="G71" i="10"/>
  <c r="F71" i="10"/>
  <c r="E71" i="10"/>
  <c r="D71" i="10"/>
  <c r="C71" i="10"/>
  <c r="B71" i="10"/>
  <c r="W69" i="10"/>
  <c r="V69" i="10"/>
  <c r="U69" i="10"/>
  <c r="T69" i="10"/>
  <c r="S69" i="10"/>
  <c r="R69" i="10"/>
  <c r="Q69" i="10"/>
  <c r="P69" i="10"/>
  <c r="O69" i="10"/>
  <c r="N69" i="10"/>
  <c r="K69" i="10"/>
  <c r="J69" i="10"/>
  <c r="I69" i="10"/>
  <c r="H69" i="10"/>
  <c r="G69" i="10"/>
  <c r="F69" i="10"/>
  <c r="E69" i="10"/>
  <c r="D69" i="10"/>
  <c r="C69" i="10"/>
  <c r="B69" i="10"/>
  <c r="W67" i="10"/>
  <c r="V67" i="10"/>
  <c r="U67" i="10"/>
  <c r="T67" i="10"/>
  <c r="S67" i="10"/>
  <c r="R67" i="10"/>
  <c r="Q67" i="10"/>
  <c r="P67" i="10"/>
  <c r="O67" i="10"/>
  <c r="N67" i="10"/>
  <c r="K67" i="10"/>
  <c r="J67" i="10"/>
  <c r="I67" i="10"/>
  <c r="H67" i="10"/>
  <c r="G67" i="10"/>
  <c r="F67" i="10"/>
  <c r="E67" i="10"/>
  <c r="D67" i="10"/>
  <c r="C67" i="10"/>
  <c r="B67" i="10"/>
  <c r="W65" i="10"/>
  <c r="V65" i="10"/>
  <c r="U65" i="10"/>
  <c r="T65" i="10"/>
  <c r="S65" i="10"/>
  <c r="R65" i="10"/>
  <c r="Q65" i="10"/>
  <c r="P65" i="10"/>
  <c r="O65" i="10"/>
  <c r="N65" i="10"/>
  <c r="K65" i="10"/>
  <c r="J65" i="10"/>
  <c r="I65" i="10"/>
  <c r="H65" i="10"/>
  <c r="G65" i="10"/>
  <c r="F65" i="10"/>
  <c r="E65" i="10"/>
  <c r="D65" i="10"/>
  <c r="C65" i="10"/>
  <c r="B65" i="10"/>
  <c r="W63" i="10"/>
  <c r="V63" i="10"/>
  <c r="U63" i="10"/>
  <c r="T63" i="10"/>
  <c r="S63" i="10"/>
  <c r="R63" i="10"/>
  <c r="Q63" i="10"/>
  <c r="P63" i="10"/>
  <c r="O63" i="10"/>
  <c r="N63" i="10"/>
  <c r="K63" i="10"/>
  <c r="J63" i="10"/>
  <c r="I63" i="10"/>
  <c r="H63" i="10"/>
  <c r="G63" i="10"/>
  <c r="F63" i="10"/>
  <c r="E63" i="10"/>
  <c r="D63" i="10"/>
  <c r="C63" i="10"/>
  <c r="B63" i="10"/>
  <c r="O36" i="9"/>
  <c r="O36" i="12"/>
  <c r="X36" i="12"/>
  <c r="W36" i="12"/>
  <c r="V36" i="12"/>
  <c r="U36" i="12"/>
  <c r="T36" i="12"/>
  <c r="S36" i="12"/>
  <c r="R36" i="12"/>
  <c r="Q36" i="12"/>
  <c r="P36" i="12"/>
  <c r="X30" i="12"/>
  <c r="W30" i="12"/>
  <c r="V30" i="12"/>
  <c r="U30" i="12"/>
  <c r="T30" i="12"/>
  <c r="S30" i="12"/>
  <c r="R30" i="12"/>
  <c r="Q30" i="12"/>
  <c r="P30" i="12"/>
  <c r="O30" i="12"/>
  <c r="L30" i="12"/>
  <c r="K30" i="12"/>
  <c r="J30" i="12"/>
  <c r="I30" i="12"/>
  <c r="H30" i="12"/>
  <c r="G30" i="12"/>
  <c r="F30" i="12"/>
  <c r="E30" i="12"/>
  <c r="D30" i="12"/>
  <c r="C30" i="12"/>
  <c r="X23" i="12"/>
  <c r="W23" i="12"/>
  <c r="V23" i="12"/>
  <c r="U23" i="12"/>
  <c r="T23" i="12"/>
  <c r="S23" i="12"/>
  <c r="R23" i="12"/>
  <c r="Q23" i="12"/>
  <c r="P23" i="12"/>
  <c r="O23" i="12"/>
  <c r="L23" i="12"/>
  <c r="K23" i="12"/>
  <c r="J23" i="12"/>
  <c r="I23" i="12"/>
  <c r="H23" i="12"/>
  <c r="G23" i="12"/>
  <c r="F23" i="12"/>
  <c r="E23" i="12"/>
  <c r="D23" i="12"/>
  <c r="C23" i="12"/>
  <c r="X16" i="12"/>
  <c r="W16" i="12"/>
  <c r="V16" i="12"/>
  <c r="U16" i="12"/>
  <c r="T16" i="12"/>
  <c r="S16" i="12"/>
  <c r="R16" i="12"/>
  <c r="Q16" i="12"/>
  <c r="P16" i="12"/>
  <c r="O16" i="12"/>
  <c r="L16" i="12"/>
  <c r="K16" i="12"/>
  <c r="J16" i="12"/>
  <c r="I16" i="12"/>
  <c r="H16" i="12"/>
  <c r="G16" i="12"/>
  <c r="F16" i="12"/>
  <c r="E16" i="12"/>
  <c r="D16" i="12"/>
  <c r="C16" i="12"/>
  <c r="X9" i="12"/>
  <c r="W9" i="12"/>
  <c r="V9" i="12"/>
  <c r="U9" i="12"/>
  <c r="T9" i="12"/>
  <c r="S9" i="12"/>
  <c r="R9" i="12"/>
  <c r="Q9" i="12"/>
  <c r="P9" i="12"/>
  <c r="O9" i="12"/>
  <c r="L9" i="12"/>
  <c r="K9" i="12"/>
  <c r="J9" i="12"/>
  <c r="I9" i="12"/>
  <c r="H9" i="12"/>
  <c r="G9" i="12"/>
  <c r="F9" i="12"/>
  <c r="E9" i="12"/>
  <c r="D9" i="12"/>
  <c r="C9" i="12"/>
  <c r="X36" i="9"/>
  <c r="W36" i="9"/>
  <c r="V36" i="9"/>
  <c r="U36" i="9"/>
  <c r="T36" i="9"/>
  <c r="S36" i="9"/>
  <c r="R36" i="9"/>
  <c r="Q36" i="9"/>
  <c r="P36" i="9"/>
  <c r="X30" i="9"/>
  <c r="X32" i="9" s="1"/>
  <c r="W30" i="9"/>
  <c r="W32" i="9" s="1"/>
  <c r="V30" i="9"/>
  <c r="U30" i="9"/>
  <c r="T30" i="9"/>
  <c r="T32" i="9" s="1"/>
  <c r="S30" i="9"/>
  <c r="S32" i="9" s="1"/>
  <c r="R30" i="9"/>
  <c r="R32" i="9" s="1"/>
  <c r="Q30" i="9"/>
  <c r="Q32" i="9" s="1"/>
  <c r="P30" i="9"/>
  <c r="P32" i="9" s="1"/>
  <c r="O30" i="9"/>
  <c r="O32" i="9" s="1"/>
  <c r="L30" i="9"/>
  <c r="L32" i="9" s="1"/>
  <c r="K30" i="9"/>
  <c r="K32" i="9" s="1"/>
  <c r="J30" i="9"/>
  <c r="J32" i="9" s="1"/>
  <c r="I30" i="9"/>
  <c r="I32" i="9" s="1"/>
  <c r="H30" i="9"/>
  <c r="H32" i="9" s="1"/>
  <c r="G30" i="9"/>
  <c r="F30" i="9"/>
  <c r="E30" i="9"/>
  <c r="D30" i="9"/>
  <c r="C30" i="9"/>
  <c r="C32" i="9" s="1"/>
  <c r="X23" i="9"/>
  <c r="W23" i="9"/>
  <c r="V23" i="9"/>
  <c r="U23" i="9"/>
  <c r="T23" i="9"/>
  <c r="S23" i="9"/>
  <c r="R23" i="9"/>
  <c r="Q23" i="9"/>
  <c r="P23" i="9"/>
  <c r="O23" i="9"/>
  <c r="L23" i="9"/>
  <c r="K23" i="9"/>
  <c r="J23" i="9"/>
  <c r="I23" i="9"/>
  <c r="H23" i="9"/>
  <c r="G23" i="9"/>
  <c r="F23" i="9"/>
  <c r="E23" i="9"/>
  <c r="D23" i="9"/>
  <c r="C23" i="9"/>
  <c r="X16" i="9"/>
  <c r="W16" i="9"/>
  <c r="V16" i="9"/>
  <c r="U16" i="9"/>
  <c r="T16" i="9"/>
  <c r="S16" i="9"/>
  <c r="R16" i="9"/>
  <c r="Q16" i="9"/>
  <c r="P16" i="9"/>
  <c r="O16" i="9"/>
  <c r="L16" i="9"/>
  <c r="K16" i="9"/>
  <c r="J16" i="9"/>
  <c r="I16" i="9"/>
  <c r="H16" i="9"/>
  <c r="G16" i="9"/>
  <c r="F16" i="9"/>
  <c r="E16" i="9"/>
  <c r="D16" i="9"/>
  <c r="C16" i="9"/>
  <c r="X9" i="9"/>
  <c r="W9" i="9"/>
  <c r="V9" i="9"/>
  <c r="U9" i="9"/>
  <c r="T9" i="9"/>
  <c r="S9" i="9"/>
  <c r="R9" i="9"/>
  <c r="Q9" i="9"/>
  <c r="P9" i="9"/>
  <c r="O9" i="9"/>
  <c r="L9" i="9"/>
  <c r="K9" i="9"/>
  <c r="J9" i="9"/>
  <c r="I9" i="9"/>
  <c r="H9" i="9"/>
  <c r="G9" i="9"/>
  <c r="F9" i="9"/>
  <c r="E9" i="9"/>
  <c r="D9" i="9"/>
  <c r="C9" i="9"/>
  <c r="AG48" i="2"/>
  <c r="AW28" i="6"/>
  <c r="AW27" i="6"/>
  <c r="AW26" i="6"/>
  <c r="AW25" i="6"/>
  <c r="AW24" i="6"/>
  <c r="AW21" i="6"/>
  <c r="AW20" i="6"/>
  <c r="AW19" i="6"/>
  <c r="AW18" i="6"/>
  <c r="AW17" i="6"/>
  <c r="AW14" i="6"/>
  <c r="AW13" i="6"/>
  <c r="AW12" i="6"/>
  <c r="AW11" i="6"/>
  <c r="AW10" i="6"/>
  <c r="AW7" i="6"/>
  <c r="AW6" i="6"/>
  <c r="AW5" i="6"/>
  <c r="AW4" i="6"/>
  <c r="AW3" i="6"/>
  <c r="AO28" i="6"/>
  <c r="AO27" i="6"/>
  <c r="AO26" i="6"/>
  <c r="AO25" i="6"/>
  <c r="AO24" i="6"/>
  <c r="AO21" i="6"/>
  <c r="AO20" i="6"/>
  <c r="AO19" i="6"/>
  <c r="AO18" i="6"/>
  <c r="AO17" i="6"/>
  <c r="AO14" i="6"/>
  <c r="AO13" i="6"/>
  <c r="AO12" i="6"/>
  <c r="AO11" i="6"/>
  <c r="AO10" i="6"/>
  <c r="AO7" i="6"/>
  <c r="AO6" i="6"/>
  <c r="AO5" i="6"/>
  <c r="AO4" i="6"/>
  <c r="AO3" i="6"/>
  <c r="AG28" i="6"/>
  <c r="AG27" i="6"/>
  <c r="AG26" i="6"/>
  <c r="AG25" i="6"/>
  <c r="AG24" i="6"/>
  <c r="AG21" i="6"/>
  <c r="AG20" i="6"/>
  <c r="AG19" i="6"/>
  <c r="AG18" i="6"/>
  <c r="AG17" i="6"/>
  <c r="AG14" i="6"/>
  <c r="AG13" i="6"/>
  <c r="AG12" i="6"/>
  <c r="AG11" i="6"/>
  <c r="AG10" i="6"/>
  <c r="AG7" i="6"/>
  <c r="AG6" i="6"/>
  <c r="AG5" i="6"/>
  <c r="AG4" i="6"/>
  <c r="AG3" i="6"/>
  <c r="Y66" i="6"/>
  <c r="Y65" i="6"/>
  <c r="Y64" i="6"/>
  <c r="Y63" i="6"/>
  <c r="Y62" i="6"/>
  <c r="Y59" i="6"/>
  <c r="Y58" i="6"/>
  <c r="Y57" i="6"/>
  <c r="Y56" i="6"/>
  <c r="Y55" i="6"/>
  <c r="Y52" i="6"/>
  <c r="Y51" i="6"/>
  <c r="Y50" i="6"/>
  <c r="Y49" i="6"/>
  <c r="Y48" i="6"/>
  <c r="Y45" i="6"/>
  <c r="Y44" i="6"/>
  <c r="Y43" i="6"/>
  <c r="Y42" i="6"/>
  <c r="Y41" i="6"/>
  <c r="Q66" i="6"/>
  <c r="Q65" i="6"/>
  <c r="Q64" i="6"/>
  <c r="Q63" i="6"/>
  <c r="Q62" i="6"/>
  <c r="Q59" i="6"/>
  <c r="Q58" i="6"/>
  <c r="Q57" i="6"/>
  <c r="Q56" i="6"/>
  <c r="Q55" i="6"/>
  <c r="Q60" i="6" s="1"/>
  <c r="Q52" i="6"/>
  <c r="Q51" i="6"/>
  <c r="Q50" i="6"/>
  <c r="Q49" i="6"/>
  <c r="Q48" i="6"/>
  <c r="Q45" i="6"/>
  <c r="Q44" i="6"/>
  <c r="Q43" i="6"/>
  <c r="Q42" i="6"/>
  <c r="Q41" i="6"/>
  <c r="I66" i="6"/>
  <c r="I65" i="6"/>
  <c r="I64" i="6"/>
  <c r="I63" i="6"/>
  <c r="I62" i="6"/>
  <c r="I59" i="6"/>
  <c r="I58" i="6"/>
  <c r="I57" i="6"/>
  <c r="I56" i="6"/>
  <c r="I55" i="6"/>
  <c r="I52" i="6"/>
  <c r="I51" i="6"/>
  <c r="I50" i="6"/>
  <c r="I49" i="6"/>
  <c r="I48" i="6"/>
  <c r="I45" i="6"/>
  <c r="I44" i="6"/>
  <c r="I43" i="6"/>
  <c r="I42" i="6"/>
  <c r="I41" i="6"/>
  <c r="Y28" i="6"/>
  <c r="Y27" i="6"/>
  <c r="Y26" i="6"/>
  <c r="Y25" i="6"/>
  <c r="Y24" i="6"/>
  <c r="Y21" i="6"/>
  <c r="Y20" i="6"/>
  <c r="Y19" i="6"/>
  <c r="Y18" i="6"/>
  <c r="Y17" i="6"/>
  <c r="Y14" i="6"/>
  <c r="Y13" i="6"/>
  <c r="Y12" i="6"/>
  <c r="Y11" i="6"/>
  <c r="Y10" i="6"/>
  <c r="Y7" i="6"/>
  <c r="Y6" i="6"/>
  <c r="Y5" i="6"/>
  <c r="Y4" i="6"/>
  <c r="Y3" i="6"/>
  <c r="Q28" i="6"/>
  <c r="Q27" i="6"/>
  <c r="Q26" i="6"/>
  <c r="Q25" i="6"/>
  <c r="Q24" i="6"/>
  <c r="Q21" i="6"/>
  <c r="Q20" i="6"/>
  <c r="Q19" i="6"/>
  <c r="Q18" i="6"/>
  <c r="Q17" i="6"/>
  <c r="Q14" i="6"/>
  <c r="Q13" i="6"/>
  <c r="Q12" i="6"/>
  <c r="Q11" i="6"/>
  <c r="Q10" i="6"/>
  <c r="I28" i="6"/>
  <c r="I27" i="6"/>
  <c r="I26" i="6"/>
  <c r="I25" i="6"/>
  <c r="I24" i="6"/>
  <c r="I21" i="6"/>
  <c r="I20" i="6"/>
  <c r="I19" i="6"/>
  <c r="I18" i="6"/>
  <c r="I17" i="6"/>
  <c r="I14" i="6"/>
  <c r="I13" i="6"/>
  <c r="I12" i="6"/>
  <c r="I11" i="6"/>
  <c r="I10" i="6"/>
  <c r="Q7" i="6"/>
  <c r="Q6" i="6"/>
  <c r="Q5" i="6"/>
  <c r="Q4" i="6"/>
  <c r="Q3" i="6"/>
  <c r="I7" i="6"/>
  <c r="I6" i="6"/>
  <c r="I5" i="6"/>
  <c r="I4" i="6"/>
  <c r="I3" i="6"/>
  <c r="AG66" i="2"/>
  <c r="AG65" i="2"/>
  <c r="AG64" i="2"/>
  <c r="AG63" i="2"/>
  <c r="AG62" i="2"/>
  <c r="AG59" i="2"/>
  <c r="AG58" i="2"/>
  <c r="AG57" i="2"/>
  <c r="AG56" i="2"/>
  <c r="AG55" i="2"/>
  <c r="AG52" i="2"/>
  <c r="AG51" i="2"/>
  <c r="AG50" i="2"/>
  <c r="AG49" i="2"/>
  <c r="AG45" i="2"/>
  <c r="AG44" i="2"/>
  <c r="AG43" i="2"/>
  <c r="AG42" i="2"/>
  <c r="AG41" i="2"/>
  <c r="AW28" i="2"/>
  <c r="AW27" i="2"/>
  <c r="AW26" i="2"/>
  <c r="AW25" i="2"/>
  <c r="AW24" i="2"/>
  <c r="AW21" i="2"/>
  <c r="AW20" i="2"/>
  <c r="AW19" i="2"/>
  <c r="AW18" i="2"/>
  <c r="AW17" i="2"/>
  <c r="AW14" i="2"/>
  <c r="AW13" i="2"/>
  <c r="AW12" i="2"/>
  <c r="AW11" i="2"/>
  <c r="AW10" i="2"/>
  <c r="AW7" i="2"/>
  <c r="AW6" i="2"/>
  <c r="AW5" i="2"/>
  <c r="AW4" i="2"/>
  <c r="AW3" i="2"/>
  <c r="AO28" i="2"/>
  <c r="AO27" i="2"/>
  <c r="AO26" i="2"/>
  <c r="AO25" i="2"/>
  <c r="AO24" i="2"/>
  <c r="AO21" i="2"/>
  <c r="AO20" i="2"/>
  <c r="AO19" i="2"/>
  <c r="AO18" i="2"/>
  <c r="AO17" i="2"/>
  <c r="AO14" i="2"/>
  <c r="AO13" i="2"/>
  <c r="AO12" i="2"/>
  <c r="AO11" i="2"/>
  <c r="AO10" i="2"/>
  <c r="AO7" i="2"/>
  <c r="AO6" i="2"/>
  <c r="AO5" i="2"/>
  <c r="AO4" i="2"/>
  <c r="AO3" i="2"/>
  <c r="AG28" i="2"/>
  <c r="AG27" i="2"/>
  <c r="AG26" i="2"/>
  <c r="AG25" i="2"/>
  <c r="AG24" i="2"/>
  <c r="AG21" i="2"/>
  <c r="AG20" i="2"/>
  <c r="AG19" i="2"/>
  <c r="AG18" i="2"/>
  <c r="AG17" i="2"/>
  <c r="AG14" i="2"/>
  <c r="AG13" i="2"/>
  <c r="AG12" i="2"/>
  <c r="AG11" i="2"/>
  <c r="AG10" i="2"/>
  <c r="AG7" i="2"/>
  <c r="AG6" i="2"/>
  <c r="AG5" i="2"/>
  <c r="AG4" i="2"/>
  <c r="AG3" i="2"/>
  <c r="Y66" i="2"/>
  <c r="Y65" i="2"/>
  <c r="Y64" i="2"/>
  <c r="Y63" i="2"/>
  <c r="Y62" i="2"/>
  <c r="Y59" i="2"/>
  <c r="Y58" i="2"/>
  <c r="Y57" i="2"/>
  <c r="Y56" i="2"/>
  <c r="Y55" i="2"/>
  <c r="Y52" i="2"/>
  <c r="Y51" i="2"/>
  <c r="Y50" i="2"/>
  <c r="Y49" i="2"/>
  <c r="Y48" i="2"/>
  <c r="Y45" i="2"/>
  <c r="Y44" i="2"/>
  <c r="Y43" i="2"/>
  <c r="Y41" i="2"/>
  <c r="Q66" i="2"/>
  <c r="Q65" i="2"/>
  <c r="Q64" i="2"/>
  <c r="Q63" i="2"/>
  <c r="Q62" i="2"/>
  <c r="Q59" i="2"/>
  <c r="Q58" i="2"/>
  <c r="Q57" i="2"/>
  <c r="Q56" i="2"/>
  <c r="Q55" i="2"/>
  <c r="Q52" i="2"/>
  <c r="Q51" i="2"/>
  <c r="Q50" i="2"/>
  <c r="Q49" i="2"/>
  <c r="Q48" i="2"/>
  <c r="Q45" i="2"/>
  <c r="Q44" i="2"/>
  <c r="Q43" i="2"/>
  <c r="Q42" i="2"/>
  <c r="Q41" i="2"/>
  <c r="I66" i="2"/>
  <c r="I65" i="2"/>
  <c r="I64" i="2"/>
  <c r="I63" i="2"/>
  <c r="I62" i="2"/>
  <c r="I59" i="2"/>
  <c r="I58" i="2"/>
  <c r="I57" i="2"/>
  <c r="I56" i="2"/>
  <c r="I55" i="2"/>
  <c r="I52" i="2"/>
  <c r="I51" i="2"/>
  <c r="I50" i="2"/>
  <c r="I49" i="2"/>
  <c r="I48" i="2"/>
  <c r="I45" i="2"/>
  <c r="I44" i="2"/>
  <c r="I43" i="2"/>
  <c r="I42" i="2"/>
  <c r="I41" i="2"/>
  <c r="Q14" i="2"/>
  <c r="Q13" i="2"/>
  <c r="Q12" i="2"/>
  <c r="Q11" i="2"/>
  <c r="Q10" i="2"/>
  <c r="Y28" i="2"/>
  <c r="Y27" i="2"/>
  <c r="Y26" i="2"/>
  <c r="Y25" i="2"/>
  <c r="Y24" i="2"/>
  <c r="Y21" i="2"/>
  <c r="Y20" i="2"/>
  <c r="Y19" i="2"/>
  <c r="Y18" i="2"/>
  <c r="Y17" i="2"/>
  <c r="Y14" i="2"/>
  <c r="Y13" i="2"/>
  <c r="Y12" i="2"/>
  <c r="Y11" i="2"/>
  <c r="Y10" i="2"/>
  <c r="Y7" i="2"/>
  <c r="Y6" i="2"/>
  <c r="Y5" i="2"/>
  <c r="Y4" i="2"/>
  <c r="Y3" i="2"/>
  <c r="I28" i="2"/>
  <c r="I27" i="2"/>
  <c r="I26" i="2"/>
  <c r="I25" i="2"/>
  <c r="I24" i="2"/>
  <c r="Q28" i="2"/>
  <c r="Q27" i="2"/>
  <c r="Q26" i="2"/>
  <c r="Q25" i="2"/>
  <c r="Q24" i="2"/>
  <c r="Q21" i="2"/>
  <c r="Q20" i="2"/>
  <c r="Q19" i="2"/>
  <c r="Q18" i="2"/>
  <c r="Q17" i="2"/>
  <c r="Q7" i="2"/>
  <c r="Q6" i="2"/>
  <c r="Q5" i="2"/>
  <c r="Q4" i="2"/>
  <c r="I21" i="2"/>
  <c r="I20" i="2"/>
  <c r="I19" i="2"/>
  <c r="I18" i="2"/>
  <c r="I17" i="2"/>
  <c r="I14" i="2"/>
  <c r="I13" i="2"/>
  <c r="I12" i="2"/>
  <c r="I11" i="2"/>
  <c r="I10" i="2"/>
  <c r="I4" i="2"/>
  <c r="I5" i="2"/>
  <c r="I6" i="2"/>
  <c r="I7" i="2"/>
  <c r="I3" i="2"/>
  <c r="O60" i="5"/>
  <c r="W59" i="5"/>
  <c r="AE59" i="5"/>
  <c r="W21" i="5"/>
  <c r="AE17" i="5"/>
  <c r="W17" i="5"/>
  <c r="AE12" i="5"/>
  <c r="O17" i="5"/>
  <c r="G17" i="5"/>
  <c r="O30" i="2"/>
  <c r="M30" i="2"/>
  <c r="L30" i="2"/>
  <c r="K30" i="2"/>
  <c r="T8" i="2"/>
  <c r="AC75" i="2"/>
  <c r="AB75" i="2"/>
  <c r="AA75" i="2"/>
  <c r="AF67" i="2"/>
  <c r="AE67" i="2"/>
  <c r="AC67" i="2"/>
  <c r="AB67" i="2"/>
  <c r="AA67" i="2"/>
  <c r="AF60" i="2"/>
  <c r="AE60" i="2"/>
  <c r="AC60" i="2"/>
  <c r="AB60" i="2"/>
  <c r="AA60" i="2"/>
  <c r="AF53" i="2"/>
  <c r="AE53" i="2"/>
  <c r="AC53" i="2"/>
  <c r="AB53" i="2"/>
  <c r="AA53" i="2"/>
  <c r="AF46" i="2"/>
  <c r="AE46" i="2"/>
  <c r="AC46" i="2"/>
  <c r="AB46" i="2"/>
  <c r="AA46" i="2"/>
  <c r="AS37" i="6"/>
  <c r="AR37" i="6"/>
  <c r="AQ37" i="6"/>
  <c r="AV29" i="6"/>
  <c r="AS29" i="6"/>
  <c r="AR29" i="6"/>
  <c r="AQ29" i="6"/>
  <c r="AU28" i="6"/>
  <c r="AU27" i="6"/>
  <c r="AU26" i="6"/>
  <c r="AU25" i="6"/>
  <c r="AU24" i="6"/>
  <c r="AV22" i="6"/>
  <c r="AS22" i="6"/>
  <c r="AR22" i="6"/>
  <c r="AQ22" i="6"/>
  <c r="AU21" i="6"/>
  <c r="AU20" i="6"/>
  <c r="AU19" i="6"/>
  <c r="AU18" i="6"/>
  <c r="AU17" i="6"/>
  <c r="AV15" i="6"/>
  <c r="AS15" i="6"/>
  <c r="AR15" i="6"/>
  <c r="AQ15" i="6"/>
  <c r="AU14" i="6"/>
  <c r="AU13" i="6"/>
  <c r="AU12" i="6"/>
  <c r="AU11" i="6"/>
  <c r="AU10" i="6"/>
  <c r="AV8" i="6"/>
  <c r="AS8" i="6"/>
  <c r="AR8" i="6"/>
  <c r="AQ8" i="6"/>
  <c r="AU7" i="6"/>
  <c r="AU6" i="6"/>
  <c r="AU5" i="6"/>
  <c r="AU4" i="6"/>
  <c r="AU3" i="6"/>
  <c r="AK37" i="6"/>
  <c r="AJ37" i="6"/>
  <c r="AI37" i="6"/>
  <c r="AN29" i="6"/>
  <c r="AK29" i="6"/>
  <c r="AJ29" i="6"/>
  <c r="AI29" i="6"/>
  <c r="AM28" i="6"/>
  <c r="AM27" i="6"/>
  <c r="AM26" i="6"/>
  <c r="AM25" i="6"/>
  <c r="AM24" i="6"/>
  <c r="AN22" i="6"/>
  <c r="AK22" i="6"/>
  <c r="AJ22" i="6"/>
  <c r="AI22" i="6"/>
  <c r="AM21" i="6"/>
  <c r="AM20" i="6"/>
  <c r="AM19" i="6"/>
  <c r="AM18" i="6"/>
  <c r="AM17" i="6"/>
  <c r="AN15" i="6"/>
  <c r="AK15" i="6"/>
  <c r="AJ15" i="6"/>
  <c r="AI15" i="6"/>
  <c r="AM14" i="6"/>
  <c r="AM13" i="6"/>
  <c r="AM12" i="6"/>
  <c r="AM11" i="6"/>
  <c r="AM10" i="6"/>
  <c r="AN8" i="6"/>
  <c r="AK8" i="6"/>
  <c r="AJ8" i="6"/>
  <c r="AI8" i="6"/>
  <c r="AM7" i="6"/>
  <c r="AM6" i="6"/>
  <c r="AM5" i="6"/>
  <c r="AM4" i="6"/>
  <c r="AM3" i="6"/>
  <c r="AC37" i="6"/>
  <c r="AB37" i="6"/>
  <c r="AA37" i="6"/>
  <c r="AF29" i="6"/>
  <c r="AC29" i="6"/>
  <c r="AB29" i="6"/>
  <c r="AA29" i="6"/>
  <c r="AE28" i="6"/>
  <c r="AE27" i="6"/>
  <c r="AE26" i="6"/>
  <c r="AE25" i="6"/>
  <c r="AE24" i="6"/>
  <c r="AF22" i="6"/>
  <c r="AC22" i="6"/>
  <c r="AB22" i="6"/>
  <c r="AA22" i="6"/>
  <c r="AE21" i="6"/>
  <c r="AE20" i="6"/>
  <c r="AE19" i="6"/>
  <c r="AE18" i="6"/>
  <c r="AE17" i="6"/>
  <c r="AF15" i="6"/>
  <c r="AC15" i="6"/>
  <c r="AB15" i="6"/>
  <c r="AA15" i="6"/>
  <c r="AE14" i="6"/>
  <c r="AE13" i="6"/>
  <c r="AE12" i="6"/>
  <c r="AE11" i="6"/>
  <c r="AE10" i="6"/>
  <c r="AF8" i="6"/>
  <c r="AC8" i="6"/>
  <c r="AB8" i="6"/>
  <c r="AA8" i="6"/>
  <c r="AE7" i="6"/>
  <c r="AE6" i="6"/>
  <c r="AE5" i="6"/>
  <c r="AE4" i="6"/>
  <c r="AE3" i="6"/>
  <c r="U75" i="6"/>
  <c r="T75" i="6"/>
  <c r="S75" i="6"/>
  <c r="M75" i="6"/>
  <c r="L75" i="6"/>
  <c r="K75" i="6"/>
  <c r="X67" i="6"/>
  <c r="U67" i="6"/>
  <c r="T67" i="6"/>
  <c r="S67" i="6"/>
  <c r="P67" i="6"/>
  <c r="M67" i="6"/>
  <c r="L67" i="6"/>
  <c r="K67" i="6"/>
  <c r="W66" i="6"/>
  <c r="O66" i="6"/>
  <c r="W65" i="6"/>
  <c r="O65" i="6"/>
  <c r="W64" i="6"/>
  <c r="O64" i="6"/>
  <c r="W63" i="6"/>
  <c r="O63" i="6"/>
  <c r="W62" i="6"/>
  <c r="O62" i="6"/>
  <c r="X60" i="6"/>
  <c r="U60" i="6"/>
  <c r="T60" i="6"/>
  <c r="S60" i="6"/>
  <c r="P60" i="6"/>
  <c r="M60" i="6"/>
  <c r="L60" i="6"/>
  <c r="K60" i="6"/>
  <c r="W59" i="6"/>
  <c r="O59" i="6"/>
  <c r="W58" i="6"/>
  <c r="O58" i="6"/>
  <c r="W57" i="6"/>
  <c r="O57" i="6"/>
  <c r="W56" i="6"/>
  <c r="O56" i="6"/>
  <c r="W55" i="6"/>
  <c r="O55" i="6"/>
  <c r="X53" i="6"/>
  <c r="U53" i="6"/>
  <c r="T53" i="6"/>
  <c r="S53" i="6"/>
  <c r="P53" i="6"/>
  <c r="M53" i="6"/>
  <c r="L53" i="6"/>
  <c r="K53" i="6"/>
  <c r="W52" i="6"/>
  <c r="O52" i="6"/>
  <c r="W51" i="6"/>
  <c r="O51" i="6"/>
  <c r="W50" i="6"/>
  <c r="O50" i="6"/>
  <c r="W49" i="6"/>
  <c r="O49" i="6"/>
  <c r="W48" i="6"/>
  <c r="O48" i="6"/>
  <c r="X46" i="6"/>
  <c r="U46" i="6"/>
  <c r="T46" i="6"/>
  <c r="S46" i="6"/>
  <c r="P46" i="6"/>
  <c r="M46" i="6"/>
  <c r="L46" i="6"/>
  <c r="K46" i="6"/>
  <c r="W45" i="6"/>
  <c r="O45" i="6"/>
  <c r="W44" i="6"/>
  <c r="O44" i="6"/>
  <c r="W43" i="6"/>
  <c r="O43" i="6"/>
  <c r="W42" i="6"/>
  <c r="O42" i="6"/>
  <c r="W41" i="6"/>
  <c r="O41" i="6"/>
  <c r="E75" i="6"/>
  <c r="D75" i="6"/>
  <c r="C75" i="6"/>
  <c r="H67" i="6"/>
  <c r="E67" i="6"/>
  <c r="D67" i="6"/>
  <c r="C67" i="6"/>
  <c r="G66" i="6"/>
  <c r="G65" i="6"/>
  <c r="G64" i="6"/>
  <c r="G63" i="6"/>
  <c r="G62" i="6"/>
  <c r="H60" i="6"/>
  <c r="E60" i="6"/>
  <c r="D60" i="6"/>
  <c r="C60" i="6"/>
  <c r="G59" i="6"/>
  <c r="G58" i="6"/>
  <c r="G57" i="6"/>
  <c r="G56" i="6"/>
  <c r="G55" i="6"/>
  <c r="H53" i="6"/>
  <c r="E53" i="6"/>
  <c r="D53" i="6"/>
  <c r="C53" i="6"/>
  <c r="G52" i="6"/>
  <c r="G51" i="6"/>
  <c r="G50" i="6"/>
  <c r="G49" i="6"/>
  <c r="G48" i="6"/>
  <c r="H46" i="6"/>
  <c r="E46" i="6"/>
  <c r="D46" i="6"/>
  <c r="C46" i="6"/>
  <c r="G45" i="6"/>
  <c r="G44" i="6"/>
  <c r="G43" i="6"/>
  <c r="G42" i="6"/>
  <c r="G41" i="6"/>
  <c r="U37" i="6"/>
  <c r="T37" i="6"/>
  <c r="S37" i="6"/>
  <c r="X29" i="6"/>
  <c r="U29" i="6"/>
  <c r="T29" i="6"/>
  <c r="S29" i="6"/>
  <c r="W28" i="6"/>
  <c r="W27" i="6"/>
  <c r="W26" i="6"/>
  <c r="W25" i="6"/>
  <c r="W24" i="6"/>
  <c r="X22" i="6"/>
  <c r="U22" i="6"/>
  <c r="T22" i="6"/>
  <c r="S22" i="6"/>
  <c r="W21" i="6"/>
  <c r="W20" i="6"/>
  <c r="W19" i="6"/>
  <c r="W18" i="6"/>
  <c r="W17" i="6"/>
  <c r="X15" i="6"/>
  <c r="U15" i="6"/>
  <c r="T15" i="6"/>
  <c r="S15" i="6"/>
  <c r="W14" i="6"/>
  <c r="W13" i="6"/>
  <c r="W12" i="6"/>
  <c r="W11" i="6"/>
  <c r="W10" i="6"/>
  <c r="X8" i="6"/>
  <c r="U8" i="6"/>
  <c r="T8" i="6"/>
  <c r="S8" i="6"/>
  <c r="W7" i="6"/>
  <c r="W6" i="6"/>
  <c r="W5" i="6"/>
  <c r="W4" i="6"/>
  <c r="W3" i="6"/>
  <c r="E37" i="6"/>
  <c r="D37" i="6"/>
  <c r="C37" i="6"/>
  <c r="H29" i="6"/>
  <c r="E29" i="6"/>
  <c r="D29" i="6"/>
  <c r="C29" i="6"/>
  <c r="G28" i="6"/>
  <c r="G27" i="6"/>
  <c r="G26" i="6"/>
  <c r="G25" i="6"/>
  <c r="G24" i="6"/>
  <c r="H22" i="6"/>
  <c r="E22" i="6"/>
  <c r="D22" i="6"/>
  <c r="C22" i="6"/>
  <c r="G21" i="6"/>
  <c r="G20" i="6"/>
  <c r="G19" i="6"/>
  <c r="G18" i="6"/>
  <c r="G17" i="6"/>
  <c r="H15" i="6"/>
  <c r="E15" i="6"/>
  <c r="D15" i="6"/>
  <c r="C15" i="6"/>
  <c r="G14" i="6"/>
  <c r="G13" i="6"/>
  <c r="G12" i="6"/>
  <c r="G11" i="6"/>
  <c r="G10" i="6"/>
  <c r="H8" i="6"/>
  <c r="E8" i="6"/>
  <c r="D8" i="6"/>
  <c r="C8" i="6"/>
  <c r="G7" i="6"/>
  <c r="G6" i="6"/>
  <c r="G5" i="6"/>
  <c r="G4" i="6"/>
  <c r="G3" i="6"/>
  <c r="AS37" i="2"/>
  <c r="AR37" i="2"/>
  <c r="AQ37" i="2"/>
  <c r="AV29" i="2"/>
  <c r="AU29" i="2"/>
  <c r="AS29" i="2"/>
  <c r="AR29" i="2"/>
  <c r="AQ29" i="2"/>
  <c r="AV22" i="2"/>
  <c r="AU22" i="2"/>
  <c r="AS22" i="2"/>
  <c r="AR22" i="2"/>
  <c r="AQ22" i="2"/>
  <c r="AV15" i="2"/>
  <c r="AU15" i="2"/>
  <c r="AS15" i="2"/>
  <c r="AR15" i="2"/>
  <c r="AQ15" i="2"/>
  <c r="AV8" i="2"/>
  <c r="AU8" i="2"/>
  <c r="AS8" i="2"/>
  <c r="AR8" i="2"/>
  <c r="AQ8" i="2"/>
  <c r="AK37" i="2"/>
  <c r="AJ37" i="2"/>
  <c r="AI37" i="2"/>
  <c r="AN29" i="2"/>
  <c r="AK29" i="2"/>
  <c r="AJ29" i="2"/>
  <c r="AI29" i="2"/>
  <c r="AM28" i="2"/>
  <c r="AM27" i="2"/>
  <c r="AM26" i="2"/>
  <c r="AM25" i="2"/>
  <c r="AM24" i="2"/>
  <c r="AN22" i="2"/>
  <c r="AK22" i="2"/>
  <c r="AJ22" i="2"/>
  <c r="AI22" i="2"/>
  <c r="AM21" i="2"/>
  <c r="AM20" i="2"/>
  <c r="AM19" i="2"/>
  <c r="AM18" i="2"/>
  <c r="AM17" i="2"/>
  <c r="AN15" i="2"/>
  <c r="AK15" i="2"/>
  <c r="AJ15" i="2"/>
  <c r="AI15" i="2"/>
  <c r="AM14" i="2"/>
  <c r="AM13" i="2"/>
  <c r="AM12" i="2"/>
  <c r="AM11" i="2"/>
  <c r="AM10" i="2"/>
  <c r="AN8" i="2"/>
  <c r="AK8" i="2"/>
  <c r="AJ8" i="2"/>
  <c r="AI8" i="2"/>
  <c r="AM7" i="2"/>
  <c r="AM6" i="2"/>
  <c r="AM5" i="2"/>
  <c r="AM4" i="2"/>
  <c r="AM3" i="2"/>
  <c r="AC37" i="2"/>
  <c r="AB37" i="2"/>
  <c r="AA37" i="2"/>
  <c r="AF29" i="2"/>
  <c r="AE29" i="2"/>
  <c r="AC29" i="2"/>
  <c r="AB29" i="2"/>
  <c r="AA29" i="2"/>
  <c r="AF22" i="2"/>
  <c r="AE22" i="2"/>
  <c r="AC22" i="2"/>
  <c r="AB22" i="2"/>
  <c r="AA22" i="2"/>
  <c r="AF15" i="2"/>
  <c r="AE15" i="2"/>
  <c r="AC15" i="2"/>
  <c r="AB15" i="2"/>
  <c r="AA15" i="2"/>
  <c r="AF8" i="2"/>
  <c r="AE8" i="2"/>
  <c r="AC8" i="2"/>
  <c r="AB8" i="2"/>
  <c r="AA8" i="2"/>
  <c r="U75" i="2"/>
  <c r="T75" i="2"/>
  <c r="S75" i="2"/>
  <c r="M75" i="2"/>
  <c r="L75" i="2"/>
  <c r="K75" i="2"/>
  <c r="X67" i="2"/>
  <c r="W67" i="2"/>
  <c r="U67" i="2"/>
  <c r="T67" i="2"/>
  <c r="S67" i="2"/>
  <c r="P67" i="2"/>
  <c r="O67" i="2"/>
  <c r="M67" i="2"/>
  <c r="L67" i="2"/>
  <c r="K67" i="2"/>
  <c r="X60" i="2"/>
  <c r="W60" i="2"/>
  <c r="U60" i="2"/>
  <c r="T60" i="2"/>
  <c r="S60" i="2"/>
  <c r="P60" i="2"/>
  <c r="O60" i="2"/>
  <c r="M60" i="2"/>
  <c r="L60" i="2"/>
  <c r="K60" i="2"/>
  <c r="X53" i="2"/>
  <c r="W53" i="2"/>
  <c r="U53" i="2"/>
  <c r="T53" i="2"/>
  <c r="S53" i="2"/>
  <c r="P53" i="2"/>
  <c r="O53" i="2"/>
  <c r="M53" i="2"/>
  <c r="L53" i="2"/>
  <c r="K53" i="2"/>
  <c r="X46" i="2"/>
  <c r="W46" i="2"/>
  <c r="U46" i="2"/>
  <c r="T46" i="2"/>
  <c r="S46" i="2"/>
  <c r="P46" i="2"/>
  <c r="O46" i="2"/>
  <c r="M46" i="2"/>
  <c r="L46" i="2"/>
  <c r="K46" i="2"/>
  <c r="E75" i="2"/>
  <c r="D75" i="2"/>
  <c r="C75" i="2"/>
  <c r="H67" i="2"/>
  <c r="E67" i="2"/>
  <c r="D67" i="2"/>
  <c r="G66" i="2"/>
  <c r="G65" i="2"/>
  <c r="G64" i="2"/>
  <c r="G63" i="2"/>
  <c r="G62" i="2"/>
  <c r="H60" i="2"/>
  <c r="E60" i="2"/>
  <c r="D60" i="2"/>
  <c r="C60" i="2"/>
  <c r="G59" i="2"/>
  <c r="G58" i="2"/>
  <c r="G57" i="2"/>
  <c r="G56" i="2"/>
  <c r="G55" i="2"/>
  <c r="H53" i="2"/>
  <c r="E53" i="2"/>
  <c r="D53" i="2"/>
  <c r="C53" i="2"/>
  <c r="G52" i="2"/>
  <c r="G51" i="2"/>
  <c r="G50" i="2"/>
  <c r="G49" i="2"/>
  <c r="G48" i="2"/>
  <c r="H46" i="2"/>
  <c r="E46" i="2"/>
  <c r="D46" i="2"/>
  <c r="C46" i="2"/>
  <c r="G45" i="2"/>
  <c r="G44" i="2"/>
  <c r="G43" i="2"/>
  <c r="G42" i="2"/>
  <c r="G41" i="2"/>
  <c r="U37" i="2"/>
  <c r="T37" i="2"/>
  <c r="S37" i="2"/>
  <c r="X29" i="2"/>
  <c r="W29" i="2"/>
  <c r="U29" i="2"/>
  <c r="T29" i="2"/>
  <c r="S29" i="2"/>
  <c r="X22" i="2"/>
  <c r="W22" i="2"/>
  <c r="U22" i="2"/>
  <c r="T22" i="2"/>
  <c r="S22" i="2"/>
  <c r="X15" i="2"/>
  <c r="W15" i="2"/>
  <c r="U15" i="2"/>
  <c r="T15" i="2"/>
  <c r="S15" i="2"/>
  <c r="X8" i="2"/>
  <c r="W8" i="2"/>
  <c r="U8" i="2"/>
  <c r="S8" i="2"/>
  <c r="E37" i="2"/>
  <c r="D37" i="2"/>
  <c r="C37" i="2"/>
  <c r="H29" i="2"/>
  <c r="E29" i="2"/>
  <c r="D29" i="2"/>
  <c r="C29" i="2"/>
  <c r="G28" i="2"/>
  <c r="G27" i="2"/>
  <c r="G26" i="2"/>
  <c r="G25" i="2"/>
  <c r="G24" i="2"/>
  <c r="H22" i="2"/>
  <c r="E22" i="2"/>
  <c r="D22" i="2"/>
  <c r="C22" i="2"/>
  <c r="G21" i="2"/>
  <c r="G20" i="2"/>
  <c r="G19" i="2"/>
  <c r="G18" i="2"/>
  <c r="G17" i="2"/>
  <c r="H15" i="2"/>
  <c r="E15" i="2"/>
  <c r="D15" i="2"/>
  <c r="C15" i="2"/>
  <c r="G14" i="2"/>
  <c r="G13" i="2"/>
  <c r="G12" i="2"/>
  <c r="G11" i="2"/>
  <c r="G10" i="2"/>
  <c r="H8" i="2"/>
  <c r="E8" i="2"/>
  <c r="D8" i="2"/>
  <c r="C8" i="2"/>
  <c r="G7" i="2"/>
  <c r="G6" i="2"/>
  <c r="G5" i="2"/>
  <c r="G4" i="2"/>
  <c r="G3" i="2"/>
  <c r="AT69" i="5"/>
  <c r="AS69" i="5"/>
  <c r="O67" i="5"/>
  <c r="AM67" i="5"/>
  <c r="AE67" i="5"/>
  <c r="W67" i="5"/>
  <c r="G67" i="5"/>
  <c r="AM66" i="5"/>
  <c r="AE66" i="5"/>
  <c r="W66" i="5"/>
  <c r="O66" i="5"/>
  <c r="G66" i="5"/>
  <c r="AM65" i="5"/>
  <c r="AE65" i="5"/>
  <c r="AU65" i="5" s="1"/>
  <c r="W65" i="5"/>
  <c r="O65" i="5"/>
  <c r="G65" i="5"/>
  <c r="AM64" i="5"/>
  <c r="AE64" i="5"/>
  <c r="AU64" i="5" s="1"/>
  <c r="W64" i="5"/>
  <c r="O64" i="5"/>
  <c r="G64" i="5"/>
  <c r="G68" i="5" s="1"/>
  <c r="AM63" i="5"/>
  <c r="AE63" i="5"/>
  <c r="W63" i="5"/>
  <c r="O63" i="5"/>
  <c r="G63" i="5"/>
  <c r="AM60" i="5"/>
  <c r="G60" i="5"/>
  <c r="AE60" i="5"/>
  <c r="W60" i="5"/>
  <c r="AM59" i="5"/>
  <c r="O59" i="5"/>
  <c r="G59" i="5"/>
  <c r="AM58" i="5"/>
  <c r="AE58" i="5"/>
  <c r="W58" i="5"/>
  <c r="O58" i="5"/>
  <c r="G58" i="5"/>
  <c r="AM57" i="5"/>
  <c r="AE57" i="5"/>
  <c r="W57" i="5"/>
  <c r="O57" i="5"/>
  <c r="G57" i="5"/>
  <c r="AM56" i="5"/>
  <c r="AE56" i="5"/>
  <c r="W56" i="5"/>
  <c r="O56" i="5"/>
  <c r="O61" i="5" s="1"/>
  <c r="G56" i="5"/>
  <c r="AM53" i="5"/>
  <c r="AE53" i="5"/>
  <c r="W53" i="5"/>
  <c r="V53" i="5"/>
  <c r="O53" i="5"/>
  <c r="G53" i="5"/>
  <c r="AM52" i="5"/>
  <c r="AE52" i="5"/>
  <c r="W52" i="5"/>
  <c r="O52" i="5"/>
  <c r="G52" i="5"/>
  <c r="AM51" i="5"/>
  <c r="AM54" i="5" s="1"/>
  <c r="AE51" i="5"/>
  <c r="W51" i="5"/>
  <c r="O51" i="5"/>
  <c r="G51" i="5"/>
  <c r="W50" i="5"/>
  <c r="G50" i="5"/>
  <c r="AM50" i="5"/>
  <c r="AE50" i="5"/>
  <c r="O50" i="5"/>
  <c r="AM49" i="5"/>
  <c r="AE49" i="5"/>
  <c r="W49" i="5"/>
  <c r="O49" i="5"/>
  <c r="O54" i="5" s="1"/>
  <c r="G49" i="5"/>
  <c r="AM46" i="5"/>
  <c r="AE46" i="5"/>
  <c r="W46" i="5"/>
  <c r="O46" i="5"/>
  <c r="G46" i="5"/>
  <c r="AM45" i="5"/>
  <c r="AE45" i="5"/>
  <c r="W45" i="5"/>
  <c r="O45" i="5"/>
  <c r="AU45" i="5" s="1"/>
  <c r="G44" i="5"/>
  <c r="G47" i="5" s="1"/>
  <c r="W44" i="5"/>
  <c r="G45" i="5"/>
  <c r="AM44" i="5"/>
  <c r="AE44" i="5"/>
  <c r="AE47" i="5" s="1"/>
  <c r="O44" i="5"/>
  <c r="AM43" i="5"/>
  <c r="AE43" i="5"/>
  <c r="W43" i="5"/>
  <c r="O43" i="5"/>
  <c r="G43" i="5"/>
  <c r="AM42" i="5"/>
  <c r="G42" i="5"/>
  <c r="AE42" i="5"/>
  <c r="W42" i="5"/>
  <c r="O42" i="5"/>
  <c r="AM28" i="5"/>
  <c r="AG28" i="5"/>
  <c r="AE28" i="5"/>
  <c r="AD28" i="5"/>
  <c r="AI29" i="5"/>
  <c r="AJ29" i="5"/>
  <c r="W28" i="5"/>
  <c r="O28" i="5"/>
  <c r="G28" i="5"/>
  <c r="AM27" i="5"/>
  <c r="AU27" i="5" s="1"/>
  <c r="AE27" i="5"/>
  <c r="W27" i="5"/>
  <c r="O27" i="5"/>
  <c r="G27" i="5"/>
  <c r="AM26" i="5"/>
  <c r="AE26" i="5"/>
  <c r="W26" i="5"/>
  <c r="O26" i="5"/>
  <c r="G26" i="5"/>
  <c r="AM25" i="5"/>
  <c r="AE25" i="5"/>
  <c r="W25" i="5"/>
  <c r="O25" i="5"/>
  <c r="G25" i="5"/>
  <c r="AM24" i="5"/>
  <c r="AE24" i="5"/>
  <c r="W24" i="5"/>
  <c r="O24" i="5"/>
  <c r="G24" i="5"/>
  <c r="AM21" i="5"/>
  <c r="AE21" i="5"/>
  <c r="O21" i="5"/>
  <c r="G21" i="5"/>
  <c r="AM20" i="5"/>
  <c r="AE20" i="5"/>
  <c r="W20" i="5"/>
  <c r="O20" i="5"/>
  <c r="G20" i="5"/>
  <c r="AM19" i="5"/>
  <c r="AE19" i="5"/>
  <c r="W19" i="5"/>
  <c r="O19" i="5"/>
  <c r="O22" i="5" s="1"/>
  <c r="G19" i="5"/>
  <c r="AM18" i="5"/>
  <c r="AE18" i="5"/>
  <c r="W18" i="5"/>
  <c r="O18" i="5"/>
  <c r="G18" i="5"/>
  <c r="AM17" i="5"/>
  <c r="AM14" i="5"/>
  <c r="AE14" i="5"/>
  <c r="W14" i="5"/>
  <c r="O14" i="5"/>
  <c r="G14" i="5"/>
  <c r="AU14" i="5" s="1"/>
  <c r="AM13" i="5"/>
  <c r="AE13" i="5"/>
  <c r="AE15" i="5" s="1"/>
  <c r="W13" i="5"/>
  <c r="O13" i="5"/>
  <c r="G13" i="5"/>
  <c r="AM12" i="5"/>
  <c r="W12" i="5"/>
  <c r="AU12" i="5" s="1"/>
  <c r="O12" i="5"/>
  <c r="G12" i="5"/>
  <c r="AM11" i="5"/>
  <c r="AE11" i="5"/>
  <c r="W11" i="5"/>
  <c r="O11" i="5"/>
  <c r="G11" i="5"/>
  <c r="AM10" i="5"/>
  <c r="AE10" i="5"/>
  <c r="W10" i="5"/>
  <c r="O10" i="5"/>
  <c r="G10" i="5"/>
  <c r="AU10" i="5" s="1"/>
  <c r="O3" i="5"/>
  <c r="O8" i="5" s="1"/>
  <c r="Q3" i="5"/>
  <c r="N3" i="5"/>
  <c r="AM7" i="5"/>
  <c r="AE7" i="5"/>
  <c r="W7" i="5"/>
  <c r="O7" i="5"/>
  <c r="G7" i="5"/>
  <c r="G6" i="5"/>
  <c r="O6" i="5"/>
  <c r="W6" i="5"/>
  <c r="AE6" i="5"/>
  <c r="AM6" i="5"/>
  <c r="AM5" i="5"/>
  <c r="AE5" i="5"/>
  <c r="W5" i="5"/>
  <c r="O5" i="5"/>
  <c r="G5" i="5"/>
  <c r="G4" i="5"/>
  <c r="O4" i="5"/>
  <c r="W4" i="5"/>
  <c r="AE4" i="5"/>
  <c r="AM4" i="5"/>
  <c r="AM3" i="5"/>
  <c r="AM8" i="5" s="1"/>
  <c r="AE3" i="5"/>
  <c r="W3" i="5"/>
  <c r="G3" i="5"/>
  <c r="AK76" i="5"/>
  <c r="AJ76" i="5"/>
  <c r="AI76" i="5"/>
  <c r="AC76" i="5"/>
  <c r="AB76" i="5"/>
  <c r="AA76" i="5"/>
  <c r="U76" i="5"/>
  <c r="T76" i="5"/>
  <c r="S76" i="5"/>
  <c r="M76" i="5"/>
  <c r="L76" i="5"/>
  <c r="K76" i="5"/>
  <c r="E76" i="5"/>
  <c r="D76" i="5"/>
  <c r="C76" i="5"/>
  <c r="AS75" i="5"/>
  <c r="AR75" i="5"/>
  <c r="AQ75" i="5"/>
  <c r="AS74" i="5"/>
  <c r="AR74" i="5"/>
  <c r="AQ74" i="5"/>
  <c r="AS73" i="5"/>
  <c r="AR73" i="5"/>
  <c r="AQ73" i="5"/>
  <c r="AS72" i="5"/>
  <c r="AR72" i="5"/>
  <c r="AQ72" i="5"/>
  <c r="AS71" i="5"/>
  <c r="AR71" i="5"/>
  <c r="AQ71" i="5"/>
  <c r="AN68" i="5"/>
  <c r="AK68" i="5"/>
  <c r="AJ68" i="5"/>
  <c r="AI68" i="5"/>
  <c r="AF68" i="5"/>
  <c r="AC68" i="5"/>
  <c r="AB68" i="5"/>
  <c r="AA68" i="5"/>
  <c r="X68" i="5"/>
  <c r="U68" i="5"/>
  <c r="T68" i="5"/>
  <c r="S68" i="5"/>
  <c r="P68" i="5"/>
  <c r="M68" i="5"/>
  <c r="L68" i="5"/>
  <c r="K68" i="5"/>
  <c r="H68" i="5"/>
  <c r="E68" i="5"/>
  <c r="D68" i="5"/>
  <c r="C68" i="5"/>
  <c r="AV67" i="5"/>
  <c r="AS67" i="5"/>
  <c r="AT67" i="5" s="1"/>
  <c r="AR67" i="5"/>
  <c r="AQ67" i="5"/>
  <c r="AO67" i="5"/>
  <c r="AL67" i="5"/>
  <c r="AG67" i="5"/>
  <c r="AD67" i="5"/>
  <c r="Y67" i="5"/>
  <c r="V67" i="5"/>
  <c r="Q67" i="5"/>
  <c r="N67" i="5"/>
  <c r="I67" i="5"/>
  <c r="F67" i="5"/>
  <c r="AV66" i="5"/>
  <c r="AS66" i="5"/>
  <c r="AT66" i="5" s="1"/>
  <c r="AR66" i="5"/>
  <c r="AQ66" i="5"/>
  <c r="AO66" i="5"/>
  <c r="AL66" i="5"/>
  <c r="AG66" i="5"/>
  <c r="AD66" i="5"/>
  <c r="Y66" i="5"/>
  <c r="V66" i="5"/>
  <c r="Q66" i="5"/>
  <c r="N66" i="5"/>
  <c r="I66" i="5"/>
  <c r="F66" i="5"/>
  <c r="AV65" i="5"/>
  <c r="AS65" i="5"/>
  <c r="AT65" i="5" s="1"/>
  <c r="AR65" i="5"/>
  <c r="AQ65" i="5"/>
  <c r="AO65" i="5"/>
  <c r="AL65" i="5"/>
  <c r="AG65" i="5"/>
  <c r="AD65" i="5"/>
  <c r="Y65" i="5"/>
  <c r="V65" i="5"/>
  <c r="Q65" i="5"/>
  <c r="N65" i="5"/>
  <c r="I65" i="5"/>
  <c r="F65" i="5"/>
  <c r="AV64" i="5"/>
  <c r="AS64" i="5"/>
  <c r="AT64" i="5" s="1"/>
  <c r="AR64" i="5"/>
  <c r="AQ64" i="5"/>
  <c r="AO64" i="5"/>
  <c r="AL64" i="5"/>
  <c r="AG64" i="5"/>
  <c r="AD64" i="5"/>
  <c r="Y64" i="5"/>
  <c r="V64" i="5"/>
  <c r="Q64" i="5"/>
  <c r="N64" i="5"/>
  <c r="I64" i="5"/>
  <c r="F64" i="5"/>
  <c r="AV63" i="5"/>
  <c r="AS63" i="5"/>
  <c r="AR63" i="5"/>
  <c r="AQ63" i="5"/>
  <c r="AO63" i="5"/>
  <c r="AL63" i="5"/>
  <c r="AG63" i="5"/>
  <c r="AD63" i="5"/>
  <c r="AD68" i="5" s="1"/>
  <c r="Y63" i="5"/>
  <c r="V63" i="5"/>
  <c r="Q63" i="5"/>
  <c r="N63" i="5"/>
  <c r="I63" i="5"/>
  <c r="F63" i="5"/>
  <c r="F68" i="5" s="1"/>
  <c r="AN61" i="5"/>
  <c r="AK61" i="5"/>
  <c r="AJ61" i="5"/>
  <c r="AI61" i="5"/>
  <c r="AF61" i="5"/>
  <c r="AC61" i="5"/>
  <c r="AB61" i="5"/>
  <c r="AA61" i="5"/>
  <c r="X61" i="5"/>
  <c r="U61" i="5"/>
  <c r="T61" i="5"/>
  <c r="S61" i="5"/>
  <c r="P61" i="5"/>
  <c r="M61" i="5"/>
  <c r="L61" i="5"/>
  <c r="K61" i="5"/>
  <c r="H61" i="5"/>
  <c r="E61" i="5"/>
  <c r="D61" i="5"/>
  <c r="C61" i="5"/>
  <c r="AV60" i="5"/>
  <c r="AS60" i="5"/>
  <c r="AT60" i="5" s="1"/>
  <c r="AR60" i="5"/>
  <c r="AQ60" i="5"/>
  <c r="AO60" i="5"/>
  <c r="AL60" i="5"/>
  <c r="AG60" i="5"/>
  <c r="AD60" i="5"/>
  <c r="Y60" i="5"/>
  <c r="V60" i="5"/>
  <c r="Q60" i="5"/>
  <c r="N60" i="5"/>
  <c r="I60" i="5"/>
  <c r="F60" i="5"/>
  <c r="AV59" i="5"/>
  <c r="AS59" i="5"/>
  <c r="AT59" i="5" s="1"/>
  <c r="AR59" i="5"/>
  <c r="AQ59" i="5"/>
  <c r="AO59" i="5"/>
  <c r="AL59" i="5"/>
  <c r="AG59" i="5"/>
  <c r="AD59" i="5"/>
  <c r="Y59" i="5"/>
  <c r="V59" i="5"/>
  <c r="Q59" i="5"/>
  <c r="N59" i="5"/>
  <c r="I59" i="5"/>
  <c r="F59" i="5"/>
  <c r="AV58" i="5"/>
  <c r="AS58" i="5"/>
  <c r="AR58" i="5"/>
  <c r="AQ58" i="5"/>
  <c r="AO58" i="5"/>
  <c r="AL58" i="5"/>
  <c r="AG58" i="5"/>
  <c r="AD58" i="5"/>
  <c r="Y58" i="5"/>
  <c r="V58" i="5"/>
  <c r="Q58" i="5"/>
  <c r="N58" i="5"/>
  <c r="I58" i="5"/>
  <c r="F58" i="5"/>
  <c r="AV57" i="5"/>
  <c r="AS57" i="5"/>
  <c r="AT57" i="5" s="1"/>
  <c r="AR57" i="5"/>
  <c r="AQ57" i="5"/>
  <c r="AO57" i="5"/>
  <c r="AL57" i="5"/>
  <c r="AG57" i="5"/>
  <c r="AD57" i="5"/>
  <c r="Y57" i="5"/>
  <c r="V57" i="5"/>
  <c r="Q57" i="5"/>
  <c r="N57" i="5"/>
  <c r="I57" i="5"/>
  <c r="F57" i="5"/>
  <c r="AV56" i="5"/>
  <c r="AS56" i="5"/>
  <c r="AR56" i="5"/>
  <c r="AQ56" i="5"/>
  <c r="AO56" i="5"/>
  <c r="AL56" i="5"/>
  <c r="AG56" i="5"/>
  <c r="AD56" i="5"/>
  <c r="Y56" i="5"/>
  <c r="V56" i="5"/>
  <c r="Q56" i="5"/>
  <c r="Q61" i="5" s="1"/>
  <c r="N56" i="5"/>
  <c r="I56" i="5"/>
  <c r="F56" i="5"/>
  <c r="AN54" i="5"/>
  <c r="AK54" i="5"/>
  <c r="AJ54" i="5"/>
  <c r="AI54" i="5"/>
  <c r="AF54" i="5"/>
  <c r="AC54" i="5"/>
  <c r="AB54" i="5"/>
  <c r="AA54" i="5"/>
  <c r="X54" i="5"/>
  <c r="U54" i="5"/>
  <c r="T54" i="5"/>
  <c r="S54" i="5"/>
  <c r="P54" i="5"/>
  <c r="M54" i="5"/>
  <c r="L54" i="5"/>
  <c r="K54" i="5"/>
  <c r="H54" i="5"/>
  <c r="E54" i="5"/>
  <c r="D54" i="5"/>
  <c r="C54" i="5"/>
  <c r="AV53" i="5"/>
  <c r="AS53" i="5"/>
  <c r="AT53" i="5" s="1"/>
  <c r="AR53" i="5"/>
  <c r="AQ53" i="5"/>
  <c r="AO53" i="5"/>
  <c r="AL53" i="5"/>
  <c r="AG53" i="5"/>
  <c r="AD53" i="5"/>
  <c r="Y53" i="5"/>
  <c r="Q53" i="5"/>
  <c r="N53" i="5"/>
  <c r="I53" i="5"/>
  <c r="F53" i="5"/>
  <c r="AV52" i="5"/>
  <c r="AS52" i="5"/>
  <c r="AT52" i="5" s="1"/>
  <c r="AR52" i="5"/>
  <c r="AQ52" i="5"/>
  <c r="AO52" i="5"/>
  <c r="AL52" i="5"/>
  <c r="AG52" i="5"/>
  <c r="AD52" i="5"/>
  <c r="Y52" i="5"/>
  <c r="V52" i="5"/>
  <c r="Q52" i="5"/>
  <c r="N52" i="5"/>
  <c r="I52" i="5"/>
  <c r="F52" i="5"/>
  <c r="AV51" i="5"/>
  <c r="AS51" i="5"/>
  <c r="AT51" i="5" s="1"/>
  <c r="AR51" i="5"/>
  <c r="AQ51" i="5"/>
  <c r="AO51" i="5"/>
  <c r="AL51" i="5"/>
  <c r="AG51" i="5"/>
  <c r="AD51" i="5"/>
  <c r="Y51" i="5"/>
  <c r="V51" i="5"/>
  <c r="Q51" i="5"/>
  <c r="N51" i="5"/>
  <c r="I51" i="5"/>
  <c r="F51" i="5"/>
  <c r="AV50" i="5"/>
  <c r="AS50" i="5"/>
  <c r="AT50" i="5" s="1"/>
  <c r="AR50" i="5"/>
  <c r="AQ50" i="5"/>
  <c r="AO50" i="5"/>
  <c r="AL50" i="5"/>
  <c r="AG50" i="5"/>
  <c r="AD50" i="5"/>
  <c r="Y50" i="5"/>
  <c r="V50" i="5"/>
  <c r="Q50" i="5"/>
  <c r="N50" i="5"/>
  <c r="I50" i="5"/>
  <c r="F50" i="5"/>
  <c r="AV49" i="5"/>
  <c r="AS49" i="5"/>
  <c r="AT49" i="5" s="1"/>
  <c r="AR49" i="5"/>
  <c r="AQ49" i="5"/>
  <c r="AO49" i="5"/>
  <c r="AL49" i="5"/>
  <c r="AG49" i="5"/>
  <c r="AD49" i="5"/>
  <c r="Y49" i="5"/>
  <c r="V49" i="5"/>
  <c r="Q49" i="5"/>
  <c r="N49" i="5"/>
  <c r="N54" i="5" s="1"/>
  <c r="I49" i="5"/>
  <c r="F49" i="5"/>
  <c r="AN47" i="5"/>
  <c r="AM47" i="5"/>
  <c r="AK47" i="5"/>
  <c r="AJ47" i="5"/>
  <c r="AI47" i="5"/>
  <c r="AF47" i="5"/>
  <c r="AC47" i="5"/>
  <c r="AB47" i="5"/>
  <c r="AA47" i="5"/>
  <c r="X47" i="5"/>
  <c r="U47" i="5"/>
  <c r="T47" i="5"/>
  <c r="S47" i="5"/>
  <c r="P47" i="5"/>
  <c r="M47" i="5"/>
  <c r="L47" i="5"/>
  <c r="K47" i="5"/>
  <c r="H47" i="5"/>
  <c r="E47" i="5"/>
  <c r="D47" i="5"/>
  <c r="C47" i="5"/>
  <c r="AV46" i="5"/>
  <c r="AS46" i="5"/>
  <c r="AT46" i="5" s="1"/>
  <c r="AR46" i="5"/>
  <c r="AQ46" i="5"/>
  <c r="AO46" i="5"/>
  <c r="AL46" i="5"/>
  <c r="AG46" i="5"/>
  <c r="AD46" i="5"/>
  <c r="Y46" i="5"/>
  <c r="V46" i="5"/>
  <c r="Q46" i="5"/>
  <c r="N46" i="5"/>
  <c r="I46" i="5"/>
  <c r="F46" i="5"/>
  <c r="AV45" i="5"/>
  <c r="AS45" i="5"/>
  <c r="AT45" i="5" s="1"/>
  <c r="AR45" i="5"/>
  <c r="AQ45" i="5"/>
  <c r="AO45" i="5"/>
  <c r="AL45" i="5"/>
  <c r="AG45" i="5"/>
  <c r="AD45" i="5"/>
  <c r="Y45" i="5"/>
  <c r="V45" i="5"/>
  <c r="Q45" i="5"/>
  <c r="N45" i="5"/>
  <c r="I45" i="5"/>
  <c r="F45" i="5"/>
  <c r="AV44" i="5"/>
  <c r="AS44" i="5"/>
  <c r="AT44" i="5" s="1"/>
  <c r="AR44" i="5"/>
  <c r="AQ44" i="5"/>
  <c r="AO44" i="5"/>
  <c r="AL44" i="5"/>
  <c r="AG44" i="5"/>
  <c r="AD44" i="5"/>
  <c r="Y44" i="5"/>
  <c r="V44" i="5"/>
  <c r="Q44" i="5"/>
  <c r="N44" i="5"/>
  <c r="I44" i="5"/>
  <c r="F44" i="5"/>
  <c r="AV43" i="5"/>
  <c r="AS43" i="5"/>
  <c r="AT43" i="5" s="1"/>
  <c r="AR43" i="5"/>
  <c r="AQ43" i="5"/>
  <c r="AO43" i="5"/>
  <c r="AL43" i="5"/>
  <c r="AG43" i="5"/>
  <c r="AD43" i="5"/>
  <c r="Y43" i="5"/>
  <c r="V43" i="5"/>
  <c r="Q43" i="5"/>
  <c r="N43" i="5"/>
  <c r="I43" i="5"/>
  <c r="F43" i="5"/>
  <c r="AV42" i="5"/>
  <c r="AS42" i="5"/>
  <c r="AR42" i="5"/>
  <c r="AQ42" i="5"/>
  <c r="AO42" i="5"/>
  <c r="AL42" i="5"/>
  <c r="AL47" i="5" s="1"/>
  <c r="AG42" i="5"/>
  <c r="AD42" i="5"/>
  <c r="Y42" i="5"/>
  <c r="V42" i="5"/>
  <c r="Q42" i="5"/>
  <c r="N42" i="5"/>
  <c r="I42" i="5"/>
  <c r="F42" i="5"/>
  <c r="F47" i="5" s="1"/>
  <c r="AS36" i="5"/>
  <c r="AR36" i="5"/>
  <c r="AQ36" i="5"/>
  <c r="AS35" i="5"/>
  <c r="AR35" i="5"/>
  <c r="AQ35" i="5"/>
  <c r="AS34" i="5"/>
  <c r="AR34" i="5"/>
  <c r="AQ34" i="5"/>
  <c r="AS33" i="5"/>
  <c r="AR33" i="5"/>
  <c r="AQ33" i="5"/>
  <c r="AS32" i="5"/>
  <c r="AR32" i="5"/>
  <c r="AQ32" i="5"/>
  <c r="AV28" i="5"/>
  <c r="AS28" i="5"/>
  <c r="AT28" i="5" s="1"/>
  <c r="AR28" i="5"/>
  <c r="AQ28" i="5"/>
  <c r="AV27" i="5"/>
  <c r="AS27" i="5"/>
  <c r="AT27" i="5" s="1"/>
  <c r="AR27" i="5"/>
  <c r="AQ27" i="5"/>
  <c r="AV26" i="5"/>
  <c r="AS26" i="5"/>
  <c r="AT26" i="5" s="1"/>
  <c r="AR26" i="5"/>
  <c r="AQ26" i="5"/>
  <c r="AV25" i="5"/>
  <c r="AS25" i="5"/>
  <c r="AT25" i="5" s="1"/>
  <c r="AR25" i="5"/>
  <c r="AQ25" i="5"/>
  <c r="AV24" i="5"/>
  <c r="AS24" i="5"/>
  <c r="AR24" i="5"/>
  <c r="AQ24" i="5"/>
  <c r="AV21" i="5"/>
  <c r="AS21" i="5"/>
  <c r="AT21" i="5" s="1"/>
  <c r="AR21" i="5"/>
  <c r="AQ21" i="5"/>
  <c r="AV20" i="5"/>
  <c r="AS20" i="5"/>
  <c r="AT20" i="5" s="1"/>
  <c r="AR20" i="5"/>
  <c r="AQ20" i="5"/>
  <c r="AV19" i="5"/>
  <c r="AS19" i="5"/>
  <c r="AT19" i="5" s="1"/>
  <c r="AR19" i="5"/>
  <c r="AQ19" i="5"/>
  <c r="AV18" i="5"/>
  <c r="AS18" i="5"/>
  <c r="AT18" i="5" s="1"/>
  <c r="AR18" i="5"/>
  <c r="AQ18" i="5"/>
  <c r="AV17" i="5"/>
  <c r="AS17" i="5"/>
  <c r="AR17" i="5"/>
  <c r="AQ17" i="5"/>
  <c r="AV14" i="5"/>
  <c r="AS14" i="5"/>
  <c r="AT14" i="5" s="1"/>
  <c r="AR14" i="5"/>
  <c r="AQ14" i="5"/>
  <c r="AV13" i="5"/>
  <c r="AS13" i="5"/>
  <c r="AT13" i="5" s="1"/>
  <c r="AR13" i="5"/>
  <c r="AQ13" i="5"/>
  <c r="AV12" i="5"/>
  <c r="AS12" i="5"/>
  <c r="AT12" i="5" s="1"/>
  <c r="AR12" i="5"/>
  <c r="AQ12" i="5"/>
  <c r="AV11" i="5"/>
  <c r="AS11" i="5"/>
  <c r="AT11" i="5" s="1"/>
  <c r="AR11" i="5"/>
  <c r="AQ11" i="5"/>
  <c r="AV10" i="5"/>
  <c r="AS10" i="5"/>
  <c r="AT10" i="5" s="1"/>
  <c r="AR10" i="5"/>
  <c r="AQ10" i="5"/>
  <c r="AV4" i="5"/>
  <c r="AV5" i="5"/>
  <c r="AV6" i="5"/>
  <c r="AV7" i="5"/>
  <c r="AV3" i="5"/>
  <c r="AU6" i="5"/>
  <c r="AS4" i="5"/>
  <c r="AS5" i="5"/>
  <c r="AT5" i="5" s="1"/>
  <c r="AS6" i="5"/>
  <c r="AT6" i="5" s="1"/>
  <c r="AS7" i="5"/>
  <c r="AT7" i="5" s="1"/>
  <c r="AS3" i="5"/>
  <c r="AR4" i="5"/>
  <c r="AR5" i="5"/>
  <c r="AR6" i="5"/>
  <c r="AR7" i="5"/>
  <c r="AR3" i="5"/>
  <c r="AQ4" i="5"/>
  <c r="AQ5" i="5"/>
  <c r="AQ6" i="5"/>
  <c r="AQ7" i="5"/>
  <c r="AQ3" i="5"/>
  <c r="AK37" i="5"/>
  <c r="AJ37" i="5"/>
  <c r="AI37" i="5"/>
  <c r="AN29" i="5"/>
  <c r="AK29" i="5"/>
  <c r="AO28" i="5"/>
  <c r="AL28" i="5"/>
  <c r="AO27" i="5"/>
  <c r="AL27" i="5"/>
  <c r="AO26" i="5"/>
  <c r="AL26" i="5"/>
  <c r="AO25" i="5"/>
  <c r="AL25" i="5"/>
  <c r="AO24" i="5"/>
  <c r="AL24" i="5"/>
  <c r="AN22" i="5"/>
  <c r="AK22" i="5"/>
  <c r="AJ22" i="5"/>
  <c r="AI22" i="5"/>
  <c r="AO21" i="5"/>
  <c r="AL21" i="5"/>
  <c r="AO20" i="5"/>
  <c r="AL20" i="5"/>
  <c r="AO19" i="5"/>
  <c r="AL19" i="5"/>
  <c r="AO18" i="5"/>
  <c r="AL18" i="5"/>
  <c r="AO17" i="5"/>
  <c r="AL17" i="5"/>
  <c r="AL22" i="5" s="1"/>
  <c r="AN15" i="5"/>
  <c r="AM15" i="5"/>
  <c r="AK15" i="5"/>
  <c r="AJ15" i="5"/>
  <c r="AI15" i="5"/>
  <c r="AO14" i="5"/>
  <c r="AL14" i="5"/>
  <c r="AO13" i="5"/>
  <c r="AL13" i="5"/>
  <c r="AO12" i="5"/>
  <c r="AL12" i="5"/>
  <c r="AO11" i="5"/>
  <c r="AL11" i="5"/>
  <c r="AO10" i="5"/>
  <c r="AO15" i="5" s="1"/>
  <c r="AL10" i="5"/>
  <c r="AN8" i="5"/>
  <c r="AK8" i="5"/>
  <c r="AJ8" i="5"/>
  <c r="AI8" i="5"/>
  <c r="AO7" i="5"/>
  <c r="AL7" i="5"/>
  <c r="AO6" i="5"/>
  <c r="AL6" i="5"/>
  <c r="AO5" i="5"/>
  <c r="AL5" i="5"/>
  <c r="AO4" i="5"/>
  <c r="AL4" i="5"/>
  <c r="AO3" i="5"/>
  <c r="AL3" i="5"/>
  <c r="AC37" i="5"/>
  <c r="AB37" i="5"/>
  <c r="AA37" i="5"/>
  <c r="AF29" i="5"/>
  <c r="AE29" i="5"/>
  <c r="AC29" i="5"/>
  <c r="AB29" i="5"/>
  <c r="AA29" i="5"/>
  <c r="AG27" i="5"/>
  <c r="AD27" i="5"/>
  <c r="AG26" i="5"/>
  <c r="AD26" i="5"/>
  <c r="AG25" i="5"/>
  <c r="AD25" i="5"/>
  <c r="AG24" i="5"/>
  <c r="AD24" i="5"/>
  <c r="AF22" i="5"/>
  <c r="AC22" i="5"/>
  <c r="AB22" i="5"/>
  <c r="AA22" i="5"/>
  <c r="AG21" i="5"/>
  <c r="AD21" i="5"/>
  <c r="AG20" i="5"/>
  <c r="AD20" i="5"/>
  <c r="AG19" i="5"/>
  <c r="AD19" i="5"/>
  <c r="AG18" i="5"/>
  <c r="AD18" i="5"/>
  <c r="AG17" i="5"/>
  <c r="AD17" i="5"/>
  <c r="AF15" i="5"/>
  <c r="AC15" i="5"/>
  <c r="AB15" i="5"/>
  <c r="AA15" i="5"/>
  <c r="AG14" i="5"/>
  <c r="AD14" i="5"/>
  <c r="AG13" i="5"/>
  <c r="AD13" i="5"/>
  <c r="AG12" i="5"/>
  <c r="AD12" i="5"/>
  <c r="AG11" i="5"/>
  <c r="AD11" i="5"/>
  <c r="AG10" i="5"/>
  <c r="AD10" i="5"/>
  <c r="AF8" i="5"/>
  <c r="AC8" i="5"/>
  <c r="AB8" i="5"/>
  <c r="AA8" i="5"/>
  <c r="AG7" i="5"/>
  <c r="AD7" i="5"/>
  <c r="AG6" i="5"/>
  <c r="AD6" i="5"/>
  <c r="AG5" i="5"/>
  <c r="AD5" i="5"/>
  <c r="AG4" i="5"/>
  <c r="AD4" i="5"/>
  <c r="AG3" i="5"/>
  <c r="AD3" i="5"/>
  <c r="U37" i="5"/>
  <c r="T37" i="5"/>
  <c r="S37" i="5"/>
  <c r="X29" i="5"/>
  <c r="W29" i="5"/>
  <c r="U29" i="5"/>
  <c r="T29" i="5"/>
  <c r="S29" i="5"/>
  <c r="Y28" i="5"/>
  <c r="V28" i="5"/>
  <c r="Y27" i="5"/>
  <c r="V27" i="5"/>
  <c r="Y26" i="5"/>
  <c r="V26" i="5"/>
  <c r="Y25" i="5"/>
  <c r="V25" i="5"/>
  <c r="Y24" i="5"/>
  <c r="V24" i="5"/>
  <c r="X22" i="5"/>
  <c r="U22" i="5"/>
  <c r="T22" i="5"/>
  <c r="S22" i="5"/>
  <c r="Y21" i="5"/>
  <c r="V21" i="5"/>
  <c r="Y20" i="5"/>
  <c r="V20" i="5"/>
  <c r="Y19" i="5"/>
  <c r="V19" i="5"/>
  <c r="Y18" i="5"/>
  <c r="V18" i="5"/>
  <c r="Y17" i="5"/>
  <c r="V17" i="5"/>
  <c r="X15" i="5"/>
  <c r="W15" i="5"/>
  <c r="U15" i="5"/>
  <c r="T15" i="5"/>
  <c r="S15" i="5"/>
  <c r="Y14" i="5"/>
  <c r="V14" i="5"/>
  <c r="Y13" i="5"/>
  <c r="V13" i="5"/>
  <c r="Y12" i="5"/>
  <c r="V12" i="5"/>
  <c r="Y11" i="5"/>
  <c r="V11" i="5"/>
  <c r="Y10" i="5"/>
  <c r="V10" i="5"/>
  <c r="X8" i="5"/>
  <c r="W8" i="5"/>
  <c r="U8" i="5"/>
  <c r="T8" i="5"/>
  <c r="S8" i="5"/>
  <c r="Y7" i="5"/>
  <c r="V7" i="5"/>
  <c r="Y6" i="5"/>
  <c r="V6" i="5"/>
  <c r="Y5" i="5"/>
  <c r="V5" i="5"/>
  <c r="Y4" i="5"/>
  <c r="V4" i="5"/>
  <c r="Y3" i="5"/>
  <c r="V3" i="5"/>
  <c r="M37" i="5"/>
  <c r="L37" i="5"/>
  <c r="K37" i="5"/>
  <c r="P29" i="5"/>
  <c r="M29" i="5"/>
  <c r="L29" i="5"/>
  <c r="K29" i="5"/>
  <c r="Q28" i="5"/>
  <c r="N28" i="5"/>
  <c r="Q27" i="5"/>
  <c r="N27" i="5"/>
  <c r="Q26" i="5"/>
  <c r="N26" i="5"/>
  <c r="Q25" i="5"/>
  <c r="N25" i="5"/>
  <c r="Q24" i="5"/>
  <c r="N24" i="5"/>
  <c r="P22" i="5"/>
  <c r="M22" i="5"/>
  <c r="L22" i="5"/>
  <c r="K22" i="5"/>
  <c r="Q21" i="5"/>
  <c r="N21" i="5"/>
  <c r="Q20" i="5"/>
  <c r="N20" i="5"/>
  <c r="Q19" i="5"/>
  <c r="N19" i="5"/>
  <c r="Q18" i="5"/>
  <c r="N18" i="5"/>
  <c r="Q17" i="5"/>
  <c r="N17" i="5"/>
  <c r="P15" i="5"/>
  <c r="M15" i="5"/>
  <c r="L15" i="5"/>
  <c r="K15" i="5"/>
  <c r="Q14" i="5"/>
  <c r="N14" i="5"/>
  <c r="Q13" i="5"/>
  <c r="N13" i="5"/>
  <c r="Q12" i="5"/>
  <c r="N12" i="5"/>
  <c r="Q11" i="5"/>
  <c r="N11" i="5"/>
  <c r="Q10" i="5"/>
  <c r="N10" i="5"/>
  <c r="P8" i="5"/>
  <c r="M8" i="5"/>
  <c r="L8" i="5"/>
  <c r="K8" i="5"/>
  <c r="Q7" i="5"/>
  <c r="N7" i="5"/>
  <c r="Q6" i="5"/>
  <c r="N6" i="5"/>
  <c r="Q5" i="5"/>
  <c r="N5" i="5"/>
  <c r="Q4" i="5"/>
  <c r="N4" i="5"/>
  <c r="E37" i="5"/>
  <c r="D37" i="5"/>
  <c r="C37" i="5"/>
  <c r="H29" i="5"/>
  <c r="E29" i="5"/>
  <c r="D29" i="5"/>
  <c r="C29" i="5"/>
  <c r="I28" i="5"/>
  <c r="F28" i="5"/>
  <c r="I27" i="5"/>
  <c r="F27" i="5"/>
  <c r="I26" i="5"/>
  <c r="F26" i="5"/>
  <c r="I25" i="5"/>
  <c r="F25" i="5"/>
  <c r="I24" i="5"/>
  <c r="F24" i="5"/>
  <c r="H22" i="5"/>
  <c r="E22" i="5"/>
  <c r="D22" i="5"/>
  <c r="C22" i="5"/>
  <c r="I21" i="5"/>
  <c r="F21" i="5"/>
  <c r="I20" i="5"/>
  <c r="F20" i="5"/>
  <c r="I19" i="5"/>
  <c r="F19" i="5"/>
  <c r="I18" i="5"/>
  <c r="F18" i="5"/>
  <c r="I17" i="5"/>
  <c r="F17" i="5"/>
  <c r="H15" i="5"/>
  <c r="E15" i="5"/>
  <c r="D15" i="5"/>
  <c r="C15" i="5"/>
  <c r="I14" i="5"/>
  <c r="F14" i="5"/>
  <c r="I13" i="5"/>
  <c r="F13" i="5"/>
  <c r="I12" i="5"/>
  <c r="F12" i="5"/>
  <c r="I11" i="5"/>
  <c r="F11" i="5"/>
  <c r="I10" i="5"/>
  <c r="F10" i="5"/>
  <c r="H8" i="5"/>
  <c r="E8" i="5"/>
  <c r="D8" i="5"/>
  <c r="C8" i="5"/>
  <c r="I7" i="5"/>
  <c r="F7" i="5"/>
  <c r="I6" i="5"/>
  <c r="F6" i="5"/>
  <c r="I5" i="5"/>
  <c r="F5" i="5"/>
  <c r="I4" i="5"/>
  <c r="F4" i="5"/>
  <c r="I3" i="5"/>
  <c r="F3" i="5"/>
  <c r="AG46" i="6" l="1"/>
  <c r="AD53" i="6"/>
  <c r="AG60" i="6"/>
  <c r="AG68" i="6" s="1"/>
  <c r="AE68" i="6"/>
  <c r="AH63" i="6"/>
  <c r="AH48" i="6"/>
  <c r="AH53" i="6" s="1"/>
  <c r="AA68" i="6"/>
  <c r="AB68" i="6"/>
  <c r="AG67" i="6"/>
  <c r="AD46" i="6"/>
  <c r="AC68" i="6"/>
  <c r="AD60" i="6"/>
  <c r="AH67" i="6"/>
  <c r="AH60" i="6"/>
  <c r="AD68" i="6"/>
  <c r="AH41" i="6"/>
  <c r="AH46" i="6" s="1"/>
  <c r="V15" i="6"/>
  <c r="AD8" i="6"/>
  <c r="N60" i="6"/>
  <c r="Y22" i="6"/>
  <c r="Y67" i="6"/>
  <c r="AG22" i="6"/>
  <c r="I53" i="6"/>
  <c r="Y53" i="6"/>
  <c r="F53" i="2"/>
  <c r="I15" i="2"/>
  <c r="N67" i="2"/>
  <c r="Q67" i="2"/>
  <c r="Y22" i="2"/>
  <c r="Q53" i="2"/>
  <c r="Y60" i="2"/>
  <c r="AD22" i="2"/>
  <c r="I29" i="2"/>
  <c r="AG29" i="2"/>
  <c r="AT29" i="2"/>
  <c r="Q60" i="2"/>
  <c r="AT15" i="2"/>
  <c r="I22" i="2"/>
  <c r="Y15" i="2"/>
  <c r="I46" i="2"/>
  <c r="I53" i="2"/>
  <c r="Q46" i="2"/>
  <c r="Y46" i="2"/>
  <c r="Y53" i="2"/>
  <c r="AG15" i="2"/>
  <c r="AG22" i="2"/>
  <c r="AW15" i="2"/>
  <c r="AW22" i="2"/>
  <c r="AG46" i="2"/>
  <c r="AG60" i="2"/>
  <c r="N8" i="2"/>
  <c r="N30" i="2" s="1"/>
  <c r="F46" i="2"/>
  <c r="AD46" i="2"/>
  <c r="N53" i="2"/>
  <c r="V53" i="2"/>
  <c r="F8" i="2"/>
  <c r="V8" i="2"/>
  <c r="V29" i="2"/>
  <c r="Z15" i="2"/>
  <c r="G29" i="2"/>
  <c r="F60" i="2"/>
  <c r="I60" i="2"/>
  <c r="AW29" i="2"/>
  <c r="V22" i="2"/>
  <c r="AG8" i="2"/>
  <c r="Z8" i="2"/>
  <c r="AP8" i="2"/>
  <c r="J29" i="2"/>
  <c r="AP22" i="2"/>
  <c r="F15" i="2"/>
  <c r="R15" i="2"/>
  <c r="J22" i="2"/>
  <c r="Q8" i="2"/>
  <c r="Q30" i="2" s="1"/>
  <c r="I8" i="2"/>
  <c r="AD29" i="2"/>
  <c r="AT22" i="2"/>
  <c r="AD60" i="2"/>
  <c r="AP15" i="2"/>
  <c r="Z29" i="2"/>
  <c r="R22" i="2"/>
  <c r="J15" i="2"/>
  <c r="AH53" i="2"/>
  <c r="J67" i="2"/>
  <c r="AP29" i="2"/>
  <c r="Z46" i="2"/>
  <c r="Z22" i="2"/>
  <c r="J53" i="2"/>
  <c r="R67" i="2"/>
  <c r="AX29" i="2"/>
  <c r="V46" i="2"/>
  <c r="AT8" i="2"/>
  <c r="AD15" i="2"/>
  <c r="F29" i="2"/>
  <c r="F67" i="2"/>
  <c r="J3" i="2"/>
  <c r="J8" i="2" s="1"/>
  <c r="R5" i="2"/>
  <c r="R8" i="2" s="1"/>
  <c r="AH44" i="2"/>
  <c r="AH46" i="2" s="1"/>
  <c r="AH55" i="2"/>
  <c r="AH60" i="2" s="1"/>
  <c r="F22" i="2"/>
  <c r="S30" i="2"/>
  <c r="AW8" i="2"/>
  <c r="V15" i="2"/>
  <c r="AH11" i="2"/>
  <c r="AH15" i="2" s="1"/>
  <c r="AH8" i="2"/>
  <c r="AX19" i="2"/>
  <c r="AX22" i="2" s="1"/>
  <c r="V60" i="2"/>
  <c r="AS30" i="2"/>
  <c r="AG53" i="2"/>
  <c r="V67" i="2"/>
  <c r="AX5" i="2"/>
  <c r="AX8" i="2" s="1"/>
  <c r="R49" i="2"/>
  <c r="R53" i="2" s="1"/>
  <c r="AG67" i="2"/>
  <c r="N46" i="2"/>
  <c r="N60" i="2"/>
  <c r="AD67" i="2"/>
  <c r="Z62" i="2"/>
  <c r="Z67" i="2" s="1"/>
  <c r="AH25" i="2"/>
  <c r="AH29" i="2" s="1"/>
  <c r="AH62" i="2"/>
  <c r="AH67" i="2" s="1"/>
  <c r="Z60" i="2"/>
  <c r="J42" i="2"/>
  <c r="J46" i="2" s="1"/>
  <c r="AD53" i="2"/>
  <c r="Y29" i="2"/>
  <c r="Y67" i="2"/>
  <c r="AD8" i="2"/>
  <c r="R42" i="2"/>
  <c r="R46" i="2" s="1"/>
  <c r="Z52" i="2"/>
  <c r="Z53" i="2" s="1"/>
  <c r="R29" i="2"/>
  <c r="R60" i="2"/>
  <c r="J60" i="2"/>
  <c r="AX15" i="2"/>
  <c r="Y8" i="2"/>
  <c r="I67" i="2"/>
  <c r="AH17" i="2"/>
  <c r="AH22" i="2" s="1"/>
  <c r="V29" i="6"/>
  <c r="I29" i="6"/>
  <c r="I46" i="6"/>
  <c r="Y46" i="6"/>
  <c r="AD29" i="6"/>
  <c r="I15" i="6"/>
  <c r="AT15" i="6"/>
  <c r="N53" i="6"/>
  <c r="V60" i="6"/>
  <c r="V53" i="6"/>
  <c r="Y8" i="6"/>
  <c r="Y15" i="6"/>
  <c r="Y29" i="6"/>
  <c r="I60" i="6"/>
  <c r="Q46" i="6"/>
  <c r="Q67" i="6"/>
  <c r="Y60" i="6"/>
  <c r="AG8" i="6"/>
  <c r="AG15" i="6"/>
  <c r="AG29" i="6"/>
  <c r="AW8" i="6"/>
  <c r="AW15" i="6"/>
  <c r="F15" i="6"/>
  <c r="F53" i="6"/>
  <c r="AD15" i="6"/>
  <c r="AD30" i="6" s="1"/>
  <c r="J22" i="6"/>
  <c r="V67" i="6"/>
  <c r="AX22" i="6"/>
  <c r="AX15" i="6"/>
  <c r="R22" i="6"/>
  <c r="F60" i="6"/>
  <c r="R29" i="6"/>
  <c r="R15" i="6"/>
  <c r="Z60" i="6"/>
  <c r="Z53" i="6"/>
  <c r="R8" i="6"/>
  <c r="AX8" i="6"/>
  <c r="Z22" i="6"/>
  <c r="AH22" i="6"/>
  <c r="R53" i="6"/>
  <c r="J29" i="6"/>
  <c r="R46" i="6"/>
  <c r="J60" i="6"/>
  <c r="AP22" i="6"/>
  <c r="AX29" i="6"/>
  <c r="J49" i="6"/>
  <c r="J53" i="6" s="1"/>
  <c r="AH3" i="6"/>
  <c r="AH8" i="6" s="1"/>
  <c r="AH13" i="6"/>
  <c r="AH15" i="6" s="1"/>
  <c r="V22" i="6"/>
  <c r="AR30" i="6"/>
  <c r="AT22" i="6"/>
  <c r="I67" i="6"/>
  <c r="F46" i="6"/>
  <c r="R55" i="6"/>
  <c r="R60" i="6" s="1"/>
  <c r="AH29" i="6"/>
  <c r="N46" i="6"/>
  <c r="F67" i="6"/>
  <c r="J12" i="6"/>
  <c r="J15" i="6" s="1"/>
  <c r="Z10" i="6"/>
  <c r="Z15" i="6" s="1"/>
  <c r="J41" i="6"/>
  <c r="J46" i="6" s="1"/>
  <c r="J62" i="6"/>
  <c r="J67" i="6" s="1"/>
  <c r="AT8" i="6"/>
  <c r="AT29" i="6"/>
  <c r="Q53" i="6"/>
  <c r="F8" i="6"/>
  <c r="J3" i="6"/>
  <c r="J8" i="6" s="1"/>
  <c r="X30" i="6"/>
  <c r="W29" i="6"/>
  <c r="N67" i="6"/>
  <c r="Z46" i="6"/>
  <c r="Z63" i="6"/>
  <c r="Z67" i="6" s="1"/>
  <c r="AP15" i="6"/>
  <c r="AP29" i="6"/>
  <c r="F22" i="6"/>
  <c r="I22" i="6"/>
  <c r="V8" i="6"/>
  <c r="V46" i="6"/>
  <c r="F29" i="6"/>
  <c r="Z29" i="6"/>
  <c r="AP8" i="6"/>
  <c r="I8" i="6"/>
  <c r="AD22" i="6"/>
  <c r="Z4" i="6"/>
  <c r="Z8" i="6" s="1"/>
  <c r="R62" i="6"/>
  <c r="R67" i="6" s="1"/>
  <c r="B73" i="10"/>
  <c r="C32" i="12"/>
  <c r="K32" i="12"/>
  <c r="U32" i="12"/>
  <c r="Q32" i="12"/>
  <c r="E32" i="12"/>
  <c r="W32" i="12"/>
  <c r="I32" i="12"/>
  <c r="D32" i="12"/>
  <c r="L32" i="12"/>
  <c r="V32" i="12"/>
  <c r="S32" i="12"/>
  <c r="J32" i="12"/>
  <c r="T32" i="12"/>
  <c r="F32" i="12"/>
  <c r="P32" i="12"/>
  <c r="X32" i="12"/>
  <c r="H32" i="12"/>
  <c r="R32" i="12"/>
  <c r="P31" i="12"/>
  <c r="G17" i="12"/>
  <c r="O17" i="12"/>
  <c r="D24" i="12"/>
  <c r="G32" i="12"/>
  <c r="D10" i="12"/>
  <c r="O10" i="12"/>
  <c r="W24" i="12"/>
  <c r="X24" i="12"/>
  <c r="L17" i="12"/>
  <c r="D31" i="12"/>
  <c r="O32" i="12"/>
  <c r="E55" i="10"/>
  <c r="Q54" i="10"/>
  <c r="U54" i="10"/>
  <c r="Q15" i="10"/>
  <c r="J77" i="10"/>
  <c r="G77" i="10"/>
  <c r="S54" i="10"/>
  <c r="B77" i="10"/>
  <c r="H77" i="10"/>
  <c r="U15" i="10"/>
  <c r="S27" i="10"/>
  <c r="T51" i="10"/>
  <c r="F55" i="10"/>
  <c r="B55" i="10"/>
  <c r="F77" i="10"/>
  <c r="D55" i="10"/>
  <c r="N54" i="10"/>
  <c r="V54" i="10"/>
  <c r="T54" i="10"/>
  <c r="P54" i="10"/>
  <c r="D77" i="10"/>
  <c r="R54" i="10"/>
  <c r="C77" i="10"/>
  <c r="K77" i="10"/>
  <c r="I77" i="10"/>
  <c r="O54" i="10"/>
  <c r="W54" i="10"/>
  <c r="K14" i="13"/>
  <c r="W14" i="13"/>
  <c r="W50" i="13"/>
  <c r="W52" i="13" s="1"/>
  <c r="J50" i="13"/>
  <c r="J52" i="13" s="1"/>
  <c r="J38" i="13"/>
  <c r="T14" i="13"/>
  <c r="C80" i="13"/>
  <c r="E14" i="13"/>
  <c r="I38" i="13"/>
  <c r="W26" i="13"/>
  <c r="K26" i="13"/>
  <c r="R82" i="13"/>
  <c r="C26" i="13"/>
  <c r="K38" i="13"/>
  <c r="C50" i="13"/>
  <c r="C52" i="13" s="1"/>
  <c r="K50" i="13"/>
  <c r="K52" i="13" s="1"/>
  <c r="U82" i="13"/>
  <c r="Q26" i="13"/>
  <c r="O26" i="13"/>
  <c r="U38" i="13"/>
  <c r="O50" i="13"/>
  <c r="O52" i="13" s="1"/>
  <c r="U50" i="13"/>
  <c r="U52" i="13" s="1"/>
  <c r="B80" i="13"/>
  <c r="J80" i="13"/>
  <c r="F38" i="13"/>
  <c r="F50" i="13"/>
  <c r="F52" i="13" s="1"/>
  <c r="B50" i="13"/>
  <c r="B52" i="13" s="1"/>
  <c r="N82" i="13"/>
  <c r="V14" i="13"/>
  <c r="T82" i="13"/>
  <c r="R14" i="13"/>
  <c r="V26" i="13"/>
  <c r="N38" i="13"/>
  <c r="V38" i="13"/>
  <c r="N50" i="13"/>
  <c r="N52" i="13" s="1"/>
  <c r="V50" i="13"/>
  <c r="V52" i="13" s="1"/>
  <c r="O82" i="13"/>
  <c r="W82" i="13"/>
  <c r="K80" i="13"/>
  <c r="D80" i="13"/>
  <c r="B26" i="13"/>
  <c r="H38" i="13"/>
  <c r="P82" i="13"/>
  <c r="N26" i="13"/>
  <c r="R50" i="13"/>
  <c r="R52" i="13" s="1"/>
  <c r="E80" i="13"/>
  <c r="W38" i="13"/>
  <c r="F80" i="13"/>
  <c r="Q82" i="13"/>
  <c r="G80" i="13"/>
  <c r="S82" i="13"/>
  <c r="I80" i="13"/>
  <c r="C14" i="13"/>
  <c r="Q50" i="13"/>
  <c r="Q52" i="13" s="1"/>
  <c r="O14" i="13"/>
  <c r="H80" i="13"/>
  <c r="F14" i="13"/>
  <c r="F26" i="13"/>
  <c r="B38" i="13"/>
  <c r="J14" i="13"/>
  <c r="H50" i="13"/>
  <c r="H52" i="13" s="1"/>
  <c r="T38" i="13"/>
  <c r="V82" i="13"/>
  <c r="E26" i="13"/>
  <c r="G26" i="13"/>
  <c r="J26" i="13"/>
  <c r="T50" i="13"/>
  <c r="T52" i="13" s="1"/>
  <c r="G38" i="13"/>
  <c r="G50" i="13"/>
  <c r="G52" i="13" s="1"/>
  <c r="O38" i="13"/>
  <c r="AS55" i="13"/>
  <c r="B14" i="13"/>
  <c r="C38" i="13"/>
  <c r="I50" i="13"/>
  <c r="I52" i="13" s="1"/>
  <c r="U14" i="13"/>
  <c r="Q38" i="13"/>
  <c r="H26" i="13"/>
  <c r="N14" i="13"/>
  <c r="S50" i="13"/>
  <c r="S52" i="13" s="1"/>
  <c r="P50" i="13"/>
  <c r="P52" i="13" s="1"/>
  <c r="R38" i="13"/>
  <c r="S38" i="13"/>
  <c r="P38" i="13"/>
  <c r="S26" i="13"/>
  <c r="T26" i="13"/>
  <c r="R26" i="13"/>
  <c r="U26" i="13"/>
  <c r="P26" i="13"/>
  <c r="Q14" i="13"/>
  <c r="S14" i="13"/>
  <c r="P14" i="13"/>
  <c r="D50" i="13"/>
  <c r="D52" i="13" s="1"/>
  <c r="E50" i="13"/>
  <c r="E52" i="13" s="1"/>
  <c r="D38" i="13"/>
  <c r="E38" i="13"/>
  <c r="I26" i="13"/>
  <c r="D26" i="13"/>
  <c r="I14" i="13"/>
  <c r="G14" i="13"/>
  <c r="H14" i="13"/>
  <c r="D14" i="13"/>
  <c r="BA53" i="13"/>
  <c r="B73" i="13"/>
  <c r="E73" i="13"/>
  <c r="O73" i="13"/>
  <c r="W73" i="13"/>
  <c r="G73" i="13"/>
  <c r="Q73" i="13"/>
  <c r="C73" i="13"/>
  <c r="K73" i="13"/>
  <c r="U73" i="13"/>
  <c r="D73" i="13"/>
  <c r="N73" i="13"/>
  <c r="AW55" i="13"/>
  <c r="P73" i="13"/>
  <c r="T73" i="13"/>
  <c r="J73" i="13"/>
  <c r="U75" i="13"/>
  <c r="S73" i="13"/>
  <c r="V73" i="13"/>
  <c r="AV59" i="13"/>
  <c r="AT55" i="13"/>
  <c r="R75" i="13"/>
  <c r="N75" i="13"/>
  <c r="V75" i="13"/>
  <c r="AX59" i="13"/>
  <c r="AL24" i="13"/>
  <c r="AW53" i="13"/>
  <c r="BB53" i="13"/>
  <c r="T75" i="13"/>
  <c r="R73" i="13"/>
  <c r="Q75" i="13"/>
  <c r="S75" i="13"/>
  <c r="O75" i="13"/>
  <c r="W75" i="13"/>
  <c r="F73" i="13"/>
  <c r="H73" i="13"/>
  <c r="P75" i="13"/>
  <c r="I73" i="13"/>
  <c r="AP17" i="13"/>
  <c r="AX55" i="13"/>
  <c r="AZ53" i="13"/>
  <c r="AY59" i="13"/>
  <c r="AW10" i="13"/>
  <c r="BB17" i="13"/>
  <c r="BA17" i="13"/>
  <c r="AM24" i="13"/>
  <c r="AW24" i="13"/>
  <c r="BB31" i="13"/>
  <c r="BA31" i="13"/>
  <c r="AU55" i="13"/>
  <c r="AS53" i="13"/>
  <c r="AZ59" i="13"/>
  <c r="AV55" i="13"/>
  <c r="AJ53" i="13"/>
  <c r="AT53" i="13"/>
  <c r="AK53" i="13"/>
  <c r="AU53" i="13"/>
  <c r="AT59" i="13"/>
  <c r="BB59" i="13"/>
  <c r="AL17" i="13"/>
  <c r="AV36" i="13"/>
  <c r="AH24" i="13"/>
  <c r="AP24" i="13"/>
  <c r="AL31" i="13"/>
  <c r="AL53" i="13"/>
  <c r="AV53" i="13"/>
  <c r="AP53" i="13"/>
  <c r="BB55" i="13"/>
  <c r="AU59" i="13"/>
  <c r="AV10" i="13"/>
  <c r="BA10" i="13"/>
  <c r="AW17" i="13"/>
  <c r="AV24" i="13"/>
  <c r="BA24" i="13"/>
  <c r="BA32" i="13"/>
  <c r="AY55" i="13"/>
  <c r="BB10" i="13"/>
  <c r="AX17" i="13"/>
  <c r="BB24" i="13"/>
  <c r="AZ55" i="13"/>
  <c r="AX53" i="13"/>
  <c r="AW59" i="13"/>
  <c r="AX10" i="13"/>
  <c r="AM17" i="13"/>
  <c r="BA59" i="13"/>
  <c r="AX24" i="13"/>
  <c r="AM31" i="13"/>
  <c r="AL32" i="13"/>
  <c r="AG53" i="13"/>
  <c r="BA55" i="13"/>
  <c r="AY53" i="13"/>
  <c r="AJ10" i="13"/>
  <c r="AT10" i="13"/>
  <c r="AY10" i="13"/>
  <c r="AI17" i="13"/>
  <c r="AN17" i="13"/>
  <c r="AJ24" i="13"/>
  <c r="AT24" i="13"/>
  <c r="AY24" i="13"/>
  <c r="AI31" i="13"/>
  <c r="AN31" i="13"/>
  <c r="AW36" i="13"/>
  <c r="AK10" i="13"/>
  <c r="AU10" i="13"/>
  <c r="AZ10" i="13"/>
  <c r="AO17" i="13"/>
  <c r="AV17" i="13"/>
  <c r="AK24" i="13"/>
  <c r="AU24" i="13"/>
  <c r="AZ24" i="13"/>
  <c r="AO31" i="13"/>
  <c r="AV31" i="13"/>
  <c r="AS36" i="13"/>
  <c r="AX36" i="13"/>
  <c r="AG10" i="13"/>
  <c r="AL10" i="13"/>
  <c r="AG24" i="13"/>
  <c r="AP31" i="13"/>
  <c r="AW31" i="13"/>
  <c r="AT36" i="13"/>
  <c r="AY36" i="13"/>
  <c r="AH10" i="13"/>
  <c r="AM10" i="13"/>
  <c r="AS17" i="13"/>
  <c r="AS31" i="13"/>
  <c r="AX31" i="13"/>
  <c r="AU36" i="13"/>
  <c r="AZ36" i="13"/>
  <c r="AH53" i="13"/>
  <c r="AM53" i="13"/>
  <c r="AS59" i="13"/>
  <c r="AI10" i="13"/>
  <c r="AN10" i="13"/>
  <c r="AJ17" i="13"/>
  <c r="AT17" i="13"/>
  <c r="AY17" i="13"/>
  <c r="AI24" i="13"/>
  <c r="AN24" i="13"/>
  <c r="AJ31" i="13"/>
  <c r="AT31" i="13"/>
  <c r="AY31" i="13"/>
  <c r="BA36" i="13"/>
  <c r="AI53" i="13"/>
  <c r="AN53" i="13"/>
  <c r="AO10" i="13"/>
  <c r="AK17" i="13"/>
  <c r="AU17" i="13"/>
  <c r="AZ17" i="13"/>
  <c r="AO24" i="13"/>
  <c r="AK31" i="13"/>
  <c r="AU31" i="13"/>
  <c r="AZ31" i="13"/>
  <c r="AS32" i="13"/>
  <c r="BB36" i="13"/>
  <c r="AO53" i="13"/>
  <c r="AP10" i="13"/>
  <c r="AG17" i="13"/>
  <c r="AG31" i="13"/>
  <c r="AS10" i="13"/>
  <c r="AH17" i="13"/>
  <c r="AS24" i="13"/>
  <c r="AH31" i="13"/>
  <c r="K55" i="10"/>
  <c r="B51" i="10"/>
  <c r="P51" i="10"/>
  <c r="Q56" i="10"/>
  <c r="E77" i="10"/>
  <c r="R56" i="10"/>
  <c r="U27" i="10"/>
  <c r="T27" i="10"/>
  <c r="J55" i="10"/>
  <c r="Q51" i="10"/>
  <c r="N56" i="10"/>
  <c r="P56" i="10"/>
  <c r="C55" i="10"/>
  <c r="I55" i="10"/>
  <c r="V15" i="10"/>
  <c r="R51" i="10"/>
  <c r="W56" i="10"/>
  <c r="O56" i="10"/>
  <c r="H55" i="10"/>
  <c r="V27" i="10"/>
  <c r="W27" i="10"/>
  <c r="S51" i="10"/>
  <c r="V56" i="10"/>
  <c r="G55" i="10"/>
  <c r="R15" i="10"/>
  <c r="U56" i="10"/>
  <c r="S15" i="10"/>
  <c r="T56" i="10"/>
  <c r="T15" i="10"/>
  <c r="S56" i="10"/>
  <c r="P77" i="10"/>
  <c r="W77" i="10"/>
  <c r="U71" i="10"/>
  <c r="R77" i="10"/>
  <c r="N71" i="10"/>
  <c r="V71" i="10"/>
  <c r="V73" i="10" s="1"/>
  <c r="O71" i="10"/>
  <c r="O75" i="10" s="1"/>
  <c r="Q77" i="10"/>
  <c r="T77" i="10"/>
  <c r="S77" i="10"/>
  <c r="N51" i="10"/>
  <c r="V51" i="10"/>
  <c r="O51" i="10"/>
  <c r="W51" i="10"/>
  <c r="U51" i="10"/>
  <c r="N27" i="10"/>
  <c r="P27" i="10"/>
  <c r="O27" i="10"/>
  <c r="Q27" i="10"/>
  <c r="R27" i="10"/>
  <c r="O15" i="10"/>
  <c r="W15" i="10"/>
  <c r="P15" i="10"/>
  <c r="N15" i="10"/>
  <c r="T39" i="10"/>
  <c r="E52" i="10"/>
  <c r="J39" i="10"/>
  <c r="I27" i="10"/>
  <c r="H15" i="10"/>
  <c r="W73" i="10"/>
  <c r="D73" i="10"/>
  <c r="R75" i="10"/>
  <c r="P73" i="10"/>
  <c r="Q73" i="10"/>
  <c r="S75" i="10"/>
  <c r="W75" i="10"/>
  <c r="I73" i="10"/>
  <c r="S73" i="10"/>
  <c r="B39" i="10"/>
  <c r="J73" i="10"/>
  <c r="T73" i="10"/>
  <c r="K27" i="10"/>
  <c r="C39" i="10"/>
  <c r="K39" i="10"/>
  <c r="C73" i="10"/>
  <c r="K73" i="10"/>
  <c r="T75" i="10"/>
  <c r="W39" i="10"/>
  <c r="Q75" i="10"/>
  <c r="H73" i="10"/>
  <c r="R73" i="10"/>
  <c r="I39" i="10"/>
  <c r="H52" i="10"/>
  <c r="E73" i="10"/>
  <c r="F27" i="10"/>
  <c r="F39" i="10"/>
  <c r="P39" i="10"/>
  <c r="F73" i="10"/>
  <c r="B52" i="10"/>
  <c r="G73" i="10"/>
  <c r="H27" i="10"/>
  <c r="H39" i="10"/>
  <c r="P75" i="10"/>
  <c r="B27" i="10"/>
  <c r="J27" i="10"/>
  <c r="C27" i="10"/>
  <c r="F10" i="12"/>
  <c r="P10" i="12"/>
  <c r="H24" i="12"/>
  <c r="K24" i="12"/>
  <c r="T24" i="12"/>
  <c r="E31" i="12"/>
  <c r="J24" i="12"/>
  <c r="I17" i="12"/>
  <c r="E24" i="12"/>
  <c r="U24" i="12"/>
  <c r="L31" i="12"/>
  <c r="S31" i="12"/>
  <c r="W10" i="12"/>
  <c r="J17" i="12"/>
  <c r="O24" i="12"/>
  <c r="X31" i="12"/>
  <c r="X10" i="12"/>
  <c r="D17" i="12"/>
  <c r="U17" i="12"/>
  <c r="F24" i="12"/>
  <c r="P24" i="12"/>
  <c r="J10" i="12"/>
  <c r="E17" i="12"/>
  <c r="V17" i="12"/>
  <c r="H10" i="12"/>
  <c r="K10" i="12"/>
  <c r="T10" i="12"/>
  <c r="S17" i="12"/>
  <c r="I31" i="12"/>
  <c r="E10" i="12"/>
  <c r="U10" i="12"/>
  <c r="F17" i="12"/>
  <c r="P17" i="12"/>
  <c r="X17" i="12"/>
  <c r="R24" i="12"/>
  <c r="J31" i="12"/>
  <c r="I24" i="12"/>
  <c r="F31" i="12"/>
  <c r="U31" i="12"/>
  <c r="I10" i="12"/>
  <c r="T17" i="12"/>
  <c r="T31" i="12"/>
  <c r="R10" i="12"/>
  <c r="Q17" i="12"/>
  <c r="G31" i="12"/>
  <c r="Q31" i="12"/>
  <c r="V31" i="12"/>
  <c r="O31" i="12"/>
  <c r="L10" i="12"/>
  <c r="S10" i="12"/>
  <c r="C17" i="12"/>
  <c r="H17" i="12"/>
  <c r="W17" i="12"/>
  <c r="L24" i="12"/>
  <c r="S24" i="12"/>
  <c r="C31" i="12"/>
  <c r="H31" i="12"/>
  <c r="W31" i="12"/>
  <c r="G10" i="12"/>
  <c r="Q10" i="12"/>
  <c r="V10" i="12"/>
  <c r="K17" i="12"/>
  <c r="R17" i="12"/>
  <c r="G24" i="12"/>
  <c r="Q24" i="12"/>
  <c r="V24" i="12"/>
  <c r="K31" i="12"/>
  <c r="R31" i="12"/>
  <c r="C10" i="12"/>
  <c r="C24" i="12"/>
  <c r="E10" i="9"/>
  <c r="W10" i="9"/>
  <c r="E24" i="9"/>
  <c r="X24" i="9"/>
  <c r="X10" i="9"/>
  <c r="J17" i="9"/>
  <c r="O24" i="9"/>
  <c r="G10" i="9"/>
  <c r="Q10" i="9"/>
  <c r="K17" i="9"/>
  <c r="U17" i="9"/>
  <c r="G24" i="9"/>
  <c r="Q24" i="9"/>
  <c r="U31" i="9"/>
  <c r="R10" i="9"/>
  <c r="V17" i="9"/>
  <c r="R24" i="9"/>
  <c r="V31" i="9"/>
  <c r="D17" i="9"/>
  <c r="S17" i="9"/>
  <c r="I31" i="9"/>
  <c r="S31" i="9"/>
  <c r="U32" i="9"/>
  <c r="J10" i="9"/>
  <c r="F17" i="9"/>
  <c r="P17" i="9"/>
  <c r="J24" i="9"/>
  <c r="F31" i="9"/>
  <c r="P31" i="9"/>
  <c r="V32" i="9"/>
  <c r="K10" i="9"/>
  <c r="U10" i="9"/>
  <c r="G17" i="9"/>
  <c r="Q17" i="9"/>
  <c r="K24" i="9"/>
  <c r="U24" i="9"/>
  <c r="G31" i="9"/>
  <c r="Q31" i="9"/>
  <c r="F32" i="9"/>
  <c r="H10" i="9"/>
  <c r="V10" i="9"/>
  <c r="R17" i="9"/>
  <c r="H24" i="9"/>
  <c r="V24" i="9"/>
  <c r="G32" i="9"/>
  <c r="L10" i="9"/>
  <c r="C17" i="9"/>
  <c r="L24" i="9"/>
  <c r="C31" i="9"/>
  <c r="W31" i="9"/>
  <c r="O10" i="9"/>
  <c r="X17" i="9"/>
  <c r="D31" i="9"/>
  <c r="F10" i="9"/>
  <c r="P10" i="9"/>
  <c r="E17" i="9"/>
  <c r="F24" i="9"/>
  <c r="P24" i="9"/>
  <c r="E31" i="9"/>
  <c r="J31" i="9"/>
  <c r="K31" i="9"/>
  <c r="R31" i="9"/>
  <c r="D32" i="9"/>
  <c r="C10" i="9"/>
  <c r="L17" i="9"/>
  <c r="C24" i="9"/>
  <c r="W24" i="9"/>
  <c r="L31" i="9"/>
  <c r="E32" i="9"/>
  <c r="S10" i="9"/>
  <c r="S24" i="9"/>
  <c r="H31" i="9"/>
  <c r="T10" i="9"/>
  <c r="I17" i="9"/>
  <c r="T24" i="9"/>
  <c r="D10" i="9"/>
  <c r="I10" i="9"/>
  <c r="O17" i="9"/>
  <c r="T17" i="9"/>
  <c r="D24" i="9"/>
  <c r="I24" i="9"/>
  <c r="O31" i="9"/>
  <c r="T31" i="9"/>
  <c r="W17" i="9"/>
  <c r="X31" i="9"/>
  <c r="H17" i="9"/>
  <c r="AU17" i="5"/>
  <c r="U68" i="6"/>
  <c r="E30" i="6"/>
  <c r="AW22" i="6"/>
  <c r="W15" i="6"/>
  <c r="S68" i="6"/>
  <c r="AA30" i="6"/>
  <c r="AB30" i="6"/>
  <c r="AC30" i="6"/>
  <c r="AV30" i="6"/>
  <c r="G29" i="6"/>
  <c r="T68" i="6"/>
  <c r="AF30" i="6"/>
  <c r="AE29" i="6"/>
  <c r="O46" i="6"/>
  <c r="S30" i="6"/>
  <c r="H68" i="6"/>
  <c r="K68" i="6"/>
  <c r="X68" i="6"/>
  <c r="E68" i="6"/>
  <c r="AS30" i="6"/>
  <c r="C68" i="6"/>
  <c r="P68" i="6"/>
  <c r="AM15" i="6"/>
  <c r="AM22" i="6"/>
  <c r="AU8" i="6"/>
  <c r="W22" i="6"/>
  <c r="AL8" i="6"/>
  <c r="AM29" i="6"/>
  <c r="H30" i="6"/>
  <c r="AE8" i="6"/>
  <c r="AM8" i="6"/>
  <c r="AK30" i="6"/>
  <c r="D30" i="6"/>
  <c r="M68" i="2"/>
  <c r="K68" i="2"/>
  <c r="AC30" i="2"/>
  <c r="L68" i="2"/>
  <c r="AU30" i="2"/>
  <c r="P68" i="2"/>
  <c r="G46" i="2"/>
  <c r="G67" i="2"/>
  <c r="O68" i="2"/>
  <c r="AR30" i="2"/>
  <c r="S68" i="2"/>
  <c r="W30" i="2"/>
  <c r="E68" i="2"/>
  <c r="G60" i="2"/>
  <c r="AL22" i="2"/>
  <c r="AO29" i="2"/>
  <c r="AQ30" i="2"/>
  <c r="AC68" i="2"/>
  <c r="X68" i="2"/>
  <c r="AG30" i="2"/>
  <c r="AI30" i="2"/>
  <c r="AV30" i="2"/>
  <c r="AA30" i="2"/>
  <c r="AN30" i="2"/>
  <c r="G15" i="2"/>
  <c r="AM15" i="2"/>
  <c r="T68" i="2"/>
  <c r="AB30" i="2"/>
  <c r="AM8" i="2"/>
  <c r="AK30" i="2"/>
  <c r="AO22" i="2"/>
  <c r="AM22" i="2"/>
  <c r="AB68" i="2"/>
  <c r="H68" i="2"/>
  <c r="D68" i="2"/>
  <c r="U68" i="2"/>
  <c r="AO8" i="2"/>
  <c r="AL15" i="2"/>
  <c r="AJ30" i="2"/>
  <c r="AL29" i="2"/>
  <c r="G53" i="2"/>
  <c r="W68" i="2"/>
  <c r="AE30" i="2"/>
  <c r="AM29" i="2"/>
  <c r="AE68" i="2"/>
  <c r="AF30" i="2"/>
  <c r="AO15" i="2"/>
  <c r="AF68" i="2"/>
  <c r="H30" i="2"/>
  <c r="C68" i="2"/>
  <c r="AL8" i="2"/>
  <c r="AA68" i="2"/>
  <c r="G15" i="6"/>
  <c r="G53" i="6"/>
  <c r="M68" i="6"/>
  <c r="W67" i="6"/>
  <c r="AO8" i="6"/>
  <c r="AL29" i="6"/>
  <c r="AJ30" i="6"/>
  <c r="G67" i="6"/>
  <c r="C30" i="6"/>
  <c r="T30" i="6"/>
  <c r="W60" i="6"/>
  <c r="AE15" i="6"/>
  <c r="AU29" i="6"/>
  <c r="G22" i="6"/>
  <c r="U30" i="6"/>
  <c r="O60" i="6"/>
  <c r="AL15" i="6"/>
  <c r="AO22" i="6"/>
  <c r="AO29" i="6"/>
  <c r="AU15" i="6"/>
  <c r="D68" i="6"/>
  <c r="W53" i="6"/>
  <c r="O67" i="6"/>
  <c r="G8" i="6"/>
  <c r="W8" i="6"/>
  <c r="O53" i="6"/>
  <c r="AE22" i="6"/>
  <c r="AO15" i="6"/>
  <c r="AN30" i="6"/>
  <c r="AQ30" i="6"/>
  <c r="AW29" i="6"/>
  <c r="L68" i="6"/>
  <c r="G46" i="6"/>
  <c r="G60" i="6"/>
  <c r="W46" i="6"/>
  <c r="AI30" i="6"/>
  <c r="AL22" i="6"/>
  <c r="AU22" i="6"/>
  <c r="E30" i="2"/>
  <c r="X30" i="2"/>
  <c r="C30" i="2"/>
  <c r="D30" i="2"/>
  <c r="G22" i="2"/>
  <c r="T30" i="2"/>
  <c r="U30" i="2"/>
  <c r="G8" i="2"/>
  <c r="AM68" i="5"/>
  <c r="AU67" i="5"/>
  <c r="O68" i="5"/>
  <c r="AW67" i="5"/>
  <c r="N68" i="5"/>
  <c r="AU66" i="5"/>
  <c r="AW66" i="5"/>
  <c r="W68" i="5"/>
  <c r="AO68" i="5"/>
  <c r="AL68" i="5"/>
  <c r="AE68" i="5"/>
  <c r="AG68" i="5"/>
  <c r="Y68" i="5"/>
  <c r="AQ68" i="5"/>
  <c r="AR68" i="5"/>
  <c r="AV68" i="5"/>
  <c r="Q68" i="5"/>
  <c r="AS68" i="5"/>
  <c r="I68" i="5"/>
  <c r="AW64" i="5"/>
  <c r="AU63" i="5"/>
  <c r="V68" i="5"/>
  <c r="AT63" i="5"/>
  <c r="AT68" i="5" s="1"/>
  <c r="AW63" i="5"/>
  <c r="AU60" i="5"/>
  <c r="AW60" i="5"/>
  <c r="AO61" i="5"/>
  <c r="AE61" i="5"/>
  <c r="AU59" i="5"/>
  <c r="AD61" i="5"/>
  <c r="W61" i="5"/>
  <c r="AW59" i="5"/>
  <c r="AU58" i="5"/>
  <c r="AM61" i="5"/>
  <c r="AL61" i="5"/>
  <c r="AW58" i="5"/>
  <c r="AT58" i="5"/>
  <c r="AU57" i="5"/>
  <c r="AG61" i="5"/>
  <c r="V61" i="5"/>
  <c r="Y61" i="5"/>
  <c r="AV61" i="5"/>
  <c r="AV69" i="5" s="1"/>
  <c r="AQ61" i="5"/>
  <c r="AQ69" i="5" s="1"/>
  <c r="AS61" i="5"/>
  <c r="F61" i="5"/>
  <c r="I61" i="5"/>
  <c r="AR61" i="5"/>
  <c r="AR69" i="5" s="1"/>
  <c r="N61" i="5"/>
  <c r="AU56" i="5"/>
  <c r="G61" i="5"/>
  <c r="AT56" i="5"/>
  <c r="AW56" i="5"/>
  <c r="AU53" i="5"/>
  <c r="AE54" i="5"/>
  <c r="AW53" i="5"/>
  <c r="AD54" i="5"/>
  <c r="AU52" i="5"/>
  <c r="Y54" i="5"/>
  <c r="F54" i="5"/>
  <c r="AW52" i="5"/>
  <c r="AU51" i="5"/>
  <c r="AW51" i="5"/>
  <c r="Q54" i="5"/>
  <c r="G54" i="5"/>
  <c r="W54" i="5"/>
  <c r="AL54" i="5"/>
  <c r="AO54" i="5"/>
  <c r="AG54" i="5"/>
  <c r="V54" i="5"/>
  <c r="AU50" i="5"/>
  <c r="AQ54" i="5"/>
  <c r="AV54" i="5"/>
  <c r="AW50" i="5"/>
  <c r="I54" i="5"/>
  <c r="AT54" i="5"/>
  <c r="AR54" i="5"/>
  <c r="AU49" i="5"/>
  <c r="AU46" i="5"/>
  <c r="AW46" i="5"/>
  <c r="AW45" i="5"/>
  <c r="N47" i="5"/>
  <c r="AO47" i="5"/>
  <c r="AU44" i="5"/>
  <c r="AD47" i="5"/>
  <c r="W47" i="5"/>
  <c r="AW44" i="5"/>
  <c r="AG47" i="5"/>
  <c r="V47" i="5"/>
  <c r="Y47" i="5"/>
  <c r="O47" i="5"/>
  <c r="AU43" i="5"/>
  <c r="Q47" i="5"/>
  <c r="I47" i="5"/>
  <c r="AV47" i="5"/>
  <c r="AW43" i="5"/>
  <c r="AQ47" i="5"/>
  <c r="AR47" i="5"/>
  <c r="AW42" i="5"/>
  <c r="AT42" i="5"/>
  <c r="AT47" i="5" s="1"/>
  <c r="AS47" i="5"/>
  <c r="AU42" i="5"/>
  <c r="AR76" i="5"/>
  <c r="AQ76" i="5"/>
  <c r="AS76" i="5"/>
  <c r="AQ37" i="5"/>
  <c r="AR37" i="5"/>
  <c r="AS37" i="5"/>
  <c r="AU28" i="5"/>
  <c r="Q29" i="5"/>
  <c r="G29" i="5"/>
  <c r="AW28" i="5"/>
  <c r="AW27" i="5"/>
  <c r="AU26" i="5"/>
  <c r="AM29" i="5"/>
  <c r="Y29" i="5"/>
  <c r="AW26" i="5"/>
  <c r="N29" i="5"/>
  <c r="AO29" i="5"/>
  <c r="AU25" i="5"/>
  <c r="AG29" i="5"/>
  <c r="V29" i="5"/>
  <c r="O29" i="5"/>
  <c r="AV29" i="5"/>
  <c r="F29" i="5"/>
  <c r="I29" i="5"/>
  <c r="AS29" i="5"/>
  <c r="AQ29" i="5"/>
  <c r="AR29" i="5"/>
  <c r="AL29" i="5"/>
  <c r="AD29" i="5"/>
  <c r="AU24" i="5"/>
  <c r="AT24" i="5"/>
  <c r="AT29" i="5" s="1"/>
  <c r="AE22" i="5"/>
  <c r="AU21" i="5"/>
  <c r="AW21" i="5"/>
  <c r="AM22" i="5"/>
  <c r="AU20" i="5"/>
  <c r="AW20" i="5"/>
  <c r="AQ22" i="5"/>
  <c r="AO22" i="5"/>
  <c r="W22" i="5"/>
  <c r="Y22" i="5"/>
  <c r="AW19" i="5"/>
  <c r="Q22" i="5"/>
  <c r="AU19" i="5"/>
  <c r="AR22" i="5"/>
  <c r="AU18" i="5"/>
  <c r="AD22" i="5"/>
  <c r="AG22" i="5"/>
  <c r="V22" i="5"/>
  <c r="AV22" i="5"/>
  <c r="N22" i="5"/>
  <c r="I22" i="5"/>
  <c r="AS22" i="5"/>
  <c r="F22" i="5"/>
  <c r="AT17" i="5"/>
  <c r="AT22" i="5" s="1"/>
  <c r="AW17" i="5"/>
  <c r="G22" i="5"/>
  <c r="AW14" i="5"/>
  <c r="AW13" i="5"/>
  <c r="AD15" i="5"/>
  <c r="AU13" i="5"/>
  <c r="O15" i="5"/>
  <c r="AW12" i="5"/>
  <c r="I15" i="5"/>
  <c r="AL15" i="5"/>
  <c r="AG15" i="5"/>
  <c r="V15" i="5"/>
  <c r="Y15" i="5"/>
  <c r="AU11" i="5"/>
  <c r="Q15" i="5"/>
  <c r="AT15" i="5"/>
  <c r="F15" i="5"/>
  <c r="N15" i="5"/>
  <c r="AQ15" i="5"/>
  <c r="AR15" i="5"/>
  <c r="G15" i="5"/>
  <c r="AS15" i="5"/>
  <c r="AW10" i="5"/>
  <c r="AU7" i="5"/>
  <c r="AW7" i="5"/>
  <c r="V8" i="5"/>
  <c r="AW6" i="5"/>
  <c r="AU5" i="5"/>
  <c r="AL8" i="5"/>
  <c r="AE8" i="5"/>
  <c r="N8" i="5"/>
  <c r="AW5" i="5"/>
  <c r="G8" i="5"/>
  <c r="AU4" i="5"/>
  <c r="F8" i="5"/>
  <c r="I8" i="5"/>
  <c r="Q8" i="5"/>
  <c r="Y8" i="5"/>
  <c r="AD8" i="5"/>
  <c r="AG8" i="5"/>
  <c r="AV8" i="5"/>
  <c r="AO8" i="5"/>
  <c r="AR8" i="5"/>
  <c r="AQ8" i="5"/>
  <c r="AW3" i="5"/>
  <c r="AU3" i="5"/>
  <c r="AS8" i="5"/>
  <c r="AT3" i="5"/>
  <c r="AW49" i="5"/>
  <c r="AW57" i="5"/>
  <c r="AW65" i="5"/>
  <c r="AS54" i="5"/>
  <c r="AW25" i="5"/>
  <c r="AW24" i="5"/>
  <c r="AW18" i="5"/>
  <c r="AV15" i="5"/>
  <c r="AV30" i="5" s="1"/>
  <c r="AW11" i="5"/>
  <c r="AW4" i="5"/>
  <c r="AT4" i="5"/>
  <c r="Q68" i="6" l="1"/>
  <c r="AH68" i="6"/>
  <c r="V68" i="6"/>
  <c r="Y68" i="6"/>
  <c r="AG30" i="6"/>
  <c r="Y30" i="6"/>
  <c r="F30" i="6"/>
  <c r="Y30" i="2"/>
  <c r="Q68" i="2"/>
  <c r="V30" i="2"/>
  <c r="AD68" i="2"/>
  <c r="N68" i="2"/>
  <c r="I30" i="2"/>
  <c r="AW30" i="2"/>
  <c r="J68" i="2"/>
  <c r="I68" i="2"/>
  <c r="F30" i="2"/>
  <c r="F68" i="2"/>
  <c r="Y68" i="2"/>
  <c r="AT30" i="2"/>
  <c r="V68" i="2"/>
  <c r="AD30" i="2"/>
  <c r="AP30" i="2"/>
  <c r="J30" i="2"/>
  <c r="AG68" i="2"/>
  <c r="AH68" i="2"/>
  <c r="Z30" i="2"/>
  <c r="R68" i="2"/>
  <c r="R30" i="2"/>
  <c r="AH30" i="2"/>
  <c r="AX30" i="2"/>
  <c r="Z68" i="2"/>
  <c r="AT30" i="6"/>
  <c r="Z30" i="6"/>
  <c r="I30" i="6"/>
  <c r="F68" i="6"/>
  <c r="AP30" i="6"/>
  <c r="I68" i="6"/>
  <c r="J68" i="6"/>
  <c r="AH30" i="6"/>
  <c r="R30" i="6"/>
  <c r="N68" i="6"/>
  <c r="V30" i="6"/>
  <c r="R68" i="6"/>
  <c r="Z68" i="6"/>
  <c r="J30" i="6"/>
  <c r="AX30" i="6"/>
  <c r="E33" i="12"/>
  <c r="D33" i="12"/>
  <c r="Q33" i="12"/>
  <c r="X33" i="12"/>
  <c r="R33" i="12"/>
  <c r="P33" i="12"/>
  <c r="J33" i="12"/>
  <c r="U33" i="12"/>
  <c r="F33" i="12"/>
  <c r="C33" i="12"/>
  <c r="O35" i="12"/>
  <c r="V35" i="12"/>
  <c r="O33" i="12"/>
  <c r="G33" i="9"/>
  <c r="O73" i="10"/>
  <c r="U73" i="10"/>
  <c r="T53" i="10"/>
  <c r="W78" i="10"/>
  <c r="T78" i="10"/>
  <c r="P78" i="10"/>
  <c r="J39" i="13"/>
  <c r="O27" i="13"/>
  <c r="S51" i="13"/>
  <c r="W79" i="13"/>
  <c r="Q39" i="13"/>
  <c r="P27" i="13"/>
  <c r="R79" i="13"/>
  <c r="W56" i="13"/>
  <c r="V79" i="13"/>
  <c r="O79" i="13"/>
  <c r="F51" i="13"/>
  <c r="O56" i="13"/>
  <c r="V56" i="13"/>
  <c r="I15" i="13"/>
  <c r="S39" i="13"/>
  <c r="V51" i="13"/>
  <c r="D27" i="13"/>
  <c r="Q56" i="13"/>
  <c r="B39" i="13"/>
  <c r="N51" i="13"/>
  <c r="Q27" i="13"/>
  <c r="T51" i="13"/>
  <c r="U39" i="13"/>
  <c r="O15" i="13"/>
  <c r="B51" i="13"/>
  <c r="I51" i="13"/>
  <c r="D51" i="13"/>
  <c r="G15" i="13"/>
  <c r="W39" i="13"/>
  <c r="V39" i="13"/>
  <c r="J15" i="13"/>
  <c r="P51" i="13"/>
  <c r="U51" i="13"/>
  <c r="G39" i="13"/>
  <c r="U27" i="13"/>
  <c r="K51" i="13"/>
  <c r="N56" i="13"/>
  <c r="U79" i="13"/>
  <c r="R27" i="13"/>
  <c r="S56" i="13"/>
  <c r="O39" i="13"/>
  <c r="R56" i="13"/>
  <c r="U56" i="13"/>
  <c r="N27" i="13"/>
  <c r="P15" i="13"/>
  <c r="K39" i="13"/>
  <c r="C51" i="13"/>
  <c r="I39" i="13"/>
  <c r="R51" i="13"/>
  <c r="W51" i="13"/>
  <c r="N79" i="13"/>
  <c r="C39" i="13"/>
  <c r="S27" i="13"/>
  <c r="H51" i="13"/>
  <c r="Q51" i="13"/>
  <c r="O51" i="13"/>
  <c r="H15" i="13"/>
  <c r="C15" i="13"/>
  <c r="G51" i="13"/>
  <c r="E51" i="13"/>
  <c r="J51" i="13"/>
  <c r="T15" i="13"/>
  <c r="N39" i="13"/>
  <c r="P39" i="13"/>
  <c r="T39" i="13"/>
  <c r="R39" i="13"/>
  <c r="W27" i="13"/>
  <c r="T27" i="13"/>
  <c r="V27" i="13"/>
  <c r="V15" i="13"/>
  <c r="N15" i="13"/>
  <c r="S79" i="13"/>
  <c r="U15" i="13"/>
  <c r="Q15" i="13"/>
  <c r="W15" i="13"/>
  <c r="R15" i="13"/>
  <c r="S15" i="13"/>
  <c r="F39" i="13"/>
  <c r="E39" i="13"/>
  <c r="D39" i="13"/>
  <c r="Q79" i="13"/>
  <c r="H39" i="13"/>
  <c r="E27" i="13"/>
  <c r="B27" i="13"/>
  <c r="C27" i="13"/>
  <c r="H27" i="13"/>
  <c r="F27" i="13"/>
  <c r="P79" i="13"/>
  <c r="P56" i="13"/>
  <c r="K27" i="13"/>
  <c r="J27" i="13"/>
  <c r="I27" i="13"/>
  <c r="G27" i="13"/>
  <c r="F15" i="13"/>
  <c r="E15" i="13"/>
  <c r="D15" i="13"/>
  <c r="K15" i="13"/>
  <c r="B15" i="13"/>
  <c r="T56" i="13"/>
  <c r="T79" i="13"/>
  <c r="AW33" i="13"/>
  <c r="AV33" i="13"/>
  <c r="AT57" i="13"/>
  <c r="BB33" i="13"/>
  <c r="BA33" i="13"/>
  <c r="AX33" i="13"/>
  <c r="AS35" i="13"/>
  <c r="AG33" i="13"/>
  <c r="AS57" i="13"/>
  <c r="AS33" i="13"/>
  <c r="AZ35" i="13"/>
  <c r="AN33" i="13"/>
  <c r="AZ57" i="13"/>
  <c r="AY33" i="13"/>
  <c r="AU35" i="13"/>
  <c r="AI33" i="13"/>
  <c r="AU57" i="13"/>
  <c r="AT33" i="13"/>
  <c r="AX35" i="13"/>
  <c r="AL33" i="13"/>
  <c r="AX57" i="13"/>
  <c r="BA35" i="13"/>
  <c r="AO33" i="13"/>
  <c r="BA57" i="13"/>
  <c r="AZ33" i="13"/>
  <c r="AV57" i="13"/>
  <c r="AV35" i="13"/>
  <c r="AJ33" i="13"/>
  <c r="AP33" i="13"/>
  <c r="BB57" i="13"/>
  <c r="BB35" i="13"/>
  <c r="AY35" i="13"/>
  <c r="AM33" i="13"/>
  <c r="AY57" i="13"/>
  <c r="AU33" i="13"/>
  <c r="AT35" i="13"/>
  <c r="AH33" i="13"/>
  <c r="AW35" i="13"/>
  <c r="AK33" i="13"/>
  <c r="AW57" i="13"/>
  <c r="U77" i="10"/>
  <c r="U75" i="10"/>
  <c r="V75" i="10"/>
  <c r="N73" i="10"/>
  <c r="V77" i="10"/>
  <c r="N75" i="10"/>
  <c r="W53" i="10"/>
  <c r="P53" i="10"/>
  <c r="V39" i="10"/>
  <c r="V78" i="10" s="1"/>
  <c r="S39" i="10"/>
  <c r="O39" i="10"/>
  <c r="U39" i="10"/>
  <c r="R39" i="10"/>
  <c r="N39" i="10"/>
  <c r="N78" i="10" s="1"/>
  <c r="Q39" i="10"/>
  <c r="H51" i="10"/>
  <c r="T55" i="10" s="1"/>
  <c r="F51" i="10"/>
  <c r="D52" i="10"/>
  <c r="D51" i="10"/>
  <c r="J51" i="10"/>
  <c r="C51" i="10"/>
  <c r="E51" i="10"/>
  <c r="G51" i="10"/>
  <c r="K51" i="10"/>
  <c r="I51" i="10"/>
  <c r="E39" i="10"/>
  <c r="D39" i="10"/>
  <c r="G39" i="10"/>
  <c r="D27" i="10"/>
  <c r="E27" i="10"/>
  <c r="G27" i="10"/>
  <c r="D15" i="10"/>
  <c r="B15" i="10"/>
  <c r="F15" i="10"/>
  <c r="J15" i="10"/>
  <c r="C15" i="10"/>
  <c r="I15" i="10"/>
  <c r="K15" i="10"/>
  <c r="E15" i="10"/>
  <c r="G15" i="10"/>
  <c r="W35" i="12"/>
  <c r="T33" i="12"/>
  <c r="W33" i="12"/>
  <c r="P35" i="12"/>
  <c r="H33" i="12"/>
  <c r="R35" i="12"/>
  <c r="V33" i="12"/>
  <c r="U35" i="12"/>
  <c r="I33" i="12"/>
  <c r="K33" i="12"/>
  <c r="Q35" i="12"/>
  <c r="S33" i="12"/>
  <c r="G33" i="12"/>
  <c r="S35" i="12"/>
  <c r="X35" i="12"/>
  <c r="L33" i="12"/>
  <c r="T35" i="12"/>
  <c r="H33" i="9"/>
  <c r="K33" i="9"/>
  <c r="R33" i="9"/>
  <c r="S35" i="9"/>
  <c r="U33" i="9"/>
  <c r="W33" i="9"/>
  <c r="W35" i="9"/>
  <c r="Q35" i="9"/>
  <c r="Q33" i="9"/>
  <c r="J33" i="9"/>
  <c r="X33" i="9"/>
  <c r="V33" i="9"/>
  <c r="O35" i="9"/>
  <c r="C33" i="9"/>
  <c r="E33" i="9"/>
  <c r="T33" i="9"/>
  <c r="T35" i="9"/>
  <c r="O33" i="9"/>
  <c r="P33" i="9"/>
  <c r="U35" i="9"/>
  <c r="I33" i="9"/>
  <c r="S33" i="9"/>
  <c r="R35" i="9"/>
  <c r="F33" i="9"/>
  <c r="L33" i="9"/>
  <c r="X35" i="9"/>
  <c r="V35" i="9"/>
  <c r="D33" i="9"/>
  <c r="AR30" i="5"/>
  <c r="AW30" i="6"/>
  <c r="G68" i="6"/>
  <c r="AE30" i="6"/>
  <c r="AM30" i="6"/>
  <c r="AL30" i="6"/>
  <c r="W30" i="6"/>
  <c r="AO30" i="6"/>
  <c r="AU30" i="6"/>
  <c r="O68" i="6"/>
  <c r="AM30" i="2"/>
  <c r="G68" i="2"/>
  <c r="AO30" i="2"/>
  <c r="G30" i="2"/>
  <c r="AL30" i="2"/>
  <c r="W68" i="6"/>
  <c r="G30" i="6"/>
  <c r="AU68" i="5"/>
  <c r="AW68" i="5"/>
  <c r="AT61" i="5"/>
  <c r="AU61" i="5"/>
  <c r="AU69" i="5" s="1"/>
  <c r="AW61" i="5"/>
  <c r="AW69" i="5" s="1"/>
  <c r="AU54" i="5"/>
  <c r="AW54" i="5"/>
  <c r="AU47" i="5"/>
  <c r="AW47" i="5"/>
  <c r="AT30" i="5"/>
  <c r="AS30" i="5"/>
  <c r="AQ30" i="5"/>
  <c r="AU29" i="5"/>
  <c r="AW29" i="5"/>
  <c r="AU22" i="5"/>
  <c r="AW22" i="5"/>
  <c r="AU15" i="5"/>
  <c r="AU30" i="5" s="1"/>
  <c r="AW15" i="5"/>
  <c r="AU8" i="5"/>
  <c r="AT8" i="5"/>
  <c r="AW8" i="5"/>
  <c r="F78" i="10" l="1"/>
  <c r="Q53" i="10"/>
  <c r="R53" i="10"/>
  <c r="S53" i="10"/>
  <c r="V53" i="10"/>
  <c r="N53" i="10"/>
  <c r="G78" i="10"/>
  <c r="U53" i="13"/>
  <c r="W53" i="13"/>
  <c r="Q53" i="13"/>
  <c r="F53" i="13"/>
  <c r="N53" i="13"/>
  <c r="U55" i="13"/>
  <c r="J53" i="13"/>
  <c r="E53" i="13"/>
  <c r="T53" i="13"/>
  <c r="D53" i="13"/>
  <c r="P53" i="13"/>
  <c r="V53" i="13"/>
  <c r="O53" i="13"/>
  <c r="O55" i="13"/>
  <c r="S53" i="13"/>
  <c r="R53" i="13"/>
  <c r="N77" i="13"/>
  <c r="S77" i="13"/>
  <c r="H53" i="13"/>
  <c r="V55" i="13"/>
  <c r="V77" i="13"/>
  <c r="R55" i="13"/>
  <c r="Q77" i="13"/>
  <c r="Q55" i="13"/>
  <c r="T77" i="13"/>
  <c r="T55" i="13"/>
  <c r="O77" i="13"/>
  <c r="G53" i="13"/>
  <c r="S55" i="13"/>
  <c r="R77" i="13"/>
  <c r="K53" i="13"/>
  <c r="C53" i="13"/>
  <c r="U77" i="13"/>
  <c r="I53" i="13"/>
  <c r="B53" i="13"/>
  <c r="P55" i="13"/>
  <c r="P77" i="13"/>
  <c r="W55" i="13"/>
  <c r="N55" i="13"/>
  <c r="W77" i="13"/>
  <c r="AW58" i="13"/>
  <c r="BB58" i="13"/>
  <c r="AX58" i="13"/>
  <c r="AS58" i="13"/>
  <c r="AY58" i="13"/>
  <c r="AT58" i="13"/>
  <c r="AV58" i="13"/>
  <c r="BA58" i="13"/>
  <c r="AZ58" i="13"/>
  <c r="AU58" i="13"/>
  <c r="C78" i="10"/>
  <c r="O55" i="10"/>
  <c r="U53" i="10"/>
  <c r="U78" i="10"/>
  <c r="O53" i="10"/>
  <c r="J78" i="10"/>
  <c r="H78" i="10"/>
  <c r="R78" i="10"/>
  <c r="I53" i="10"/>
  <c r="I78" i="10"/>
  <c r="B53" i="10"/>
  <c r="N55" i="10"/>
  <c r="B78" i="10"/>
  <c r="E78" i="10"/>
  <c r="S78" i="10"/>
  <c r="D78" i="10"/>
  <c r="K78" i="10"/>
  <c r="Q78" i="10"/>
  <c r="J53" i="10"/>
  <c r="V55" i="10"/>
  <c r="D53" i="10"/>
  <c r="P55" i="10"/>
  <c r="U55" i="10"/>
  <c r="C53" i="10"/>
  <c r="H53" i="10"/>
  <c r="W55" i="10"/>
  <c r="G53" i="10"/>
  <c r="R55" i="10"/>
  <c r="F53" i="10"/>
  <c r="S55" i="10"/>
  <c r="E53" i="10"/>
  <c r="Q55" i="10"/>
  <c r="K53" i="10"/>
  <c r="AW30" i="5"/>
  <c r="U78" i="13" l="1"/>
  <c r="W78" i="13"/>
  <c r="Q78" i="13"/>
  <c r="S78" i="13"/>
  <c r="N78" i="13"/>
  <c r="P78" i="13"/>
  <c r="V78" i="13"/>
  <c r="R78" i="13"/>
  <c r="O78" i="13"/>
  <c r="T78" i="13"/>
</calcChain>
</file>

<file path=xl/sharedStrings.xml><?xml version="1.0" encoding="utf-8"?>
<sst xmlns="http://schemas.openxmlformats.org/spreadsheetml/2006/main" count="1232" uniqueCount="97">
  <si>
    <t>数据集</t>
    <phoneticPr fontId="1" type="noConversion"/>
  </si>
  <si>
    <t>FHDDM</t>
    <phoneticPr fontId="1" type="noConversion"/>
  </si>
  <si>
    <t>CPU时间</t>
    <phoneticPr fontId="1" type="noConversion"/>
  </si>
  <si>
    <t>TP</t>
    <phoneticPr fontId="1" type="noConversion"/>
  </si>
  <si>
    <t>FP</t>
    <phoneticPr fontId="1" type="noConversion"/>
  </si>
  <si>
    <t>TPR</t>
    <phoneticPr fontId="1" type="noConversion"/>
  </si>
  <si>
    <t>FPR</t>
    <phoneticPr fontId="1" type="noConversion"/>
  </si>
  <si>
    <t>ACC</t>
    <phoneticPr fontId="1" type="noConversion"/>
  </si>
  <si>
    <t>DD</t>
    <phoneticPr fontId="1" type="noConversion"/>
  </si>
  <si>
    <t>漂移类型</t>
    <phoneticPr fontId="1" type="noConversion"/>
  </si>
  <si>
    <t>circles_w_500_n_0.1_101</t>
    <phoneticPr fontId="1" type="noConversion"/>
  </si>
  <si>
    <t>circles_w_500_n_0.1_102</t>
  </si>
  <si>
    <t>circles_w_500_n_0.1_103</t>
  </si>
  <si>
    <t>circles_w_500_n_0.1_104</t>
  </si>
  <si>
    <t>circles_w_500_n_0.1_105</t>
  </si>
  <si>
    <t>渐变</t>
    <phoneticPr fontId="1" type="noConversion"/>
  </si>
  <si>
    <t>led_w_500_n_0.1_101</t>
  </si>
  <si>
    <t>led_w_500_n_0.1_102</t>
  </si>
  <si>
    <t>led_w_500_n_0.1_103</t>
  </si>
  <si>
    <t>led_w_500_n_0.1_104</t>
  </si>
  <si>
    <t>led_w_500_n_0.1_105</t>
  </si>
  <si>
    <t>mixed_w_50_n_0.1_101</t>
    <phoneticPr fontId="1" type="noConversion"/>
  </si>
  <si>
    <t>mixed_w_50_n_0.1_102</t>
    <phoneticPr fontId="1" type="noConversion"/>
  </si>
  <si>
    <t>mixed_w_50_n_0.1_103</t>
    <phoneticPr fontId="1" type="noConversion"/>
  </si>
  <si>
    <t>mixed_w_50_n_0.1_104</t>
    <phoneticPr fontId="1" type="noConversion"/>
  </si>
  <si>
    <t>mixed_w_50_n_0.1_105</t>
    <phoneticPr fontId="1" type="noConversion"/>
  </si>
  <si>
    <t>突变</t>
    <phoneticPr fontId="1" type="noConversion"/>
  </si>
  <si>
    <t>sine1_w_50_n_0.1_101</t>
    <phoneticPr fontId="1" type="noConversion"/>
  </si>
  <si>
    <t>sine1_w_50_n_0.1_102</t>
  </si>
  <si>
    <t>sine1_w_50_n_0.1_103</t>
  </si>
  <si>
    <t>sine1_w_50_n_0.1_104</t>
  </si>
  <si>
    <t>sine1_w_50_n_0.1_105</t>
  </si>
  <si>
    <t>airlines</t>
    <phoneticPr fontId="1" type="noConversion"/>
  </si>
  <si>
    <t>poker-lsn</t>
    <phoneticPr fontId="1" type="noConversion"/>
  </si>
  <si>
    <t>covtypeNorm</t>
    <phoneticPr fontId="1" type="noConversion"/>
  </si>
  <si>
    <t>elecNormNew</t>
    <phoneticPr fontId="1" type="noConversion"/>
  </si>
  <si>
    <t>spam_data</t>
    <phoneticPr fontId="1" type="noConversion"/>
  </si>
  <si>
    <t>CD</t>
    <phoneticPr fontId="1" type="noConversion"/>
  </si>
  <si>
    <t>BDDM</t>
    <phoneticPr fontId="1" type="noConversion"/>
  </si>
  <si>
    <t>——</t>
    <phoneticPr fontId="1" type="noConversion"/>
  </si>
  <si>
    <t>HDDM_A</t>
    <phoneticPr fontId="1" type="noConversion"/>
  </si>
  <si>
    <t>HDDM_W</t>
    <phoneticPr fontId="1" type="noConversion"/>
  </si>
  <si>
    <t>DDM</t>
    <phoneticPr fontId="1" type="noConversion"/>
  </si>
  <si>
    <t>RDDM</t>
    <phoneticPr fontId="1" type="noConversion"/>
  </si>
  <si>
    <t>Page Hinkley Test</t>
    <phoneticPr fontId="1" type="noConversion"/>
  </si>
  <si>
    <t>KDDM</t>
    <phoneticPr fontId="1" type="noConversion"/>
  </si>
  <si>
    <t xml:space="preserve"> KDDM5 r=0.15 e=10 tr=1</t>
    <phoneticPr fontId="1" type="noConversion"/>
  </si>
  <si>
    <t>BDDM_R d = 0.5</t>
    <phoneticPr fontId="1" type="noConversion"/>
  </si>
  <si>
    <t>BDDM_R d=0.5</t>
    <phoneticPr fontId="1" type="noConversion"/>
  </si>
  <si>
    <t>CUSUM</t>
    <phoneticPr fontId="1" type="noConversion"/>
  </si>
  <si>
    <t>KDDM2</t>
    <phoneticPr fontId="1" type="noConversion"/>
  </si>
  <si>
    <t>PHT</t>
    <phoneticPr fontId="1" type="noConversion"/>
  </si>
  <si>
    <t>circle1</t>
    <phoneticPr fontId="1" type="noConversion"/>
  </si>
  <si>
    <t>circle2</t>
  </si>
  <si>
    <t>circle3</t>
  </si>
  <si>
    <t>circle4</t>
  </si>
  <si>
    <t>circle5</t>
  </si>
  <si>
    <t>circle_avg</t>
    <phoneticPr fontId="1" type="noConversion"/>
  </si>
  <si>
    <t>led1</t>
    <phoneticPr fontId="1" type="noConversion"/>
  </si>
  <si>
    <t>led2</t>
  </si>
  <si>
    <t>led3</t>
  </si>
  <si>
    <t>led4</t>
  </si>
  <si>
    <t>led5</t>
  </si>
  <si>
    <t>led_avg</t>
    <phoneticPr fontId="1" type="noConversion"/>
  </si>
  <si>
    <t>mixed1</t>
    <phoneticPr fontId="1" type="noConversion"/>
  </si>
  <si>
    <t>mixed2</t>
  </si>
  <si>
    <t>mixed3</t>
  </si>
  <si>
    <t>mixed4</t>
  </si>
  <si>
    <t>mixed5</t>
  </si>
  <si>
    <t>mixed_avg</t>
    <phoneticPr fontId="1" type="noConversion"/>
  </si>
  <si>
    <t>sine1</t>
    <phoneticPr fontId="1" type="noConversion"/>
  </si>
  <si>
    <t>sine2</t>
  </si>
  <si>
    <t>sine3</t>
  </si>
  <si>
    <t>sine4</t>
  </si>
  <si>
    <t>sine5</t>
  </si>
  <si>
    <t>sine_avg</t>
    <phoneticPr fontId="1" type="noConversion"/>
  </si>
  <si>
    <t>air</t>
    <phoneticPr fontId="1" type="noConversion"/>
  </si>
  <si>
    <t>cov</t>
    <phoneticPr fontId="1" type="noConversion"/>
  </si>
  <si>
    <t>elec</t>
    <phoneticPr fontId="1" type="noConversion"/>
  </si>
  <si>
    <t>poke</t>
    <phoneticPr fontId="1" type="noConversion"/>
  </si>
  <si>
    <t>spam</t>
    <phoneticPr fontId="1" type="noConversion"/>
  </si>
  <si>
    <t>avg_all2</t>
    <phoneticPr fontId="1" type="noConversion"/>
  </si>
  <si>
    <t>avg_all1</t>
    <phoneticPr fontId="1" type="noConversion"/>
  </si>
  <si>
    <t>rank</t>
    <phoneticPr fontId="1" type="noConversion"/>
  </si>
  <si>
    <t>rank_avg</t>
    <phoneticPr fontId="1" type="noConversion"/>
  </si>
  <si>
    <t>NB</t>
    <phoneticPr fontId="1" type="noConversion"/>
  </si>
  <si>
    <t>HT</t>
    <phoneticPr fontId="1" type="noConversion"/>
  </si>
  <si>
    <t>人工数据集</t>
    <phoneticPr fontId="1" type="noConversion"/>
  </si>
  <si>
    <t>sum-Rank</t>
    <phoneticPr fontId="1" type="noConversion"/>
  </si>
  <si>
    <t>rank_total</t>
    <phoneticPr fontId="1" type="noConversion"/>
  </si>
  <si>
    <t>真实数据集</t>
    <phoneticPr fontId="1" type="noConversion"/>
  </si>
  <si>
    <t>avg1</t>
    <phoneticPr fontId="1" type="noConversion"/>
  </si>
  <si>
    <t>avg</t>
    <phoneticPr fontId="1" type="noConversion"/>
  </si>
  <si>
    <t>sumrank</t>
    <phoneticPr fontId="1" type="noConversion"/>
  </si>
  <si>
    <t>rank2</t>
    <phoneticPr fontId="1" type="noConversion"/>
  </si>
  <si>
    <t>Avg</t>
    <phoneticPr fontId="1" type="noConversion"/>
  </si>
  <si>
    <t>FNR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</si>
</sst>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 "/>
    <numFmt numFmtId="177" formatCode="0.00_ "/>
    <numFmt numFmtId="178" formatCode="0.0000_);[Red]\(0.0000\)"/>
    <numFmt numFmtId="179" formatCode="0.00_);[Red]\(0.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6"/>
      <color theme="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8" xfId="0" applyBorder="1" applyAlignment="1">
      <alignment horizontal="left"/>
    </xf>
    <xf numFmtId="176" fontId="2" fillId="0" borderId="0" xfId="0" applyNumberFormat="1" applyFont="1"/>
    <xf numFmtId="176" fontId="0" fillId="0" borderId="0" xfId="0" applyNumberFormat="1"/>
    <xf numFmtId="178" fontId="0" fillId="0" borderId="0" xfId="0" applyNumberFormat="1" applyAlignment="1">
      <alignment horizontal="left"/>
    </xf>
    <xf numFmtId="178" fontId="0" fillId="0" borderId="2" xfId="0" applyNumberFormat="1" applyBorder="1" applyAlignment="1">
      <alignment vertical="center"/>
    </xf>
    <xf numFmtId="178" fontId="0" fillId="0" borderId="3" xfId="0" applyNumberFormat="1" applyBorder="1" applyAlignment="1">
      <alignment vertical="center"/>
    </xf>
    <xf numFmtId="178" fontId="0" fillId="0" borderId="3" xfId="0" applyNumberFormat="1" applyBorder="1" applyAlignment="1">
      <alignment horizontal="left"/>
    </xf>
    <xf numFmtId="178" fontId="0" fillId="0" borderId="4" xfId="0" applyNumberFormat="1" applyBorder="1" applyAlignment="1">
      <alignment horizontal="left"/>
    </xf>
    <xf numFmtId="178" fontId="0" fillId="0" borderId="5" xfId="0" applyNumberFormat="1" applyBorder="1" applyAlignment="1">
      <alignment vertical="center"/>
    </xf>
    <xf numFmtId="178" fontId="0" fillId="0" borderId="0" xfId="0" applyNumberFormat="1" applyAlignment="1">
      <alignment vertical="center"/>
    </xf>
    <xf numFmtId="178" fontId="0" fillId="0" borderId="7" xfId="0" applyNumberFormat="1" applyBorder="1" applyAlignment="1">
      <alignment vertical="center"/>
    </xf>
    <xf numFmtId="178" fontId="0" fillId="0" borderId="8" xfId="0" applyNumberFormat="1" applyBorder="1" applyAlignment="1">
      <alignment vertical="center"/>
    </xf>
    <xf numFmtId="178" fontId="0" fillId="0" borderId="8" xfId="0" applyNumberFormat="1" applyBorder="1" applyAlignment="1">
      <alignment horizontal="left"/>
    </xf>
    <xf numFmtId="178" fontId="0" fillId="0" borderId="4" xfId="0" applyNumberFormat="1" applyBorder="1" applyAlignment="1">
      <alignment vertical="center"/>
    </xf>
    <xf numFmtId="178" fontId="0" fillId="0" borderId="6" xfId="0" applyNumberFormat="1" applyBorder="1" applyAlignment="1">
      <alignment vertical="center"/>
    </xf>
    <xf numFmtId="178" fontId="0" fillId="0" borderId="9" xfId="0" applyNumberFormat="1" applyBorder="1" applyAlignment="1">
      <alignment vertical="center"/>
    </xf>
    <xf numFmtId="179" fontId="0" fillId="0" borderId="0" xfId="0" applyNumberFormat="1" applyAlignment="1">
      <alignment horizontal="left"/>
    </xf>
    <xf numFmtId="179" fontId="0" fillId="0" borderId="3" xfId="0" applyNumberFormat="1" applyBorder="1" applyAlignment="1">
      <alignment horizontal="left"/>
    </xf>
    <xf numFmtId="179" fontId="0" fillId="0" borderId="8" xfId="0" applyNumberFormat="1" applyBorder="1" applyAlignment="1">
      <alignment horizontal="left"/>
    </xf>
    <xf numFmtId="179" fontId="0" fillId="0" borderId="0" xfId="0" applyNumberFormat="1"/>
    <xf numFmtId="176" fontId="0" fillId="0" borderId="0" xfId="0" applyNumberFormat="1" applyAlignment="1">
      <alignment horizontal="left"/>
    </xf>
    <xf numFmtId="176" fontId="0" fillId="0" borderId="2" xfId="0" applyNumberFormat="1" applyBorder="1" applyAlignment="1">
      <alignment vertical="center"/>
    </xf>
    <xf numFmtId="176" fontId="0" fillId="0" borderId="3" xfId="0" applyNumberFormat="1" applyBorder="1" applyAlignment="1">
      <alignment vertical="center"/>
    </xf>
    <xf numFmtId="176" fontId="0" fillId="0" borderId="3" xfId="0" applyNumberFormat="1" applyBorder="1" applyAlignment="1">
      <alignment horizontal="left"/>
    </xf>
    <xf numFmtId="176" fontId="0" fillId="0" borderId="4" xfId="0" applyNumberFormat="1" applyBorder="1" applyAlignment="1">
      <alignment horizontal="left"/>
    </xf>
    <xf numFmtId="176" fontId="0" fillId="0" borderId="5" xfId="0" applyNumberFormat="1" applyBorder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7" xfId="0" applyNumberFormat="1" applyBorder="1" applyAlignment="1">
      <alignment vertical="center"/>
    </xf>
    <xf numFmtId="176" fontId="0" fillId="0" borderId="8" xfId="0" applyNumberFormat="1" applyBorder="1" applyAlignment="1">
      <alignment vertical="center"/>
    </xf>
    <xf numFmtId="176" fontId="0" fillId="0" borderId="8" xfId="0" applyNumberFormat="1" applyBorder="1" applyAlignment="1">
      <alignment horizontal="left"/>
    </xf>
    <xf numFmtId="176" fontId="0" fillId="0" borderId="4" xfId="0" applyNumberFormat="1" applyBorder="1" applyAlignment="1">
      <alignment vertical="center"/>
    </xf>
    <xf numFmtId="176" fontId="0" fillId="0" borderId="6" xfId="0" applyNumberFormat="1" applyBorder="1" applyAlignment="1">
      <alignment vertical="center"/>
    </xf>
    <xf numFmtId="176" fontId="0" fillId="0" borderId="9" xfId="0" applyNumberFormat="1" applyBorder="1" applyAlignment="1">
      <alignment vertical="center"/>
    </xf>
    <xf numFmtId="177" fontId="0" fillId="0" borderId="0" xfId="0" applyNumberFormat="1" applyAlignment="1">
      <alignment horizontal="left"/>
    </xf>
    <xf numFmtId="177" fontId="0" fillId="0" borderId="3" xfId="0" applyNumberFormat="1" applyBorder="1" applyAlignment="1">
      <alignment horizontal="left"/>
    </xf>
    <xf numFmtId="177" fontId="0" fillId="0" borderId="8" xfId="0" applyNumberFormat="1" applyBorder="1" applyAlignment="1">
      <alignment horizontal="left"/>
    </xf>
    <xf numFmtId="177" fontId="0" fillId="0" borderId="0" xfId="0" applyNumberFormat="1"/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78" fontId="0" fillId="3" borderId="1" xfId="0" applyNumberFormat="1" applyFill="1" applyBorder="1" applyAlignment="1">
      <alignment horizontal="center"/>
    </xf>
    <xf numFmtId="178" fontId="0" fillId="2" borderId="1" xfId="0" applyNumberFormat="1" applyFill="1" applyBorder="1" applyAlignment="1">
      <alignment horizontal="center"/>
    </xf>
    <xf numFmtId="176" fontId="0" fillId="3" borderId="10" xfId="0" applyNumberFormat="1" applyFill="1" applyBorder="1" applyAlignment="1">
      <alignment horizontal="center"/>
    </xf>
    <xf numFmtId="176" fontId="0" fillId="3" borderId="11" xfId="0" applyNumberFormat="1" applyFill="1" applyBorder="1" applyAlignment="1">
      <alignment horizontal="center"/>
    </xf>
    <xf numFmtId="176" fontId="0" fillId="3" borderId="12" xfId="0" applyNumberFormat="1" applyFill="1" applyBorder="1" applyAlignment="1">
      <alignment horizontal="center"/>
    </xf>
    <xf numFmtId="176" fontId="0" fillId="2" borderId="10" xfId="0" applyNumberFormat="1" applyFill="1" applyBorder="1" applyAlignment="1">
      <alignment horizontal="center"/>
    </xf>
    <xf numFmtId="176" fontId="0" fillId="2" borderId="11" xfId="0" applyNumberFormat="1" applyFill="1" applyBorder="1" applyAlignment="1">
      <alignment horizontal="center"/>
    </xf>
    <xf numFmtId="176" fontId="0" fillId="2" borderId="12" xfId="0" applyNumberFormat="1" applyFill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18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/>
    <xf numFmtId="0" fontId="0" fillId="0" borderId="13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14" xfId="0" applyFill="1" applyBorder="1" applyAlignment="1">
      <alignment horizontal="left"/>
    </xf>
    <xf numFmtId="0" fontId="0" fillId="0" borderId="19" xfId="0" applyFill="1" applyBorder="1" applyAlignment="1">
      <alignment vertical="center"/>
    </xf>
    <xf numFmtId="0" fontId="0" fillId="0" borderId="19" xfId="0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17532-C379-4022-8807-AD538274759C}">
  <dimension ref="A1:AW76"/>
  <sheetViews>
    <sheetView tabSelected="1" zoomScale="55" zoomScaleNormal="55" workbookViewId="0">
      <selection activeCell="N98" sqref="N98"/>
    </sheetView>
  </sheetViews>
  <sheetFormatPr defaultRowHeight="13.8" x14ac:dyDescent="0.25"/>
  <sheetData>
    <row r="1" spans="1:49" x14ac:dyDescent="0.25">
      <c r="A1" s="1"/>
      <c r="B1" s="1"/>
      <c r="C1" s="64" t="s">
        <v>46</v>
      </c>
      <c r="D1" s="65"/>
      <c r="E1" s="65"/>
      <c r="F1" s="65"/>
      <c r="G1" s="65"/>
      <c r="H1" s="65"/>
      <c r="I1" s="66"/>
      <c r="K1" s="64" t="s">
        <v>46</v>
      </c>
      <c r="L1" s="65"/>
      <c r="M1" s="65"/>
      <c r="N1" s="65"/>
      <c r="O1" s="65"/>
      <c r="P1" s="65"/>
      <c r="Q1" s="66"/>
      <c r="S1" s="64" t="s">
        <v>46</v>
      </c>
      <c r="T1" s="65"/>
      <c r="U1" s="65"/>
      <c r="V1" s="65"/>
      <c r="W1" s="65"/>
      <c r="X1" s="65"/>
      <c r="Y1" s="66"/>
      <c r="AA1" s="64" t="s">
        <v>46</v>
      </c>
      <c r="AB1" s="65"/>
      <c r="AC1" s="65"/>
      <c r="AD1" s="65"/>
      <c r="AE1" s="65"/>
      <c r="AF1" s="65"/>
      <c r="AG1" s="66"/>
      <c r="AI1" s="64" t="s">
        <v>46</v>
      </c>
      <c r="AJ1" s="65"/>
      <c r="AK1" s="65"/>
      <c r="AL1" s="65"/>
      <c r="AM1" s="65"/>
      <c r="AN1" s="65"/>
      <c r="AO1" s="66"/>
      <c r="AQ1" s="67" t="s">
        <v>46</v>
      </c>
      <c r="AR1" s="68"/>
      <c r="AS1" s="68"/>
      <c r="AT1" s="68"/>
      <c r="AU1" s="68"/>
      <c r="AV1" s="68"/>
      <c r="AW1" s="69"/>
    </row>
    <row r="2" spans="1:49" ht="14.4" thickBot="1" x14ac:dyDescent="0.3">
      <c r="A2" s="1" t="s">
        <v>0</v>
      </c>
      <c r="B2" s="1" t="s">
        <v>9</v>
      </c>
      <c r="C2" s="1" t="s">
        <v>2</v>
      </c>
      <c r="D2" s="1" t="s">
        <v>7</v>
      </c>
      <c r="E2" s="1" t="s">
        <v>3</v>
      </c>
      <c r="F2" s="1" t="s">
        <v>5</v>
      </c>
      <c r="G2" s="1" t="s">
        <v>8</v>
      </c>
      <c r="H2" s="1" t="s">
        <v>4</v>
      </c>
      <c r="I2" s="1" t="s">
        <v>6</v>
      </c>
      <c r="K2" s="1" t="s">
        <v>2</v>
      </c>
      <c r="L2" s="1" t="s">
        <v>7</v>
      </c>
      <c r="M2" s="1" t="s">
        <v>3</v>
      </c>
      <c r="N2" s="1" t="s">
        <v>5</v>
      </c>
      <c r="O2" s="1" t="s">
        <v>8</v>
      </c>
      <c r="P2" s="1" t="s">
        <v>4</v>
      </c>
      <c r="Q2" s="1" t="s">
        <v>6</v>
      </c>
      <c r="S2" s="1" t="s">
        <v>2</v>
      </c>
      <c r="T2" s="1" t="s">
        <v>7</v>
      </c>
      <c r="U2" s="1" t="s">
        <v>3</v>
      </c>
      <c r="V2" s="1" t="s">
        <v>5</v>
      </c>
      <c r="W2" s="1" t="s">
        <v>8</v>
      </c>
      <c r="X2" s="1" t="s">
        <v>4</v>
      </c>
      <c r="Y2" s="1" t="s">
        <v>6</v>
      </c>
      <c r="AA2" s="1" t="s">
        <v>2</v>
      </c>
      <c r="AB2" s="1" t="s">
        <v>7</v>
      </c>
      <c r="AC2" s="1" t="s">
        <v>3</v>
      </c>
      <c r="AD2" s="1" t="s">
        <v>5</v>
      </c>
      <c r="AE2" s="1" t="s">
        <v>8</v>
      </c>
      <c r="AF2" s="1" t="s">
        <v>4</v>
      </c>
      <c r="AG2" s="1" t="s">
        <v>6</v>
      </c>
      <c r="AI2" s="1" t="s">
        <v>2</v>
      </c>
      <c r="AJ2" s="1" t="s">
        <v>7</v>
      </c>
      <c r="AK2" s="1" t="s">
        <v>3</v>
      </c>
      <c r="AL2" s="1" t="s">
        <v>5</v>
      </c>
      <c r="AM2" s="1" t="s">
        <v>8</v>
      </c>
      <c r="AN2" s="1" t="s">
        <v>4</v>
      </c>
      <c r="AO2" s="1" t="s">
        <v>6</v>
      </c>
      <c r="AQ2" s="1" t="s">
        <v>2</v>
      </c>
      <c r="AR2" s="1" t="s">
        <v>7</v>
      </c>
      <c r="AS2" s="1" t="s">
        <v>3</v>
      </c>
      <c r="AT2" s="1" t="s">
        <v>5</v>
      </c>
      <c r="AU2" s="1" t="s">
        <v>8</v>
      </c>
      <c r="AV2" s="1" t="s">
        <v>4</v>
      </c>
      <c r="AW2" s="1" t="s">
        <v>6</v>
      </c>
    </row>
    <row r="3" spans="1:49" x14ac:dyDescent="0.25">
      <c r="A3" s="1" t="s">
        <v>10</v>
      </c>
      <c r="B3" s="1" t="s">
        <v>15</v>
      </c>
      <c r="C3" s="2">
        <v>8.7875032812500002</v>
      </c>
      <c r="D3" s="2">
        <v>83.865104952134331</v>
      </c>
      <c r="E3" s="5">
        <v>2</v>
      </c>
      <c r="F3" s="5">
        <f>E3/3</f>
        <v>0.66666666666666663</v>
      </c>
      <c r="G3" s="5">
        <f>(157+36)/2</f>
        <v>96.5</v>
      </c>
      <c r="H3" s="5">
        <v>2</v>
      </c>
      <c r="I3" s="6">
        <f>H3/(E3+H3)</f>
        <v>0.5</v>
      </c>
      <c r="K3" s="2">
        <v>9.4429545312500007</v>
      </c>
      <c r="L3" s="2">
        <v>83.86987216700777</v>
      </c>
      <c r="M3" s="5">
        <v>2</v>
      </c>
      <c r="N3" s="5">
        <f>M3/3</f>
        <v>0.66666666666666663</v>
      </c>
      <c r="O3" s="5">
        <f>(159+37)/2</f>
        <v>98</v>
      </c>
      <c r="P3" s="5">
        <v>2</v>
      </c>
      <c r="Q3" s="6">
        <f>P3/(M3+P3)</f>
        <v>0.5</v>
      </c>
      <c r="S3" s="2">
        <v>10.191778906250001</v>
      </c>
      <c r="T3" s="2">
        <v>83.860184197756681</v>
      </c>
      <c r="U3" s="5">
        <v>2</v>
      </c>
      <c r="V3" s="5">
        <f>U3/3</f>
        <v>0.66666666666666663</v>
      </c>
      <c r="W3" s="5">
        <f>(168+36)/2</f>
        <v>102</v>
      </c>
      <c r="X3" s="5">
        <v>1</v>
      </c>
      <c r="Y3" s="6">
        <f>X3/(U3+X3)</f>
        <v>0.33333333333333331</v>
      </c>
      <c r="AA3" s="2">
        <v>9.8425076562499996</v>
      </c>
      <c r="AB3" s="2">
        <v>83.871733232687376</v>
      </c>
      <c r="AC3" s="5">
        <v>2</v>
      </c>
      <c r="AD3" s="5">
        <f>AC3/3</f>
        <v>0.66666666666666663</v>
      </c>
      <c r="AE3" s="5">
        <f>(163+37)/2</f>
        <v>100</v>
      </c>
      <c r="AF3" s="5">
        <v>2</v>
      </c>
      <c r="AG3" s="6">
        <f>AF3/(AC3+AF3)</f>
        <v>0.5</v>
      </c>
      <c r="AI3" s="2">
        <v>9.8928126562499994</v>
      </c>
      <c r="AJ3" s="2">
        <v>83.849766372489725</v>
      </c>
      <c r="AK3" s="5">
        <v>2</v>
      </c>
      <c r="AL3" s="5">
        <f>AK3/3</f>
        <v>0.66666666666666663</v>
      </c>
      <c r="AM3" s="5">
        <f>(217+38)/2</f>
        <v>127.5</v>
      </c>
      <c r="AN3" s="5">
        <v>2</v>
      </c>
      <c r="AO3" s="6">
        <f>AN3/(AK3+AN3)</f>
        <v>0.5</v>
      </c>
      <c r="AQ3" s="15">
        <f>AVERAGE(C3,K3,S3,AA3,AI3)</f>
        <v>9.6315114062500005</v>
      </c>
      <c r="AR3" s="16">
        <f>AVERAGE(D3,L3,T3,AB3,AJ3)</f>
        <v>83.863332184415185</v>
      </c>
      <c r="AS3" s="17">
        <f>AVERAGE(E3,M3,U3,AC3,AK3)</f>
        <v>2</v>
      </c>
      <c r="AT3" s="17">
        <f>AS3/3</f>
        <v>0.66666666666666663</v>
      </c>
      <c r="AU3" s="17">
        <f>AVERAGE(G3,O3,W3,AE3,AM3)</f>
        <v>104.8</v>
      </c>
      <c r="AV3" s="17">
        <f>AVERAGE(H3,P3,X3,AF3,AN3)</f>
        <v>1.8</v>
      </c>
      <c r="AW3" s="18">
        <f>AV3/(AS3+AV3)</f>
        <v>0.47368421052631582</v>
      </c>
    </row>
    <row r="4" spans="1:49" x14ac:dyDescent="0.25">
      <c r="A4" s="1" t="s">
        <v>11</v>
      </c>
      <c r="B4" s="1" t="s">
        <v>15</v>
      </c>
      <c r="C4" s="2">
        <v>10.1471865625</v>
      </c>
      <c r="D4" s="2">
        <v>83.852259854583224</v>
      </c>
      <c r="E4" s="1">
        <v>3</v>
      </c>
      <c r="F4" s="1">
        <f t="shared" ref="F4:F7" si="0">E4/3</f>
        <v>1</v>
      </c>
      <c r="G4" s="1">
        <f>(43+90+64)/3</f>
        <v>65.666666666666671</v>
      </c>
      <c r="H4" s="1">
        <v>2</v>
      </c>
      <c r="I4" s="8">
        <f t="shared" ref="I4:I7" si="1">H4/(E4+H4)</f>
        <v>0.4</v>
      </c>
      <c r="K4" s="2">
        <v>10.13943578125</v>
      </c>
      <c r="L4" s="2">
        <v>83.843828711443365</v>
      </c>
      <c r="M4" s="1">
        <v>3</v>
      </c>
      <c r="N4" s="1">
        <f t="shared" ref="N4:N7" si="2">M4/3</f>
        <v>1</v>
      </c>
      <c r="O4" s="1">
        <f>(45+93+62)/3</f>
        <v>66.666666666666671</v>
      </c>
      <c r="P4" s="1">
        <v>2</v>
      </c>
      <c r="Q4" s="8">
        <f t="shared" ref="Q4:Q7" si="3">P4/(M4+P4)</f>
        <v>0.4</v>
      </c>
      <c r="S4" s="2">
        <v>10.0406671875</v>
      </c>
      <c r="T4" s="2">
        <v>83.845472869753593</v>
      </c>
      <c r="U4" s="1">
        <v>3</v>
      </c>
      <c r="V4" s="1">
        <f t="shared" ref="V4:V7" si="4">U4/3</f>
        <v>1</v>
      </c>
      <c r="W4" s="1">
        <f>(44+90+62)/3</f>
        <v>65.333333333333329</v>
      </c>
      <c r="X4" s="1">
        <v>2</v>
      </c>
      <c r="Y4" s="8">
        <f t="shared" ref="Y4:Y7" si="5">X4/(U4+X4)</f>
        <v>0.4</v>
      </c>
      <c r="AA4" s="2">
        <v>9.8209793750000003</v>
      </c>
      <c r="AB4" s="2">
        <v>83.849568791940655</v>
      </c>
      <c r="AC4" s="1">
        <v>3</v>
      </c>
      <c r="AD4" s="1">
        <f t="shared" ref="AD4:AD7" si="6">AC4/3</f>
        <v>1</v>
      </c>
      <c r="AE4" s="1">
        <f>(43+89+62)/3</f>
        <v>64.666666666666671</v>
      </c>
      <c r="AF4" s="1">
        <v>2</v>
      </c>
      <c r="AG4" s="8">
        <f t="shared" ref="AG4:AG7" si="7">AF4/(AC4+AF4)</f>
        <v>0.4</v>
      </c>
      <c r="AI4" s="2">
        <v>10.02998765625</v>
      </c>
      <c r="AJ4" s="2">
        <v>83.861673210103362</v>
      </c>
      <c r="AK4" s="1">
        <v>3</v>
      </c>
      <c r="AL4" s="1">
        <f t="shared" ref="AL4:AL7" si="8">AK4/3</f>
        <v>1</v>
      </c>
      <c r="AM4" s="1">
        <f>(45+89+64)/3</f>
        <v>66</v>
      </c>
      <c r="AN4" s="1">
        <v>2</v>
      </c>
      <c r="AO4" s="8">
        <f t="shared" ref="AO4:AO7" si="9">AN4/(AK4+AN4)</f>
        <v>0.4</v>
      </c>
      <c r="AQ4" s="19">
        <f t="shared" ref="AQ4:AQ7" si="10">AVERAGE(C4,K4,S4,AA4,AI4)</f>
        <v>10.035651312500001</v>
      </c>
      <c r="AR4" s="13">
        <f t="shared" ref="AR4:AR7" si="11">AVERAGE(D4,L4,T4,AB4,AJ4)</f>
        <v>83.850560687564851</v>
      </c>
      <c r="AS4" s="14">
        <f t="shared" ref="AS4:AS7" si="12">AVERAGE(E4,M4,U4,AC4,AK4)</f>
        <v>3</v>
      </c>
      <c r="AT4" s="14">
        <f t="shared" ref="AT4:AT7" si="13">AS4/3</f>
        <v>1</v>
      </c>
      <c r="AU4" s="14">
        <f t="shared" ref="AU4:AU7" si="14">AVERAGE(G4,O4,W4,AE4,AM4)</f>
        <v>65.666666666666671</v>
      </c>
      <c r="AV4" s="14">
        <f t="shared" ref="AV4:AV7" si="15">AVERAGE(H4,P4,X4,AF4,AN4)</f>
        <v>2</v>
      </c>
      <c r="AW4" s="20">
        <f t="shared" ref="AW4:AW7" si="16">AV4/(AS4+AV4)</f>
        <v>0.4</v>
      </c>
    </row>
    <row r="5" spans="1:49" x14ac:dyDescent="0.25">
      <c r="A5" s="1" t="s">
        <v>12</v>
      </c>
      <c r="B5" s="1" t="s">
        <v>15</v>
      </c>
      <c r="C5" s="2">
        <v>10.2404834375</v>
      </c>
      <c r="D5" s="2">
        <v>83.553270323288416</v>
      </c>
      <c r="E5" s="1">
        <v>3</v>
      </c>
      <c r="F5" s="1">
        <f t="shared" si="0"/>
        <v>1</v>
      </c>
      <c r="G5" s="1">
        <f>(75+33+570)/3</f>
        <v>226</v>
      </c>
      <c r="H5" s="1">
        <v>0</v>
      </c>
      <c r="I5" s="8">
        <f t="shared" si="1"/>
        <v>0</v>
      </c>
      <c r="K5" s="2">
        <v>9.8602676562500005</v>
      </c>
      <c r="L5" s="2">
        <v>83.553912848355552</v>
      </c>
      <c r="M5" s="1">
        <v>3</v>
      </c>
      <c r="N5" s="1">
        <f t="shared" si="2"/>
        <v>1</v>
      </c>
      <c r="O5" s="1">
        <f>(91+37+570)/3</f>
        <v>232.66666666666666</v>
      </c>
      <c r="P5" s="1">
        <v>0</v>
      </c>
      <c r="Q5" s="8">
        <f t="shared" si="3"/>
        <v>0</v>
      </c>
      <c r="S5" s="2">
        <v>10.511661406249999</v>
      </c>
      <c r="T5" s="2">
        <v>83.55446059825293</v>
      </c>
      <c r="U5" s="1">
        <v>3</v>
      </c>
      <c r="V5" s="1">
        <f t="shared" si="4"/>
        <v>1</v>
      </c>
      <c r="W5" s="1">
        <f>(91+37+569)/3</f>
        <v>232.33333333333334</v>
      </c>
      <c r="X5" s="1">
        <v>0</v>
      </c>
      <c r="Y5" s="8">
        <f t="shared" si="5"/>
        <v>0</v>
      </c>
      <c r="AA5" s="2">
        <v>10.34151140625</v>
      </c>
      <c r="AB5" s="2">
        <v>83.551354943020669</v>
      </c>
      <c r="AC5" s="1">
        <v>3</v>
      </c>
      <c r="AD5" s="1">
        <f t="shared" si="6"/>
        <v>1</v>
      </c>
      <c r="AE5" s="1">
        <f>(92+33+570)/3</f>
        <v>231.66666666666666</v>
      </c>
      <c r="AF5" s="1">
        <v>0</v>
      </c>
      <c r="AG5" s="8">
        <f t="shared" si="7"/>
        <v>0</v>
      </c>
      <c r="AI5" s="2">
        <v>9.9939982812500006</v>
      </c>
      <c r="AJ5" s="2">
        <v>83.553272115050021</v>
      </c>
      <c r="AK5" s="1">
        <v>3</v>
      </c>
      <c r="AL5" s="1">
        <f t="shared" si="8"/>
        <v>1</v>
      </c>
      <c r="AM5" s="1">
        <f>(93+39+570)/3</f>
        <v>234</v>
      </c>
      <c r="AN5" s="1">
        <v>0</v>
      </c>
      <c r="AO5" s="8">
        <f t="shared" si="9"/>
        <v>0</v>
      </c>
      <c r="AQ5" s="19">
        <f t="shared" si="10"/>
        <v>10.189584437499999</v>
      </c>
      <c r="AR5" s="13">
        <f t="shared" si="11"/>
        <v>83.553254165593515</v>
      </c>
      <c r="AS5" s="14">
        <f t="shared" si="12"/>
        <v>3</v>
      </c>
      <c r="AT5" s="14">
        <f t="shared" si="13"/>
        <v>1</v>
      </c>
      <c r="AU5" s="14">
        <f t="shared" si="14"/>
        <v>231.33333333333331</v>
      </c>
      <c r="AV5" s="14">
        <f t="shared" si="15"/>
        <v>0</v>
      </c>
      <c r="AW5" s="20">
        <f t="shared" si="16"/>
        <v>0</v>
      </c>
    </row>
    <row r="6" spans="1:49" x14ac:dyDescent="0.25">
      <c r="A6" s="1" t="s">
        <v>13</v>
      </c>
      <c r="B6" s="1" t="s">
        <v>15</v>
      </c>
      <c r="C6" s="2">
        <v>10.19405953125</v>
      </c>
      <c r="D6" s="2">
        <v>83.939484982987182</v>
      </c>
      <c r="E6" s="1">
        <v>3</v>
      </c>
      <c r="F6" s="1">
        <f t="shared" si="0"/>
        <v>1</v>
      </c>
      <c r="G6">
        <f>(103+110+553)/3</f>
        <v>255.33333333333334</v>
      </c>
      <c r="H6" s="1">
        <v>0</v>
      </c>
      <c r="I6" s="8">
        <f t="shared" si="1"/>
        <v>0</v>
      </c>
      <c r="K6" s="2">
        <v>11.03425859375</v>
      </c>
      <c r="L6" s="2">
        <v>83.949047915644869</v>
      </c>
      <c r="M6" s="1">
        <v>3</v>
      </c>
      <c r="N6" s="1">
        <f t="shared" si="2"/>
        <v>1</v>
      </c>
      <c r="O6">
        <f>(97+108+553)/3</f>
        <v>252.66666666666666</v>
      </c>
      <c r="P6" s="1">
        <v>0</v>
      </c>
      <c r="Q6" s="8">
        <f t="shared" si="3"/>
        <v>0</v>
      </c>
      <c r="S6" s="2">
        <v>10.07973609375</v>
      </c>
      <c r="T6" s="2">
        <v>83.949047915644869</v>
      </c>
      <c r="U6" s="1">
        <v>3</v>
      </c>
      <c r="V6" s="1">
        <f t="shared" si="4"/>
        <v>1</v>
      </c>
      <c r="W6">
        <f>(97+108+553)/3</f>
        <v>252.66666666666666</v>
      </c>
      <c r="X6" s="1">
        <v>0</v>
      </c>
      <c r="Y6" s="8">
        <f t="shared" si="5"/>
        <v>0</v>
      </c>
      <c r="AA6" s="2">
        <v>9.8058939062500006</v>
      </c>
      <c r="AB6" s="2">
        <v>83.939227360860812</v>
      </c>
      <c r="AC6" s="1">
        <v>3</v>
      </c>
      <c r="AD6" s="1">
        <f t="shared" si="6"/>
        <v>1</v>
      </c>
      <c r="AE6">
        <f>(103+110+554)/3</f>
        <v>255.66666666666666</v>
      </c>
      <c r="AF6" s="1">
        <v>0</v>
      </c>
      <c r="AG6" s="8">
        <f t="shared" si="7"/>
        <v>0</v>
      </c>
      <c r="AI6" s="2">
        <v>11.20421140625</v>
      </c>
      <c r="AJ6" s="2">
        <v>83.940541424580218</v>
      </c>
      <c r="AK6" s="1">
        <v>3</v>
      </c>
      <c r="AL6" s="1">
        <f t="shared" si="8"/>
        <v>1</v>
      </c>
      <c r="AM6">
        <f>(103+108+554)/3</f>
        <v>255</v>
      </c>
      <c r="AN6" s="1">
        <v>0</v>
      </c>
      <c r="AO6" s="8">
        <f t="shared" si="9"/>
        <v>0</v>
      </c>
      <c r="AQ6" s="19">
        <f t="shared" si="10"/>
        <v>10.463631906250001</v>
      </c>
      <c r="AR6" s="13">
        <f t="shared" si="11"/>
        <v>83.943469919943581</v>
      </c>
      <c r="AS6" s="14">
        <f t="shared" si="12"/>
        <v>3</v>
      </c>
      <c r="AT6" s="14">
        <f t="shared" si="13"/>
        <v>1</v>
      </c>
      <c r="AU6" s="14">
        <f t="shared" si="14"/>
        <v>254.26666666666665</v>
      </c>
      <c r="AV6" s="14">
        <f t="shared" si="15"/>
        <v>0</v>
      </c>
      <c r="AW6" s="20">
        <f t="shared" si="16"/>
        <v>0</v>
      </c>
    </row>
    <row r="7" spans="1:49" ht="14.4" thickBot="1" x14ac:dyDescent="0.3">
      <c r="A7" s="1" t="s">
        <v>14</v>
      </c>
      <c r="B7" s="1" t="s">
        <v>15</v>
      </c>
      <c r="C7" s="2">
        <v>10.21877734375</v>
      </c>
      <c r="D7" s="2">
        <v>83.661546554039518</v>
      </c>
      <c r="E7" s="9">
        <v>3</v>
      </c>
      <c r="F7" s="9">
        <f t="shared" si="0"/>
        <v>1</v>
      </c>
      <c r="G7" s="9">
        <f>(162+68+256)/3</f>
        <v>162</v>
      </c>
      <c r="H7" s="9">
        <v>0</v>
      </c>
      <c r="I7" s="10">
        <f t="shared" si="1"/>
        <v>0</v>
      </c>
      <c r="K7" s="2">
        <v>10.18764296875</v>
      </c>
      <c r="L7" s="2">
        <v>83.654786838175696</v>
      </c>
      <c r="M7" s="9">
        <v>3</v>
      </c>
      <c r="N7" s="9">
        <f t="shared" si="2"/>
        <v>1</v>
      </c>
      <c r="O7" s="9">
        <f>(159+70+256)/3</f>
        <v>161.66666666666666</v>
      </c>
      <c r="P7" s="9">
        <v>0</v>
      </c>
      <c r="Q7" s="10">
        <f t="shared" si="3"/>
        <v>0</v>
      </c>
      <c r="S7" s="2">
        <v>9.9367121874999995</v>
      </c>
      <c r="T7" s="2">
        <v>83.656471049002477</v>
      </c>
      <c r="U7" s="9">
        <v>3</v>
      </c>
      <c r="V7" s="9">
        <f t="shared" si="4"/>
        <v>1</v>
      </c>
      <c r="W7" s="9">
        <f>(163+72+257)/3</f>
        <v>164</v>
      </c>
      <c r="X7" s="9">
        <v>0</v>
      </c>
      <c r="Y7" s="10">
        <f t="shared" si="5"/>
        <v>0</v>
      </c>
      <c r="AA7" s="2">
        <v>10.17827984375</v>
      </c>
      <c r="AB7" s="2">
        <v>83.65912023498187</v>
      </c>
      <c r="AC7" s="9">
        <v>3</v>
      </c>
      <c r="AD7" s="9">
        <f t="shared" si="6"/>
        <v>1</v>
      </c>
      <c r="AE7" s="9">
        <f>(162+70+256)/3</f>
        <v>162.66666666666666</v>
      </c>
      <c r="AF7" s="9">
        <v>0</v>
      </c>
      <c r="AG7" s="10">
        <f t="shared" si="7"/>
        <v>0</v>
      </c>
      <c r="AI7" s="2">
        <v>11.0161646875</v>
      </c>
      <c r="AJ7" s="2">
        <v>83.662216516753062</v>
      </c>
      <c r="AK7" s="9">
        <v>3</v>
      </c>
      <c r="AL7" s="9">
        <f t="shared" si="8"/>
        <v>1</v>
      </c>
      <c r="AM7" s="9">
        <f>(162+62+257)/3</f>
        <v>160.33333333333334</v>
      </c>
      <c r="AN7" s="9">
        <v>0</v>
      </c>
      <c r="AO7" s="10">
        <f t="shared" si="9"/>
        <v>0</v>
      </c>
      <c r="AQ7" s="21">
        <f t="shared" si="10"/>
        <v>10.307515406250001</v>
      </c>
      <c r="AR7" s="22">
        <f t="shared" si="11"/>
        <v>83.65882823859053</v>
      </c>
      <c r="AS7" s="23">
        <f t="shared" si="12"/>
        <v>3</v>
      </c>
      <c r="AT7" s="23">
        <f t="shared" si="13"/>
        <v>1</v>
      </c>
      <c r="AU7" s="23">
        <f t="shared" si="14"/>
        <v>162.13333333333333</v>
      </c>
      <c r="AV7" s="23">
        <f t="shared" si="15"/>
        <v>0</v>
      </c>
      <c r="AW7" s="24">
        <f t="shared" si="16"/>
        <v>0</v>
      </c>
    </row>
    <row r="8" spans="1:49" x14ac:dyDescent="0.25">
      <c r="A8" s="1"/>
      <c r="B8" s="1"/>
      <c r="C8" s="1">
        <f>AVERAGE(C3:C7)</f>
        <v>9.9176020312500004</v>
      </c>
      <c r="D8" s="1">
        <f t="shared" ref="D8:I8" si="17">AVERAGE(D3:D7)</f>
        <v>83.774333333406545</v>
      </c>
      <c r="E8" s="1">
        <f t="shared" si="17"/>
        <v>2.8</v>
      </c>
      <c r="F8" s="1">
        <f t="shared" si="17"/>
        <v>0.93333333333333324</v>
      </c>
      <c r="G8" s="1">
        <f t="shared" si="17"/>
        <v>161.1</v>
      </c>
      <c r="H8" s="1">
        <f t="shared" si="17"/>
        <v>0.8</v>
      </c>
      <c r="I8" s="1">
        <f t="shared" si="17"/>
        <v>0.18</v>
      </c>
      <c r="K8" s="1">
        <f>AVERAGE(K3:K7)</f>
        <v>10.132911906250001</v>
      </c>
      <c r="L8" s="1">
        <f t="shared" ref="L8:Q8" si="18">AVERAGE(L3:L7)</f>
        <v>83.774289696125464</v>
      </c>
      <c r="M8" s="1">
        <f t="shared" si="18"/>
        <v>2.8</v>
      </c>
      <c r="N8" s="1">
        <f t="shared" si="18"/>
        <v>0.93333333333333324</v>
      </c>
      <c r="O8" s="1">
        <f t="shared" si="18"/>
        <v>162.33333333333331</v>
      </c>
      <c r="P8" s="1">
        <f t="shared" si="18"/>
        <v>0.8</v>
      </c>
      <c r="Q8" s="1">
        <f t="shared" si="18"/>
        <v>0.18</v>
      </c>
      <c r="S8" s="1">
        <f>AVERAGE(S3:S7)</f>
        <v>10.152111156249999</v>
      </c>
      <c r="T8" s="1">
        <f t="shared" ref="T8:Y8" si="19">AVERAGE(T3:T7)</f>
        <v>83.773127326082118</v>
      </c>
      <c r="U8" s="1">
        <f t="shared" si="19"/>
        <v>2.8</v>
      </c>
      <c r="V8" s="1">
        <f t="shared" si="19"/>
        <v>0.93333333333333324</v>
      </c>
      <c r="W8" s="1">
        <f t="shared" si="19"/>
        <v>163.26666666666665</v>
      </c>
      <c r="X8" s="1">
        <f t="shared" si="19"/>
        <v>0.6</v>
      </c>
      <c r="Y8" s="1">
        <f t="shared" si="19"/>
        <v>0.14666666666666667</v>
      </c>
      <c r="AA8" s="1">
        <f>AVERAGE(AA3:AA7)</f>
        <v>9.9978344374999999</v>
      </c>
      <c r="AB8" s="1">
        <f t="shared" ref="AB8:AG8" si="20">AVERAGE(AB3:AB7)</f>
        <v>83.774200912698262</v>
      </c>
      <c r="AC8" s="1">
        <f t="shared" si="20"/>
        <v>2.8</v>
      </c>
      <c r="AD8" s="1">
        <f t="shared" si="20"/>
        <v>0.93333333333333324</v>
      </c>
      <c r="AE8" s="1">
        <f t="shared" si="20"/>
        <v>162.93333333333334</v>
      </c>
      <c r="AF8" s="1">
        <f t="shared" si="20"/>
        <v>0.8</v>
      </c>
      <c r="AG8" s="1">
        <f t="shared" si="20"/>
        <v>0.18</v>
      </c>
      <c r="AI8" s="1">
        <f>AVERAGE(AI3:AI7)</f>
        <v>10.427434937499999</v>
      </c>
      <c r="AJ8" s="1">
        <f t="shared" ref="AJ8:AO8" si="21">AVERAGE(AJ3:AJ7)</f>
        <v>83.773493927795272</v>
      </c>
      <c r="AK8" s="1">
        <f t="shared" si="21"/>
        <v>2.8</v>
      </c>
      <c r="AL8" s="1">
        <f t="shared" si="21"/>
        <v>0.93333333333333324</v>
      </c>
      <c r="AM8" s="1">
        <f t="shared" si="21"/>
        <v>168.56666666666666</v>
      </c>
      <c r="AN8" s="1">
        <f t="shared" si="21"/>
        <v>0.8</v>
      </c>
      <c r="AO8" s="1">
        <f t="shared" si="21"/>
        <v>0.18</v>
      </c>
      <c r="AQ8" s="1">
        <f>AVERAGE(AQ3:AQ7)</f>
        <v>10.125578893749999</v>
      </c>
      <c r="AR8" s="1">
        <f t="shared" ref="AR8:AW8" si="22">AVERAGE(AR3:AR7)</f>
        <v>83.77388903922153</v>
      </c>
      <c r="AS8" s="1">
        <f t="shared" si="22"/>
        <v>2.8</v>
      </c>
      <c r="AT8" s="1">
        <f t="shared" si="22"/>
        <v>0.93333333333333324</v>
      </c>
      <c r="AU8" s="1">
        <f t="shared" si="22"/>
        <v>163.63999999999999</v>
      </c>
      <c r="AV8" s="1">
        <f t="shared" si="22"/>
        <v>0.76</v>
      </c>
      <c r="AW8" s="1">
        <f t="shared" si="22"/>
        <v>0.17473684210526316</v>
      </c>
    </row>
    <row r="9" spans="1:49" ht="14.4" thickBot="1" x14ac:dyDescent="0.3">
      <c r="A9" s="1"/>
      <c r="B9" s="1"/>
      <c r="C9" s="1"/>
      <c r="D9" s="1"/>
      <c r="E9" s="1"/>
      <c r="F9" s="1"/>
      <c r="G9" s="1"/>
      <c r="H9" s="1"/>
      <c r="I9" s="1"/>
      <c r="K9" s="1"/>
      <c r="L9" s="1"/>
      <c r="M9" s="1"/>
      <c r="N9" s="1"/>
      <c r="O9" s="1"/>
      <c r="P9" s="1"/>
      <c r="Q9" s="1"/>
      <c r="S9" s="1"/>
      <c r="T9" s="1"/>
      <c r="U9" s="1"/>
      <c r="V9" s="1"/>
      <c r="W9" s="1"/>
      <c r="X9" s="1"/>
      <c r="Y9" s="1"/>
      <c r="AA9" s="1"/>
      <c r="AB9" s="1"/>
      <c r="AC9" s="1"/>
      <c r="AD9" s="1"/>
      <c r="AE9" s="1"/>
      <c r="AF9" s="1"/>
      <c r="AG9" s="1"/>
      <c r="AI9" s="1"/>
      <c r="AJ9" s="1"/>
      <c r="AK9" s="1"/>
      <c r="AL9" s="1"/>
      <c r="AM9" s="1"/>
      <c r="AN9" s="1"/>
      <c r="AO9" s="1"/>
      <c r="AQ9" s="1"/>
      <c r="AR9" s="1"/>
      <c r="AS9" s="1"/>
      <c r="AT9" s="1"/>
      <c r="AU9" s="1"/>
      <c r="AV9" s="1"/>
      <c r="AW9" s="1"/>
    </row>
    <row r="10" spans="1:49" x14ac:dyDescent="0.25">
      <c r="A10" s="2" t="s">
        <v>16</v>
      </c>
      <c r="B10" s="1" t="s">
        <v>15</v>
      </c>
      <c r="C10" s="2">
        <v>26.509406093749998</v>
      </c>
      <c r="D10" s="2">
        <v>89.401753285967459</v>
      </c>
      <c r="E10" s="5">
        <v>3</v>
      </c>
      <c r="F10" s="5">
        <f>E10/3</f>
        <v>1</v>
      </c>
      <c r="G10" s="5">
        <f>(410+266+397)/3</f>
        <v>357.66666666666669</v>
      </c>
      <c r="H10" s="5">
        <v>0</v>
      </c>
      <c r="I10" s="6">
        <f>H10/(E10+H10)</f>
        <v>0</v>
      </c>
      <c r="K10" s="2">
        <v>27.447566093750002</v>
      </c>
      <c r="L10" s="2">
        <v>89.406205777543946</v>
      </c>
      <c r="M10" s="5">
        <v>3</v>
      </c>
      <c r="N10" s="5">
        <f>M10/3</f>
        <v>1</v>
      </c>
      <c r="O10" s="5">
        <f>(412+266+308)/3</f>
        <v>328.66666666666669</v>
      </c>
      <c r="P10" s="5">
        <v>0</v>
      </c>
      <c r="Q10" s="6">
        <f>P10/(M10+P10)</f>
        <v>0</v>
      </c>
      <c r="S10" s="2">
        <v>27.224633906249998</v>
      </c>
      <c r="T10" s="2">
        <v>89.403831728565635</v>
      </c>
      <c r="U10" s="5">
        <v>3</v>
      </c>
      <c r="V10" s="5">
        <f>U10/3</f>
        <v>1</v>
      </c>
      <c r="W10" s="5">
        <f>(410+267+311)/3</f>
        <v>329.33333333333331</v>
      </c>
      <c r="X10" s="5">
        <v>0</v>
      </c>
      <c r="Y10" s="6">
        <f>X10/(U10+X10)</f>
        <v>0</v>
      </c>
      <c r="AA10" s="2">
        <v>27.676402187499999</v>
      </c>
      <c r="AB10" s="2">
        <v>89.399132341565917</v>
      </c>
      <c r="AC10" s="5">
        <v>3</v>
      </c>
      <c r="AD10" s="5">
        <f>AC10/3</f>
        <v>1</v>
      </c>
      <c r="AE10" s="5">
        <f>(412+268+396)/3</f>
        <v>358.66666666666669</v>
      </c>
      <c r="AF10" s="5">
        <v>0</v>
      </c>
      <c r="AG10" s="6">
        <f>AF10/(AC10+AF10)</f>
        <v>0</v>
      </c>
      <c r="AI10" s="2">
        <v>24.101882187499999</v>
      </c>
      <c r="AJ10" s="2">
        <v>89.406205777543946</v>
      </c>
      <c r="AK10" s="5">
        <v>3</v>
      </c>
      <c r="AL10" s="5">
        <f>AK10/3</f>
        <v>1</v>
      </c>
      <c r="AM10" s="5">
        <f>(412+266+308)/3</f>
        <v>328.66666666666669</v>
      </c>
      <c r="AN10" s="5">
        <v>0</v>
      </c>
      <c r="AO10" s="6">
        <f>AN10/(AK10+AN10)</f>
        <v>0</v>
      </c>
      <c r="AQ10" s="15">
        <f>AVERAGE(C10,K10,S10,AA10,AI10)</f>
        <v>26.591978093749997</v>
      </c>
      <c r="AR10" s="16">
        <f>AVERAGE(D10,L10,T10,AB10,AJ10)</f>
        <v>89.403425782237392</v>
      </c>
      <c r="AS10" s="17">
        <f>AVERAGE(E10,M10,U10,AC10,AK10)</f>
        <v>3</v>
      </c>
      <c r="AT10" s="17">
        <f>AS10/3</f>
        <v>1</v>
      </c>
      <c r="AU10" s="17">
        <f>AVERAGE(G10,O10,W10,AE10,AM10)</f>
        <v>340.6</v>
      </c>
      <c r="AV10" s="17">
        <f>AVERAGE(H10,P10,X10,AF10,AN10)</f>
        <v>0</v>
      </c>
      <c r="AW10" s="18">
        <f>AV10/(AS10+AV10)</f>
        <v>0</v>
      </c>
    </row>
    <row r="11" spans="1:49" x14ac:dyDescent="0.25">
      <c r="A11" s="2" t="s">
        <v>17</v>
      </c>
      <c r="B11" s="1" t="s">
        <v>15</v>
      </c>
      <c r="C11" s="2">
        <v>24.981856874999998</v>
      </c>
      <c r="D11" s="2">
        <v>89.219726288192646</v>
      </c>
      <c r="E11" s="1">
        <v>3</v>
      </c>
      <c r="F11" s="1">
        <f t="shared" ref="F11:F14" si="23">E11/3</f>
        <v>1</v>
      </c>
      <c r="G11" s="1">
        <f>(357+338+102)/3</f>
        <v>265.66666666666669</v>
      </c>
      <c r="H11" s="1">
        <v>0</v>
      </c>
      <c r="I11" s="8">
        <f t="shared" ref="I11:I14" si="24">H11/(E11+H11)</f>
        <v>0</v>
      </c>
      <c r="K11" s="2">
        <v>27.472175781250002</v>
      </c>
      <c r="L11" s="2">
        <v>89.208449129627297</v>
      </c>
      <c r="M11" s="1">
        <v>3</v>
      </c>
      <c r="N11" s="1">
        <f t="shared" ref="N11:N14" si="25">M11/3</f>
        <v>1</v>
      </c>
      <c r="O11" s="1">
        <f>(363+333+239)/3</f>
        <v>311.66666666666669</v>
      </c>
      <c r="P11" s="1">
        <v>0</v>
      </c>
      <c r="Q11" s="8">
        <f t="shared" ref="Q11:Q14" si="26">P11/(M11+P11)</f>
        <v>0</v>
      </c>
      <c r="S11" s="2">
        <v>26.873339218750001</v>
      </c>
      <c r="T11" s="2">
        <v>89.2142552905553</v>
      </c>
      <c r="U11" s="1">
        <v>3</v>
      </c>
      <c r="V11" s="1">
        <f t="shared" ref="V11:V14" si="27">U11/3</f>
        <v>1</v>
      </c>
      <c r="W11" s="1">
        <f>(364+338+218)/3</f>
        <v>306.66666666666669</v>
      </c>
      <c r="X11" s="1">
        <v>0</v>
      </c>
      <c r="Y11" s="8">
        <f t="shared" ref="Y11:Y14" si="28">X11/(U11+X11)</f>
        <v>0</v>
      </c>
      <c r="AA11" s="2">
        <v>28.096298906249999</v>
      </c>
      <c r="AB11" s="2">
        <v>89.209478358007203</v>
      </c>
      <c r="AC11" s="1">
        <v>3</v>
      </c>
      <c r="AD11" s="1">
        <f t="shared" ref="AD11:AD14" si="29">AC11/3</f>
        <v>1</v>
      </c>
      <c r="AE11" s="1">
        <f>(363+333+102)/3</f>
        <v>266</v>
      </c>
      <c r="AF11" s="1">
        <v>0</v>
      </c>
      <c r="AG11" s="8">
        <f t="shared" ref="AG11:AG14" si="30">AF11/(AC11+AF11)</f>
        <v>0</v>
      </c>
      <c r="AI11" s="2">
        <v>24.91391765625</v>
      </c>
      <c r="AJ11" s="2">
        <v>89.212900059434247</v>
      </c>
      <c r="AK11" s="1">
        <v>3</v>
      </c>
      <c r="AL11" s="1">
        <f t="shared" ref="AL11:AL14" si="31">AK11/3</f>
        <v>1</v>
      </c>
      <c r="AM11" s="1">
        <f>(363+338+102)/3</f>
        <v>267.66666666666669</v>
      </c>
      <c r="AN11" s="1">
        <v>0</v>
      </c>
      <c r="AO11" s="8">
        <f t="shared" ref="AO11:AO14" si="32">AN11/(AK11+AN11)</f>
        <v>0</v>
      </c>
      <c r="AQ11" s="19">
        <f t="shared" ref="AQ11:AQ14" si="33">AVERAGE(C11,K11,S11,AA11,AI11)</f>
        <v>26.467517687499999</v>
      </c>
      <c r="AR11" s="13">
        <f t="shared" ref="AR11:AR14" si="34">AVERAGE(D11,L11,T11,AB11,AJ11)</f>
        <v>89.212961825163319</v>
      </c>
      <c r="AS11" s="14">
        <f t="shared" ref="AS11:AS14" si="35">AVERAGE(E11,M11,U11,AC11,AK11)</f>
        <v>3</v>
      </c>
      <c r="AT11" s="14">
        <f t="shared" ref="AT11:AT14" si="36">AS11/3</f>
        <v>1</v>
      </c>
      <c r="AU11" s="14">
        <f t="shared" ref="AU11:AU14" si="37">AVERAGE(G11,O11,W11,AE11,AM11)</f>
        <v>283.53333333333336</v>
      </c>
      <c r="AV11" s="14">
        <f t="shared" ref="AV11:AV14" si="38">AVERAGE(H11,P11,X11,AF11,AN11)</f>
        <v>0</v>
      </c>
      <c r="AW11" s="20">
        <f t="shared" ref="AW11:AW14" si="39">AV11/(AS11+AV11)</f>
        <v>0</v>
      </c>
    </row>
    <row r="12" spans="1:49" x14ac:dyDescent="0.25">
      <c r="A12" s="2" t="s">
        <v>18</v>
      </c>
      <c r="B12" s="1" t="s">
        <v>15</v>
      </c>
      <c r="C12" s="2">
        <v>24.2641165625</v>
      </c>
      <c r="D12" s="2">
        <v>89.423600963819439</v>
      </c>
      <c r="E12" s="1">
        <v>3</v>
      </c>
      <c r="F12" s="1">
        <f t="shared" si="23"/>
        <v>1</v>
      </c>
      <c r="G12" s="1">
        <f>(380+274+238)/3</f>
        <v>297.33333333333331</v>
      </c>
      <c r="H12" s="1">
        <v>0</v>
      </c>
      <c r="I12" s="8">
        <f t="shared" si="24"/>
        <v>0</v>
      </c>
      <c r="K12" s="2">
        <v>27.286450468750001</v>
      </c>
      <c r="L12" s="2">
        <v>89.415200346808973</v>
      </c>
      <c r="M12" s="1">
        <v>3</v>
      </c>
      <c r="N12" s="1">
        <f t="shared" si="25"/>
        <v>1</v>
      </c>
      <c r="O12" s="1">
        <f>(374+277+274)/3</f>
        <v>308.33333333333331</v>
      </c>
      <c r="P12" s="1">
        <v>0</v>
      </c>
      <c r="Q12" s="8">
        <f t="shared" si="26"/>
        <v>0</v>
      </c>
      <c r="S12" s="2">
        <v>26.946277500000001</v>
      </c>
      <c r="T12" s="2">
        <v>89.421553132065782</v>
      </c>
      <c r="U12" s="1">
        <v>3</v>
      </c>
      <c r="V12" s="1">
        <f t="shared" si="27"/>
        <v>1</v>
      </c>
      <c r="W12" s="1">
        <f>(380+277+238)/3</f>
        <v>298.33333333333331</v>
      </c>
      <c r="X12" s="1">
        <v>0</v>
      </c>
      <c r="Y12" s="8">
        <f t="shared" si="28"/>
        <v>0</v>
      </c>
      <c r="AA12" s="2">
        <v>28.05918765625</v>
      </c>
      <c r="AB12" s="2">
        <v>89.418828312994094</v>
      </c>
      <c r="AC12" s="1">
        <v>3</v>
      </c>
      <c r="AD12" s="1">
        <f t="shared" si="29"/>
        <v>1</v>
      </c>
      <c r="AE12" s="1">
        <f>(374+275+238)/3</f>
        <v>295.66666666666669</v>
      </c>
      <c r="AF12" s="1">
        <v>0</v>
      </c>
      <c r="AG12" s="8">
        <f t="shared" si="30"/>
        <v>0</v>
      </c>
      <c r="AI12" s="2">
        <v>26.868246249999999</v>
      </c>
      <c r="AJ12" s="2">
        <v>89.419970546260458</v>
      </c>
      <c r="AK12" s="1">
        <v>3</v>
      </c>
      <c r="AL12" s="1">
        <f t="shared" si="31"/>
        <v>1</v>
      </c>
      <c r="AM12" s="1">
        <f>(379+274+269)/3</f>
        <v>307.33333333333331</v>
      </c>
      <c r="AN12" s="1">
        <v>0</v>
      </c>
      <c r="AO12" s="8">
        <f t="shared" si="32"/>
        <v>0</v>
      </c>
      <c r="AQ12" s="19">
        <f t="shared" si="33"/>
        <v>26.684855687499997</v>
      </c>
      <c r="AR12" s="13">
        <f t="shared" si="34"/>
        <v>89.419830660389749</v>
      </c>
      <c r="AS12" s="14">
        <f t="shared" si="35"/>
        <v>3</v>
      </c>
      <c r="AT12" s="14">
        <f t="shared" si="36"/>
        <v>1</v>
      </c>
      <c r="AU12" s="14">
        <f t="shared" si="37"/>
        <v>301.39999999999998</v>
      </c>
      <c r="AV12" s="14">
        <f t="shared" si="38"/>
        <v>0</v>
      </c>
      <c r="AW12" s="20">
        <f t="shared" si="39"/>
        <v>0</v>
      </c>
    </row>
    <row r="13" spans="1:49" x14ac:dyDescent="0.25">
      <c r="A13" s="2" t="s">
        <v>19</v>
      </c>
      <c r="B13" s="1" t="s">
        <v>15</v>
      </c>
      <c r="C13" s="2">
        <v>31.10990109375</v>
      </c>
      <c r="D13" s="2">
        <v>89.309690341457923</v>
      </c>
      <c r="E13" s="1">
        <v>3</v>
      </c>
      <c r="F13" s="1">
        <f t="shared" si="23"/>
        <v>1</v>
      </c>
      <c r="G13">
        <f>(246+280+186)/3</f>
        <v>237.33333333333334</v>
      </c>
      <c r="H13" s="1">
        <v>0</v>
      </c>
      <c r="I13" s="8">
        <f t="shared" si="24"/>
        <v>0</v>
      </c>
      <c r="K13" s="2">
        <v>26.965665156250001</v>
      </c>
      <c r="L13" s="2">
        <v>89.309683260906141</v>
      </c>
      <c r="M13" s="1">
        <v>3</v>
      </c>
      <c r="N13" s="1">
        <f t="shared" si="25"/>
        <v>1</v>
      </c>
      <c r="O13">
        <f>(246+278+186)/3</f>
        <v>236.66666666666666</v>
      </c>
      <c r="P13" s="1">
        <v>0</v>
      </c>
      <c r="Q13" s="8">
        <f t="shared" si="26"/>
        <v>0</v>
      </c>
      <c r="S13" s="2">
        <v>26.2019696875</v>
      </c>
      <c r="T13" s="2">
        <v>89.309690341457923</v>
      </c>
      <c r="U13" s="1">
        <v>3</v>
      </c>
      <c r="V13" s="1">
        <f t="shared" si="27"/>
        <v>1</v>
      </c>
      <c r="W13">
        <f>(246+280+186)/3</f>
        <v>237.33333333333334</v>
      </c>
      <c r="X13" s="1">
        <v>0</v>
      </c>
      <c r="Y13" s="8">
        <f t="shared" si="28"/>
        <v>0</v>
      </c>
      <c r="AA13" s="2">
        <v>26.459248281250002</v>
      </c>
      <c r="AB13" s="2">
        <v>89.311391416804071</v>
      </c>
      <c r="AC13" s="1">
        <v>3</v>
      </c>
      <c r="AD13" s="1">
        <f t="shared" si="29"/>
        <v>1</v>
      </c>
      <c r="AE13">
        <f>(246+280+185)/3</f>
        <v>237</v>
      </c>
      <c r="AF13" s="1">
        <v>0</v>
      </c>
      <c r="AG13" s="8">
        <f t="shared" si="30"/>
        <v>0</v>
      </c>
      <c r="AI13" s="2">
        <v>26.82051640625</v>
      </c>
      <c r="AJ13" s="2">
        <v>89.309690341457923</v>
      </c>
      <c r="AK13" s="1">
        <v>3</v>
      </c>
      <c r="AL13" s="1">
        <f t="shared" si="31"/>
        <v>1</v>
      </c>
      <c r="AM13">
        <f>(246+280+186)/3</f>
        <v>237.33333333333334</v>
      </c>
      <c r="AN13" s="1">
        <v>0</v>
      </c>
      <c r="AO13" s="8">
        <f t="shared" si="32"/>
        <v>0</v>
      </c>
      <c r="AQ13" s="19">
        <f t="shared" si="33"/>
        <v>27.511460125000003</v>
      </c>
      <c r="AR13" s="13">
        <f t="shared" si="34"/>
        <v>89.310029140416802</v>
      </c>
      <c r="AS13" s="14">
        <f t="shared" si="35"/>
        <v>3</v>
      </c>
      <c r="AT13" s="14">
        <f t="shared" si="36"/>
        <v>1</v>
      </c>
      <c r="AU13" s="14">
        <f t="shared" si="37"/>
        <v>237.13333333333335</v>
      </c>
      <c r="AV13" s="14">
        <f t="shared" si="38"/>
        <v>0</v>
      </c>
      <c r="AW13" s="20">
        <f t="shared" si="39"/>
        <v>0</v>
      </c>
    </row>
    <row r="14" spans="1:49" ht="14.4" thickBot="1" x14ac:dyDescent="0.3">
      <c r="A14" s="2" t="s">
        <v>20</v>
      </c>
      <c r="B14" s="1" t="s">
        <v>15</v>
      </c>
      <c r="C14" s="2">
        <v>27.756064062499998</v>
      </c>
      <c r="D14" s="2">
        <v>89.311458938540142</v>
      </c>
      <c r="E14" s="9">
        <v>3</v>
      </c>
      <c r="F14" s="9">
        <f t="shared" si="23"/>
        <v>1</v>
      </c>
      <c r="G14" s="9">
        <f>(274+291+345)/3</f>
        <v>303.33333333333331</v>
      </c>
      <c r="H14" s="9">
        <v>0</v>
      </c>
      <c r="I14" s="10">
        <f t="shared" si="24"/>
        <v>0</v>
      </c>
      <c r="K14" s="2">
        <v>30.024235156250001</v>
      </c>
      <c r="L14" s="2">
        <v>89.31008423214486</v>
      </c>
      <c r="M14" s="9">
        <v>3</v>
      </c>
      <c r="N14" s="9">
        <f t="shared" si="25"/>
        <v>1</v>
      </c>
      <c r="O14" s="9">
        <f>(275+291+345)/3</f>
        <v>303.66666666666669</v>
      </c>
      <c r="P14" s="9">
        <v>0</v>
      </c>
      <c r="Q14" s="10">
        <f t="shared" si="26"/>
        <v>0</v>
      </c>
      <c r="S14" s="2">
        <v>31.393406093749999</v>
      </c>
      <c r="T14" s="2">
        <v>89.31145536781186</v>
      </c>
      <c r="U14" s="9">
        <v>3</v>
      </c>
      <c r="V14" s="9">
        <f t="shared" si="27"/>
        <v>1</v>
      </c>
      <c r="W14" s="9">
        <f>(273+296+345)/3</f>
        <v>304.66666666666669</v>
      </c>
      <c r="X14" s="9">
        <v>0</v>
      </c>
      <c r="Y14" s="10">
        <f t="shared" si="28"/>
        <v>0</v>
      </c>
      <c r="AA14" s="2">
        <v>29.340438281250002</v>
      </c>
      <c r="AB14" s="2">
        <v>89.311458938540142</v>
      </c>
      <c r="AC14" s="9">
        <v>3</v>
      </c>
      <c r="AD14" s="9">
        <f t="shared" si="29"/>
        <v>1</v>
      </c>
      <c r="AE14" s="9">
        <f>(274+291+345)/3</f>
        <v>303.33333333333331</v>
      </c>
      <c r="AF14" s="9">
        <v>0</v>
      </c>
      <c r="AG14" s="10">
        <f t="shared" si="30"/>
        <v>0</v>
      </c>
      <c r="AI14" s="2">
        <v>26.53057015625</v>
      </c>
      <c r="AJ14" s="2">
        <v>89.310647736271136</v>
      </c>
      <c r="AK14" s="9">
        <v>3</v>
      </c>
      <c r="AL14" s="9">
        <f t="shared" si="31"/>
        <v>1</v>
      </c>
      <c r="AM14" s="9">
        <f>(275+291+344)/3</f>
        <v>303.33333333333331</v>
      </c>
      <c r="AN14" s="9">
        <v>0</v>
      </c>
      <c r="AO14" s="10">
        <f t="shared" si="32"/>
        <v>0</v>
      </c>
      <c r="AQ14" s="21">
        <f t="shared" si="33"/>
        <v>29.008942749999999</v>
      </c>
      <c r="AR14" s="22">
        <f t="shared" si="34"/>
        <v>89.311021042661622</v>
      </c>
      <c r="AS14" s="23">
        <f t="shared" si="35"/>
        <v>3</v>
      </c>
      <c r="AT14" s="23">
        <f t="shared" si="36"/>
        <v>1</v>
      </c>
      <c r="AU14" s="23">
        <f t="shared" si="37"/>
        <v>303.66666666666663</v>
      </c>
      <c r="AV14" s="23">
        <f t="shared" si="38"/>
        <v>0</v>
      </c>
      <c r="AW14" s="24">
        <f t="shared" si="39"/>
        <v>0</v>
      </c>
    </row>
    <row r="15" spans="1:49" x14ac:dyDescent="0.25">
      <c r="A15" s="1"/>
      <c r="B15" s="1"/>
      <c r="C15" s="1">
        <f>AVERAGE(C10:C14)</f>
        <v>26.924268937499996</v>
      </c>
      <c r="D15" s="1">
        <f t="shared" ref="D15:I15" si="40">AVERAGE(D10:D14)</f>
        <v>89.333245963595502</v>
      </c>
      <c r="E15" s="1">
        <f t="shared" si="40"/>
        <v>3</v>
      </c>
      <c r="F15" s="1">
        <f t="shared" si="40"/>
        <v>1</v>
      </c>
      <c r="G15" s="1">
        <f>AVERAGE(G10:G14)</f>
        <v>292.26666666666665</v>
      </c>
      <c r="H15" s="1">
        <f t="shared" si="40"/>
        <v>0</v>
      </c>
      <c r="I15" s="1">
        <f t="shared" si="40"/>
        <v>0</v>
      </c>
      <c r="K15" s="1">
        <f>AVERAGE(K10:K14)</f>
        <v>27.839218531250005</v>
      </c>
      <c r="L15" s="1">
        <f t="shared" ref="L15:N15" si="41">AVERAGE(L10:L14)</f>
        <v>89.329924549406243</v>
      </c>
      <c r="M15" s="1">
        <f t="shared" si="41"/>
        <v>3</v>
      </c>
      <c r="N15" s="1">
        <f t="shared" si="41"/>
        <v>1</v>
      </c>
      <c r="O15" s="1">
        <f>AVERAGE(O10:O14)</f>
        <v>297.80000000000007</v>
      </c>
      <c r="P15" s="1">
        <f t="shared" ref="P15:Q15" si="42">AVERAGE(P10:P14)</f>
        <v>0</v>
      </c>
      <c r="Q15" s="1">
        <f t="shared" si="42"/>
        <v>0</v>
      </c>
      <c r="S15" s="1">
        <f>AVERAGE(S10:S14)</f>
        <v>27.727925281249998</v>
      </c>
      <c r="T15" s="1">
        <f t="shared" ref="T15:V15" si="43">AVERAGE(T10:T14)</f>
        <v>89.3321571720913</v>
      </c>
      <c r="U15" s="1">
        <f t="shared" si="43"/>
        <v>3</v>
      </c>
      <c r="V15" s="1">
        <f t="shared" si="43"/>
        <v>1</v>
      </c>
      <c r="W15" s="1">
        <f>AVERAGE(W10:W14)</f>
        <v>295.26666666666665</v>
      </c>
      <c r="X15" s="1">
        <f t="shared" ref="X15:Y15" si="44">AVERAGE(X10:X14)</f>
        <v>0</v>
      </c>
      <c r="Y15" s="1">
        <f t="shared" si="44"/>
        <v>0</v>
      </c>
      <c r="AA15" s="1">
        <f>AVERAGE(AA10:AA14)</f>
        <v>27.926315062499999</v>
      </c>
      <c r="AB15" s="1">
        <f t="shared" ref="AB15:AD15" si="45">AVERAGE(AB10:AB14)</f>
        <v>89.330057873582291</v>
      </c>
      <c r="AC15" s="1">
        <f t="shared" si="45"/>
        <v>3</v>
      </c>
      <c r="AD15" s="1">
        <f t="shared" si="45"/>
        <v>1</v>
      </c>
      <c r="AE15" s="1">
        <f>AVERAGE(AE10:AE14)</f>
        <v>292.13333333333333</v>
      </c>
      <c r="AF15" s="1">
        <f t="shared" ref="AF15:AG15" si="46">AVERAGE(AF10:AF14)</f>
        <v>0</v>
      </c>
      <c r="AG15" s="1">
        <f t="shared" si="46"/>
        <v>0</v>
      </c>
      <c r="AI15" s="1">
        <f>AVERAGE(AI10:AI14)</f>
        <v>25.847026531250002</v>
      </c>
      <c r="AJ15" s="1">
        <f t="shared" ref="AJ15:AL15" si="47">AVERAGE(AJ10:AJ14)</f>
        <v>89.331882892193534</v>
      </c>
      <c r="AK15" s="1">
        <f t="shared" si="47"/>
        <v>3</v>
      </c>
      <c r="AL15" s="1">
        <f t="shared" si="47"/>
        <v>1</v>
      </c>
      <c r="AM15" s="1">
        <f>AVERAGE(AM10:AM14)</f>
        <v>288.86666666666667</v>
      </c>
      <c r="AN15" s="1">
        <f t="shared" ref="AN15:AO15" si="48">AVERAGE(AN10:AN14)</f>
        <v>0</v>
      </c>
      <c r="AO15" s="1">
        <f t="shared" si="48"/>
        <v>0</v>
      </c>
      <c r="AQ15" s="1">
        <f>AVERAGE(AQ10:AQ14)</f>
        <v>27.252950868749998</v>
      </c>
      <c r="AR15" s="1">
        <f t="shared" ref="AR15:AT15" si="49">AVERAGE(AR10:AR14)</f>
        <v>89.331453690173774</v>
      </c>
      <c r="AS15" s="1">
        <f t="shared" si="49"/>
        <v>3</v>
      </c>
      <c r="AT15" s="1">
        <f t="shared" si="49"/>
        <v>1</v>
      </c>
      <c r="AU15" s="1">
        <f>AVERAGE(AU10:AU14)</f>
        <v>293.26666666666671</v>
      </c>
      <c r="AV15" s="1">
        <f t="shared" ref="AV15:AW15" si="50">AVERAGE(AV10:AV14)</f>
        <v>0</v>
      </c>
      <c r="AW15" s="1">
        <f t="shared" si="50"/>
        <v>0</v>
      </c>
    </row>
    <row r="16" spans="1:49" ht="14.4" thickBot="1" x14ac:dyDescent="0.3">
      <c r="A16" s="1"/>
      <c r="B16" s="1"/>
      <c r="C16" s="1"/>
      <c r="D16" s="1"/>
      <c r="E16" s="1"/>
      <c r="F16" s="1"/>
      <c r="G16" s="1"/>
      <c r="H16" s="1"/>
      <c r="I16" s="1"/>
      <c r="K16" s="1"/>
      <c r="L16" s="1"/>
      <c r="M16" s="1"/>
      <c r="N16" s="1"/>
      <c r="O16" s="1"/>
      <c r="P16" s="1"/>
      <c r="Q16" s="1"/>
      <c r="S16" s="1"/>
      <c r="T16" s="1"/>
      <c r="U16" s="1"/>
      <c r="V16" s="1"/>
      <c r="W16" s="1"/>
      <c r="X16" s="1"/>
      <c r="Y16" s="1"/>
      <c r="AA16" s="1"/>
      <c r="AB16" s="1"/>
      <c r="AC16" s="1"/>
      <c r="AD16" s="1"/>
      <c r="AE16" s="1"/>
      <c r="AF16" s="1"/>
      <c r="AG16" s="1"/>
      <c r="AI16" s="1"/>
      <c r="AJ16" s="1"/>
      <c r="AK16" s="1"/>
      <c r="AL16" s="1"/>
      <c r="AM16" s="1"/>
      <c r="AN16" s="1"/>
      <c r="AO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21</v>
      </c>
      <c r="B17" s="1" t="s">
        <v>26</v>
      </c>
      <c r="C17" s="2">
        <v>10.9620175</v>
      </c>
      <c r="D17" s="2">
        <v>83.256805182408286</v>
      </c>
      <c r="E17" s="5">
        <v>4</v>
      </c>
      <c r="F17" s="5">
        <f>E17/4</f>
        <v>1</v>
      </c>
      <c r="G17" s="5">
        <f>(44+37+44+39)/4</f>
        <v>41</v>
      </c>
      <c r="H17" s="5">
        <v>0</v>
      </c>
      <c r="I17" s="6">
        <f>H17/(E17+H17)</f>
        <v>0</v>
      </c>
      <c r="K17" s="2">
        <v>10.39347359375</v>
      </c>
      <c r="L17" s="2">
        <v>83.248731200688681</v>
      </c>
      <c r="M17" s="5">
        <v>4</v>
      </c>
      <c r="N17" s="5">
        <f>M17/4</f>
        <v>1</v>
      </c>
      <c r="O17" s="5">
        <f>(44+36+44+41)/4</f>
        <v>41.25</v>
      </c>
      <c r="P17" s="5">
        <v>0</v>
      </c>
      <c r="Q17" s="6">
        <f>P17/(M17+P17)</f>
        <v>0</v>
      </c>
      <c r="S17" s="2">
        <v>9.8636639062500002</v>
      </c>
      <c r="T17" s="2">
        <v>83.247856868203911</v>
      </c>
      <c r="U17" s="5">
        <v>4</v>
      </c>
      <c r="V17" s="5">
        <f>U17/4</f>
        <v>1</v>
      </c>
      <c r="W17" s="5">
        <f>(44+34+44+41)/4</f>
        <v>40.75</v>
      </c>
      <c r="X17" s="5">
        <v>0</v>
      </c>
      <c r="Y17" s="6">
        <f>X17/(U17+X17)</f>
        <v>0</v>
      </c>
      <c r="AA17" s="2">
        <v>10.4389590625</v>
      </c>
      <c r="AB17" s="2">
        <v>83.254542264281852</v>
      </c>
      <c r="AC17" s="5">
        <v>4</v>
      </c>
      <c r="AD17" s="5">
        <f>AC17/4</f>
        <v>1</v>
      </c>
      <c r="AE17" s="5">
        <f>(44+37+44+42)/4</f>
        <v>41.75</v>
      </c>
      <c r="AF17" s="5">
        <v>0</v>
      </c>
      <c r="AG17" s="6">
        <f>AF17/(AC17+AF17)</f>
        <v>0</v>
      </c>
      <c r="AI17" s="2">
        <v>10.711623749999999</v>
      </c>
      <c r="AJ17" s="2">
        <v>83.247486814301681</v>
      </c>
      <c r="AK17" s="5">
        <v>4</v>
      </c>
      <c r="AL17" s="5">
        <f>AK17/4</f>
        <v>1</v>
      </c>
      <c r="AM17" s="5">
        <f>(44+36+44+42)/4</f>
        <v>41.5</v>
      </c>
      <c r="AN17" s="5">
        <v>0</v>
      </c>
      <c r="AO17" s="6">
        <f>AN17/(AK17+AN17)</f>
        <v>0</v>
      </c>
      <c r="AQ17" s="15">
        <f>AVERAGE(C17,K17,S17,AA17,AI17)</f>
        <v>10.473947562500001</v>
      </c>
      <c r="AR17" s="16">
        <f>AVERAGE(D17,L17,T17,AB17,AJ17)</f>
        <v>83.251084465976888</v>
      </c>
      <c r="AS17" s="17">
        <f>AVERAGE(E17,M17,U17,AC17,AK17)</f>
        <v>4</v>
      </c>
      <c r="AT17" s="17">
        <f>AS17/4</f>
        <v>1</v>
      </c>
      <c r="AU17" s="17">
        <f>AVERAGE(G17,O17,W17,AE17,AM17)</f>
        <v>41.25</v>
      </c>
      <c r="AV17" s="17">
        <f>AVERAGE(H17,P17,X17,AF17,AN17)</f>
        <v>0</v>
      </c>
      <c r="AW17" s="18">
        <f>AV17/(AS17+AV17)</f>
        <v>0</v>
      </c>
    </row>
    <row r="18" spans="1:49" x14ac:dyDescent="0.25">
      <c r="A18" s="1" t="s">
        <v>22</v>
      </c>
      <c r="B18" s="1" t="s">
        <v>26</v>
      </c>
      <c r="C18" s="2">
        <v>12.517220312499999</v>
      </c>
      <c r="D18" s="2">
        <v>83.216248492356584</v>
      </c>
      <c r="E18" s="1">
        <v>4</v>
      </c>
      <c r="F18" s="1">
        <f t="shared" ref="F18:F21" si="51">E18/4</f>
        <v>1</v>
      </c>
      <c r="G18" s="1">
        <f>(47+37+49+38)/4</f>
        <v>42.75</v>
      </c>
      <c r="H18" s="1">
        <v>1</v>
      </c>
      <c r="I18" s="8">
        <f t="shared" ref="I18:I21" si="52">H18/(E18+H18)</f>
        <v>0.2</v>
      </c>
      <c r="K18" s="2">
        <v>10.30082265625</v>
      </c>
      <c r="L18" s="2">
        <v>83.221350127801415</v>
      </c>
      <c r="M18" s="1">
        <v>4</v>
      </c>
      <c r="N18" s="1">
        <f t="shared" ref="N18:N21" si="53">M18/4</f>
        <v>1</v>
      </c>
      <c r="O18" s="1">
        <f>(44+37+46+38)/4</f>
        <v>41.25</v>
      </c>
      <c r="P18" s="1">
        <v>1</v>
      </c>
      <c r="Q18" s="8">
        <f t="shared" ref="Q18:Q21" si="54">P18/(M18+P18)</f>
        <v>0.2</v>
      </c>
      <c r="S18" s="2">
        <v>10.833006875000001</v>
      </c>
      <c r="T18" s="2">
        <v>83.218395268852774</v>
      </c>
      <c r="U18" s="1">
        <v>4</v>
      </c>
      <c r="V18" s="1">
        <f t="shared" ref="V18:V21" si="55">U18/4</f>
        <v>1</v>
      </c>
      <c r="W18" s="1">
        <f>(45+37+47+38)/4</f>
        <v>41.75</v>
      </c>
      <c r="X18" s="1">
        <v>0</v>
      </c>
      <c r="Y18" s="8">
        <f t="shared" ref="Y18:Y21" si="56">X18/(U18+X18)</f>
        <v>0</v>
      </c>
      <c r="AA18" s="2">
        <v>10.173496406250001</v>
      </c>
      <c r="AB18" s="2">
        <v>83.220681747147822</v>
      </c>
      <c r="AC18" s="1">
        <v>4</v>
      </c>
      <c r="AD18" s="1">
        <f t="shared" ref="AD18:AD21" si="57">AC18/4</f>
        <v>1</v>
      </c>
      <c r="AE18" s="1">
        <f>(45+36+47+37)/4</f>
        <v>41.25</v>
      </c>
      <c r="AF18" s="1">
        <v>1</v>
      </c>
      <c r="AG18" s="8">
        <f t="shared" ref="AG18:AG21" si="58">AF18/(AC18+AF18)</f>
        <v>0.2</v>
      </c>
      <c r="AI18" s="2">
        <v>10.202474687500001</v>
      </c>
      <c r="AJ18" s="2">
        <v>83.214684402308805</v>
      </c>
      <c r="AK18" s="1">
        <v>4</v>
      </c>
      <c r="AL18" s="1">
        <f t="shared" ref="AL18:AL21" si="59">AK18/4</f>
        <v>1</v>
      </c>
      <c r="AM18" s="1">
        <f>(47+37+46+38)/4</f>
        <v>42</v>
      </c>
      <c r="AN18" s="1">
        <v>1</v>
      </c>
      <c r="AO18" s="8">
        <f t="shared" ref="AO18:AO21" si="60">AN18/(AK18+AN18)</f>
        <v>0.2</v>
      </c>
      <c r="AQ18" s="19">
        <f t="shared" ref="AQ18:AQ21" si="61">AVERAGE(C18,K18,S18,AA18,AI18)</f>
        <v>10.805404187500001</v>
      </c>
      <c r="AR18" s="13">
        <f t="shared" ref="AR18:AR21" si="62">AVERAGE(D18,L18,T18,AB18,AJ18)</f>
        <v>83.218272007693471</v>
      </c>
      <c r="AS18" s="14">
        <f t="shared" ref="AS18:AS21" si="63">AVERAGE(E18,M18,U18,AC18,AK18)</f>
        <v>4</v>
      </c>
      <c r="AT18" s="14">
        <f t="shared" ref="AT18:AT21" si="64">AS18/4</f>
        <v>1</v>
      </c>
      <c r="AU18" s="14">
        <f t="shared" ref="AU18:AU21" si="65">AVERAGE(G18,O18,W18,AE18,AM18)</f>
        <v>41.8</v>
      </c>
      <c r="AV18" s="14">
        <f t="shared" ref="AV18:AV21" si="66">AVERAGE(H18,P18,X18,AF18,AN18)</f>
        <v>0.8</v>
      </c>
      <c r="AW18" s="20">
        <f t="shared" ref="AW18:AW21" si="67">AV18/(AS18+AV18)</f>
        <v>0.16666666666666669</v>
      </c>
    </row>
    <row r="19" spans="1:49" x14ac:dyDescent="0.25">
      <c r="A19" s="1" t="s">
        <v>23</v>
      </c>
      <c r="B19" s="1" t="s">
        <v>26</v>
      </c>
      <c r="C19" s="2">
        <v>12.045369687499999</v>
      </c>
      <c r="D19" s="2">
        <v>83.418051785184502</v>
      </c>
      <c r="E19" s="1">
        <v>4</v>
      </c>
      <c r="F19" s="1">
        <f t="shared" si="51"/>
        <v>1</v>
      </c>
      <c r="G19" s="1">
        <f>(44+40+34+42)/4</f>
        <v>40</v>
      </c>
      <c r="H19" s="1">
        <v>0</v>
      </c>
      <c r="I19" s="8">
        <f t="shared" si="52"/>
        <v>0</v>
      </c>
      <c r="K19" s="2">
        <v>10.875837031250001</v>
      </c>
      <c r="L19" s="2">
        <v>83.420382286706811</v>
      </c>
      <c r="M19" s="1">
        <v>4</v>
      </c>
      <c r="N19" s="1">
        <f t="shared" si="53"/>
        <v>1</v>
      </c>
      <c r="O19" s="1">
        <f>(44+41+31+41)/4</f>
        <v>39.25</v>
      </c>
      <c r="P19" s="1">
        <v>0</v>
      </c>
      <c r="Q19" s="8">
        <f t="shared" si="54"/>
        <v>0</v>
      </c>
      <c r="S19" s="2">
        <v>10.260722968750001</v>
      </c>
      <c r="T19" s="2">
        <v>83.416638748966207</v>
      </c>
      <c r="U19" s="1">
        <v>4</v>
      </c>
      <c r="V19" s="1">
        <f t="shared" si="55"/>
        <v>1</v>
      </c>
      <c r="W19" s="1">
        <f>(44+40+33+41)/4</f>
        <v>39.5</v>
      </c>
      <c r="X19" s="1">
        <v>0</v>
      </c>
      <c r="Y19" s="8">
        <f t="shared" si="56"/>
        <v>0</v>
      </c>
      <c r="AA19" s="2">
        <v>10.61710953125</v>
      </c>
      <c r="AB19" s="2">
        <v>83.40768479899107</v>
      </c>
      <c r="AC19" s="1">
        <v>4</v>
      </c>
      <c r="AD19" s="1">
        <f t="shared" si="57"/>
        <v>1</v>
      </c>
      <c r="AE19" s="1">
        <f>(48+41+32+42)/4</f>
        <v>40.75</v>
      </c>
      <c r="AF19" s="1">
        <v>0</v>
      </c>
      <c r="AG19" s="8">
        <f t="shared" si="58"/>
        <v>0</v>
      </c>
      <c r="AI19" s="2">
        <v>10.167384374999999</v>
      </c>
      <c r="AJ19" s="2">
        <v>83.40768479899107</v>
      </c>
      <c r="AK19" s="1">
        <v>4</v>
      </c>
      <c r="AL19" s="1">
        <f t="shared" si="59"/>
        <v>1</v>
      </c>
      <c r="AM19" s="1">
        <f>(48+41+32+42)/4</f>
        <v>40.75</v>
      </c>
      <c r="AN19" s="1">
        <v>0</v>
      </c>
      <c r="AO19" s="8">
        <f t="shared" si="60"/>
        <v>0</v>
      </c>
      <c r="AQ19" s="19">
        <f t="shared" si="61"/>
        <v>10.79328471875</v>
      </c>
      <c r="AR19" s="13">
        <f t="shared" si="62"/>
        <v>83.414088483767927</v>
      </c>
      <c r="AS19" s="14">
        <f t="shared" si="63"/>
        <v>4</v>
      </c>
      <c r="AT19" s="14">
        <f t="shared" si="64"/>
        <v>1</v>
      </c>
      <c r="AU19" s="14">
        <f t="shared" si="65"/>
        <v>40.049999999999997</v>
      </c>
      <c r="AV19" s="14">
        <f t="shared" si="66"/>
        <v>0</v>
      </c>
      <c r="AW19" s="20">
        <f t="shared" si="67"/>
        <v>0</v>
      </c>
    </row>
    <row r="20" spans="1:49" x14ac:dyDescent="0.25">
      <c r="A20" s="1" t="s">
        <v>24</v>
      </c>
      <c r="B20" s="1" t="s">
        <v>26</v>
      </c>
      <c r="C20" s="2">
        <v>10.623071875000001</v>
      </c>
      <c r="D20" s="2">
        <v>83.340164072567646</v>
      </c>
      <c r="E20" s="1">
        <v>4</v>
      </c>
      <c r="F20" s="1">
        <f t="shared" si="51"/>
        <v>1</v>
      </c>
      <c r="G20" s="1">
        <f>(54+34+26+39)/4</f>
        <v>38.25</v>
      </c>
      <c r="H20" s="1">
        <v>0</v>
      </c>
      <c r="I20" s="8">
        <f t="shared" si="52"/>
        <v>0</v>
      </c>
      <c r="K20" s="2">
        <v>9.8250050000000009</v>
      </c>
      <c r="L20" s="2">
        <v>83.319733106921021</v>
      </c>
      <c r="M20" s="1">
        <v>4</v>
      </c>
      <c r="N20" s="1">
        <f t="shared" si="53"/>
        <v>1</v>
      </c>
      <c r="O20" s="1">
        <f>(54+37+34+39)/4</f>
        <v>41</v>
      </c>
      <c r="P20" s="1">
        <v>1</v>
      </c>
      <c r="Q20" s="8">
        <f t="shared" si="54"/>
        <v>0.2</v>
      </c>
      <c r="S20" s="2">
        <v>10.658341406250001</v>
      </c>
      <c r="T20" s="2">
        <v>83.322770084413321</v>
      </c>
      <c r="U20" s="1">
        <v>4</v>
      </c>
      <c r="V20" s="1">
        <f t="shared" si="55"/>
        <v>1</v>
      </c>
      <c r="W20" s="1">
        <f>(53+37+26+39)/4</f>
        <v>38.75</v>
      </c>
      <c r="X20" s="1">
        <v>1</v>
      </c>
      <c r="Y20" s="8">
        <f t="shared" si="56"/>
        <v>0.2</v>
      </c>
      <c r="AA20" s="2">
        <v>10.749324375</v>
      </c>
      <c r="AB20" s="2">
        <v>83.320873742676326</v>
      </c>
      <c r="AC20" s="1">
        <v>4</v>
      </c>
      <c r="AD20" s="1">
        <f t="shared" si="57"/>
        <v>1</v>
      </c>
      <c r="AE20" s="1">
        <f>(53+37+26+39)/4</f>
        <v>38.75</v>
      </c>
      <c r="AF20" s="1">
        <v>1</v>
      </c>
      <c r="AG20" s="8">
        <f t="shared" si="58"/>
        <v>0.2</v>
      </c>
      <c r="AI20" s="2">
        <v>10.6796053125</v>
      </c>
      <c r="AJ20" s="2">
        <v>83.32333661876666</v>
      </c>
      <c r="AK20" s="1">
        <v>4</v>
      </c>
      <c r="AL20" s="1">
        <f t="shared" si="59"/>
        <v>1</v>
      </c>
      <c r="AM20" s="1">
        <f>(54+36+27+39)/4</f>
        <v>39</v>
      </c>
      <c r="AN20" s="1">
        <v>1</v>
      </c>
      <c r="AO20" s="8">
        <f t="shared" si="60"/>
        <v>0.2</v>
      </c>
      <c r="AQ20" s="19">
        <f t="shared" si="61"/>
        <v>10.50706959375</v>
      </c>
      <c r="AR20" s="13">
        <f t="shared" si="62"/>
        <v>83.325375525068992</v>
      </c>
      <c r="AS20" s="14">
        <f t="shared" si="63"/>
        <v>4</v>
      </c>
      <c r="AT20" s="14">
        <f t="shared" si="64"/>
        <v>1</v>
      </c>
      <c r="AU20" s="14">
        <f t="shared" si="65"/>
        <v>39.15</v>
      </c>
      <c r="AV20" s="14">
        <f t="shared" si="66"/>
        <v>0.8</v>
      </c>
      <c r="AW20" s="20">
        <f t="shared" si="67"/>
        <v>0.16666666666666669</v>
      </c>
    </row>
    <row r="21" spans="1:49" ht="14.4" thickBot="1" x14ac:dyDescent="0.3">
      <c r="A21" s="1" t="s">
        <v>25</v>
      </c>
      <c r="B21" s="1" t="s">
        <v>26</v>
      </c>
      <c r="C21" s="2">
        <v>10.6632984375</v>
      </c>
      <c r="D21" s="2">
        <v>83.270117228986237</v>
      </c>
      <c r="E21" s="9">
        <v>4</v>
      </c>
      <c r="F21" s="9">
        <f t="shared" si="51"/>
        <v>1</v>
      </c>
      <c r="G21" s="9">
        <f>(43+52+40+34)/4</f>
        <v>42.25</v>
      </c>
      <c r="H21" s="9">
        <v>0</v>
      </c>
      <c r="I21" s="10">
        <f t="shared" si="52"/>
        <v>0</v>
      </c>
      <c r="K21" s="2">
        <v>10.253469687500001</v>
      </c>
      <c r="L21" s="2">
        <v>83.26876758731116</v>
      </c>
      <c r="M21" s="9">
        <v>4</v>
      </c>
      <c r="N21" s="9">
        <f t="shared" si="53"/>
        <v>1</v>
      </c>
      <c r="O21" s="9">
        <f>(43+52+39+29)/4</f>
        <v>40.75</v>
      </c>
      <c r="P21" s="9">
        <v>0</v>
      </c>
      <c r="Q21" s="10">
        <f t="shared" si="54"/>
        <v>0</v>
      </c>
      <c r="S21" s="2">
        <v>10.059784687500001</v>
      </c>
      <c r="T21" s="2">
        <v>83.277537217070048</v>
      </c>
      <c r="U21" s="9">
        <v>4</v>
      </c>
      <c r="V21" s="9">
        <f t="shared" si="55"/>
        <v>1</v>
      </c>
      <c r="W21" s="9">
        <f>(45+52+37+36)/4</f>
        <v>42.5</v>
      </c>
      <c r="X21" s="9">
        <v>0</v>
      </c>
      <c r="Y21" s="10">
        <f t="shared" si="56"/>
        <v>0</v>
      </c>
      <c r="AA21" s="2">
        <v>10.803273750000001</v>
      </c>
      <c r="AB21" s="2">
        <v>83.272565945489831</v>
      </c>
      <c r="AC21" s="9">
        <v>4</v>
      </c>
      <c r="AD21" s="9">
        <f t="shared" si="57"/>
        <v>1</v>
      </c>
      <c r="AE21" s="9">
        <f>(45+49+37+34)/4</f>
        <v>41.25</v>
      </c>
      <c r="AF21" s="9">
        <v>0</v>
      </c>
      <c r="AG21" s="10">
        <f t="shared" si="58"/>
        <v>0</v>
      </c>
      <c r="AI21" s="2">
        <v>10.505708125</v>
      </c>
      <c r="AJ21" s="2">
        <v>83.267498693171532</v>
      </c>
      <c r="AK21" s="9">
        <v>4</v>
      </c>
      <c r="AL21" s="9">
        <f t="shared" si="59"/>
        <v>1</v>
      </c>
      <c r="AM21" s="9">
        <f>(43+50+40+34)/4</f>
        <v>41.75</v>
      </c>
      <c r="AN21" s="9">
        <v>0</v>
      </c>
      <c r="AO21" s="10">
        <f t="shared" si="60"/>
        <v>0</v>
      </c>
      <c r="AQ21" s="21">
        <f t="shared" si="61"/>
        <v>10.457106937500001</v>
      </c>
      <c r="AR21" s="22">
        <f t="shared" si="62"/>
        <v>83.271297334405773</v>
      </c>
      <c r="AS21" s="23">
        <f t="shared" si="63"/>
        <v>4</v>
      </c>
      <c r="AT21" s="23">
        <f t="shared" si="64"/>
        <v>1</v>
      </c>
      <c r="AU21" s="23">
        <f t="shared" si="65"/>
        <v>41.7</v>
      </c>
      <c r="AV21" s="23">
        <f t="shared" si="66"/>
        <v>0</v>
      </c>
      <c r="AW21" s="24">
        <f t="shared" si="67"/>
        <v>0</v>
      </c>
    </row>
    <row r="22" spans="1:49" x14ac:dyDescent="0.25">
      <c r="A22" s="1"/>
      <c r="B22" s="1"/>
      <c r="C22" s="1">
        <f>AVERAGE(C17:C21)</f>
        <v>11.3621955625</v>
      </c>
      <c r="D22" s="1">
        <f t="shared" ref="D22:I22" si="68">AVERAGE(D17:D21)</f>
        <v>83.30027735230064</v>
      </c>
      <c r="E22" s="1">
        <f t="shared" si="68"/>
        <v>4</v>
      </c>
      <c r="F22" s="1">
        <f t="shared" si="68"/>
        <v>1</v>
      </c>
      <c r="G22" s="1">
        <f t="shared" si="68"/>
        <v>40.85</v>
      </c>
      <c r="H22" s="1">
        <f t="shared" si="68"/>
        <v>0.2</v>
      </c>
      <c r="I22" s="1">
        <f t="shared" si="68"/>
        <v>0.04</v>
      </c>
      <c r="K22" s="1">
        <f>AVERAGE(K17:K21)</f>
        <v>10.32972159375</v>
      </c>
      <c r="L22" s="1">
        <f t="shared" ref="L22:Q22" si="69">AVERAGE(L17:L21)</f>
        <v>83.295792861885815</v>
      </c>
      <c r="M22" s="1">
        <f t="shared" si="69"/>
        <v>4</v>
      </c>
      <c r="N22" s="1">
        <f t="shared" si="69"/>
        <v>1</v>
      </c>
      <c r="O22" s="1">
        <f t="shared" si="69"/>
        <v>40.700000000000003</v>
      </c>
      <c r="P22" s="1">
        <f t="shared" si="69"/>
        <v>0.4</v>
      </c>
      <c r="Q22" s="1">
        <f t="shared" si="69"/>
        <v>0.08</v>
      </c>
      <c r="S22" s="1">
        <f>AVERAGE(S17:S21)</f>
        <v>10.335103968750001</v>
      </c>
      <c r="T22" s="1">
        <f t="shared" ref="T22:Y22" si="70">AVERAGE(T17:T21)</f>
        <v>83.296639637501258</v>
      </c>
      <c r="U22" s="1">
        <f t="shared" si="70"/>
        <v>4</v>
      </c>
      <c r="V22" s="1">
        <f t="shared" si="70"/>
        <v>1</v>
      </c>
      <c r="W22" s="1">
        <f t="shared" si="70"/>
        <v>40.65</v>
      </c>
      <c r="X22" s="1">
        <f t="shared" si="70"/>
        <v>0.2</v>
      </c>
      <c r="Y22" s="1">
        <f t="shared" si="70"/>
        <v>0.04</v>
      </c>
      <c r="AA22" s="1">
        <f>AVERAGE(AA17:AA21)</f>
        <v>10.556432625000001</v>
      </c>
      <c r="AB22" s="1">
        <f t="shared" ref="AB22:AG22" si="71">AVERAGE(AB17:AB21)</f>
        <v>83.29526969971738</v>
      </c>
      <c r="AC22" s="1">
        <f t="shared" si="71"/>
        <v>4</v>
      </c>
      <c r="AD22" s="1">
        <f t="shared" si="71"/>
        <v>1</v>
      </c>
      <c r="AE22" s="1">
        <f t="shared" si="71"/>
        <v>40.75</v>
      </c>
      <c r="AF22" s="1">
        <f t="shared" si="71"/>
        <v>0.4</v>
      </c>
      <c r="AG22" s="1">
        <f t="shared" si="71"/>
        <v>0.08</v>
      </c>
      <c r="AI22" s="1">
        <f>AVERAGE(AI17:AI21)</f>
        <v>10.45335925</v>
      </c>
      <c r="AJ22" s="1">
        <f t="shared" ref="AJ22:AO22" si="72">AVERAGE(AJ17:AJ21)</f>
        <v>83.292138265507944</v>
      </c>
      <c r="AK22" s="1">
        <f t="shared" si="72"/>
        <v>4</v>
      </c>
      <c r="AL22" s="1">
        <f t="shared" si="72"/>
        <v>1</v>
      </c>
      <c r="AM22" s="1">
        <f t="shared" si="72"/>
        <v>41</v>
      </c>
      <c r="AN22" s="1">
        <f t="shared" si="72"/>
        <v>0.4</v>
      </c>
      <c r="AO22" s="1">
        <f t="shared" si="72"/>
        <v>0.08</v>
      </c>
      <c r="AQ22" s="1">
        <f>AVERAGE(AQ17:AQ21)</f>
        <v>10.607362600000002</v>
      </c>
      <c r="AR22" s="1">
        <f t="shared" ref="AR22:AW22" si="73">AVERAGE(AR17:AR21)</f>
        <v>83.296023563382619</v>
      </c>
      <c r="AS22" s="1">
        <f t="shared" si="73"/>
        <v>4</v>
      </c>
      <c r="AT22" s="1">
        <f t="shared" si="73"/>
        <v>1</v>
      </c>
      <c r="AU22" s="1">
        <f t="shared" si="73"/>
        <v>40.79</v>
      </c>
      <c r="AV22" s="1">
        <f t="shared" si="73"/>
        <v>0.32</v>
      </c>
      <c r="AW22" s="1">
        <f t="shared" si="73"/>
        <v>6.666666666666668E-2</v>
      </c>
    </row>
    <row r="23" spans="1:49" ht="14.4" thickBot="1" x14ac:dyDescent="0.3">
      <c r="A23" s="1"/>
      <c r="B23" s="1"/>
      <c r="C23" s="1"/>
      <c r="D23" s="1"/>
      <c r="E23" s="1"/>
      <c r="F23" s="1"/>
      <c r="G23" s="1"/>
      <c r="H23" s="1"/>
      <c r="I23" s="1"/>
      <c r="K23" s="1"/>
      <c r="L23" s="1"/>
      <c r="M23" s="1"/>
      <c r="N23" s="1"/>
      <c r="O23" s="1"/>
      <c r="P23" s="1"/>
      <c r="Q23" s="1"/>
      <c r="S23" s="1"/>
      <c r="T23" s="1"/>
      <c r="U23" s="1"/>
      <c r="V23" s="1"/>
      <c r="W23" s="1"/>
      <c r="X23" s="1"/>
      <c r="Y23" s="1"/>
      <c r="AA23" s="1"/>
      <c r="AB23" s="1"/>
      <c r="AC23" s="1"/>
      <c r="AD23" s="1"/>
      <c r="AE23" s="1"/>
      <c r="AF23" s="1"/>
      <c r="AG23" s="1"/>
      <c r="AI23" s="1"/>
      <c r="AJ23" s="1"/>
      <c r="AK23" s="1"/>
      <c r="AL23" s="1"/>
      <c r="AM23" s="1"/>
      <c r="AN23" s="1"/>
      <c r="AO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27</v>
      </c>
      <c r="B24" s="1" t="s">
        <v>26</v>
      </c>
      <c r="C24" s="2">
        <v>8.7911042187500001</v>
      </c>
      <c r="D24" s="2">
        <v>85.402053049084827</v>
      </c>
      <c r="E24" s="5">
        <v>4</v>
      </c>
      <c r="F24" s="5">
        <f>E24/4</f>
        <v>1</v>
      </c>
      <c r="G24" s="5">
        <f>(39+40+35+37)/4</f>
        <v>37.75</v>
      </c>
      <c r="H24" s="5">
        <v>0</v>
      </c>
      <c r="I24" s="6">
        <f>H24/(E24+H24)</f>
        <v>0</v>
      </c>
      <c r="K24" s="2">
        <v>9.8202551562499991</v>
      </c>
      <c r="L24" s="2">
        <v>85.400804064110929</v>
      </c>
      <c r="M24" s="5">
        <v>4</v>
      </c>
      <c r="N24" s="5">
        <f>M24/4</f>
        <v>1</v>
      </c>
      <c r="O24" s="5">
        <f>(40+40+41+36)/4</f>
        <v>39.25</v>
      </c>
      <c r="P24" s="5">
        <v>0</v>
      </c>
      <c r="Q24" s="6">
        <f>P24/(M24+P24)</f>
        <v>0</v>
      </c>
      <c r="S24" s="2">
        <v>9.9910165625000005</v>
      </c>
      <c r="T24" s="2">
        <v>85.400308491130076</v>
      </c>
      <c r="U24" s="5">
        <v>4</v>
      </c>
      <c r="V24" s="5">
        <f>U24/4</f>
        <v>1</v>
      </c>
      <c r="W24" s="5">
        <f>(40+39+39+36)/4</f>
        <v>38.5</v>
      </c>
      <c r="X24" s="5">
        <v>0</v>
      </c>
      <c r="Y24" s="6">
        <f>X24/(U24+X24)</f>
        <v>0</v>
      </c>
      <c r="AA24" s="2">
        <v>9.9679037499999996</v>
      </c>
      <c r="AB24" s="2">
        <v>85.401541811037902</v>
      </c>
      <c r="AC24" s="5">
        <v>4</v>
      </c>
      <c r="AD24" s="5">
        <f>AC24/4</f>
        <v>1</v>
      </c>
      <c r="AE24" s="5">
        <f>(40+39+41+37)/4</f>
        <v>39.25</v>
      </c>
      <c r="AF24" s="5">
        <v>0</v>
      </c>
      <c r="AG24" s="6">
        <f>AF24/(AC24+AF24)</f>
        <v>0</v>
      </c>
      <c r="AI24" s="2">
        <v>10.84162859375</v>
      </c>
      <c r="AJ24" s="2">
        <v>85.400364592439217</v>
      </c>
      <c r="AK24" s="5">
        <v>4</v>
      </c>
      <c r="AL24" s="5">
        <f>AK24/4</f>
        <v>1</v>
      </c>
      <c r="AM24" s="5">
        <f>(40+40+41+37)/4</f>
        <v>39.5</v>
      </c>
      <c r="AN24" s="5">
        <v>0</v>
      </c>
      <c r="AO24" s="6">
        <f>AN24/(AK24+AN24)</f>
        <v>0</v>
      </c>
      <c r="AQ24" s="15">
        <f>AVERAGE(C24,K24,S24,AA24,AI24)</f>
        <v>9.8823816562500006</v>
      </c>
      <c r="AR24" s="16">
        <f>AVERAGE(D24,L24,T24,AB24,AJ24)</f>
        <v>85.401014401560587</v>
      </c>
      <c r="AS24" s="17">
        <f>AVERAGE(E24,M24,U24,AC24,AK24)</f>
        <v>4</v>
      </c>
      <c r="AT24" s="17">
        <f>AS24/4</f>
        <v>1</v>
      </c>
      <c r="AU24" s="17">
        <f>AVERAGE(G24,O24,W24,AE24,AM24)</f>
        <v>38.85</v>
      </c>
      <c r="AV24" s="17">
        <f>AVERAGE(H24,P24,X24,AF24,AN24)</f>
        <v>0</v>
      </c>
      <c r="AW24" s="18">
        <f>AV24/(AS24+AV24)</f>
        <v>0</v>
      </c>
    </row>
    <row r="25" spans="1:49" x14ac:dyDescent="0.25">
      <c r="A25" s="1" t="s">
        <v>28</v>
      </c>
      <c r="B25" s="1" t="s">
        <v>26</v>
      </c>
      <c r="C25" s="2">
        <v>11.76919359375</v>
      </c>
      <c r="D25" s="2">
        <v>85.633106054140612</v>
      </c>
      <c r="E25" s="1">
        <v>4</v>
      </c>
      <c r="F25" s="1">
        <f t="shared" ref="F25:F28" si="74">E25/4</f>
        <v>1</v>
      </c>
      <c r="G25" s="1">
        <f>(47+42+53+48)/4</f>
        <v>47.5</v>
      </c>
      <c r="H25" s="1">
        <v>0</v>
      </c>
      <c r="I25" s="8">
        <f t="shared" ref="I25:I28" si="75">H25/(E25+H25)</f>
        <v>0</v>
      </c>
      <c r="K25" s="2">
        <v>10.120164062500001</v>
      </c>
      <c r="L25" s="2">
        <v>85.636264303217885</v>
      </c>
      <c r="M25" s="1">
        <v>4</v>
      </c>
      <c r="N25" s="1">
        <f t="shared" ref="N25:N28" si="76">M25/4</f>
        <v>1</v>
      </c>
      <c r="O25" s="1">
        <f>(47+40+51+51)/4</f>
        <v>47.25</v>
      </c>
      <c r="P25" s="1">
        <v>0</v>
      </c>
      <c r="Q25" s="8">
        <f t="shared" ref="Q25:Q28" si="77">P25/(M25+P25)</f>
        <v>0</v>
      </c>
      <c r="S25" s="2">
        <v>9.470188125</v>
      </c>
      <c r="T25" s="2">
        <v>85.635735285363367</v>
      </c>
      <c r="U25" s="1">
        <v>4</v>
      </c>
      <c r="V25" s="1">
        <f t="shared" ref="V25:V28" si="78">U25/4</f>
        <v>1</v>
      </c>
      <c r="W25" s="1">
        <f>(47+40+53+51)/4</f>
        <v>47.75</v>
      </c>
      <c r="X25" s="1">
        <v>0</v>
      </c>
      <c r="Y25" s="8">
        <f t="shared" ref="Y25:Y28" si="79">X25/(U25+X25)</f>
        <v>0</v>
      </c>
      <c r="AA25" s="2">
        <v>9.9319314062499995</v>
      </c>
      <c r="AB25" s="2">
        <v>85.638662187683096</v>
      </c>
      <c r="AC25" s="1">
        <v>4</v>
      </c>
      <c r="AD25" s="1">
        <f t="shared" ref="AD25:AD28" si="80">AC25/4</f>
        <v>1</v>
      </c>
      <c r="AE25" s="1">
        <f>(47+40+51+48)/4</f>
        <v>46.5</v>
      </c>
      <c r="AF25" s="1">
        <v>0</v>
      </c>
      <c r="AG25" s="8">
        <f t="shared" ref="AG25:AG28" si="81">AF25/(AC25+AF25)</f>
        <v>0</v>
      </c>
      <c r="AI25" s="2">
        <v>8.9248553125000001</v>
      </c>
      <c r="AJ25" s="2">
        <v>85.630165523335563</v>
      </c>
      <c r="AK25" s="1">
        <v>4</v>
      </c>
      <c r="AL25" s="1">
        <f t="shared" ref="AL25:AL28" si="82">AK25/4</f>
        <v>1</v>
      </c>
      <c r="AM25" s="1">
        <f>(46+41+53+51)/4</f>
        <v>47.75</v>
      </c>
      <c r="AN25" s="1">
        <v>0</v>
      </c>
      <c r="AO25" s="8">
        <f t="shared" ref="AO25:AO28" si="83">AN25/(AK25+AN25)</f>
        <v>0</v>
      </c>
      <c r="AQ25" s="19">
        <f t="shared" ref="AQ25:AQ28" si="84">AVERAGE(C25,K25,S25,AA25,AI25)</f>
        <v>10.0432665</v>
      </c>
      <c r="AR25" s="13">
        <f t="shared" ref="AR25:AR28" si="85">AVERAGE(D25,L25,T25,AB25,AJ25)</f>
        <v>85.634786670748113</v>
      </c>
      <c r="AS25" s="14">
        <f t="shared" ref="AS25:AS28" si="86">AVERAGE(E25,M25,U25,AC25,AK25)</f>
        <v>4</v>
      </c>
      <c r="AT25" s="14">
        <f t="shared" ref="AT25:AT28" si="87">AS25/4</f>
        <v>1</v>
      </c>
      <c r="AU25" s="14">
        <f t="shared" ref="AU25:AU28" si="88">AVERAGE(G25,O25,W25,AE25,AM25)</f>
        <v>47.35</v>
      </c>
      <c r="AV25" s="14">
        <f t="shared" ref="AV25:AV28" si="89">AVERAGE(H25,P25,X25,AF25,AN25)</f>
        <v>0</v>
      </c>
      <c r="AW25" s="20">
        <f t="shared" ref="AW25:AW28" si="90">AV25/(AS25+AV25)</f>
        <v>0</v>
      </c>
    </row>
    <row r="26" spans="1:49" x14ac:dyDescent="0.25">
      <c r="A26" s="1" t="s">
        <v>29</v>
      </c>
      <c r="B26" s="1" t="s">
        <v>26</v>
      </c>
      <c r="C26" s="2">
        <v>8.9108748437499994</v>
      </c>
      <c r="D26" s="2">
        <v>86.642988605959587</v>
      </c>
      <c r="E26" s="1">
        <v>4</v>
      </c>
      <c r="F26" s="1">
        <f t="shared" si="74"/>
        <v>1</v>
      </c>
      <c r="G26" s="1">
        <f>(45+30+37+27)/4</f>
        <v>34.75</v>
      </c>
      <c r="H26" s="1">
        <v>0</v>
      </c>
      <c r="I26" s="8">
        <f t="shared" si="75"/>
        <v>0</v>
      </c>
      <c r="K26" s="2">
        <v>9.7623373437499996</v>
      </c>
      <c r="L26" s="2">
        <v>86.624004872680928</v>
      </c>
      <c r="M26" s="1">
        <v>4</v>
      </c>
      <c r="N26" s="1">
        <f t="shared" si="76"/>
        <v>1</v>
      </c>
      <c r="O26" s="1">
        <f>(49+31+37+34)/4</f>
        <v>37.75</v>
      </c>
      <c r="P26" s="1">
        <v>0</v>
      </c>
      <c r="Q26" s="8">
        <f t="shared" si="77"/>
        <v>0</v>
      </c>
      <c r="S26" s="2">
        <v>10.323156562499999</v>
      </c>
      <c r="T26" s="2">
        <v>86.640659061163589</v>
      </c>
      <c r="U26" s="1">
        <v>4</v>
      </c>
      <c r="V26" s="1">
        <f t="shared" si="78"/>
        <v>1</v>
      </c>
      <c r="W26" s="1">
        <f>(45+31+38+29)/4</f>
        <v>35.75</v>
      </c>
      <c r="X26" s="1">
        <v>0</v>
      </c>
      <c r="Y26" s="8">
        <f t="shared" si="79"/>
        <v>0</v>
      </c>
      <c r="AA26" s="2">
        <v>9.80052234375</v>
      </c>
      <c r="AB26" s="2">
        <v>86.633750781326</v>
      </c>
      <c r="AC26" s="1">
        <v>4</v>
      </c>
      <c r="AD26" s="1">
        <f t="shared" si="80"/>
        <v>1</v>
      </c>
      <c r="AE26" s="1">
        <f>(48+31+38+26)/4</f>
        <v>35.75</v>
      </c>
      <c r="AF26" s="1">
        <v>0</v>
      </c>
      <c r="AG26" s="8">
        <f t="shared" si="81"/>
        <v>0</v>
      </c>
      <c r="AI26" s="2">
        <v>8.9104473437500005</v>
      </c>
      <c r="AJ26" s="2">
        <v>86.641782801179716</v>
      </c>
      <c r="AK26" s="1">
        <v>4</v>
      </c>
      <c r="AL26" s="1">
        <f t="shared" si="82"/>
        <v>1</v>
      </c>
      <c r="AM26" s="1">
        <f>(45+31+38+27)/4</f>
        <v>35.25</v>
      </c>
      <c r="AN26" s="1">
        <v>0</v>
      </c>
      <c r="AO26" s="8">
        <f t="shared" si="83"/>
        <v>0</v>
      </c>
      <c r="AQ26" s="19">
        <f t="shared" si="84"/>
        <v>9.5414676874999991</v>
      </c>
      <c r="AR26" s="13">
        <f t="shared" si="85"/>
        <v>86.636637224461964</v>
      </c>
      <c r="AS26" s="14">
        <f t="shared" si="86"/>
        <v>4</v>
      </c>
      <c r="AT26" s="14">
        <f t="shared" si="87"/>
        <v>1</v>
      </c>
      <c r="AU26" s="14">
        <f t="shared" si="88"/>
        <v>35.85</v>
      </c>
      <c r="AV26" s="14">
        <f t="shared" si="89"/>
        <v>0</v>
      </c>
      <c r="AW26" s="20">
        <f t="shared" si="90"/>
        <v>0</v>
      </c>
    </row>
    <row r="27" spans="1:49" x14ac:dyDescent="0.25">
      <c r="A27" s="1" t="s">
        <v>30</v>
      </c>
      <c r="B27" s="1" t="s">
        <v>26</v>
      </c>
      <c r="C27" s="2">
        <v>8.9335734374999998</v>
      </c>
      <c r="D27" s="2">
        <v>85.739980872490648</v>
      </c>
      <c r="E27" s="1">
        <v>4</v>
      </c>
      <c r="F27" s="1">
        <f t="shared" si="74"/>
        <v>1</v>
      </c>
      <c r="G27" s="1">
        <f>(41+38+33+48)/4</f>
        <v>40</v>
      </c>
      <c r="H27" s="1">
        <v>1</v>
      </c>
      <c r="I27" s="8">
        <f t="shared" si="75"/>
        <v>0.2</v>
      </c>
      <c r="K27" s="2">
        <v>10.0108984375</v>
      </c>
      <c r="L27" s="2">
        <v>85.740321704737823</v>
      </c>
      <c r="M27" s="1">
        <v>4</v>
      </c>
      <c r="N27" s="1">
        <f t="shared" si="76"/>
        <v>1</v>
      </c>
      <c r="O27" s="1">
        <f>(41+38+33+49)/4</f>
        <v>40.25</v>
      </c>
      <c r="P27" s="1">
        <v>0</v>
      </c>
      <c r="Q27" s="8">
        <f t="shared" si="77"/>
        <v>0</v>
      </c>
      <c r="S27" s="2">
        <v>10.5580075</v>
      </c>
      <c r="T27" s="2">
        <v>85.741178512684485</v>
      </c>
      <c r="U27" s="1">
        <v>4</v>
      </c>
      <c r="V27" s="1">
        <f t="shared" si="78"/>
        <v>1</v>
      </c>
      <c r="W27" s="1">
        <f>(41+37+31+49)/4</f>
        <v>39.5</v>
      </c>
      <c r="X27" s="1">
        <v>1</v>
      </c>
      <c r="Y27" s="8">
        <f t="shared" si="79"/>
        <v>0.2</v>
      </c>
      <c r="AA27" s="2">
        <v>10.3082525</v>
      </c>
      <c r="AB27" s="2">
        <v>85.743452680676896</v>
      </c>
      <c r="AC27" s="1">
        <v>4</v>
      </c>
      <c r="AD27" s="1">
        <f t="shared" si="80"/>
        <v>1</v>
      </c>
      <c r="AE27" s="1">
        <f>(41+38+28+48)/4</f>
        <v>38.75</v>
      </c>
      <c r="AF27" s="1">
        <v>0</v>
      </c>
      <c r="AG27" s="8">
        <f t="shared" si="81"/>
        <v>0</v>
      </c>
      <c r="AI27" s="2">
        <v>10.052856406249999</v>
      </c>
      <c r="AJ27" s="2">
        <v>85.742744934294862</v>
      </c>
      <c r="AK27" s="1">
        <v>4</v>
      </c>
      <c r="AL27" s="1">
        <f t="shared" si="82"/>
        <v>1</v>
      </c>
      <c r="AM27" s="1">
        <f>(41+38+29+49)/4</f>
        <v>39.25</v>
      </c>
      <c r="AN27" s="1">
        <v>1</v>
      </c>
      <c r="AO27" s="8">
        <f t="shared" si="83"/>
        <v>0.2</v>
      </c>
      <c r="AQ27" s="19">
        <f t="shared" si="84"/>
        <v>9.9727176562500013</v>
      </c>
      <c r="AR27" s="13">
        <f t="shared" si="85"/>
        <v>85.741535740976957</v>
      </c>
      <c r="AS27" s="14">
        <f t="shared" si="86"/>
        <v>4</v>
      </c>
      <c r="AT27" s="14">
        <f t="shared" si="87"/>
        <v>1</v>
      </c>
      <c r="AU27" s="14">
        <f t="shared" si="88"/>
        <v>39.549999999999997</v>
      </c>
      <c r="AV27" s="14">
        <f t="shared" si="89"/>
        <v>0.6</v>
      </c>
      <c r="AW27" s="20">
        <f t="shared" si="90"/>
        <v>0.13043478260869565</v>
      </c>
    </row>
    <row r="28" spans="1:49" ht="14.4" thickBot="1" x14ac:dyDescent="0.3">
      <c r="A28" s="1" t="s">
        <v>31</v>
      </c>
      <c r="B28" s="1" t="s">
        <v>26</v>
      </c>
      <c r="C28" s="2">
        <v>11.0136978125</v>
      </c>
      <c r="D28" s="2">
        <v>86.411411224607775</v>
      </c>
      <c r="E28" s="9">
        <v>4</v>
      </c>
      <c r="F28" s="9">
        <f t="shared" si="74"/>
        <v>1</v>
      </c>
      <c r="G28" s="9">
        <f>(44+42+41+52)/4</f>
        <v>44.75</v>
      </c>
      <c r="H28" s="9">
        <v>0</v>
      </c>
      <c r="I28" s="10">
        <f t="shared" si="75"/>
        <v>0</v>
      </c>
      <c r="K28" s="2">
        <v>10.21211953125</v>
      </c>
      <c r="L28" s="2">
        <v>86.406017872953512</v>
      </c>
      <c r="M28" s="9">
        <v>4</v>
      </c>
      <c r="N28" s="9">
        <f t="shared" si="76"/>
        <v>1</v>
      </c>
      <c r="O28" s="9">
        <f>(44+43+41+52)/4</f>
        <v>45</v>
      </c>
      <c r="P28" s="9">
        <v>0</v>
      </c>
      <c r="Q28" s="10">
        <f t="shared" si="77"/>
        <v>0</v>
      </c>
      <c r="S28" s="2">
        <v>10.525961562499999</v>
      </c>
      <c r="T28" s="2">
        <v>86.405081906320362</v>
      </c>
      <c r="U28" s="9">
        <v>4</v>
      </c>
      <c r="V28" s="9">
        <f t="shared" si="78"/>
        <v>1</v>
      </c>
      <c r="W28" s="9">
        <f>(44+43+40+51)/4</f>
        <v>44.5</v>
      </c>
      <c r="X28" s="9">
        <v>0</v>
      </c>
      <c r="Y28" s="10">
        <f t="shared" si="79"/>
        <v>0</v>
      </c>
      <c r="AA28" s="2">
        <v>10.63865375</v>
      </c>
      <c r="AB28" s="2">
        <v>86.406214120299481</v>
      </c>
      <c r="AC28" s="9">
        <v>4</v>
      </c>
      <c r="AD28" s="9">
        <f t="shared" si="80"/>
        <v>1</v>
      </c>
      <c r="AE28" s="9">
        <f>(44+43+41+51)/4</f>
        <v>44.75</v>
      </c>
      <c r="AF28" s="9">
        <v>0</v>
      </c>
      <c r="AG28" s="10">
        <f t="shared" si="81"/>
        <v>0</v>
      </c>
      <c r="AI28" s="2">
        <v>10.139209687499999</v>
      </c>
      <c r="AJ28" s="2">
        <v>86.402911380002436</v>
      </c>
      <c r="AK28" s="9">
        <v>4</v>
      </c>
      <c r="AL28" s="9">
        <f t="shared" si="82"/>
        <v>1</v>
      </c>
      <c r="AM28" s="9">
        <f>(43+42+40+51)/4</f>
        <v>44</v>
      </c>
      <c r="AN28" s="9">
        <v>0</v>
      </c>
      <c r="AO28" s="10">
        <f t="shared" si="83"/>
        <v>0</v>
      </c>
      <c r="AQ28" s="21">
        <f t="shared" si="84"/>
        <v>10.50592846875</v>
      </c>
      <c r="AR28" s="22">
        <f t="shared" si="85"/>
        <v>86.406327300836708</v>
      </c>
      <c r="AS28" s="23">
        <f t="shared" si="86"/>
        <v>4</v>
      </c>
      <c r="AT28" s="23">
        <f t="shared" si="87"/>
        <v>1</v>
      </c>
      <c r="AU28" s="23">
        <f t="shared" si="88"/>
        <v>44.6</v>
      </c>
      <c r="AV28" s="23">
        <f t="shared" si="89"/>
        <v>0</v>
      </c>
      <c r="AW28" s="24">
        <f t="shared" si="90"/>
        <v>0</v>
      </c>
    </row>
    <row r="29" spans="1:49" x14ac:dyDescent="0.25">
      <c r="A29" s="1"/>
      <c r="B29" s="1"/>
      <c r="C29" s="1">
        <f>AVERAGE(C24:C28)</f>
        <v>9.8836887812499992</v>
      </c>
      <c r="D29" s="1">
        <f t="shared" ref="D29:I29" si="91">AVERAGE(D24:D28)</f>
        <v>85.965907961256704</v>
      </c>
      <c r="E29" s="1">
        <f t="shared" si="91"/>
        <v>4</v>
      </c>
      <c r="F29" s="1">
        <f t="shared" si="91"/>
        <v>1</v>
      </c>
      <c r="G29" s="1">
        <f t="shared" si="91"/>
        <v>40.950000000000003</v>
      </c>
      <c r="H29" s="1">
        <f t="shared" si="91"/>
        <v>0.2</v>
      </c>
      <c r="I29" s="1">
        <f t="shared" si="91"/>
        <v>0.04</v>
      </c>
      <c r="K29" s="1">
        <f>AVERAGE(K24:K28)</f>
        <v>9.9851549062499991</v>
      </c>
      <c r="L29" s="1">
        <f t="shared" ref="L29:Q29" si="92">AVERAGE(L24:L28)</f>
        <v>85.961482563540216</v>
      </c>
      <c r="M29" s="1">
        <f t="shared" si="92"/>
        <v>4</v>
      </c>
      <c r="N29" s="1">
        <f t="shared" si="92"/>
        <v>1</v>
      </c>
      <c r="O29" s="1">
        <f t="shared" si="92"/>
        <v>41.9</v>
      </c>
      <c r="P29" s="1">
        <f t="shared" si="92"/>
        <v>0</v>
      </c>
      <c r="Q29" s="1">
        <f t="shared" si="92"/>
        <v>0</v>
      </c>
      <c r="S29" s="1">
        <f>AVERAGE(S24:S28)</f>
        <v>10.173666062500001</v>
      </c>
      <c r="T29" s="1">
        <f t="shared" ref="T29:Y29" si="93">AVERAGE(T24:T28)</f>
        <v>85.964592651332367</v>
      </c>
      <c r="U29" s="1">
        <f t="shared" si="93"/>
        <v>4</v>
      </c>
      <c r="V29" s="1">
        <f t="shared" si="93"/>
        <v>1</v>
      </c>
      <c r="W29" s="1">
        <f t="shared" si="93"/>
        <v>41.2</v>
      </c>
      <c r="X29" s="1">
        <f t="shared" si="93"/>
        <v>0.2</v>
      </c>
      <c r="Y29" s="1">
        <f t="shared" si="93"/>
        <v>0.04</v>
      </c>
      <c r="AA29" s="1">
        <f>AVERAGE(AA24:AA28)</f>
        <v>10.129452749999999</v>
      </c>
      <c r="AB29" s="1">
        <f t="shared" ref="AB29:AG29" si="94">AVERAGE(AB24:AB28)</f>
        <v>85.964724316204666</v>
      </c>
      <c r="AC29" s="1">
        <f t="shared" si="94"/>
        <v>4</v>
      </c>
      <c r="AD29" s="1">
        <f t="shared" si="94"/>
        <v>1</v>
      </c>
      <c r="AE29" s="1">
        <f t="shared" si="94"/>
        <v>41</v>
      </c>
      <c r="AF29" s="1">
        <f t="shared" si="94"/>
        <v>0</v>
      </c>
      <c r="AG29" s="1">
        <f t="shared" si="94"/>
        <v>0</v>
      </c>
      <c r="AI29" s="1">
        <f>AVERAGE(AI24:AI28)</f>
        <v>9.7737994687500009</v>
      </c>
      <c r="AJ29" s="1">
        <f t="shared" ref="AJ29:AO29" si="95">AVERAGE(AJ24:AJ28)</f>
        <v>85.963593846250362</v>
      </c>
      <c r="AK29" s="1">
        <f t="shared" si="95"/>
        <v>4</v>
      </c>
      <c r="AL29" s="1">
        <f t="shared" si="95"/>
        <v>1</v>
      </c>
      <c r="AM29" s="1">
        <f t="shared" si="95"/>
        <v>41.15</v>
      </c>
      <c r="AN29" s="1">
        <f t="shared" si="95"/>
        <v>0.2</v>
      </c>
      <c r="AO29" s="1">
        <f t="shared" si="95"/>
        <v>0.04</v>
      </c>
      <c r="AQ29" s="1">
        <f>AVERAGE(AQ24:AQ28)</f>
        <v>9.9891523937500004</v>
      </c>
      <c r="AR29" s="1">
        <f t="shared" ref="AR29:AW29" si="96">AVERAGE(AR24:AR28)</f>
        <v>85.96406026771686</v>
      </c>
      <c r="AS29" s="1">
        <f t="shared" si="96"/>
        <v>4</v>
      </c>
      <c r="AT29" s="1">
        <f t="shared" si="96"/>
        <v>1</v>
      </c>
      <c r="AU29" s="1">
        <f t="shared" si="96"/>
        <v>41.24</v>
      </c>
      <c r="AV29" s="1">
        <f t="shared" si="96"/>
        <v>0.12</v>
      </c>
      <c r="AW29" s="1">
        <f t="shared" si="96"/>
        <v>2.6086956521739129E-2</v>
      </c>
    </row>
    <row r="30" spans="1:49" x14ac:dyDescent="0.25">
      <c r="A30" s="1"/>
      <c r="B30" s="1"/>
      <c r="C30" s="1"/>
      <c r="D30" s="1"/>
      <c r="E30" s="1"/>
      <c r="F30" s="1"/>
      <c r="G30" s="1"/>
      <c r="H30" s="1"/>
      <c r="I30" s="1"/>
      <c r="K30" s="1"/>
      <c r="L30" s="1"/>
      <c r="M30" s="1"/>
      <c r="N30" s="1"/>
      <c r="O30" s="1"/>
      <c r="P30" s="1"/>
      <c r="Q30" s="1"/>
      <c r="S30" s="1"/>
      <c r="T30" s="1"/>
      <c r="U30" s="1"/>
      <c r="V30" s="1"/>
      <c r="W30" s="1"/>
      <c r="X30" s="1"/>
      <c r="Y30" s="1"/>
      <c r="AA30" s="1"/>
      <c r="AB30" s="1"/>
      <c r="AC30" s="1"/>
      <c r="AD30" s="1"/>
      <c r="AE30" s="1"/>
      <c r="AF30" s="1"/>
      <c r="AG30" s="1"/>
      <c r="AI30" s="1"/>
      <c r="AJ30" s="1"/>
      <c r="AK30" s="1"/>
      <c r="AL30" s="1"/>
      <c r="AM30" s="1"/>
      <c r="AN30" s="1"/>
      <c r="AO30" s="1"/>
      <c r="AQ30" s="1">
        <f>AVERAGE(AQ8,AQ15,AQ22,AQ29)</f>
        <v>14.4937611890625</v>
      </c>
      <c r="AR30" s="1">
        <f t="shared" ref="AR30:AW30" si="97">AVERAGE(AR8,AR15,AR22,AR29)</f>
        <v>85.591356640123706</v>
      </c>
      <c r="AS30" s="1">
        <f t="shared" si="97"/>
        <v>3.45</v>
      </c>
      <c r="AT30" s="1">
        <f t="shared" si="97"/>
        <v>0.98333333333333328</v>
      </c>
      <c r="AU30" s="1">
        <f t="shared" si="97"/>
        <v>134.73416666666668</v>
      </c>
      <c r="AV30" s="1">
        <f t="shared" si="97"/>
        <v>0.30000000000000004</v>
      </c>
      <c r="AW30" s="1">
        <f t="shared" si="97"/>
        <v>6.6872616323417247E-2</v>
      </c>
    </row>
    <row r="31" spans="1:49" ht="14.4" thickBot="1" x14ac:dyDescent="0.3">
      <c r="A31" s="1"/>
      <c r="B31" s="1"/>
      <c r="C31" s="1" t="s">
        <v>2</v>
      </c>
      <c r="D31" s="1" t="s">
        <v>7</v>
      </c>
      <c r="E31" s="1" t="s">
        <v>37</v>
      </c>
      <c r="F31" s="1"/>
      <c r="G31" s="1"/>
      <c r="H31" s="1"/>
      <c r="I31" s="1"/>
      <c r="K31" s="1" t="s">
        <v>2</v>
      </c>
      <c r="L31" s="1" t="s">
        <v>7</v>
      </c>
      <c r="M31" s="1" t="s">
        <v>37</v>
      </c>
      <c r="N31" s="1"/>
      <c r="O31" s="1"/>
      <c r="P31" s="1"/>
      <c r="Q31" s="1"/>
      <c r="S31" s="1" t="s">
        <v>2</v>
      </c>
      <c r="T31" s="1" t="s">
        <v>7</v>
      </c>
      <c r="U31" s="1" t="s">
        <v>37</v>
      </c>
      <c r="V31" s="1"/>
      <c r="W31" s="1"/>
      <c r="X31" s="1"/>
      <c r="Y31" s="1"/>
      <c r="AA31" s="1" t="s">
        <v>2</v>
      </c>
      <c r="AB31" s="1" t="s">
        <v>7</v>
      </c>
      <c r="AC31" s="1" t="s">
        <v>37</v>
      </c>
      <c r="AD31" s="1"/>
      <c r="AE31" s="1"/>
      <c r="AF31" s="1"/>
      <c r="AG31" s="1"/>
      <c r="AI31" s="1" t="s">
        <v>2</v>
      </c>
      <c r="AJ31" s="1" t="s">
        <v>7</v>
      </c>
      <c r="AK31" s="1" t="s">
        <v>37</v>
      </c>
      <c r="AL31" s="1"/>
      <c r="AM31" s="1"/>
      <c r="AN31" s="1"/>
      <c r="AO31" s="1"/>
      <c r="AQ31" s="1" t="s">
        <v>2</v>
      </c>
      <c r="AR31" s="1" t="s">
        <v>7</v>
      </c>
      <c r="AS31" s="1" t="s">
        <v>37</v>
      </c>
      <c r="AT31" s="1"/>
      <c r="AU31" s="1"/>
      <c r="AV31" s="1"/>
      <c r="AW31" s="1"/>
    </row>
    <row r="32" spans="1:49" s="86" customFormat="1" x14ac:dyDescent="0.25">
      <c r="A32" s="84" t="s">
        <v>32</v>
      </c>
      <c r="B32" s="84"/>
      <c r="C32" s="85">
        <v>2.8216478958101594</v>
      </c>
      <c r="D32" s="85">
        <v>67.689506868930181</v>
      </c>
      <c r="E32" s="85">
        <v>9.2695587690025949E-2</v>
      </c>
      <c r="F32" s="84"/>
      <c r="G32" s="84"/>
      <c r="H32" s="84"/>
      <c r="I32" s="84"/>
      <c r="K32" s="85">
        <v>3.1608442250648867</v>
      </c>
      <c r="L32" s="85">
        <v>67.677344321679527</v>
      </c>
      <c r="M32" s="85">
        <v>9.1954022988505746E-2</v>
      </c>
      <c r="N32" s="84"/>
      <c r="O32" s="84"/>
      <c r="P32" s="84"/>
      <c r="Q32" s="84"/>
      <c r="S32" s="85">
        <v>2.9365151093807933</v>
      </c>
      <c r="T32" s="85">
        <v>67.746506267914981</v>
      </c>
      <c r="U32" s="85">
        <v>9.0470893585465326E-2</v>
      </c>
      <c r="V32" s="84"/>
      <c r="W32" s="84"/>
      <c r="X32" s="84"/>
      <c r="Y32" s="84"/>
      <c r="AA32" s="85">
        <v>2.9240823136818688</v>
      </c>
      <c r="AB32" s="85">
        <v>67.738182023058428</v>
      </c>
      <c r="AC32" s="85">
        <v>9.0841675936225441E-2</v>
      </c>
      <c r="AD32" s="84"/>
      <c r="AE32" s="84"/>
      <c r="AF32" s="84"/>
      <c r="AG32" s="84"/>
      <c r="AI32" s="85">
        <v>2.9114815072302558</v>
      </c>
      <c r="AJ32" s="85">
        <v>67.705701152006085</v>
      </c>
      <c r="AK32" s="85">
        <v>9.2324805339265847E-2</v>
      </c>
      <c r="AL32" s="84"/>
      <c r="AM32" s="84"/>
      <c r="AN32" s="84"/>
      <c r="AO32" s="84"/>
      <c r="AQ32" s="87">
        <f>AVERAGE(C32,K32,S32,AA32,AI32)</f>
        <v>2.9509142102335928</v>
      </c>
      <c r="AR32" s="88">
        <f>AVERAGE(D32,L32,T32,AB32,AJ32)</f>
        <v>67.711448126717841</v>
      </c>
      <c r="AS32" s="89">
        <f>AVERAGE(E32,M32,U32,AC32,AK32)</f>
        <v>9.1657397107897665E-2</v>
      </c>
      <c r="AT32" s="84"/>
      <c r="AU32" s="84"/>
      <c r="AV32" s="84"/>
      <c r="AW32" s="84"/>
    </row>
    <row r="33" spans="1:49" x14ac:dyDescent="0.25">
      <c r="A33" s="1" t="s">
        <v>34</v>
      </c>
      <c r="B33" s="1"/>
      <c r="C33" s="2">
        <v>5.6652185134205091</v>
      </c>
      <c r="D33" s="2">
        <v>84.14498074218848</v>
      </c>
      <c r="E33" s="2">
        <v>0.55987611837577422</v>
      </c>
      <c r="F33" s="1"/>
      <c r="G33" s="1"/>
      <c r="H33" s="1"/>
      <c r="I33" s="1"/>
      <c r="K33" s="2">
        <v>5.9662551617343427</v>
      </c>
      <c r="L33" s="2">
        <v>84.149564077018994</v>
      </c>
      <c r="M33" s="2">
        <v>0.56262904335856845</v>
      </c>
      <c r="N33" s="1"/>
      <c r="O33" s="1"/>
      <c r="P33" s="1"/>
      <c r="Q33" s="1"/>
      <c r="S33" s="2">
        <v>5.6353987439779765</v>
      </c>
      <c r="T33" s="2">
        <v>84.158623884855743</v>
      </c>
      <c r="U33" s="2">
        <v>0.56159669649002064</v>
      </c>
      <c r="V33" s="1"/>
      <c r="W33" s="1"/>
      <c r="X33" s="1"/>
      <c r="Y33" s="1"/>
      <c r="AA33" s="2">
        <v>5.7145130763936685</v>
      </c>
      <c r="AB33" s="2">
        <v>84.148160122825246</v>
      </c>
      <c r="AC33" s="2">
        <v>0.56228492773571925</v>
      </c>
      <c r="AD33" s="1"/>
      <c r="AE33" s="1"/>
      <c r="AF33" s="1"/>
      <c r="AG33" s="1"/>
      <c r="AI33" s="2">
        <v>5.7042164917412252</v>
      </c>
      <c r="AJ33" s="2">
        <v>84.193547356914436</v>
      </c>
      <c r="AK33" s="2">
        <v>0.55918788713007572</v>
      </c>
      <c r="AL33" s="1"/>
      <c r="AM33" s="1"/>
      <c r="AN33" s="1"/>
      <c r="AO33" s="1"/>
      <c r="AQ33" s="19">
        <f t="shared" ref="AQ33:AQ36" si="98">AVERAGE(C33,K33,S33,AA33,AI33)</f>
        <v>5.7371203974535439</v>
      </c>
      <c r="AR33" s="13">
        <f t="shared" ref="AR33:AR36" si="99">AVERAGE(D33,L33,T33,AB33,AJ33)</f>
        <v>84.158975236760583</v>
      </c>
      <c r="AS33" s="14">
        <f t="shared" ref="AS33:AS36" si="100">AVERAGE(E33,M33,U33,AC33,AK33)</f>
        <v>0.56111493461803164</v>
      </c>
      <c r="AT33" s="1"/>
      <c r="AU33" s="1"/>
      <c r="AV33" s="1"/>
      <c r="AW33" s="1"/>
    </row>
    <row r="34" spans="1:49" x14ac:dyDescent="0.25">
      <c r="A34" s="1" t="s">
        <v>35</v>
      </c>
      <c r="B34" s="1"/>
      <c r="C34" s="2">
        <v>0.31263766519823788</v>
      </c>
      <c r="D34" s="2">
        <v>83.398189159477482</v>
      </c>
      <c r="E34" s="2">
        <v>0.44052863436123346</v>
      </c>
      <c r="F34" s="1"/>
      <c r="G34" s="1"/>
      <c r="H34" s="1"/>
      <c r="I34" s="1"/>
      <c r="K34" s="2">
        <v>0.25406112334801761</v>
      </c>
      <c r="L34" s="2">
        <v>83.261869780106821</v>
      </c>
      <c r="M34" s="2">
        <v>0.41850220264317178</v>
      </c>
      <c r="N34" s="1"/>
      <c r="O34" s="1"/>
      <c r="P34" s="1"/>
      <c r="Q34" s="1"/>
      <c r="S34" s="2">
        <v>0.28572411894273125</v>
      </c>
      <c r="T34" s="2">
        <v>83.377073752359337</v>
      </c>
      <c r="U34" s="2">
        <v>0.43612334801762115</v>
      </c>
      <c r="V34" s="1"/>
      <c r="W34" s="1"/>
      <c r="X34" s="1"/>
      <c r="Y34" s="1"/>
      <c r="AA34" s="2">
        <v>0.32069107929515417</v>
      </c>
      <c r="AB34" s="2">
        <v>83.371825914909081</v>
      </c>
      <c r="AC34" s="2">
        <v>0.43612334801762115</v>
      </c>
      <c r="AD34" s="1"/>
      <c r="AE34" s="1"/>
      <c r="AF34" s="1"/>
      <c r="AG34" s="1"/>
      <c r="AI34" s="2">
        <v>0.31828193832599116</v>
      </c>
      <c r="AJ34" s="2">
        <v>83.406388826346912</v>
      </c>
      <c r="AK34" s="2">
        <v>0.44052863436123346</v>
      </c>
      <c r="AL34" s="1"/>
      <c r="AM34" s="1"/>
      <c r="AN34" s="1"/>
      <c r="AO34" s="1"/>
      <c r="AQ34" s="19">
        <f t="shared" si="98"/>
        <v>0.29827918502202644</v>
      </c>
      <c r="AR34" s="13">
        <f t="shared" si="99"/>
        <v>83.36306948663993</v>
      </c>
      <c r="AS34" s="14">
        <f t="shared" si="100"/>
        <v>0.43436123348017625</v>
      </c>
      <c r="AT34" s="1"/>
      <c r="AU34" s="1"/>
      <c r="AV34" s="1"/>
      <c r="AW34" s="1"/>
    </row>
    <row r="35" spans="1:49" x14ac:dyDescent="0.25">
      <c r="A35" s="1" t="s">
        <v>33</v>
      </c>
      <c r="B35" s="1"/>
      <c r="C35" s="2">
        <v>2.1787888835302627</v>
      </c>
      <c r="D35" s="2">
        <v>76.884224842704384</v>
      </c>
      <c r="E35" s="2">
        <v>0.40897034000482274</v>
      </c>
      <c r="F35" s="1"/>
      <c r="G35" s="1"/>
      <c r="H35" s="1"/>
      <c r="I35" s="1"/>
      <c r="K35" s="2">
        <v>2.3905195020496746</v>
      </c>
      <c r="L35" s="2">
        <v>76.840126112690641</v>
      </c>
      <c r="M35" s="2">
        <v>0.40559440559440557</v>
      </c>
      <c r="N35" s="1"/>
      <c r="O35" s="1"/>
      <c r="P35" s="1"/>
      <c r="Q35" s="1"/>
      <c r="S35" s="2">
        <v>2.3259547564504461</v>
      </c>
      <c r="T35" s="2">
        <v>76.891479406638666</v>
      </c>
      <c r="U35" s="2">
        <v>0.40776464914395949</v>
      </c>
      <c r="V35" s="1"/>
      <c r="W35" s="1"/>
      <c r="X35" s="1"/>
      <c r="Y35" s="1"/>
      <c r="AA35" s="2">
        <v>2.3561761514347723</v>
      </c>
      <c r="AB35" s="2">
        <v>76.916793294711127</v>
      </c>
      <c r="AC35" s="2">
        <v>0.40583554376657827</v>
      </c>
      <c r="AD35" s="1"/>
      <c r="AE35" s="1"/>
      <c r="AF35" s="1"/>
      <c r="AG35" s="1"/>
      <c r="AI35" s="2">
        <v>2.3604073727996142</v>
      </c>
      <c r="AJ35" s="2">
        <v>76.860711632342799</v>
      </c>
      <c r="AK35" s="2">
        <v>0.40800578731613213</v>
      </c>
      <c r="AL35" s="1"/>
      <c r="AM35" s="1"/>
      <c r="AN35" s="1"/>
      <c r="AO35" s="1"/>
      <c r="AQ35" s="19">
        <f t="shared" si="98"/>
        <v>2.3223693332529538</v>
      </c>
      <c r="AR35" s="13">
        <f t="shared" si="99"/>
        <v>76.878667057817523</v>
      </c>
      <c r="AS35" s="14">
        <f t="shared" si="100"/>
        <v>0.40723414516517958</v>
      </c>
      <c r="AT35" s="1"/>
      <c r="AU35" s="1"/>
      <c r="AV35" s="1"/>
      <c r="AW35" s="1"/>
    </row>
    <row r="36" spans="1:49" ht="14.4" thickBot="1" x14ac:dyDescent="0.3">
      <c r="A36" s="1" t="s">
        <v>36</v>
      </c>
      <c r="B36" s="1"/>
      <c r="C36" s="2">
        <v>1.087433510638298</v>
      </c>
      <c r="D36" s="2">
        <v>89.1715953503968</v>
      </c>
      <c r="E36" s="2">
        <v>4.2553191489361701E-2</v>
      </c>
      <c r="F36" s="1"/>
      <c r="G36" s="1"/>
      <c r="H36" s="1"/>
      <c r="I36" s="1"/>
      <c r="K36" s="2">
        <v>1.0691489361702127</v>
      </c>
      <c r="L36" s="2">
        <v>89.071887239907795</v>
      </c>
      <c r="M36" s="2">
        <v>6.3829787234042548E-2</v>
      </c>
      <c r="N36" s="1"/>
      <c r="O36" s="1"/>
      <c r="P36" s="1"/>
      <c r="Q36" s="1"/>
      <c r="S36" s="2">
        <v>1.0369015957446808</v>
      </c>
      <c r="T36" s="2">
        <v>89.094810686015251</v>
      </c>
      <c r="U36" s="2">
        <v>6.3829787234042548E-2</v>
      </c>
      <c r="V36" s="1"/>
      <c r="W36" s="1"/>
      <c r="X36" s="1"/>
      <c r="Y36" s="1"/>
      <c r="AA36" s="2">
        <v>1.1363031914893618</v>
      </c>
      <c r="AB36" s="2">
        <v>89.094810686015251</v>
      </c>
      <c r="AC36" s="2">
        <v>6.3829787234042548E-2</v>
      </c>
      <c r="AD36" s="1"/>
      <c r="AE36" s="1"/>
      <c r="AF36" s="1"/>
      <c r="AG36" s="1"/>
      <c r="AI36" s="2">
        <v>1.0402260638297873</v>
      </c>
      <c r="AJ36" s="2">
        <v>89.1715953503968</v>
      </c>
      <c r="AK36" s="2">
        <v>4.2553191489361701E-2</v>
      </c>
      <c r="AL36" s="1"/>
      <c r="AM36" s="1"/>
      <c r="AN36" s="1"/>
      <c r="AO36" s="1"/>
      <c r="AQ36" s="21">
        <f t="shared" si="98"/>
        <v>1.0740026595744681</v>
      </c>
      <c r="AR36" s="22">
        <f t="shared" si="99"/>
        <v>89.120939862546379</v>
      </c>
      <c r="AS36" s="23">
        <f t="shared" si="100"/>
        <v>5.5319148936170202E-2</v>
      </c>
      <c r="AT36" s="1"/>
      <c r="AU36" s="1"/>
      <c r="AV36" s="1"/>
      <c r="AW36" s="1"/>
    </row>
    <row r="37" spans="1:49" x14ac:dyDescent="0.25">
      <c r="A37" s="1"/>
      <c r="B37" s="1"/>
      <c r="C37" s="1">
        <f>AVERAGE(C32:C36)</f>
        <v>2.4131452937194937</v>
      </c>
      <c r="D37" s="1">
        <f t="shared" ref="D37:E37" si="101">AVERAGE(D32:D36)</f>
        <v>80.257699392739468</v>
      </c>
      <c r="E37" s="1">
        <f t="shared" si="101"/>
        <v>0.30892477438424365</v>
      </c>
      <c r="F37" s="1"/>
      <c r="G37" s="1"/>
      <c r="H37" s="1"/>
      <c r="I37" s="1"/>
      <c r="K37" s="1">
        <f>AVERAGE(K32:K36)</f>
        <v>2.5681657896734271</v>
      </c>
      <c r="L37" s="1">
        <f t="shared" ref="L37:M37" si="102">AVERAGE(L32:L36)</f>
        <v>80.20015830628077</v>
      </c>
      <c r="M37" s="1">
        <f t="shared" si="102"/>
        <v>0.30850189236373882</v>
      </c>
      <c r="N37" s="1"/>
      <c r="O37" s="1"/>
      <c r="P37" s="1"/>
      <c r="Q37" s="1"/>
      <c r="S37" s="1">
        <f>AVERAGE(S32:S36)</f>
        <v>2.4440988648993254</v>
      </c>
      <c r="T37" s="1">
        <f t="shared" ref="T37:U37" si="103">AVERAGE(T32:T36)</f>
        <v>80.253698799556801</v>
      </c>
      <c r="U37" s="1">
        <f t="shared" si="103"/>
        <v>0.31195707489422186</v>
      </c>
      <c r="V37" s="1"/>
      <c r="W37" s="1"/>
      <c r="X37" s="1"/>
      <c r="Y37" s="1"/>
      <c r="AA37" s="1">
        <f>AVERAGE(AA32:AA36)</f>
        <v>2.4903531624589648</v>
      </c>
      <c r="AB37" s="1">
        <f t="shared" ref="AB37:AC37" si="104">AVERAGE(AB32:AB36)</f>
        <v>80.253954408303827</v>
      </c>
      <c r="AC37" s="1">
        <f t="shared" si="104"/>
        <v>0.31178305653803734</v>
      </c>
      <c r="AD37" s="1"/>
      <c r="AE37" s="1"/>
      <c r="AF37" s="1"/>
      <c r="AG37" s="1"/>
      <c r="AI37" s="1">
        <f>AVERAGE(AI32:AI36)</f>
        <v>2.466922674785375</v>
      </c>
      <c r="AJ37" s="1">
        <f t="shared" ref="AJ37:AK37" si="105">AVERAGE(AJ32:AJ36)</f>
        <v>80.267588863601404</v>
      </c>
      <c r="AK37" s="1">
        <f t="shared" si="105"/>
        <v>0.30852006112721375</v>
      </c>
      <c r="AL37" s="1"/>
      <c r="AM37" s="1"/>
      <c r="AN37" s="1"/>
      <c r="AO37" s="1"/>
      <c r="AQ37" s="1">
        <f>AVERAGE(AQ32:AQ36)</f>
        <v>2.4765371571073169</v>
      </c>
      <c r="AR37" s="1">
        <f t="shared" ref="AR37:AS37" si="106">AVERAGE(AR32:AR36)</f>
        <v>80.246619954096445</v>
      </c>
      <c r="AS37" s="1">
        <f t="shared" si="106"/>
        <v>0.30993737186149106</v>
      </c>
      <c r="AT37" s="1"/>
      <c r="AU37" s="1"/>
      <c r="AV37" s="1"/>
      <c r="AW37" s="1"/>
    </row>
    <row r="40" spans="1:49" x14ac:dyDescent="0.25">
      <c r="A40" s="1"/>
      <c r="B40" s="1"/>
      <c r="C40" s="64" t="s">
        <v>46</v>
      </c>
      <c r="D40" s="65"/>
      <c r="E40" s="65"/>
      <c r="F40" s="65"/>
      <c r="G40" s="65"/>
      <c r="H40" s="65"/>
      <c r="I40" s="66"/>
      <c r="K40" s="64" t="s">
        <v>46</v>
      </c>
      <c r="L40" s="65"/>
      <c r="M40" s="65"/>
      <c r="N40" s="65"/>
      <c r="O40" s="65"/>
      <c r="P40" s="65"/>
      <c r="Q40" s="66"/>
      <c r="S40" s="64" t="s">
        <v>46</v>
      </c>
      <c r="T40" s="65"/>
      <c r="U40" s="65"/>
      <c r="V40" s="65"/>
      <c r="W40" s="65"/>
      <c r="X40" s="65"/>
      <c r="Y40" s="66"/>
      <c r="AA40" s="64" t="s">
        <v>46</v>
      </c>
      <c r="AB40" s="65"/>
      <c r="AC40" s="65"/>
      <c r="AD40" s="65"/>
      <c r="AE40" s="65"/>
      <c r="AF40" s="65"/>
      <c r="AG40" s="66"/>
      <c r="AI40" s="64" t="s">
        <v>46</v>
      </c>
      <c r="AJ40" s="65"/>
      <c r="AK40" s="65"/>
      <c r="AL40" s="65"/>
      <c r="AM40" s="65"/>
      <c r="AN40" s="65"/>
      <c r="AO40" s="66"/>
      <c r="AQ40" s="67" t="s">
        <v>46</v>
      </c>
      <c r="AR40" s="68"/>
      <c r="AS40" s="68"/>
      <c r="AT40" s="68"/>
      <c r="AU40" s="68"/>
      <c r="AV40" s="68"/>
      <c r="AW40" s="69"/>
    </row>
    <row r="41" spans="1:49" ht="14.4" thickBot="1" x14ac:dyDescent="0.3">
      <c r="A41" s="1" t="s">
        <v>0</v>
      </c>
      <c r="B41" s="1" t="s">
        <v>9</v>
      </c>
      <c r="C41" s="1" t="s">
        <v>2</v>
      </c>
      <c r="D41" s="1" t="s">
        <v>7</v>
      </c>
      <c r="E41" s="1" t="s">
        <v>3</v>
      </c>
      <c r="F41" s="1" t="s">
        <v>5</v>
      </c>
      <c r="G41" s="1" t="s">
        <v>8</v>
      </c>
      <c r="H41" s="1" t="s">
        <v>4</v>
      </c>
      <c r="I41" s="1" t="s">
        <v>6</v>
      </c>
      <c r="K41" s="1" t="s">
        <v>2</v>
      </c>
      <c r="L41" s="1" t="s">
        <v>7</v>
      </c>
      <c r="M41" s="1" t="s">
        <v>3</v>
      </c>
      <c r="N41" s="1" t="s">
        <v>5</v>
      </c>
      <c r="O41" s="1" t="s">
        <v>8</v>
      </c>
      <c r="P41" s="1" t="s">
        <v>4</v>
      </c>
      <c r="Q41" s="1" t="s">
        <v>6</v>
      </c>
      <c r="S41" s="1" t="s">
        <v>2</v>
      </c>
      <c r="T41" s="1" t="s">
        <v>7</v>
      </c>
      <c r="U41" s="1" t="s">
        <v>3</v>
      </c>
      <c r="V41" s="1" t="s">
        <v>5</v>
      </c>
      <c r="W41" s="1" t="s">
        <v>8</v>
      </c>
      <c r="X41" s="1" t="s">
        <v>4</v>
      </c>
      <c r="Y41" s="1" t="s">
        <v>6</v>
      </c>
      <c r="AA41" s="1" t="s">
        <v>2</v>
      </c>
      <c r="AB41" s="1" t="s">
        <v>7</v>
      </c>
      <c r="AC41" s="1" t="s">
        <v>3</v>
      </c>
      <c r="AD41" s="1" t="s">
        <v>5</v>
      </c>
      <c r="AE41" s="1" t="s">
        <v>8</v>
      </c>
      <c r="AF41" s="1" t="s">
        <v>4</v>
      </c>
      <c r="AG41" s="1" t="s">
        <v>6</v>
      </c>
      <c r="AI41" s="1" t="s">
        <v>2</v>
      </c>
      <c r="AJ41" s="1" t="s">
        <v>7</v>
      </c>
      <c r="AK41" s="1" t="s">
        <v>3</v>
      </c>
      <c r="AL41" s="1" t="s">
        <v>5</v>
      </c>
      <c r="AM41" s="1" t="s">
        <v>8</v>
      </c>
      <c r="AN41" s="1" t="s">
        <v>4</v>
      </c>
      <c r="AO41" s="1" t="s">
        <v>6</v>
      </c>
      <c r="AQ41" s="1" t="s">
        <v>2</v>
      </c>
      <c r="AR41" s="1" t="s">
        <v>7</v>
      </c>
      <c r="AS41" s="1" t="s">
        <v>3</v>
      </c>
      <c r="AT41" s="1" t="s">
        <v>5</v>
      </c>
      <c r="AU41" s="1" t="s">
        <v>8</v>
      </c>
      <c r="AV41" s="1" t="s">
        <v>4</v>
      </c>
      <c r="AW41" s="1" t="s">
        <v>6</v>
      </c>
    </row>
    <row r="42" spans="1:49" x14ac:dyDescent="0.25">
      <c r="A42" s="1" t="s">
        <v>10</v>
      </c>
      <c r="B42" s="1" t="s">
        <v>15</v>
      </c>
      <c r="C42" s="2">
        <v>21.822577031249999</v>
      </c>
      <c r="D42" s="2">
        <v>86.570783369583694</v>
      </c>
      <c r="E42" s="5">
        <v>3</v>
      </c>
      <c r="F42" s="5">
        <f>E42/3</f>
        <v>1</v>
      </c>
      <c r="G42" s="5">
        <f>(47+37+77)/3</f>
        <v>53.666666666666664</v>
      </c>
      <c r="H42" s="5">
        <v>0</v>
      </c>
      <c r="I42" s="6">
        <f>H42/(E42+H42)</f>
        <v>0</v>
      </c>
      <c r="K42" s="2">
        <v>23.535552343749998</v>
      </c>
      <c r="L42" s="2">
        <v>86.572459829758159</v>
      </c>
      <c r="M42" s="5">
        <v>3</v>
      </c>
      <c r="N42" s="5">
        <f>M42/3</f>
        <v>1</v>
      </c>
      <c r="O42" s="5">
        <f>(47+37+79)/3</f>
        <v>54.333333333333336</v>
      </c>
      <c r="P42" s="5">
        <v>0</v>
      </c>
      <c r="Q42" s="6">
        <f>P42/(M42+P42)</f>
        <v>0</v>
      </c>
      <c r="S42" s="2">
        <v>22.949935624999998</v>
      </c>
      <c r="T42" s="2">
        <v>86.572135102024717</v>
      </c>
      <c r="U42" s="5">
        <v>3</v>
      </c>
      <c r="V42" s="5">
        <f>U42/3</f>
        <v>1</v>
      </c>
      <c r="W42" s="5">
        <f>(47+37+55)/3</f>
        <v>46.333333333333336</v>
      </c>
      <c r="X42" s="5">
        <v>0</v>
      </c>
      <c r="Y42" s="6">
        <f>X42/(U42+X42)</f>
        <v>0</v>
      </c>
      <c r="AA42" s="2">
        <v>24.690810468750001</v>
      </c>
      <c r="AB42" s="2">
        <v>86.572135102024717</v>
      </c>
      <c r="AC42" s="5">
        <v>3</v>
      </c>
      <c r="AD42" s="5">
        <f>AC42/3</f>
        <v>1</v>
      </c>
      <c r="AE42" s="5">
        <f>(47+37+55)/3</f>
        <v>46.333333333333336</v>
      </c>
      <c r="AF42" s="5">
        <v>0</v>
      </c>
      <c r="AG42" s="6">
        <f>AF42/(AC42+AF42)</f>
        <v>0</v>
      </c>
      <c r="AI42" s="2">
        <v>23.99347375</v>
      </c>
      <c r="AJ42" s="2">
        <v>86.577397910040474</v>
      </c>
      <c r="AK42" s="5">
        <v>3</v>
      </c>
      <c r="AL42" s="5">
        <f>AK42/3</f>
        <v>1</v>
      </c>
      <c r="AM42" s="5">
        <f>(47+38+55)/3</f>
        <v>46.666666666666664</v>
      </c>
      <c r="AN42" s="5">
        <v>0</v>
      </c>
      <c r="AO42" s="6">
        <f>AN42/(AK42+AN42)</f>
        <v>0</v>
      </c>
      <c r="AQ42" s="15">
        <f>AVERAGE(C42,K42,S42,AA42,AI42)</f>
        <v>23.39846984375</v>
      </c>
      <c r="AR42" s="16">
        <f>AVERAGE(D42,L42,T42,AB42,AJ42)</f>
        <v>86.572982262686352</v>
      </c>
      <c r="AS42" s="17">
        <f>AVERAGE(E42,M42,U42,AC42,AK42)</f>
        <v>3</v>
      </c>
      <c r="AT42" s="17">
        <f>AS42/3</f>
        <v>1</v>
      </c>
      <c r="AU42" s="17">
        <f>AVERAGE(G42,O42,W42,AE42,AM42)</f>
        <v>49.466666666666669</v>
      </c>
      <c r="AV42" s="17">
        <f>AVERAGE(H42,P42,X42,AF42,AN42)</f>
        <v>0</v>
      </c>
      <c r="AW42" s="18">
        <f>AV42/(AS42+AV42)</f>
        <v>0</v>
      </c>
    </row>
    <row r="43" spans="1:49" x14ac:dyDescent="0.25">
      <c r="A43" s="1" t="s">
        <v>11</v>
      </c>
      <c r="B43" s="1" t="s">
        <v>15</v>
      </c>
      <c r="C43" s="2">
        <v>27.450169218749998</v>
      </c>
      <c r="D43" s="2">
        <v>86.632969163817293</v>
      </c>
      <c r="E43" s="1">
        <v>3</v>
      </c>
      <c r="F43" s="1">
        <f t="shared" ref="F43:F46" si="107">E43/3</f>
        <v>1</v>
      </c>
      <c r="G43" s="1">
        <f>(39+89+49)/3</f>
        <v>59</v>
      </c>
      <c r="H43" s="1">
        <v>0</v>
      </c>
      <c r="I43" s="8">
        <f t="shared" ref="I43:I46" si="108">H43/(E43+H43)</f>
        <v>0</v>
      </c>
      <c r="K43" s="2">
        <v>27.78360125</v>
      </c>
      <c r="L43" s="2">
        <v>86.648320712280068</v>
      </c>
      <c r="M43" s="1">
        <v>3</v>
      </c>
      <c r="N43" s="1">
        <f t="shared" ref="N43:N46" si="109">M43/3</f>
        <v>1</v>
      </c>
      <c r="O43" s="1">
        <f>(37+93+48)/3</f>
        <v>59.333333333333336</v>
      </c>
      <c r="P43" s="1">
        <v>0</v>
      </c>
      <c r="Q43" s="8">
        <f t="shared" ref="Q43:Q46" si="110">P43/(M43+P43)</f>
        <v>0</v>
      </c>
      <c r="S43" s="2">
        <v>24.533962031249999</v>
      </c>
      <c r="T43" s="2">
        <v>86.64432893940095</v>
      </c>
      <c r="U43" s="1">
        <v>3</v>
      </c>
      <c r="V43" s="1">
        <f t="shared" ref="V43:V46" si="111">U43/3</f>
        <v>1</v>
      </c>
      <c r="W43" s="1">
        <f>(37+90+49)/3</f>
        <v>58.666666666666664</v>
      </c>
      <c r="X43" s="1">
        <v>0</v>
      </c>
      <c r="Y43" s="8">
        <f t="shared" ref="Y43:Y46" si="112">X43/(U43+X43)</f>
        <v>0</v>
      </c>
      <c r="AA43" s="2">
        <v>24.708278437499999</v>
      </c>
      <c r="AB43" s="2">
        <v>86.63050216624697</v>
      </c>
      <c r="AC43" s="1">
        <v>3</v>
      </c>
      <c r="AD43" s="1">
        <f t="shared" ref="AD43:AD46" si="113">AC43/3</f>
        <v>1</v>
      </c>
      <c r="AE43" s="1">
        <f>(39+89+53)/3</f>
        <v>60.333333333333336</v>
      </c>
      <c r="AF43" s="1">
        <v>0</v>
      </c>
      <c r="AG43" s="8">
        <f t="shared" ref="AG43:AG46" si="114">AF43/(AC43+AF43)</f>
        <v>0</v>
      </c>
      <c r="AI43" s="2">
        <v>26.71387140625</v>
      </c>
      <c r="AJ43" s="2">
        <v>86.642910660472637</v>
      </c>
      <c r="AK43" s="1">
        <v>3</v>
      </c>
      <c r="AL43" s="1">
        <f t="shared" ref="AL43:AL46" si="115">AK43/3</f>
        <v>1</v>
      </c>
      <c r="AM43" s="1">
        <f>(37+89+48)/3</f>
        <v>58</v>
      </c>
      <c r="AN43" s="1">
        <v>0</v>
      </c>
      <c r="AO43" s="8">
        <f t="shared" ref="AO43:AO46" si="116">AN43/(AK43+AN43)</f>
        <v>0</v>
      </c>
      <c r="AQ43" s="19">
        <f t="shared" ref="AQ43:AQ46" si="117">AVERAGE(C43,K43,S43,AA43,AI43)</f>
        <v>26.237976468749999</v>
      </c>
      <c r="AR43" s="13">
        <f t="shared" ref="AR43:AR46" si="118">AVERAGE(D43,L43,T43,AB43,AJ43)</f>
        <v>86.639806328443584</v>
      </c>
      <c r="AS43" s="14">
        <f t="shared" ref="AS43:AS46" si="119">AVERAGE(E43,M43,U43,AC43,AK43)</f>
        <v>3</v>
      </c>
      <c r="AT43" s="14">
        <f t="shared" ref="AT43:AT46" si="120">AS43/3</f>
        <v>1</v>
      </c>
      <c r="AU43" s="14">
        <f t="shared" ref="AU43:AU46" si="121">AVERAGE(G43,O43,W43,AE43,AM43)</f>
        <v>59.066666666666677</v>
      </c>
      <c r="AV43" s="14">
        <f t="shared" ref="AV43:AV46" si="122">AVERAGE(H43,P43,X43,AF43,AN43)</f>
        <v>0</v>
      </c>
      <c r="AW43" s="20">
        <f t="shared" ref="AW43:AW46" si="123">AV43/(AS43+AV43)</f>
        <v>0</v>
      </c>
    </row>
    <row r="44" spans="1:49" x14ac:dyDescent="0.25">
      <c r="A44" s="1" t="s">
        <v>12</v>
      </c>
      <c r="B44" s="1" t="s">
        <v>15</v>
      </c>
      <c r="C44" s="2">
        <v>27.148775000000001</v>
      </c>
      <c r="D44" s="2">
        <v>86.695530516143734</v>
      </c>
      <c r="E44" s="1">
        <v>3</v>
      </c>
      <c r="F44" s="1">
        <f t="shared" si="107"/>
        <v>1</v>
      </c>
      <c r="G44" s="1">
        <f>(60+30+52)/3</f>
        <v>47.333333333333336</v>
      </c>
      <c r="H44" s="1">
        <v>0</v>
      </c>
      <c r="I44" s="8">
        <f t="shared" si="108"/>
        <v>0</v>
      </c>
      <c r="K44" s="2">
        <v>24.779383124999999</v>
      </c>
      <c r="L44" s="2">
        <v>86.696506279054447</v>
      </c>
      <c r="M44" s="1">
        <v>3</v>
      </c>
      <c r="N44" s="1">
        <f t="shared" si="109"/>
        <v>1</v>
      </c>
      <c r="O44" s="1">
        <f>(60+30+54)/3</f>
        <v>48</v>
      </c>
      <c r="P44" s="1">
        <v>0</v>
      </c>
      <c r="Q44" s="8">
        <f t="shared" si="110"/>
        <v>0</v>
      </c>
      <c r="S44" s="2">
        <v>22.09405796875</v>
      </c>
      <c r="T44" s="2">
        <v>86.686917784192246</v>
      </c>
      <c r="U44" s="1">
        <v>3</v>
      </c>
      <c r="V44" s="1">
        <f t="shared" si="111"/>
        <v>1</v>
      </c>
      <c r="W44" s="1">
        <f>(58+30+53)/3</f>
        <v>47</v>
      </c>
      <c r="X44" s="1">
        <v>0</v>
      </c>
      <c r="Y44" s="8">
        <f t="shared" si="112"/>
        <v>0</v>
      </c>
      <c r="AA44" s="2">
        <v>24.516686406249999</v>
      </c>
      <c r="AB44" s="2">
        <v>86.691290596639035</v>
      </c>
      <c r="AC44" s="1">
        <v>3</v>
      </c>
      <c r="AD44" s="1">
        <f t="shared" si="113"/>
        <v>1</v>
      </c>
      <c r="AE44" s="1">
        <f>(58+32+51)/3</f>
        <v>47</v>
      </c>
      <c r="AF44" s="1">
        <v>0</v>
      </c>
      <c r="AG44" s="8">
        <f t="shared" si="114"/>
        <v>0</v>
      </c>
      <c r="AI44" s="2">
        <v>27.213975625</v>
      </c>
      <c r="AJ44" s="2">
        <v>86.690609013097955</v>
      </c>
      <c r="AK44" s="1">
        <v>3</v>
      </c>
      <c r="AL44" s="1">
        <f t="shared" si="115"/>
        <v>1</v>
      </c>
      <c r="AM44" s="1">
        <f>(58+32+52)/3</f>
        <v>47.333333333333336</v>
      </c>
      <c r="AN44" s="1">
        <v>0</v>
      </c>
      <c r="AO44" s="8">
        <f t="shared" si="116"/>
        <v>0</v>
      </c>
      <c r="AQ44" s="19">
        <f t="shared" si="117"/>
        <v>25.150575624999998</v>
      </c>
      <c r="AR44" s="13">
        <f t="shared" si="118"/>
        <v>86.692170837825486</v>
      </c>
      <c r="AS44" s="14">
        <f t="shared" si="119"/>
        <v>3</v>
      </c>
      <c r="AT44" s="14">
        <f t="shared" si="120"/>
        <v>1</v>
      </c>
      <c r="AU44" s="14">
        <f t="shared" si="121"/>
        <v>47.333333333333336</v>
      </c>
      <c r="AV44" s="14">
        <f t="shared" si="122"/>
        <v>0</v>
      </c>
      <c r="AW44" s="20">
        <f t="shared" si="123"/>
        <v>0</v>
      </c>
    </row>
    <row r="45" spans="1:49" x14ac:dyDescent="0.25">
      <c r="A45" s="1" t="s">
        <v>13</v>
      </c>
      <c r="B45" s="1" t="s">
        <v>15</v>
      </c>
      <c r="C45" s="2">
        <v>22.79847484375</v>
      </c>
      <c r="D45" s="2">
        <v>86.676184511603651</v>
      </c>
      <c r="E45" s="1">
        <v>3</v>
      </c>
      <c r="F45" s="1">
        <f t="shared" si="107"/>
        <v>1</v>
      </c>
      <c r="G45">
        <f>(76+77+122)/3</f>
        <v>91.666666666666671</v>
      </c>
      <c r="H45" s="1">
        <v>0</v>
      </c>
      <c r="I45" s="8">
        <f t="shared" si="108"/>
        <v>0</v>
      </c>
      <c r="K45" s="2">
        <v>25.24503703125</v>
      </c>
      <c r="L45" s="2">
        <v>86.67456111915476</v>
      </c>
      <c r="M45" s="1">
        <v>3</v>
      </c>
      <c r="N45" s="1">
        <f t="shared" si="109"/>
        <v>1</v>
      </c>
      <c r="O45">
        <f>(75+80+122)/3</f>
        <v>92.333333333333329</v>
      </c>
      <c r="P45" s="1">
        <v>0</v>
      </c>
      <c r="Q45" s="8">
        <f t="shared" si="110"/>
        <v>0</v>
      </c>
      <c r="S45" s="2">
        <v>27.727153749999999</v>
      </c>
      <c r="T45" s="2">
        <v>86.673177875120999</v>
      </c>
      <c r="U45" s="1">
        <v>3</v>
      </c>
      <c r="V45" s="1">
        <f t="shared" si="111"/>
        <v>1</v>
      </c>
      <c r="W45">
        <f>(76+80+122)/3</f>
        <v>92.666666666666671</v>
      </c>
      <c r="X45" s="1">
        <v>0</v>
      </c>
      <c r="Y45" s="8">
        <f t="shared" si="112"/>
        <v>0</v>
      </c>
      <c r="AA45" s="2">
        <v>23.967602812500001</v>
      </c>
      <c r="AB45" s="2">
        <v>86.671926409198321</v>
      </c>
      <c r="AC45" s="1">
        <v>3</v>
      </c>
      <c r="AD45" s="1">
        <f t="shared" si="113"/>
        <v>1</v>
      </c>
      <c r="AE45">
        <f>(76+79+121)/3</f>
        <v>92</v>
      </c>
      <c r="AF45" s="1">
        <v>0</v>
      </c>
      <c r="AG45" s="8">
        <f t="shared" si="114"/>
        <v>0</v>
      </c>
      <c r="AI45" s="2">
        <v>30.149274999999999</v>
      </c>
      <c r="AJ45" s="2">
        <v>86.713908383108773</v>
      </c>
      <c r="AK45" s="1">
        <v>3</v>
      </c>
      <c r="AL45" s="1">
        <f t="shared" si="115"/>
        <v>1</v>
      </c>
      <c r="AM45">
        <f>(76+163+122)/3</f>
        <v>120.33333333333333</v>
      </c>
      <c r="AN45" s="1">
        <v>0</v>
      </c>
      <c r="AO45" s="8">
        <f t="shared" si="116"/>
        <v>0</v>
      </c>
      <c r="AQ45" s="19">
        <f t="shared" si="117"/>
        <v>25.977508687499999</v>
      </c>
      <c r="AR45" s="13">
        <f t="shared" si="118"/>
        <v>86.681951659637292</v>
      </c>
      <c r="AS45" s="14">
        <f t="shared" si="119"/>
        <v>3</v>
      </c>
      <c r="AT45" s="14">
        <f t="shared" si="120"/>
        <v>1</v>
      </c>
      <c r="AU45" s="14">
        <f t="shared" si="121"/>
        <v>97.8</v>
      </c>
      <c r="AV45" s="14">
        <f t="shared" si="122"/>
        <v>0</v>
      </c>
      <c r="AW45" s="20">
        <f t="shared" si="123"/>
        <v>0</v>
      </c>
    </row>
    <row r="46" spans="1:49" ht="14.4" thickBot="1" x14ac:dyDescent="0.3">
      <c r="A46" s="1" t="s">
        <v>14</v>
      </c>
      <c r="B46" s="1" t="s">
        <v>15</v>
      </c>
      <c r="C46" s="2">
        <v>24.96686875</v>
      </c>
      <c r="D46" s="2">
        <v>86.605391234618097</v>
      </c>
      <c r="E46" s="9">
        <v>3</v>
      </c>
      <c r="F46" s="9">
        <f t="shared" si="107"/>
        <v>1</v>
      </c>
      <c r="G46" s="9">
        <f>(39+50+51)/3</f>
        <v>46.666666666666664</v>
      </c>
      <c r="H46" s="9">
        <v>0</v>
      </c>
      <c r="I46" s="10">
        <f t="shared" si="108"/>
        <v>0</v>
      </c>
      <c r="K46" s="2">
        <v>25.361067500000001</v>
      </c>
      <c r="L46" s="2">
        <v>86.61637827374598</v>
      </c>
      <c r="M46" s="9">
        <v>3</v>
      </c>
      <c r="N46" s="9">
        <f t="shared" si="109"/>
        <v>1</v>
      </c>
      <c r="O46" s="9">
        <f>(41+50+51)/3</f>
        <v>47.333333333333336</v>
      </c>
      <c r="P46" s="9">
        <v>0</v>
      </c>
      <c r="Q46" s="10">
        <f t="shared" si="110"/>
        <v>0</v>
      </c>
      <c r="S46" s="2">
        <v>24.867170625</v>
      </c>
      <c r="T46" s="2">
        <v>86.605391234618097</v>
      </c>
      <c r="U46" s="9">
        <v>3</v>
      </c>
      <c r="V46" s="9">
        <f t="shared" si="111"/>
        <v>1</v>
      </c>
      <c r="W46" s="9">
        <f>(39+50+51)/3</f>
        <v>46.666666666666664</v>
      </c>
      <c r="X46" s="9">
        <v>0</v>
      </c>
      <c r="Y46" s="10">
        <f t="shared" si="112"/>
        <v>0</v>
      </c>
      <c r="AA46" s="2">
        <v>25.077733281250001</v>
      </c>
      <c r="AB46" s="2">
        <v>86.625856807827347</v>
      </c>
      <c r="AC46" s="9">
        <v>3</v>
      </c>
      <c r="AD46" s="9">
        <f t="shared" si="113"/>
        <v>1</v>
      </c>
      <c r="AE46" s="9">
        <f>(41+49+49)/3</f>
        <v>46.333333333333336</v>
      </c>
      <c r="AF46" s="9">
        <v>0</v>
      </c>
      <c r="AG46" s="10">
        <f t="shared" si="114"/>
        <v>0</v>
      </c>
      <c r="AI46" s="2">
        <v>26.071496249999999</v>
      </c>
      <c r="AJ46" s="2">
        <v>86.606270223986826</v>
      </c>
      <c r="AK46" s="9">
        <v>3</v>
      </c>
      <c r="AL46" s="9">
        <f t="shared" si="115"/>
        <v>1</v>
      </c>
      <c r="AM46" s="9">
        <f>(39+50+50)/3</f>
        <v>46.333333333333336</v>
      </c>
      <c r="AN46" s="9">
        <v>0</v>
      </c>
      <c r="AO46" s="10">
        <f t="shared" si="116"/>
        <v>0</v>
      </c>
      <c r="AQ46" s="21">
        <f t="shared" si="117"/>
        <v>25.268867281249999</v>
      </c>
      <c r="AR46" s="22">
        <f t="shared" si="118"/>
        <v>86.611857554959272</v>
      </c>
      <c r="AS46" s="23">
        <f t="shared" si="119"/>
        <v>3</v>
      </c>
      <c r="AT46" s="23">
        <f t="shared" si="120"/>
        <v>1</v>
      </c>
      <c r="AU46" s="23">
        <f t="shared" si="121"/>
        <v>46.666666666666671</v>
      </c>
      <c r="AV46" s="23">
        <f t="shared" si="122"/>
        <v>0</v>
      </c>
      <c r="AW46" s="24">
        <f t="shared" si="123"/>
        <v>0</v>
      </c>
    </row>
    <row r="47" spans="1:49" x14ac:dyDescent="0.25">
      <c r="A47" s="1"/>
      <c r="B47" s="1"/>
      <c r="C47" s="1">
        <f>AVERAGE(C42:C46)</f>
        <v>24.83737296875</v>
      </c>
      <c r="D47" s="1">
        <f t="shared" ref="D47:I47" si="124">AVERAGE(D42:D46)</f>
        <v>86.636171759153285</v>
      </c>
      <c r="E47" s="1">
        <f t="shared" si="124"/>
        <v>3</v>
      </c>
      <c r="F47" s="1">
        <f t="shared" si="124"/>
        <v>1</v>
      </c>
      <c r="G47" s="1">
        <f t="shared" si="124"/>
        <v>59.666666666666671</v>
      </c>
      <c r="H47" s="1">
        <f t="shared" si="124"/>
        <v>0</v>
      </c>
      <c r="I47" s="1">
        <f t="shared" si="124"/>
        <v>0</v>
      </c>
      <c r="K47" s="1">
        <f>AVERAGE(K42:K46)</f>
        <v>25.340928249999997</v>
      </c>
      <c r="L47" s="1">
        <f t="shared" ref="L47:Q47" si="125">AVERAGE(L42:L46)</f>
        <v>86.641645242798674</v>
      </c>
      <c r="M47" s="1">
        <f t="shared" si="125"/>
        <v>3</v>
      </c>
      <c r="N47" s="1">
        <f t="shared" si="125"/>
        <v>1</v>
      </c>
      <c r="O47" s="1">
        <f t="shared" si="125"/>
        <v>60.266666666666666</v>
      </c>
      <c r="P47" s="1">
        <f t="shared" si="125"/>
        <v>0</v>
      </c>
      <c r="Q47" s="1">
        <f t="shared" si="125"/>
        <v>0</v>
      </c>
      <c r="S47" s="1">
        <f>AVERAGE(S42:S46)</f>
        <v>24.434455999999997</v>
      </c>
      <c r="T47" s="1">
        <f t="shared" ref="T47:Y47" si="126">AVERAGE(T42:T46)</f>
        <v>86.636390187071385</v>
      </c>
      <c r="U47" s="1">
        <f t="shared" si="126"/>
        <v>3</v>
      </c>
      <c r="V47" s="1">
        <f t="shared" si="126"/>
        <v>1</v>
      </c>
      <c r="W47" s="1">
        <f t="shared" si="126"/>
        <v>58.266666666666673</v>
      </c>
      <c r="X47" s="1">
        <f t="shared" si="126"/>
        <v>0</v>
      </c>
      <c r="Y47" s="1">
        <f t="shared" si="126"/>
        <v>0</v>
      </c>
      <c r="AA47" s="1">
        <f>AVERAGE(AA42:AA46)</f>
        <v>24.592222281250002</v>
      </c>
      <c r="AB47" s="1">
        <f t="shared" ref="AB47:AG47" si="127">AVERAGE(AB42:AB46)</f>
        <v>86.638342216387272</v>
      </c>
      <c r="AC47" s="1">
        <f t="shared" si="127"/>
        <v>3</v>
      </c>
      <c r="AD47" s="1">
        <f t="shared" si="127"/>
        <v>1</v>
      </c>
      <c r="AE47" s="1">
        <f t="shared" si="127"/>
        <v>58.4</v>
      </c>
      <c r="AF47" s="1">
        <f t="shared" si="127"/>
        <v>0</v>
      </c>
      <c r="AG47" s="1">
        <f t="shared" si="127"/>
        <v>0</v>
      </c>
      <c r="AI47" s="1">
        <f>AVERAGE(AI42:AI46)</f>
        <v>26.828418406250002</v>
      </c>
      <c r="AJ47" s="1">
        <f t="shared" ref="AJ47:AO47" si="128">AVERAGE(AJ42:AJ46)</f>
        <v>86.646219238141342</v>
      </c>
      <c r="AK47" s="1">
        <f t="shared" si="128"/>
        <v>3</v>
      </c>
      <c r="AL47" s="1">
        <f t="shared" si="128"/>
        <v>1</v>
      </c>
      <c r="AM47" s="1">
        <f t="shared" si="128"/>
        <v>63.733333333333327</v>
      </c>
      <c r="AN47" s="1">
        <f t="shared" si="128"/>
        <v>0</v>
      </c>
      <c r="AO47" s="1">
        <f t="shared" si="128"/>
        <v>0</v>
      </c>
      <c r="AQ47" s="1">
        <f>AVERAGE(AQ42:AQ46)</f>
        <v>25.206679581249997</v>
      </c>
      <c r="AR47" s="1">
        <f t="shared" ref="AR47:AW47" si="129">AVERAGE(AR42:AR46)</f>
        <v>86.639753728710403</v>
      </c>
      <c r="AS47" s="1">
        <f t="shared" si="129"/>
        <v>3</v>
      </c>
      <c r="AT47" s="1">
        <f t="shared" si="129"/>
        <v>1</v>
      </c>
      <c r="AU47" s="1">
        <f t="shared" si="129"/>
        <v>60.066666666666677</v>
      </c>
      <c r="AV47" s="1">
        <f t="shared" si="129"/>
        <v>0</v>
      </c>
      <c r="AW47" s="1">
        <f t="shared" si="129"/>
        <v>0</v>
      </c>
    </row>
    <row r="48" spans="1:49" ht="14.4" thickBot="1" x14ac:dyDescent="0.3">
      <c r="A48" s="1"/>
      <c r="B48" s="1"/>
      <c r="C48" s="1"/>
      <c r="D48" s="1"/>
      <c r="E48" s="1"/>
      <c r="F48" s="1"/>
      <c r="G48" s="1"/>
      <c r="H48" s="1"/>
      <c r="I48" s="1"/>
      <c r="K48" s="1"/>
      <c r="L48" s="1"/>
      <c r="M48" s="1"/>
      <c r="N48" s="1"/>
      <c r="O48" s="1"/>
      <c r="P48" s="1"/>
      <c r="Q48" s="1"/>
      <c r="S48" s="1"/>
      <c r="T48" s="1"/>
      <c r="U48" s="1"/>
      <c r="V48" s="1"/>
      <c r="W48" s="1"/>
      <c r="X48" s="1"/>
      <c r="Y48" s="1"/>
      <c r="AA48" s="1"/>
      <c r="AB48" s="1"/>
      <c r="AC48" s="1"/>
      <c r="AD48" s="1"/>
      <c r="AE48" s="1"/>
      <c r="AF48" s="1"/>
      <c r="AG48" s="1"/>
      <c r="AI48" s="1"/>
      <c r="AJ48" s="1"/>
      <c r="AK48" s="1"/>
      <c r="AL48" s="1"/>
      <c r="AM48" s="1"/>
      <c r="AN48" s="1"/>
      <c r="AO48" s="1"/>
      <c r="AQ48" s="1"/>
      <c r="AR48" s="1"/>
      <c r="AS48" s="1"/>
      <c r="AT48" s="1"/>
      <c r="AU48" s="1"/>
      <c r="AV48" s="1"/>
      <c r="AW48" s="1"/>
    </row>
    <row r="49" spans="1:49" x14ac:dyDescent="0.25">
      <c r="A49" s="2" t="s">
        <v>16</v>
      </c>
      <c r="B49" s="1" t="s">
        <v>15</v>
      </c>
      <c r="C49" s="2">
        <v>38.275957031250002</v>
      </c>
      <c r="D49" s="2">
        <v>89.38984646075258</v>
      </c>
      <c r="E49" s="5">
        <v>3</v>
      </c>
      <c r="F49" s="5">
        <f>E49/3</f>
        <v>1</v>
      </c>
      <c r="G49" s="5">
        <f>(411+267+308)/3</f>
        <v>328.66666666666669</v>
      </c>
      <c r="H49" s="5">
        <v>0</v>
      </c>
      <c r="I49" s="6">
        <f>H49/(E49+H49)</f>
        <v>0</v>
      </c>
      <c r="K49" s="2">
        <v>39.896244843749997</v>
      </c>
      <c r="L49" s="2">
        <v>89.388843352676503</v>
      </c>
      <c r="M49" s="5">
        <v>3</v>
      </c>
      <c r="N49" s="5">
        <f>M49/3</f>
        <v>1</v>
      </c>
      <c r="O49" s="5">
        <f>(411+266+311)/3</f>
        <v>329.33333333333331</v>
      </c>
      <c r="P49" s="5">
        <v>0</v>
      </c>
      <c r="Q49" s="6">
        <f>P49/(M49+P49)</f>
        <v>0</v>
      </c>
      <c r="S49" s="2">
        <v>40.744521406250001</v>
      </c>
      <c r="T49" s="2">
        <v>89.382502940340288</v>
      </c>
      <c r="U49" s="5">
        <v>3</v>
      </c>
      <c r="V49" s="5">
        <f>U49/3</f>
        <v>1</v>
      </c>
      <c r="W49" s="5">
        <f>(410+266+396)/3</f>
        <v>357.33333333333331</v>
      </c>
      <c r="X49" s="5">
        <v>0</v>
      </c>
      <c r="Y49" s="6">
        <f>X49/(U49+X49)</f>
        <v>0</v>
      </c>
      <c r="AA49" s="2">
        <v>42.956421093750002</v>
      </c>
      <c r="AB49" s="2">
        <v>89.382781726178962</v>
      </c>
      <c r="AC49" s="5">
        <v>3</v>
      </c>
      <c r="AD49" s="5">
        <f>AC49/3</f>
        <v>1</v>
      </c>
      <c r="AE49" s="5">
        <f>(410+266+397)/3</f>
        <v>357.66666666666669</v>
      </c>
      <c r="AF49" s="5">
        <v>0</v>
      </c>
      <c r="AG49" s="6">
        <f>AF49/(AC49+AF49)</f>
        <v>0</v>
      </c>
      <c r="AI49" s="2">
        <v>37.397600312500003</v>
      </c>
      <c r="AJ49" s="2">
        <v>89.390533044552413</v>
      </c>
      <c r="AK49" s="5">
        <v>3</v>
      </c>
      <c r="AL49" s="5">
        <f>AK49/3</f>
        <v>1</v>
      </c>
      <c r="AM49" s="5">
        <f>(411+266+308)/3</f>
        <v>328.33333333333331</v>
      </c>
      <c r="AN49" s="5">
        <v>0</v>
      </c>
      <c r="AO49" s="6">
        <f>AN49/(AK49+AN49)</f>
        <v>0</v>
      </c>
      <c r="AQ49" s="15">
        <f>AVERAGE(C49,K49,S49,AA49,AI49)</f>
        <v>39.8541489375</v>
      </c>
      <c r="AR49" s="16">
        <f>AVERAGE(D49,L49,T49,AB49,AJ49)</f>
        <v>89.386901504900138</v>
      </c>
      <c r="AS49" s="17">
        <f>AVERAGE(E49,M49,U49,AC49,AK49)</f>
        <v>3</v>
      </c>
      <c r="AT49" s="17">
        <f>AS49/3</f>
        <v>1</v>
      </c>
      <c r="AU49" s="17">
        <f>AVERAGE(G49,O49,W49,AE49,AM49)</f>
        <v>340.26666666666665</v>
      </c>
      <c r="AV49" s="17">
        <f>AVERAGE(H49,P49,X49,AF49,AN49)</f>
        <v>0</v>
      </c>
      <c r="AW49" s="18">
        <f>AV49/(AS49+AV49)</f>
        <v>0</v>
      </c>
    </row>
    <row r="50" spans="1:49" x14ac:dyDescent="0.25">
      <c r="A50" s="2" t="s">
        <v>17</v>
      </c>
      <c r="B50" s="1" t="s">
        <v>15</v>
      </c>
      <c r="C50" s="2">
        <v>41.546707187499997</v>
      </c>
      <c r="D50" s="2">
        <v>89.216552875376323</v>
      </c>
      <c r="E50" s="1">
        <v>3</v>
      </c>
      <c r="F50" s="1">
        <f t="shared" ref="F50:F53" si="130">E50/3</f>
        <v>1</v>
      </c>
      <c r="G50" s="1">
        <f>(363+338+241)/3</f>
        <v>314</v>
      </c>
      <c r="H50" s="1">
        <v>0</v>
      </c>
      <c r="I50" s="8">
        <f t="shared" ref="I50:I53" si="131">H50/(E50+H50)</f>
        <v>0</v>
      </c>
      <c r="K50" s="2">
        <v>40.229330156250001</v>
      </c>
      <c r="L50" s="2">
        <v>89.218127454214525</v>
      </c>
      <c r="M50" s="1">
        <v>3</v>
      </c>
      <c r="N50" s="1">
        <f t="shared" ref="N50:N53" si="132">M50/3</f>
        <v>1</v>
      </c>
      <c r="O50" s="1">
        <f>(357+338+103)/3</f>
        <v>266</v>
      </c>
      <c r="P50" s="1">
        <v>0</v>
      </c>
      <c r="Q50" s="8">
        <f t="shared" ref="Q50:Q53" si="133">P50/(M50+P50)</f>
        <v>0</v>
      </c>
      <c r="S50" s="2">
        <v>41.789477343750001</v>
      </c>
      <c r="T50" s="2">
        <v>89.216724434643012</v>
      </c>
      <c r="U50" s="1">
        <v>3</v>
      </c>
      <c r="V50" s="1">
        <f t="shared" ref="V50:V53" si="134">U50/3</f>
        <v>1</v>
      </c>
      <c r="W50" s="1">
        <f>(364+338+102)/3</f>
        <v>268</v>
      </c>
      <c r="X50" s="1">
        <v>0</v>
      </c>
      <c r="Y50" s="8">
        <f t="shared" ref="Y50:Y53" si="135">X50/(U50+X50)</f>
        <v>0</v>
      </c>
      <c r="AA50" s="2">
        <v>41.360920624999999</v>
      </c>
      <c r="AB50" s="2">
        <v>89.218155149378944</v>
      </c>
      <c r="AC50" s="1">
        <v>3</v>
      </c>
      <c r="AD50" s="1">
        <f t="shared" ref="AD50:AD53" si="136">AC50/3</f>
        <v>1</v>
      </c>
      <c r="AE50" s="1">
        <f>(364+338+103)/3</f>
        <v>268.33333333333331</v>
      </c>
      <c r="AF50" s="1">
        <v>0</v>
      </c>
      <c r="AG50" s="8">
        <f t="shared" ref="AG50:AG53" si="137">AF50/(AC50+AF50)</f>
        <v>0</v>
      </c>
      <c r="AI50" s="2">
        <v>41.468341406249998</v>
      </c>
      <c r="AJ50" s="2">
        <v>89.215415106005395</v>
      </c>
      <c r="AK50" s="1">
        <v>3</v>
      </c>
      <c r="AL50" s="1">
        <f t="shared" ref="AL50:AL53" si="138">AK50/3</f>
        <v>1</v>
      </c>
      <c r="AM50" s="1">
        <f>(364+338+240)/3</f>
        <v>314</v>
      </c>
      <c r="AN50" s="1">
        <v>0</v>
      </c>
      <c r="AO50" s="8">
        <f t="shared" ref="AO50:AO53" si="139">AN50/(AK50+AN50)</f>
        <v>0</v>
      </c>
      <c r="AQ50" s="19">
        <f t="shared" ref="AQ50:AQ53" si="140">AVERAGE(C50,K50,S50,AA50,AI50)</f>
        <v>41.278955343750006</v>
      </c>
      <c r="AR50" s="13">
        <f t="shared" ref="AR50:AR53" si="141">AVERAGE(D50,L50,T50,AB50,AJ50)</f>
        <v>89.216995003923643</v>
      </c>
      <c r="AS50" s="14">
        <f t="shared" ref="AS50:AS53" si="142">AVERAGE(E50,M50,U50,AC50,AK50)</f>
        <v>3</v>
      </c>
      <c r="AT50" s="14">
        <f t="shared" ref="AT50:AT53" si="143">AS50/3</f>
        <v>1</v>
      </c>
      <c r="AU50" s="14">
        <f t="shared" ref="AU50:AU53" si="144">AVERAGE(G50,O50,W50,AE50,AM50)</f>
        <v>286.06666666666666</v>
      </c>
      <c r="AV50" s="14">
        <f t="shared" ref="AV50:AV53" si="145">AVERAGE(H50,P50,X50,AF50,AN50)</f>
        <v>0</v>
      </c>
      <c r="AW50" s="20">
        <f t="shared" ref="AW50:AW53" si="146">AV50/(AS50+AV50)</f>
        <v>0</v>
      </c>
    </row>
    <row r="51" spans="1:49" x14ac:dyDescent="0.25">
      <c r="A51" s="2" t="s">
        <v>18</v>
      </c>
      <c r="B51" s="1" t="s">
        <v>15</v>
      </c>
      <c r="C51" s="2">
        <v>37.050888749999999</v>
      </c>
      <c r="D51" s="2">
        <v>89.41610023451571</v>
      </c>
      <c r="E51" s="1">
        <v>3</v>
      </c>
      <c r="F51" s="1">
        <f t="shared" si="130"/>
        <v>1</v>
      </c>
      <c r="G51" s="1">
        <f>(375+276+238)/3</f>
        <v>296.33333333333331</v>
      </c>
      <c r="H51" s="1">
        <v>0</v>
      </c>
      <c r="I51" s="8">
        <f t="shared" si="131"/>
        <v>0</v>
      </c>
      <c r="K51" s="2">
        <v>41.498216249999999</v>
      </c>
      <c r="L51" s="2">
        <v>89.416393200884144</v>
      </c>
      <c r="M51" s="1">
        <v>3</v>
      </c>
      <c r="N51" s="1">
        <f t="shared" si="132"/>
        <v>1</v>
      </c>
      <c r="O51" s="1">
        <f>(379+277+276)/3</f>
        <v>310.66666666666669</v>
      </c>
      <c r="P51" s="1">
        <v>0</v>
      </c>
      <c r="Q51" s="8">
        <f t="shared" si="133"/>
        <v>0</v>
      </c>
      <c r="S51" s="2">
        <v>40.338442968750002</v>
      </c>
      <c r="T51" s="2">
        <v>89.417752113515789</v>
      </c>
      <c r="U51" s="1">
        <v>3</v>
      </c>
      <c r="V51" s="1">
        <f t="shared" si="134"/>
        <v>1</v>
      </c>
      <c r="W51" s="1">
        <f>(378+274+275)/3</f>
        <v>309</v>
      </c>
      <c r="X51" s="1">
        <v>0</v>
      </c>
      <c r="Y51" s="8">
        <f t="shared" si="135"/>
        <v>0</v>
      </c>
      <c r="AA51" s="2">
        <v>40.913066874999998</v>
      </c>
      <c r="AB51" s="2">
        <v>89.419164559973268</v>
      </c>
      <c r="AC51" s="1">
        <v>3</v>
      </c>
      <c r="AD51" s="1">
        <f t="shared" si="136"/>
        <v>1</v>
      </c>
      <c r="AE51" s="1">
        <f>(379+275+237)/3</f>
        <v>297</v>
      </c>
      <c r="AF51" s="1">
        <v>0</v>
      </c>
      <c r="AG51" s="8">
        <f t="shared" si="137"/>
        <v>0</v>
      </c>
      <c r="AI51" s="2">
        <v>39.422253124999997</v>
      </c>
      <c r="AJ51" s="2">
        <v>89.418031846894934</v>
      </c>
      <c r="AK51" s="1">
        <v>3</v>
      </c>
      <c r="AL51" s="1">
        <f t="shared" si="138"/>
        <v>1</v>
      </c>
      <c r="AM51" s="1">
        <f>(378+274+274)/3</f>
        <v>308.66666666666669</v>
      </c>
      <c r="AN51" s="1">
        <v>0</v>
      </c>
      <c r="AO51" s="8">
        <f t="shared" si="139"/>
        <v>0</v>
      </c>
      <c r="AQ51" s="19">
        <f t="shared" si="140"/>
        <v>39.844573593749999</v>
      </c>
      <c r="AR51" s="13">
        <f t="shared" si="141"/>
        <v>89.417488391156752</v>
      </c>
      <c r="AS51" s="14">
        <f t="shared" si="142"/>
        <v>3</v>
      </c>
      <c r="AT51" s="14">
        <f t="shared" si="143"/>
        <v>1</v>
      </c>
      <c r="AU51" s="14">
        <f t="shared" si="144"/>
        <v>304.33333333333337</v>
      </c>
      <c r="AV51" s="14">
        <f t="shared" si="145"/>
        <v>0</v>
      </c>
      <c r="AW51" s="20">
        <f t="shared" si="146"/>
        <v>0</v>
      </c>
    </row>
    <row r="52" spans="1:49" x14ac:dyDescent="0.25">
      <c r="A52" s="2" t="s">
        <v>19</v>
      </c>
      <c r="B52" s="1" t="s">
        <v>15</v>
      </c>
      <c r="C52" s="2">
        <v>37.139764843750001</v>
      </c>
      <c r="D52" s="2">
        <v>89.299624050360322</v>
      </c>
      <c r="E52" s="1">
        <v>3</v>
      </c>
      <c r="F52" s="1">
        <f t="shared" si="130"/>
        <v>1</v>
      </c>
      <c r="G52">
        <f>(246+278+186)/3</f>
        <v>236.66666666666666</v>
      </c>
      <c r="H52" s="1">
        <v>0</v>
      </c>
      <c r="I52" s="8">
        <f t="shared" si="131"/>
        <v>0</v>
      </c>
      <c r="K52" s="2">
        <v>42.006968125</v>
      </c>
      <c r="L52" s="2">
        <v>89.296878828835148</v>
      </c>
      <c r="M52" s="1">
        <v>3</v>
      </c>
      <c r="N52" s="1">
        <f t="shared" si="132"/>
        <v>1</v>
      </c>
      <c r="O52">
        <f>(245+280+186)/3</f>
        <v>237</v>
      </c>
      <c r="P52" s="1">
        <v>0</v>
      </c>
      <c r="Q52" s="8">
        <f t="shared" si="133"/>
        <v>0</v>
      </c>
      <c r="S52" s="2">
        <v>41.258396718749999</v>
      </c>
      <c r="T52" s="2">
        <v>89.299637363951064</v>
      </c>
      <c r="U52" s="1">
        <v>3</v>
      </c>
      <c r="V52" s="1">
        <f t="shared" si="134"/>
        <v>1</v>
      </c>
      <c r="W52">
        <f>(246+279+186)/3</f>
        <v>237</v>
      </c>
      <c r="X52" s="1">
        <v>0</v>
      </c>
      <c r="Y52" s="8">
        <f t="shared" si="135"/>
        <v>0</v>
      </c>
      <c r="AA52" s="2">
        <v>40.873271406249998</v>
      </c>
      <c r="AB52" s="2">
        <v>89.301332206259048</v>
      </c>
      <c r="AC52" s="1">
        <v>3</v>
      </c>
      <c r="AD52" s="1">
        <f t="shared" si="136"/>
        <v>1</v>
      </c>
      <c r="AE52">
        <f>(246+280+185)/3</f>
        <v>237</v>
      </c>
      <c r="AF52" s="1">
        <v>0</v>
      </c>
      <c r="AG52" s="8">
        <f t="shared" si="137"/>
        <v>0</v>
      </c>
      <c r="AI52" s="2">
        <v>39.583687812500003</v>
      </c>
      <c r="AJ52" s="2">
        <v>89.299624050360322</v>
      </c>
      <c r="AK52" s="1">
        <v>3</v>
      </c>
      <c r="AL52" s="1">
        <f t="shared" si="138"/>
        <v>1</v>
      </c>
      <c r="AM52">
        <f>(246+278+186)/3</f>
        <v>236.66666666666666</v>
      </c>
      <c r="AN52" s="1">
        <v>0</v>
      </c>
      <c r="AO52" s="8">
        <f t="shared" si="139"/>
        <v>0</v>
      </c>
      <c r="AQ52" s="19">
        <f t="shared" si="140"/>
        <v>40.172417781249997</v>
      </c>
      <c r="AR52" s="13">
        <f t="shared" si="141"/>
        <v>89.299419299953186</v>
      </c>
      <c r="AS52" s="14">
        <f t="shared" si="142"/>
        <v>3</v>
      </c>
      <c r="AT52" s="14">
        <f t="shared" si="143"/>
        <v>1</v>
      </c>
      <c r="AU52" s="14">
        <f t="shared" si="144"/>
        <v>236.86666666666665</v>
      </c>
      <c r="AV52" s="14">
        <f t="shared" si="145"/>
        <v>0</v>
      </c>
      <c r="AW52" s="20">
        <f t="shared" si="146"/>
        <v>0</v>
      </c>
    </row>
    <row r="53" spans="1:49" ht="14.4" thickBot="1" x14ac:dyDescent="0.3">
      <c r="A53" s="2" t="s">
        <v>20</v>
      </c>
      <c r="B53" s="1" t="s">
        <v>15</v>
      </c>
      <c r="C53" s="2">
        <v>38.270754062499996</v>
      </c>
      <c r="D53" s="2">
        <v>89.297211053759995</v>
      </c>
      <c r="E53" s="9">
        <v>3</v>
      </c>
      <c r="F53" s="9">
        <f t="shared" si="130"/>
        <v>1</v>
      </c>
      <c r="G53" s="9">
        <f>(276+298+344)/3</f>
        <v>306</v>
      </c>
      <c r="H53" s="9">
        <v>0</v>
      </c>
      <c r="I53" s="10">
        <f t="shared" si="131"/>
        <v>0</v>
      </c>
      <c r="K53" s="2">
        <v>40.973899843749997</v>
      </c>
      <c r="L53" s="2">
        <v>89.292942863448971</v>
      </c>
      <c r="M53" s="9">
        <v>3</v>
      </c>
      <c r="N53" s="9">
        <f t="shared" si="132"/>
        <v>1</v>
      </c>
      <c r="O53" s="9">
        <f>(274+291+345)/3</f>
        <v>303.33333333333331</v>
      </c>
      <c r="P53" s="9">
        <v>0</v>
      </c>
      <c r="Q53" s="10">
        <f t="shared" si="133"/>
        <v>0</v>
      </c>
      <c r="S53" s="2">
        <v>41.130578593750002</v>
      </c>
      <c r="T53" s="2">
        <v>89.293626353492627</v>
      </c>
      <c r="U53" s="9">
        <v>3</v>
      </c>
      <c r="V53" s="9">
        <f t="shared" si="134"/>
        <v>1</v>
      </c>
      <c r="W53" s="9">
        <f>(273+296+345)/3</f>
        <v>304.66666666666669</v>
      </c>
      <c r="X53" s="9">
        <v>0</v>
      </c>
      <c r="Y53" s="10">
        <f t="shared" si="135"/>
        <v>0</v>
      </c>
      <c r="AA53" s="2">
        <v>41.734276874999999</v>
      </c>
      <c r="AB53" s="2">
        <v>89.299107899466549</v>
      </c>
      <c r="AC53" s="9">
        <v>3</v>
      </c>
      <c r="AD53" s="9">
        <f t="shared" si="136"/>
        <v>1</v>
      </c>
      <c r="AE53" s="9">
        <f>(275+297+345)/3</f>
        <v>305.66666666666669</v>
      </c>
      <c r="AF53" s="9">
        <v>0</v>
      </c>
      <c r="AG53" s="10">
        <f t="shared" si="137"/>
        <v>0</v>
      </c>
      <c r="AI53" s="2">
        <v>41.412388281250003</v>
      </c>
      <c r="AJ53" s="2">
        <v>89.299956872500033</v>
      </c>
      <c r="AK53" s="9">
        <v>3</v>
      </c>
      <c r="AL53" s="9">
        <f t="shared" si="138"/>
        <v>1</v>
      </c>
      <c r="AM53" s="9">
        <f>(274+298+344)/3</f>
        <v>305.33333333333331</v>
      </c>
      <c r="AN53" s="9">
        <v>0</v>
      </c>
      <c r="AO53" s="10">
        <f t="shared" si="139"/>
        <v>0</v>
      </c>
      <c r="AQ53" s="21">
        <f t="shared" si="140"/>
        <v>40.704379531249998</v>
      </c>
      <c r="AR53" s="22">
        <f t="shared" si="141"/>
        <v>89.296569008533638</v>
      </c>
      <c r="AS53" s="23">
        <f t="shared" si="142"/>
        <v>3</v>
      </c>
      <c r="AT53" s="23">
        <f t="shared" si="143"/>
        <v>1</v>
      </c>
      <c r="AU53" s="23">
        <f t="shared" si="144"/>
        <v>305</v>
      </c>
      <c r="AV53" s="23">
        <f t="shared" si="145"/>
        <v>0</v>
      </c>
      <c r="AW53" s="24">
        <f t="shared" si="146"/>
        <v>0</v>
      </c>
    </row>
    <row r="54" spans="1:49" x14ac:dyDescent="0.25">
      <c r="A54" s="1"/>
      <c r="B54" s="1"/>
      <c r="C54" s="1">
        <f>AVERAGE(C49:C53)</f>
        <v>38.456814375</v>
      </c>
      <c r="D54" s="1">
        <f t="shared" ref="D54:F54" si="147">AVERAGE(D49:D53)</f>
        <v>89.323866934952989</v>
      </c>
      <c r="E54" s="1">
        <f t="shared" si="147"/>
        <v>3</v>
      </c>
      <c r="F54" s="1">
        <f t="shared" si="147"/>
        <v>1</v>
      </c>
      <c r="G54" s="1">
        <f>AVERAGE(G49:G53)</f>
        <v>296.33333333333337</v>
      </c>
      <c r="H54" s="1">
        <f t="shared" ref="H54:I54" si="148">AVERAGE(H49:H53)</f>
        <v>0</v>
      </c>
      <c r="I54" s="1">
        <f t="shared" si="148"/>
        <v>0</v>
      </c>
      <c r="K54" s="1">
        <f>AVERAGE(K49:K53)</f>
        <v>40.920931843749997</v>
      </c>
      <c r="L54" s="1">
        <f t="shared" ref="L54:N54" si="149">AVERAGE(L49:L53)</f>
        <v>89.32263714001185</v>
      </c>
      <c r="M54" s="1">
        <f t="shared" si="149"/>
        <v>3</v>
      </c>
      <c r="N54" s="1">
        <f t="shared" si="149"/>
        <v>1</v>
      </c>
      <c r="O54" s="1">
        <f>AVERAGE(O49:O53)</f>
        <v>289.26666666666665</v>
      </c>
      <c r="P54" s="1">
        <f t="shared" ref="P54:Q54" si="150">AVERAGE(P49:P53)</f>
        <v>0</v>
      </c>
      <c r="Q54" s="1">
        <f t="shared" si="150"/>
        <v>0</v>
      </c>
      <c r="S54" s="1">
        <f>AVERAGE(S49:S53)</f>
        <v>41.052283406249998</v>
      </c>
      <c r="T54" s="1">
        <f t="shared" ref="T54:V54" si="151">AVERAGE(T49:T53)</f>
        <v>89.322048641188559</v>
      </c>
      <c r="U54" s="1">
        <f t="shared" si="151"/>
        <v>3</v>
      </c>
      <c r="V54" s="1">
        <f t="shared" si="151"/>
        <v>1</v>
      </c>
      <c r="W54" s="1">
        <f>AVERAGE(W49:W53)</f>
        <v>295.2</v>
      </c>
      <c r="X54" s="1">
        <f t="shared" ref="X54:Y54" si="152">AVERAGE(X49:X53)</f>
        <v>0</v>
      </c>
      <c r="Y54" s="1">
        <f t="shared" si="152"/>
        <v>0</v>
      </c>
      <c r="AA54" s="1">
        <f>AVERAGE(AA49:AA53)</f>
        <v>41.567591374999999</v>
      </c>
      <c r="AB54" s="1">
        <f t="shared" ref="AB54:AD54" si="153">AVERAGE(AB49:AB53)</f>
        <v>89.324108308251354</v>
      </c>
      <c r="AC54" s="1">
        <f t="shared" si="153"/>
        <v>3</v>
      </c>
      <c r="AD54" s="1">
        <f t="shared" si="153"/>
        <v>1</v>
      </c>
      <c r="AE54" s="1">
        <f>AVERAGE(AE49:AE53)</f>
        <v>293.13333333333333</v>
      </c>
      <c r="AF54" s="1">
        <f t="shared" ref="AF54:AG54" si="154">AVERAGE(AF49:AF53)</f>
        <v>0</v>
      </c>
      <c r="AG54" s="1">
        <f t="shared" si="154"/>
        <v>0</v>
      </c>
      <c r="AI54" s="1">
        <f>AVERAGE(AI49:AI53)</f>
        <v>39.856854187500005</v>
      </c>
      <c r="AJ54" s="1">
        <f t="shared" ref="AJ54:AL54" si="155">AVERAGE(AJ49:AJ53)</f>
        <v>89.324712184062633</v>
      </c>
      <c r="AK54" s="1">
        <f t="shared" si="155"/>
        <v>3</v>
      </c>
      <c r="AL54" s="1">
        <f t="shared" si="155"/>
        <v>1</v>
      </c>
      <c r="AM54" s="1">
        <f>AVERAGE(AM49:AM53)</f>
        <v>298.60000000000002</v>
      </c>
      <c r="AN54" s="1">
        <f t="shared" ref="AN54:AO54" si="156">AVERAGE(AN49:AN53)</f>
        <v>0</v>
      </c>
      <c r="AO54" s="1">
        <f t="shared" si="156"/>
        <v>0</v>
      </c>
      <c r="AQ54" s="1">
        <f>AVERAGE(AQ49:AQ53)</f>
        <v>40.370895037500006</v>
      </c>
      <c r="AR54" s="1">
        <f t="shared" ref="AR54:AT54" si="157">AVERAGE(AR49:AR53)</f>
        <v>89.323474641693466</v>
      </c>
      <c r="AS54" s="1">
        <f t="shared" si="157"/>
        <v>3</v>
      </c>
      <c r="AT54" s="1">
        <f t="shared" si="157"/>
        <v>1</v>
      </c>
      <c r="AU54" s="1">
        <f>AVERAGE(AU49:AU53)</f>
        <v>294.50666666666666</v>
      </c>
      <c r="AV54" s="1">
        <f t="shared" ref="AV54:AW54" si="158">AVERAGE(AV49:AV53)</f>
        <v>0</v>
      </c>
      <c r="AW54" s="1">
        <f t="shared" si="158"/>
        <v>0</v>
      </c>
    </row>
    <row r="55" spans="1:49" ht="14.4" thickBot="1" x14ac:dyDescent="0.3">
      <c r="A55" s="1"/>
      <c r="B55" s="1"/>
      <c r="C55" s="1"/>
      <c r="D55" s="1"/>
      <c r="E55" s="1"/>
      <c r="F55" s="1"/>
      <c r="G55" s="1"/>
      <c r="H55" s="1"/>
      <c r="I55" s="1"/>
      <c r="K55" s="1"/>
      <c r="L55" s="1"/>
      <c r="M55" s="1"/>
      <c r="N55" s="1"/>
      <c r="O55" s="1"/>
      <c r="P55" s="1"/>
      <c r="Q55" s="1"/>
      <c r="S55" s="1"/>
      <c r="T55" s="1"/>
      <c r="U55" s="1"/>
      <c r="V55" s="1"/>
      <c r="W55" s="1"/>
      <c r="X55" s="1"/>
      <c r="Y55" s="1"/>
      <c r="AA55" s="1"/>
      <c r="AB55" s="1"/>
      <c r="AC55" s="1"/>
      <c r="AD55" s="1"/>
      <c r="AE55" s="1"/>
      <c r="AF55" s="1"/>
      <c r="AG55" s="1"/>
      <c r="AI55" s="1"/>
      <c r="AJ55" s="1"/>
      <c r="AK55" s="1"/>
      <c r="AL55" s="1"/>
      <c r="AM55" s="1"/>
      <c r="AN55" s="1"/>
      <c r="AO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21</v>
      </c>
      <c r="B56" s="1" t="s">
        <v>26</v>
      </c>
      <c r="C56" s="2">
        <v>25.873121250000001</v>
      </c>
      <c r="D56" s="2">
        <v>83.20738389607483</v>
      </c>
      <c r="E56" s="5">
        <v>4</v>
      </c>
      <c r="F56" s="5">
        <f>E56/4</f>
        <v>1</v>
      </c>
      <c r="G56" s="5">
        <f>(44+40+40+41)/4</f>
        <v>41.25</v>
      </c>
      <c r="H56" s="5">
        <v>0</v>
      </c>
      <c r="I56" s="6">
        <f>H56/(E56+H56)</f>
        <v>0</v>
      </c>
      <c r="K56" s="2">
        <v>27.839569062500001</v>
      </c>
      <c r="L56" s="2">
        <v>83.209778965098181</v>
      </c>
      <c r="M56" s="5">
        <v>4</v>
      </c>
      <c r="N56" s="5">
        <f>M56/4</f>
        <v>1</v>
      </c>
      <c r="O56" s="5">
        <f>(44+40+42+42)/4</f>
        <v>42</v>
      </c>
      <c r="P56" s="5">
        <v>0</v>
      </c>
      <c r="Q56" s="6">
        <f>P56/(M56+P56)</f>
        <v>0</v>
      </c>
      <c r="S56" s="2">
        <v>28.119966406250001</v>
      </c>
      <c r="T56" s="2">
        <v>83.210676066877269</v>
      </c>
      <c r="U56" s="5">
        <v>4</v>
      </c>
      <c r="V56" s="5">
        <f>U56/4</f>
        <v>1</v>
      </c>
      <c r="W56" s="5">
        <f>(44+40+42+41)/4</f>
        <v>41.75</v>
      </c>
      <c r="X56" s="5">
        <v>0</v>
      </c>
      <c r="Y56" s="6">
        <f>X56/(U56+X56)</f>
        <v>0</v>
      </c>
      <c r="AA56" s="2">
        <v>30.582507656250002</v>
      </c>
      <c r="AB56" s="2">
        <v>83.214264669336387</v>
      </c>
      <c r="AC56" s="5">
        <v>4</v>
      </c>
      <c r="AD56" s="5">
        <f>AC56/4</f>
        <v>1</v>
      </c>
      <c r="AE56" s="5">
        <f>(44+39+42+42)/4</f>
        <v>41.75</v>
      </c>
      <c r="AF56" s="5">
        <v>0</v>
      </c>
      <c r="AG56" s="6">
        <f>AF56/(AC56+AF56)</f>
        <v>0</v>
      </c>
      <c r="AI56" s="2">
        <v>26.89218546875</v>
      </c>
      <c r="AJ56" s="2">
        <v>83.208835341745527</v>
      </c>
      <c r="AK56" s="5">
        <v>4</v>
      </c>
      <c r="AL56" s="5">
        <f>AK56/4</f>
        <v>1</v>
      </c>
      <c r="AM56" s="5">
        <f>(43+40+40+41)/4</f>
        <v>41</v>
      </c>
      <c r="AN56" s="5">
        <v>0</v>
      </c>
      <c r="AO56" s="6">
        <f>AN56/(AK56+AN56)</f>
        <v>0</v>
      </c>
      <c r="AQ56" s="15">
        <f>AVERAGE(C56,K56,S56,AA56,AI56)</f>
        <v>27.861469968749997</v>
      </c>
      <c r="AR56" s="16">
        <f>AVERAGE(D56,L56,T56,AB56,AJ56)</f>
        <v>83.210187787826428</v>
      </c>
      <c r="AS56" s="17">
        <f>AVERAGE(E56,M56,U56,AC56,AK56)</f>
        <v>4</v>
      </c>
      <c r="AT56" s="17">
        <f>AS56/4</f>
        <v>1</v>
      </c>
      <c r="AU56" s="17">
        <f>AVERAGE(G56,O56,W56,AE56,AM56)</f>
        <v>41.55</v>
      </c>
      <c r="AV56" s="17">
        <f>AVERAGE(H56,P56,X56,AF56,AN56)</f>
        <v>0</v>
      </c>
      <c r="AW56" s="18">
        <f>AV56/(AS56+AV56)</f>
        <v>0</v>
      </c>
    </row>
    <row r="57" spans="1:49" x14ac:dyDescent="0.25">
      <c r="A57" s="1" t="s">
        <v>22</v>
      </c>
      <c r="B57" s="1" t="s">
        <v>26</v>
      </c>
      <c r="C57" s="2">
        <v>28.28677453125</v>
      </c>
      <c r="D57" s="2">
        <v>82.901917579651766</v>
      </c>
      <c r="E57" s="1">
        <v>4</v>
      </c>
      <c r="F57" s="1">
        <f t="shared" ref="F57:F60" si="159">E57/4</f>
        <v>1</v>
      </c>
      <c r="G57" s="1">
        <f>(45+36+46+33)/4</f>
        <v>40</v>
      </c>
      <c r="H57" s="1">
        <v>1</v>
      </c>
      <c r="I57" s="8">
        <f t="shared" ref="I57:I60" si="160">H57/(E57+H57)</f>
        <v>0.2</v>
      </c>
      <c r="K57" s="2">
        <v>27.852296718750001</v>
      </c>
      <c r="L57" s="2">
        <v>82.914268454626679</v>
      </c>
      <c r="M57" s="1">
        <v>4</v>
      </c>
      <c r="N57" s="1">
        <f t="shared" ref="N57:N60" si="161">M57/4</f>
        <v>1</v>
      </c>
      <c r="O57" s="1">
        <f>(45+36+46+34)/4</f>
        <v>40.25</v>
      </c>
      <c r="P57" s="1">
        <v>1</v>
      </c>
      <c r="Q57" s="8">
        <f t="shared" ref="Q57:Q60" si="162">P57/(M57+P57)</f>
        <v>0.2</v>
      </c>
      <c r="S57" s="2">
        <v>29.416842031249999</v>
      </c>
      <c r="T57" s="2">
        <v>82.901770001325772</v>
      </c>
      <c r="U57" s="1">
        <v>4</v>
      </c>
      <c r="V57" s="1">
        <f t="shared" ref="V57:V60" si="163">U57/4</f>
        <v>1</v>
      </c>
      <c r="W57" s="1">
        <f>(46+36+45+36)/4</f>
        <v>40.75</v>
      </c>
      <c r="X57" s="1">
        <v>1</v>
      </c>
      <c r="Y57" s="8">
        <f t="shared" ref="Y57:Y60" si="164">X57/(U57+X57)</f>
        <v>0.2</v>
      </c>
      <c r="AA57" s="2">
        <v>27.90054109375</v>
      </c>
      <c r="AB57" s="2">
        <v>82.90115529106204</v>
      </c>
      <c r="AC57" s="1">
        <v>4</v>
      </c>
      <c r="AD57" s="1">
        <f t="shared" ref="AD57:AD60" si="165">AC57/4</f>
        <v>1</v>
      </c>
      <c r="AE57" s="1">
        <f>(46+36+46+36)/4</f>
        <v>41</v>
      </c>
      <c r="AF57" s="1">
        <v>1</v>
      </c>
      <c r="AG57" s="8">
        <f t="shared" ref="AG57:AG60" si="166">AF57/(AC57+AF57)</f>
        <v>0.2</v>
      </c>
      <c r="AI57" s="2">
        <v>27.34936734375</v>
      </c>
      <c r="AJ57" s="2">
        <v>82.886869929278078</v>
      </c>
      <c r="AK57" s="1">
        <v>4</v>
      </c>
      <c r="AL57" s="1">
        <f t="shared" ref="AL57:AL60" si="167">AK57/4</f>
        <v>1</v>
      </c>
      <c r="AM57" s="1">
        <f>(47+37+46+34)/4</f>
        <v>41</v>
      </c>
      <c r="AN57" s="1">
        <v>1</v>
      </c>
      <c r="AO57" s="8">
        <f t="shared" ref="AO57:AO60" si="168">AN57/(AK57+AN57)</f>
        <v>0.2</v>
      </c>
      <c r="AQ57" s="19">
        <f t="shared" ref="AQ57:AQ60" si="169">AVERAGE(C57,K57,S57,AA57,AI57)</f>
        <v>28.161164343749999</v>
      </c>
      <c r="AR57" s="13">
        <f t="shared" ref="AR57:AR60" si="170">AVERAGE(D57,L57,T57,AB57,AJ57)</f>
        <v>82.901196251188864</v>
      </c>
      <c r="AS57" s="14">
        <f t="shared" ref="AS57:AS60" si="171">AVERAGE(E57,M57,U57,AC57,AK57)</f>
        <v>4</v>
      </c>
      <c r="AT57" s="14">
        <f t="shared" ref="AT57:AT60" si="172">AS57/4</f>
        <v>1</v>
      </c>
      <c r="AU57" s="14">
        <f t="shared" ref="AU57:AU60" si="173">AVERAGE(G57,O57,W57,AE57,AM57)</f>
        <v>40.6</v>
      </c>
      <c r="AV57" s="14">
        <f t="shared" ref="AV57:AV60" si="174">AVERAGE(H57,P57,X57,AF57,AN57)</f>
        <v>1</v>
      </c>
      <c r="AW57" s="20">
        <f t="shared" ref="AW57:AW60" si="175">AV57/(AS57+AV57)</f>
        <v>0.2</v>
      </c>
    </row>
    <row r="58" spans="1:49" x14ac:dyDescent="0.25">
      <c r="A58" s="1" t="s">
        <v>23</v>
      </c>
      <c r="B58" s="1" t="s">
        <v>26</v>
      </c>
      <c r="C58" s="2">
        <v>23.16719765625</v>
      </c>
      <c r="D58" s="2">
        <v>83.107180229017644</v>
      </c>
      <c r="E58" s="1">
        <v>4</v>
      </c>
      <c r="F58" s="1">
        <f t="shared" si="159"/>
        <v>1</v>
      </c>
      <c r="G58" s="1">
        <f>(52+40+31+40)/4</f>
        <v>40.75</v>
      </c>
      <c r="H58" s="1">
        <v>4</v>
      </c>
      <c r="I58" s="8">
        <f t="shared" si="160"/>
        <v>0.5</v>
      </c>
      <c r="K58" s="2">
        <v>26.331674218749999</v>
      </c>
      <c r="L58" s="2">
        <v>83.134376575384323</v>
      </c>
      <c r="M58" s="1">
        <v>4</v>
      </c>
      <c r="N58" s="1">
        <f t="shared" si="161"/>
        <v>1</v>
      </c>
      <c r="O58" s="1">
        <f>(51+43+33+41)/4</f>
        <v>42</v>
      </c>
      <c r="P58" s="1">
        <v>3</v>
      </c>
      <c r="Q58" s="8">
        <f t="shared" si="162"/>
        <v>0.42857142857142855</v>
      </c>
      <c r="S58" s="2">
        <v>23.873402343750001</v>
      </c>
      <c r="T58" s="2">
        <v>83.043284936154777</v>
      </c>
      <c r="U58" s="1">
        <v>4</v>
      </c>
      <c r="V58" s="1">
        <f t="shared" si="163"/>
        <v>1</v>
      </c>
      <c r="W58" s="1">
        <f>(52+42+33+41)/4</f>
        <v>42</v>
      </c>
      <c r="X58" s="1">
        <v>3</v>
      </c>
      <c r="Y58" s="8">
        <f t="shared" si="164"/>
        <v>0.42857142857142855</v>
      </c>
      <c r="AA58" s="2">
        <v>25.457518749999998</v>
      </c>
      <c r="AB58" s="2">
        <v>83.086314897909674</v>
      </c>
      <c r="AC58" s="1">
        <v>4</v>
      </c>
      <c r="AD58" s="1">
        <f t="shared" si="165"/>
        <v>1</v>
      </c>
      <c r="AE58" s="1">
        <f>(52+39+33+40)/4</f>
        <v>41</v>
      </c>
      <c r="AF58" s="1">
        <v>4</v>
      </c>
      <c r="AG58" s="8">
        <f t="shared" si="166"/>
        <v>0.5</v>
      </c>
      <c r="AI58" s="2">
        <v>25.450929375000001</v>
      </c>
      <c r="AJ58" s="2">
        <v>83.138808579967034</v>
      </c>
      <c r="AK58" s="1">
        <v>4</v>
      </c>
      <c r="AL58" s="1">
        <f t="shared" si="167"/>
        <v>1</v>
      </c>
      <c r="AM58" s="1">
        <f>(52+42+31+39)/4</f>
        <v>41</v>
      </c>
      <c r="AN58" s="1">
        <v>3</v>
      </c>
      <c r="AO58" s="8">
        <f t="shared" si="168"/>
        <v>0.42857142857142855</v>
      </c>
      <c r="AQ58" s="19">
        <f t="shared" si="169"/>
        <v>24.856144468749996</v>
      </c>
      <c r="AR58" s="13">
        <f t="shared" si="170"/>
        <v>83.10199304368669</v>
      </c>
      <c r="AS58" s="14">
        <f t="shared" si="171"/>
        <v>4</v>
      </c>
      <c r="AT58" s="14">
        <f t="shared" si="172"/>
        <v>1</v>
      </c>
      <c r="AU58" s="14">
        <f t="shared" si="173"/>
        <v>41.35</v>
      </c>
      <c r="AV58" s="14">
        <f t="shared" si="174"/>
        <v>3.4</v>
      </c>
      <c r="AW58" s="20">
        <f t="shared" si="175"/>
        <v>0.45945945945945943</v>
      </c>
    </row>
    <row r="59" spans="1:49" x14ac:dyDescent="0.25">
      <c r="A59" s="1" t="s">
        <v>24</v>
      </c>
      <c r="B59" s="1" t="s">
        <v>26</v>
      </c>
      <c r="C59" s="2">
        <v>25.0054484375</v>
      </c>
      <c r="D59" s="2">
        <v>83.27344252947249</v>
      </c>
      <c r="E59" s="1">
        <v>4</v>
      </c>
      <c r="F59" s="1">
        <f t="shared" si="159"/>
        <v>1</v>
      </c>
      <c r="G59" s="1">
        <f>(50+37+35+43)/4</f>
        <v>41.25</v>
      </c>
      <c r="H59" s="1">
        <v>1</v>
      </c>
      <c r="I59" s="8">
        <f t="shared" si="160"/>
        <v>0.2</v>
      </c>
      <c r="K59" s="2">
        <v>27.138852968750001</v>
      </c>
      <c r="L59" s="2">
        <v>83.141793984664716</v>
      </c>
      <c r="M59" s="1">
        <v>4</v>
      </c>
      <c r="N59" s="1">
        <f t="shared" si="161"/>
        <v>1</v>
      </c>
      <c r="O59" s="1">
        <f>(52+37+35+41)/4</f>
        <v>41.25</v>
      </c>
      <c r="P59" s="1">
        <v>2</v>
      </c>
      <c r="Q59" s="8">
        <f t="shared" si="162"/>
        <v>0.33333333333333331</v>
      </c>
      <c r="S59" s="2">
        <v>28.842160937500001</v>
      </c>
      <c r="T59" s="2">
        <v>83.285125605855171</v>
      </c>
      <c r="U59" s="1">
        <v>4</v>
      </c>
      <c r="V59" s="1">
        <f t="shared" si="163"/>
        <v>1</v>
      </c>
      <c r="W59" s="1">
        <f>(53+37+35+42)/4</f>
        <v>41.75</v>
      </c>
      <c r="X59" s="1">
        <v>1</v>
      </c>
      <c r="Y59" s="8">
        <f t="shared" si="164"/>
        <v>0.2</v>
      </c>
      <c r="AA59" s="2">
        <v>28.52594375</v>
      </c>
      <c r="AB59" s="2">
        <v>83.27121265222317</v>
      </c>
      <c r="AC59" s="1">
        <v>4</v>
      </c>
      <c r="AD59" s="1">
        <f t="shared" si="165"/>
        <v>1</v>
      </c>
      <c r="AE59" s="1">
        <f>(49+36+35+43)/4</f>
        <v>40.75</v>
      </c>
      <c r="AF59" s="1">
        <v>1</v>
      </c>
      <c r="AG59" s="8">
        <f t="shared" si="166"/>
        <v>0.2</v>
      </c>
      <c r="AI59" s="2">
        <v>27.46628046875</v>
      </c>
      <c r="AJ59" s="2">
        <v>83.272616505424622</v>
      </c>
      <c r="AK59" s="1">
        <v>4</v>
      </c>
      <c r="AL59" s="1">
        <f t="shared" si="167"/>
        <v>1</v>
      </c>
      <c r="AM59" s="1">
        <f>(49+36+35+44)/4</f>
        <v>41</v>
      </c>
      <c r="AN59" s="1">
        <v>1</v>
      </c>
      <c r="AO59" s="8">
        <f t="shared" si="168"/>
        <v>0.2</v>
      </c>
      <c r="AQ59" s="19">
        <f t="shared" si="169"/>
        <v>27.3957373125</v>
      </c>
      <c r="AR59" s="13">
        <f t="shared" si="170"/>
        <v>83.248838255528042</v>
      </c>
      <c r="AS59" s="14">
        <f t="shared" si="171"/>
        <v>4</v>
      </c>
      <c r="AT59" s="14">
        <f t="shared" si="172"/>
        <v>1</v>
      </c>
      <c r="AU59" s="14">
        <f t="shared" si="173"/>
        <v>41.2</v>
      </c>
      <c r="AV59" s="14">
        <f t="shared" si="174"/>
        <v>1.2</v>
      </c>
      <c r="AW59" s="20">
        <f t="shared" si="175"/>
        <v>0.23076923076923075</v>
      </c>
    </row>
    <row r="60" spans="1:49" ht="14.4" thickBot="1" x14ac:dyDescent="0.3">
      <c r="A60" s="1" t="s">
        <v>25</v>
      </c>
      <c r="B60" s="1" t="s">
        <v>26</v>
      </c>
      <c r="C60" s="2">
        <v>25.017309062500001</v>
      </c>
      <c r="D60" s="2">
        <v>83.266368293108513</v>
      </c>
      <c r="E60" s="9">
        <v>4</v>
      </c>
      <c r="F60" s="9">
        <f t="shared" si="159"/>
        <v>1</v>
      </c>
      <c r="G60" s="9">
        <f>(36+49+40+34)/4</f>
        <v>39.75</v>
      </c>
      <c r="H60" s="9">
        <v>1</v>
      </c>
      <c r="I60" s="10">
        <f t="shared" si="160"/>
        <v>0.2</v>
      </c>
      <c r="K60" s="2">
        <v>27.409811093750001</v>
      </c>
      <c r="L60" s="2">
        <v>83.373951612649861</v>
      </c>
      <c r="M60" s="9">
        <v>4</v>
      </c>
      <c r="N60" s="9">
        <f t="shared" si="161"/>
        <v>1</v>
      </c>
      <c r="O60" s="9">
        <f>(36+52+40+31)/4</f>
        <v>39.75</v>
      </c>
      <c r="P60" s="9">
        <v>1</v>
      </c>
      <c r="Q60" s="10">
        <f t="shared" si="162"/>
        <v>0.2</v>
      </c>
      <c r="S60" s="2">
        <v>27.1125890625</v>
      </c>
      <c r="T60" s="2">
        <v>83.374678235283938</v>
      </c>
      <c r="U60" s="9">
        <v>4</v>
      </c>
      <c r="V60" s="9">
        <f t="shared" si="163"/>
        <v>1</v>
      </c>
      <c r="W60" s="9">
        <f>(36+53+39+31)/4</f>
        <v>39.75</v>
      </c>
      <c r="X60" s="9">
        <v>1</v>
      </c>
      <c r="Y60" s="10">
        <f t="shared" si="164"/>
        <v>0.2</v>
      </c>
      <c r="AA60" s="2">
        <v>26.937496093749999</v>
      </c>
      <c r="AB60" s="2">
        <v>83.269451612887892</v>
      </c>
      <c r="AC60" s="9">
        <v>4</v>
      </c>
      <c r="AD60" s="9">
        <f t="shared" si="165"/>
        <v>1</v>
      </c>
      <c r="AE60" s="9">
        <f>(41+49+39+33)/4</f>
        <v>40.5</v>
      </c>
      <c r="AF60" s="9">
        <v>1</v>
      </c>
      <c r="AG60" s="10">
        <f t="shared" si="166"/>
        <v>0.2</v>
      </c>
      <c r="AI60" s="2">
        <v>27.38070171875</v>
      </c>
      <c r="AJ60" s="2">
        <v>83.374352761115716</v>
      </c>
      <c r="AK60" s="9">
        <v>4</v>
      </c>
      <c r="AL60" s="9">
        <f t="shared" si="167"/>
        <v>1</v>
      </c>
      <c r="AM60" s="9">
        <f>(36+53+39+34)/4</f>
        <v>40.5</v>
      </c>
      <c r="AN60" s="9">
        <v>1</v>
      </c>
      <c r="AO60" s="10">
        <f t="shared" si="168"/>
        <v>0.2</v>
      </c>
      <c r="AQ60" s="21">
        <f t="shared" si="169"/>
        <v>26.77158140625</v>
      </c>
      <c r="AR60" s="22">
        <f t="shared" si="170"/>
        <v>83.331760503009178</v>
      </c>
      <c r="AS60" s="23">
        <f t="shared" si="171"/>
        <v>4</v>
      </c>
      <c r="AT60" s="23">
        <f t="shared" si="172"/>
        <v>1</v>
      </c>
      <c r="AU60" s="23">
        <f t="shared" si="173"/>
        <v>40.049999999999997</v>
      </c>
      <c r="AV60" s="23">
        <f t="shared" si="174"/>
        <v>1</v>
      </c>
      <c r="AW60" s="24">
        <f t="shared" si="175"/>
        <v>0.2</v>
      </c>
    </row>
    <row r="61" spans="1:49" x14ac:dyDescent="0.25">
      <c r="A61" s="1"/>
      <c r="B61" s="1"/>
      <c r="C61" s="1">
        <f>AVERAGE(C56:C60)</f>
        <v>25.469970187500003</v>
      </c>
      <c r="D61" s="1">
        <f t="shared" ref="D61:I61" si="176">AVERAGE(D56:D60)</f>
        <v>83.151258505465051</v>
      </c>
      <c r="E61" s="1">
        <f t="shared" si="176"/>
        <v>4</v>
      </c>
      <c r="F61" s="1">
        <f t="shared" si="176"/>
        <v>1</v>
      </c>
      <c r="G61" s="1">
        <f t="shared" si="176"/>
        <v>40.6</v>
      </c>
      <c r="H61" s="1">
        <f t="shared" si="176"/>
        <v>1.4</v>
      </c>
      <c r="I61" s="1">
        <f t="shared" si="176"/>
        <v>0.21999999999999997</v>
      </c>
      <c r="K61" s="1">
        <f>AVERAGE(K56:K60)</f>
        <v>27.314440812499999</v>
      </c>
      <c r="L61" s="1">
        <f t="shared" ref="L61:Q61" si="177">AVERAGE(L56:L60)</f>
        <v>83.154833918484755</v>
      </c>
      <c r="M61" s="1">
        <f t="shared" si="177"/>
        <v>4</v>
      </c>
      <c r="N61" s="1">
        <f t="shared" si="177"/>
        <v>1</v>
      </c>
      <c r="O61" s="1">
        <f t="shared" si="177"/>
        <v>41.05</v>
      </c>
      <c r="P61" s="1">
        <f t="shared" si="177"/>
        <v>1.4</v>
      </c>
      <c r="Q61" s="1">
        <f t="shared" si="177"/>
        <v>0.23238095238095235</v>
      </c>
      <c r="S61" s="1">
        <f>AVERAGE(S56:S60)</f>
        <v>27.472992156250001</v>
      </c>
      <c r="T61" s="1">
        <f t="shared" ref="T61:Y61" si="178">AVERAGE(T56:T60)</f>
        <v>83.163106969099388</v>
      </c>
      <c r="U61" s="1">
        <f t="shared" si="178"/>
        <v>4</v>
      </c>
      <c r="V61" s="1">
        <f t="shared" si="178"/>
        <v>1</v>
      </c>
      <c r="W61" s="1">
        <f t="shared" si="178"/>
        <v>41.2</v>
      </c>
      <c r="X61" s="1">
        <f t="shared" si="178"/>
        <v>1.2</v>
      </c>
      <c r="Y61" s="1">
        <f t="shared" si="178"/>
        <v>0.20571428571428568</v>
      </c>
      <c r="AA61" s="1">
        <f>AVERAGE(AA56:AA60)</f>
        <v>27.880801468749997</v>
      </c>
      <c r="AB61" s="1">
        <f t="shared" ref="AB61:AG61" si="179">AVERAGE(AB56:AB60)</f>
        <v>83.148479824683847</v>
      </c>
      <c r="AC61" s="1">
        <f t="shared" si="179"/>
        <v>4</v>
      </c>
      <c r="AD61" s="1">
        <f t="shared" si="179"/>
        <v>1</v>
      </c>
      <c r="AE61" s="1">
        <f t="shared" si="179"/>
        <v>41</v>
      </c>
      <c r="AF61" s="1">
        <f t="shared" si="179"/>
        <v>1.4</v>
      </c>
      <c r="AG61" s="1">
        <f t="shared" si="179"/>
        <v>0.21999999999999997</v>
      </c>
      <c r="AI61" s="1">
        <f>AVERAGE(AI56:AI60)</f>
        <v>26.907892874999998</v>
      </c>
      <c r="AJ61" s="1">
        <f t="shared" ref="AJ61:AO61" si="180">AVERAGE(AJ56:AJ60)</f>
        <v>83.17629662350619</v>
      </c>
      <c r="AK61" s="1">
        <f t="shared" si="180"/>
        <v>4</v>
      </c>
      <c r="AL61" s="1">
        <f t="shared" si="180"/>
        <v>1</v>
      </c>
      <c r="AM61" s="1">
        <f t="shared" si="180"/>
        <v>40.9</v>
      </c>
      <c r="AN61" s="1">
        <f t="shared" si="180"/>
        <v>1.2</v>
      </c>
      <c r="AO61" s="1">
        <f t="shared" si="180"/>
        <v>0.20571428571428568</v>
      </c>
      <c r="AQ61" s="1">
        <f>AVERAGE(AQ56:AQ60)</f>
        <v>27.0092195</v>
      </c>
      <c r="AR61" s="1">
        <f t="shared" ref="AR61:AW61" si="181">AVERAGE(AR56:AR60)</f>
        <v>83.158795168247849</v>
      </c>
      <c r="AS61" s="1">
        <f t="shared" si="181"/>
        <v>4</v>
      </c>
      <c r="AT61" s="1">
        <f t="shared" si="181"/>
        <v>1</v>
      </c>
      <c r="AU61" s="1">
        <f t="shared" si="181"/>
        <v>40.950000000000003</v>
      </c>
      <c r="AV61" s="1">
        <f t="shared" si="181"/>
        <v>1.32</v>
      </c>
      <c r="AW61" s="1">
        <f t="shared" si="181"/>
        <v>0.21804573804573804</v>
      </c>
    </row>
    <row r="62" spans="1:49" ht="14.4" thickBot="1" x14ac:dyDescent="0.3">
      <c r="A62" s="1"/>
      <c r="B62" s="1"/>
      <c r="C62" s="1"/>
      <c r="D62" s="1"/>
      <c r="E62" s="1"/>
      <c r="F62" s="1"/>
      <c r="G62" s="1"/>
      <c r="H62" s="1"/>
      <c r="I62" s="1"/>
      <c r="K62" s="1"/>
      <c r="L62" s="1"/>
      <c r="M62" s="1"/>
      <c r="N62" s="1"/>
      <c r="O62" s="1"/>
      <c r="P62" s="1"/>
      <c r="Q62" s="1"/>
      <c r="S62" s="1"/>
      <c r="T62" s="1"/>
      <c r="U62" s="1"/>
      <c r="V62" s="1"/>
      <c r="W62" s="1"/>
      <c r="X62" s="1"/>
      <c r="Y62" s="1"/>
      <c r="AA62" s="1"/>
      <c r="AB62" s="1"/>
      <c r="AC62" s="1"/>
      <c r="AD62" s="1"/>
      <c r="AE62" s="1"/>
      <c r="AF62" s="1"/>
      <c r="AG62" s="1"/>
      <c r="AI62" s="1"/>
      <c r="AJ62" s="1"/>
      <c r="AK62" s="1"/>
      <c r="AL62" s="1"/>
      <c r="AM62" s="1"/>
      <c r="AN62" s="1"/>
      <c r="AO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27</v>
      </c>
      <c r="B63" s="1" t="s">
        <v>26</v>
      </c>
      <c r="C63" s="2">
        <v>23.396913125000001</v>
      </c>
      <c r="D63" s="2">
        <v>86.608644856531484</v>
      </c>
      <c r="E63" s="5">
        <v>4</v>
      </c>
      <c r="F63" s="5">
        <f>E63/4</f>
        <v>1</v>
      </c>
      <c r="G63" s="5">
        <f>(38+39+34+41)/4</f>
        <v>38</v>
      </c>
      <c r="H63" s="5">
        <v>0</v>
      </c>
      <c r="I63" s="6">
        <f>H63/(E63+H63)</f>
        <v>0</v>
      </c>
      <c r="K63" s="2">
        <v>27.658819375</v>
      </c>
      <c r="L63" s="2">
        <v>86.608644856531484</v>
      </c>
      <c r="M63" s="5">
        <v>4</v>
      </c>
      <c r="N63" s="5">
        <f>M63/4</f>
        <v>1</v>
      </c>
      <c r="O63" s="5">
        <f>(38+39+34+41)/4</f>
        <v>38</v>
      </c>
      <c r="P63" s="5">
        <v>0</v>
      </c>
      <c r="Q63" s="6">
        <f>P63/(M63+P63)</f>
        <v>0</v>
      </c>
      <c r="S63" s="2">
        <v>25.695386249999999</v>
      </c>
      <c r="T63" s="2">
        <v>86.608644856531484</v>
      </c>
      <c r="U63" s="5">
        <v>4</v>
      </c>
      <c r="V63" s="5">
        <f>U63/4</f>
        <v>1</v>
      </c>
      <c r="W63" s="5">
        <f>(38+39+34+41)/4</f>
        <v>38</v>
      </c>
      <c r="X63" s="5">
        <v>0</v>
      </c>
      <c r="Y63" s="6">
        <f>X63/(U63+X63)</f>
        <v>0</v>
      </c>
      <c r="AA63" s="2">
        <v>25.2578715625</v>
      </c>
      <c r="AB63" s="2">
        <v>86.610072097526455</v>
      </c>
      <c r="AC63" s="5">
        <v>4</v>
      </c>
      <c r="AD63" s="5">
        <f>AC63/4</f>
        <v>1</v>
      </c>
      <c r="AE63" s="5">
        <f>(38+39+35+41)/4</f>
        <v>38.25</v>
      </c>
      <c r="AF63" s="5">
        <v>0</v>
      </c>
      <c r="AG63" s="6">
        <f>AF63/(AC63+AF63)</f>
        <v>0</v>
      </c>
      <c r="AI63" s="2">
        <v>26.202662499999999</v>
      </c>
      <c r="AJ63" s="2">
        <v>86.677642934669407</v>
      </c>
      <c r="AK63" s="5">
        <v>4</v>
      </c>
      <c r="AL63" s="5">
        <f>AK63/4</f>
        <v>1</v>
      </c>
      <c r="AM63" s="5">
        <f>(37+38+34+42)/4</f>
        <v>37.75</v>
      </c>
      <c r="AN63" s="5">
        <v>0</v>
      </c>
      <c r="AO63" s="6">
        <f>AN63/(AK63+AN63)</f>
        <v>0</v>
      </c>
      <c r="AQ63" s="15">
        <f>AVERAGE(C63,K63,S63,AA63,AI63)</f>
        <v>25.6423305625</v>
      </c>
      <c r="AR63" s="16">
        <f>AVERAGE(D63,L63,T63,AB63,AJ63)</f>
        <v>86.622729920358054</v>
      </c>
      <c r="AS63" s="17">
        <f>AVERAGE(E63,M63,U63,AC63,AK63)</f>
        <v>4</v>
      </c>
      <c r="AT63" s="17">
        <f>AS63/4</f>
        <v>1</v>
      </c>
      <c r="AU63" s="17">
        <f>AVERAGE(G63,O63,W63,AE63,AM63)</f>
        <v>38</v>
      </c>
      <c r="AV63" s="17">
        <f>AVERAGE(H63,P63,X63,AF63,AN63)</f>
        <v>0</v>
      </c>
      <c r="AW63" s="18">
        <f>AV63/(AS63+AV63)</f>
        <v>0</v>
      </c>
    </row>
    <row r="64" spans="1:49" x14ac:dyDescent="0.25">
      <c r="A64" s="1" t="s">
        <v>28</v>
      </c>
      <c r="B64" s="1" t="s">
        <v>26</v>
      </c>
      <c r="C64" s="2">
        <v>25.977197343749999</v>
      </c>
      <c r="D64" s="2">
        <v>86.675904218247396</v>
      </c>
      <c r="E64" s="1">
        <v>4</v>
      </c>
      <c r="F64" s="1">
        <f t="shared" ref="F64:F67" si="182">E64/4</f>
        <v>1</v>
      </c>
      <c r="G64" s="1">
        <f>(45+44+49+48)/4</f>
        <v>46.5</v>
      </c>
      <c r="H64" s="1">
        <v>0</v>
      </c>
      <c r="I64" s="8">
        <f t="shared" ref="I64:I67" si="183">H64/(E64+H64)</f>
        <v>0</v>
      </c>
      <c r="K64" s="2">
        <v>26.979355937499999</v>
      </c>
      <c r="L64" s="2">
        <v>86.672592713109211</v>
      </c>
      <c r="M64" s="1">
        <v>4</v>
      </c>
      <c r="N64" s="1">
        <f t="shared" ref="N64:N67" si="184">M64/4</f>
        <v>1</v>
      </c>
      <c r="O64" s="1">
        <f>(46+44+49+48)/4</f>
        <v>46.75</v>
      </c>
      <c r="P64" s="1">
        <v>0</v>
      </c>
      <c r="Q64" s="8">
        <f t="shared" ref="Q64:Q67" si="185">P64/(M64+P64)</f>
        <v>0</v>
      </c>
      <c r="S64" s="2">
        <v>26.277461875</v>
      </c>
      <c r="T64" s="2">
        <v>86.672592713109211</v>
      </c>
      <c r="U64" s="1">
        <v>4</v>
      </c>
      <c r="V64" s="1">
        <f t="shared" ref="V64:V67" si="186">U64/4</f>
        <v>1</v>
      </c>
      <c r="W64" s="1">
        <f>(46+44+49+48)/4</f>
        <v>46.75</v>
      </c>
      <c r="X64" s="1">
        <v>0</v>
      </c>
      <c r="Y64" s="8">
        <f t="shared" ref="Y64:Y67" si="187">X64/(U64+X64)</f>
        <v>0</v>
      </c>
      <c r="AA64" s="2">
        <v>25.834848906249999</v>
      </c>
      <c r="AB64" s="2">
        <v>86.675904218247396</v>
      </c>
      <c r="AC64" s="1">
        <v>4</v>
      </c>
      <c r="AD64" s="1">
        <f t="shared" ref="AD64:AD67" si="188">AC64/4</f>
        <v>1</v>
      </c>
      <c r="AE64" s="1">
        <f>(45+44+49+48)/4</f>
        <v>46.5</v>
      </c>
      <c r="AF64" s="1">
        <v>0</v>
      </c>
      <c r="AG64" s="8">
        <f t="shared" ref="AG64:AG67" si="189">AF64/(AC64+AF64)</f>
        <v>0</v>
      </c>
      <c r="AI64" s="2">
        <v>23.013322343750001</v>
      </c>
      <c r="AJ64" s="2">
        <v>86.677378448688998</v>
      </c>
      <c r="AK64" s="1">
        <v>4</v>
      </c>
      <c r="AL64" s="1">
        <f t="shared" ref="AL64:AL67" si="190">AK64/4</f>
        <v>1</v>
      </c>
      <c r="AM64" s="1">
        <f>(46+43+49+48)/4</f>
        <v>46.5</v>
      </c>
      <c r="AN64" s="1">
        <v>0</v>
      </c>
      <c r="AO64" s="8">
        <f t="shared" ref="AO64:AO67" si="191">AN64/(AK64+AN64)</f>
        <v>0</v>
      </c>
      <c r="AQ64" s="19">
        <f t="shared" ref="AQ64:AQ67" si="192">AVERAGE(C64,K64,S64,AA64,AI64)</f>
        <v>25.616437281250001</v>
      </c>
      <c r="AR64" s="13">
        <f t="shared" ref="AR64:AR67" si="193">AVERAGE(D64,L64,T64,AB64,AJ64)</f>
        <v>86.674874462280442</v>
      </c>
      <c r="AS64" s="14">
        <f t="shared" ref="AS64:AS67" si="194">AVERAGE(E64,M64,U64,AC64,AK64)</f>
        <v>4</v>
      </c>
      <c r="AT64" s="14">
        <f t="shared" ref="AT64:AT67" si="195">AS64/4</f>
        <v>1</v>
      </c>
      <c r="AU64" s="14">
        <f t="shared" ref="AU64:AU67" si="196">AVERAGE(G64,O64,W64,AE64,AM64)</f>
        <v>46.6</v>
      </c>
      <c r="AV64" s="14">
        <f t="shared" ref="AV64:AV67" si="197">AVERAGE(H64,P64,X64,AF64,AN64)</f>
        <v>0</v>
      </c>
      <c r="AW64" s="20">
        <f t="shared" ref="AW64:AW67" si="198">AV64/(AS64+AV64)</f>
        <v>0</v>
      </c>
    </row>
    <row r="65" spans="1:49" x14ac:dyDescent="0.25">
      <c r="A65" s="1" t="s">
        <v>29</v>
      </c>
      <c r="B65" s="1" t="s">
        <v>26</v>
      </c>
      <c r="C65" s="2">
        <v>25.973042499999998</v>
      </c>
      <c r="D65" s="2">
        <v>86.963098634204712</v>
      </c>
      <c r="E65" s="1">
        <v>4</v>
      </c>
      <c r="F65" s="1">
        <f t="shared" si="182"/>
        <v>1</v>
      </c>
      <c r="G65" s="1">
        <f>(46+31+38+37)/4</f>
        <v>38</v>
      </c>
      <c r="H65" s="1">
        <v>1</v>
      </c>
      <c r="I65" s="8">
        <f t="shared" si="183"/>
        <v>0.2</v>
      </c>
      <c r="K65" s="2">
        <v>21.964625312500001</v>
      </c>
      <c r="L65" s="2">
        <v>86.928697334122134</v>
      </c>
      <c r="M65" s="1">
        <v>4</v>
      </c>
      <c r="N65" s="1">
        <f t="shared" si="184"/>
        <v>1</v>
      </c>
      <c r="O65" s="1">
        <f>(47+31+39+37)/4</f>
        <v>38.5</v>
      </c>
      <c r="P65" s="1">
        <v>1</v>
      </c>
      <c r="Q65" s="8">
        <f t="shared" si="185"/>
        <v>0.2</v>
      </c>
      <c r="S65" s="2">
        <v>25.108162656249998</v>
      </c>
      <c r="T65" s="2">
        <v>86.981180567697251</v>
      </c>
      <c r="U65" s="1">
        <v>4</v>
      </c>
      <c r="V65" s="1">
        <f t="shared" si="186"/>
        <v>1</v>
      </c>
      <c r="W65" s="1">
        <f>(46+30+41+35)/4</f>
        <v>38</v>
      </c>
      <c r="X65" s="1">
        <v>1</v>
      </c>
      <c r="Y65" s="8">
        <f t="shared" si="187"/>
        <v>0.2</v>
      </c>
      <c r="AA65" s="2">
        <v>24.790050937499998</v>
      </c>
      <c r="AB65" s="2">
        <v>86.965714642640705</v>
      </c>
      <c r="AC65" s="1">
        <v>4</v>
      </c>
      <c r="AD65" s="1">
        <f t="shared" si="188"/>
        <v>1</v>
      </c>
      <c r="AE65" s="1">
        <f>(47+30+38+38)/4</f>
        <v>38.25</v>
      </c>
      <c r="AF65" s="1">
        <v>0</v>
      </c>
      <c r="AG65" s="8">
        <f t="shared" si="189"/>
        <v>0</v>
      </c>
      <c r="AI65" s="2">
        <v>24.48684890625</v>
      </c>
      <c r="AJ65" s="2">
        <v>86.974001748997424</v>
      </c>
      <c r="AK65" s="1">
        <v>4</v>
      </c>
      <c r="AL65" s="1">
        <f t="shared" si="190"/>
        <v>1</v>
      </c>
      <c r="AM65" s="1">
        <f>(45+31+41+35)/4</f>
        <v>38</v>
      </c>
      <c r="AN65" s="1">
        <v>1</v>
      </c>
      <c r="AO65" s="8">
        <f t="shared" si="191"/>
        <v>0.2</v>
      </c>
      <c r="AQ65" s="19">
        <f t="shared" si="192"/>
        <v>24.464546062499998</v>
      </c>
      <c r="AR65" s="13">
        <f t="shared" si="193"/>
        <v>86.962538585532442</v>
      </c>
      <c r="AS65" s="14">
        <f t="shared" si="194"/>
        <v>4</v>
      </c>
      <c r="AT65" s="14">
        <f t="shared" si="195"/>
        <v>1</v>
      </c>
      <c r="AU65" s="14">
        <f t="shared" si="196"/>
        <v>38.15</v>
      </c>
      <c r="AV65" s="14">
        <f t="shared" si="197"/>
        <v>0.8</v>
      </c>
      <c r="AW65" s="20">
        <f t="shared" si="198"/>
        <v>0.16666666666666669</v>
      </c>
    </row>
    <row r="66" spans="1:49" x14ac:dyDescent="0.25">
      <c r="A66" s="1" t="s">
        <v>30</v>
      </c>
      <c r="B66" s="1" t="s">
        <v>26</v>
      </c>
      <c r="C66" s="2">
        <v>24.199812812499999</v>
      </c>
      <c r="D66" s="2">
        <v>87.003426916780455</v>
      </c>
      <c r="E66" s="1">
        <v>4</v>
      </c>
      <c r="F66" s="1">
        <f t="shared" si="182"/>
        <v>1</v>
      </c>
      <c r="G66" s="1">
        <f>(39+39+28+48)/4</f>
        <v>38.5</v>
      </c>
      <c r="H66" s="1">
        <v>0</v>
      </c>
      <c r="I66" s="8">
        <f t="shared" si="183"/>
        <v>0</v>
      </c>
      <c r="K66" s="2">
        <v>24.996921562499999</v>
      </c>
      <c r="L66" s="2">
        <v>86.999816689290981</v>
      </c>
      <c r="M66" s="1">
        <v>4</v>
      </c>
      <c r="N66" s="1">
        <f t="shared" si="184"/>
        <v>1</v>
      </c>
      <c r="O66" s="1">
        <f>(39+38+28+48)/4</f>
        <v>38.25</v>
      </c>
      <c r="P66" s="1">
        <v>0</v>
      </c>
      <c r="Q66" s="8">
        <f t="shared" si="185"/>
        <v>0</v>
      </c>
      <c r="S66" s="2">
        <v>25.837758906249999</v>
      </c>
      <c r="T66" s="2">
        <v>87.003426916780455</v>
      </c>
      <c r="U66" s="1">
        <v>4</v>
      </c>
      <c r="V66" s="1">
        <f t="shared" si="186"/>
        <v>1</v>
      </c>
      <c r="W66" s="1">
        <f>(39+39+28+48)/4</f>
        <v>38.5</v>
      </c>
      <c r="X66" s="1">
        <v>0</v>
      </c>
      <c r="Y66" s="8">
        <f t="shared" si="187"/>
        <v>0</v>
      </c>
      <c r="AA66" s="2">
        <v>25.492081562500001</v>
      </c>
      <c r="AB66" s="2">
        <v>86.998110758324017</v>
      </c>
      <c r="AC66" s="1">
        <v>4</v>
      </c>
      <c r="AD66" s="1">
        <f t="shared" si="188"/>
        <v>1</v>
      </c>
      <c r="AE66" s="1">
        <f>(40+39+28+48)/4</f>
        <v>38.75</v>
      </c>
      <c r="AF66" s="1">
        <v>0</v>
      </c>
      <c r="AG66" s="8">
        <f t="shared" si="189"/>
        <v>0</v>
      </c>
      <c r="AI66" s="2">
        <v>28.666943750000002</v>
      </c>
      <c r="AJ66" s="2">
        <v>86.993729812998211</v>
      </c>
      <c r="AK66" s="1">
        <v>4</v>
      </c>
      <c r="AL66" s="1">
        <f t="shared" si="190"/>
        <v>1</v>
      </c>
      <c r="AM66" s="1">
        <f>(39+39+26+47)/4</f>
        <v>37.75</v>
      </c>
      <c r="AN66" s="1">
        <v>0</v>
      </c>
      <c r="AO66" s="8">
        <f t="shared" si="191"/>
        <v>0</v>
      </c>
      <c r="AQ66" s="19">
        <f t="shared" si="192"/>
        <v>25.838703718750004</v>
      </c>
      <c r="AR66" s="13">
        <f t="shared" si="193"/>
        <v>86.999702218834813</v>
      </c>
      <c r="AS66" s="14">
        <f t="shared" si="194"/>
        <v>4</v>
      </c>
      <c r="AT66" s="14">
        <f t="shared" si="195"/>
        <v>1</v>
      </c>
      <c r="AU66" s="14">
        <f t="shared" si="196"/>
        <v>38.35</v>
      </c>
      <c r="AV66" s="14">
        <f t="shared" si="197"/>
        <v>0</v>
      </c>
      <c r="AW66" s="20">
        <f t="shared" si="198"/>
        <v>0</v>
      </c>
    </row>
    <row r="67" spans="1:49" ht="14.4" thickBot="1" x14ac:dyDescent="0.3">
      <c r="A67" s="1" t="s">
        <v>31</v>
      </c>
      <c r="B67" s="1" t="s">
        <v>26</v>
      </c>
      <c r="C67" s="2">
        <v>21.990538906249999</v>
      </c>
      <c r="D67" s="2">
        <v>87.05518643997884</v>
      </c>
      <c r="E67" s="9">
        <v>4</v>
      </c>
      <c r="F67" s="9">
        <f t="shared" si="182"/>
        <v>1</v>
      </c>
      <c r="G67" s="9">
        <f>(44+45+41+51)/4</f>
        <v>45.25</v>
      </c>
      <c r="H67" s="9">
        <v>0</v>
      </c>
      <c r="I67" s="10">
        <f t="shared" si="183"/>
        <v>0</v>
      </c>
      <c r="K67" s="2">
        <v>25.33670703125</v>
      </c>
      <c r="L67" s="2">
        <v>87.055985131967873</v>
      </c>
      <c r="M67" s="9">
        <v>4</v>
      </c>
      <c r="N67" s="9">
        <f t="shared" si="184"/>
        <v>1</v>
      </c>
      <c r="O67" s="9">
        <f>(44+43+41+51)/4</f>
        <v>44.75</v>
      </c>
      <c r="P67" s="9">
        <v>0</v>
      </c>
      <c r="Q67" s="10">
        <f t="shared" si="185"/>
        <v>0</v>
      </c>
      <c r="S67" s="2">
        <v>25.1801759375</v>
      </c>
      <c r="T67" s="2">
        <v>87.04196130643669</v>
      </c>
      <c r="U67" s="9">
        <v>4</v>
      </c>
      <c r="V67" s="9">
        <f t="shared" si="186"/>
        <v>1</v>
      </c>
      <c r="W67" s="9">
        <f>(43+44+40+51)/4</f>
        <v>44.5</v>
      </c>
      <c r="X67" s="9">
        <v>0</v>
      </c>
      <c r="Y67" s="10">
        <f t="shared" si="187"/>
        <v>0</v>
      </c>
      <c r="AA67" s="2">
        <v>26.535248281249999</v>
      </c>
      <c r="AB67" s="2">
        <v>87.046033150073868</v>
      </c>
      <c r="AC67" s="9">
        <v>4</v>
      </c>
      <c r="AD67" s="9">
        <f t="shared" si="188"/>
        <v>1</v>
      </c>
      <c r="AE67" s="9">
        <f>(43+44+41+51)/4</f>
        <v>44.75</v>
      </c>
      <c r="AF67" s="9">
        <v>0</v>
      </c>
      <c r="AG67" s="10">
        <f t="shared" si="189"/>
        <v>0</v>
      </c>
      <c r="AI67" s="2">
        <v>25.211696406249999</v>
      </c>
      <c r="AJ67" s="2">
        <v>87.055985131967873</v>
      </c>
      <c r="AK67" s="9">
        <v>4</v>
      </c>
      <c r="AL67" s="9">
        <f t="shared" si="190"/>
        <v>1</v>
      </c>
      <c r="AM67" s="9">
        <f>(44+43+41+51)/4</f>
        <v>44.75</v>
      </c>
      <c r="AN67" s="9">
        <v>0</v>
      </c>
      <c r="AO67" s="10">
        <f t="shared" si="191"/>
        <v>0</v>
      </c>
      <c r="AQ67" s="21">
        <f t="shared" si="192"/>
        <v>24.850873312499996</v>
      </c>
      <c r="AR67" s="22">
        <f t="shared" si="193"/>
        <v>87.051030232085026</v>
      </c>
      <c r="AS67" s="23">
        <f t="shared" si="194"/>
        <v>4</v>
      </c>
      <c r="AT67" s="23">
        <f t="shared" si="195"/>
        <v>1</v>
      </c>
      <c r="AU67" s="23">
        <f t="shared" si="196"/>
        <v>44.8</v>
      </c>
      <c r="AV67" s="23">
        <f t="shared" si="197"/>
        <v>0</v>
      </c>
      <c r="AW67" s="24">
        <f t="shared" si="198"/>
        <v>0</v>
      </c>
    </row>
    <row r="68" spans="1:49" x14ac:dyDescent="0.25">
      <c r="A68" s="1"/>
      <c r="B68" s="1"/>
      <c r="C68" s="1">
        <f>AVERAGE(C63:C67)</f>
        <v>24.307500937500002</v>
      </c>
      <c r="D68" s="1">
        <f t="shared" ref="D68:I68" si="199">AVERAGE(D63:D67)</f>
        <v>86.861252213148589</v>
      </c>
      <c r="E68" s="1">
        <f t="shared" si="199"/>
        <v>4</v>
      </c>
      <c r="F68" s="1">
        <f t="shared" si="199"/>
        <v>1</v>
      </c>
      <c r="G68" s="1">
        <f t="shared" si="199"/>
        <v>41.25</v>
      </c>
      <c r="H68" s="1">
        <f t="shared" si="199"/>
        <v>0.2</v>
      </c>
      <c r="I68" s="1">
        <f t="shared" si="199"/>
        <v>0.04</v>
      </c>
      <c r="K68" s="1">
        <f>AVERAGE(K63:K67)</f>
        <v>25.38728584375</v>
      </c>
      <c r="L68" s="1">
        <f t="shared" ref="L68:Q68" si="200">AVERAGE(L63:L67)</f>
        <v>86.853147345004331</v>
      </c>
      <c r="M68" s="1">
        <f t="shared" si="200"/>
        <v>4</v>
      </c>
      <c r="N68" s="1">
        <f t="shared" si="200"/>
        <v>1</v>
      </c>
      <c r="O68" s="1">
        <f t="shared" si="200"/>
        <v>41.25</v>
      </c>
      <c r="P68" s="1">
        <f t="shared" si="200"/>
        <v>0.2</v>
      </c>
      <c r="Q68" s="1">
        <f t="shared" si="200"/>
        <v>0.04</v>
      </c>
      <c r="S68" s="1">
        <f>AVERAGE(S63:S67)</f>
        <v>25.619789125</v>
      </c>
      <c r="T68" s="1">
        <f t="shared" ref="T68:Y68" si="201">AVERAGE(T63:T67)</f>
        <v>86.861561272111004</v>
      </c>
      <c r="U68" s="1">
        <f t="shared" si="201"/>
        <v>4</v>
      </c>
      <c r="V68" s="1">
        <f t="shared" si="201"/>
        <v>1</v>
      </c>
      <c r="W68" s="1">
        <f t="shared" si="201"/>
        <v>41.15</v>
      </c>
      <c r="X68" s="1">
        <f t="shared" si="201"/>
        <v>0.2</v>
      </c>
      <c r="Y68" s="1">
        <f t="shared" si="201"/>
        <v>0.04</v>
      </c>
      <c r="AA68" s="1">
        <f>AVERAGE(AA63:AA67)</f>
        <v>25.582020249999999</v>
      </c>
      <c r="AB68" s="1">
        <f t="shared" ref="AB68:AG68" si="202">AVERAGE(AB63:AB67)</f>
        <v>86.859166973362477</v>
      </c>
      <c r="AC68" s="1">
        <f t="shared" si="202"/>
        <v>4</v>
      </c>
      <c r="AD68" s="1">
        <f t="shared" si="202"/>
        <v>1</v>
      </c>
      <c r="AE68" s="1">
        <f t="shared" si="202"/>
        <v>41.3</v>
      </c>
      <c r="AF68" s="1">
        <f t="shared" si="202"/>
        <v>0</v>
      </c>
      <c r="AG68" s="1">
        <f t="shared" si="202"/>
        <v>0</v>
      </c>
      <c r="AI68" s="1">
        <f>AVERAGE(AI63:AI67)</f>
        <v>25.51629478125</v>
      </c>
      <c r="AJ68" s="1">
        <f t="shared" ref="AJ68:AO68" si="203">AVERAGE(AJ63:AJ67)</f>
        <v>86.875747615464377</v>
      </c>
      <c r="AK68" s="1">
        <f t="shared" si="203"/>
        <v>4</v>
      </c>
      <c r="AL68" s="1">
        <f t="shared" si="203"/>
        <v>1</v>
      </c>
      <c r="AM68" s="1">
        <f t="shared" si="203"/>
        <v>40.950000000000003</v>
      </c>
      <c r="AN68" s="1">
        <f t="shared" si="203"/>
        <v>0.2</v>
      </c>
      <c r="AO68" s="1">
        <f t="shared" si="203"/>
        <v>0.04</v>
      </c>
      <c r="AQ68" s="1">
        <f>AVERAGE(AQ63:AQ67)</f>
        <v>25.2825781875</v>
      </c>
      <c r="AR68" s="1">
        <f t="shared" ref="AR68:AW68" si="204">AVERAGE(AR63:AR67)</f>
        <v>86.862175083818173</v>
      </c>
      <c r="AS68" s="1">
        <f t="shared" si="204"/>
        <v>4</v>
      </c>
      <c r="AT68" s="1">
        <f t="shared" si="204"/>
        <v>1</v>
      </c>
      <c r="AU68" s="1">
        <f t="shared" si="204"/>
        <v>41.179999999999993</v>
      </c>
      <c r="AV68" s="1">
        <f t="shared" si="204"/>
        <v>0.16</v>
      </c>
      <c r="AW68" s="1">
        <f t="shared" si="204"/>
        <v>3.333333333333334E-2</v>
      </c>
    </row>
    <row r="69" spans="1:49" x14ac:dyDescent="0.25">
      <c r="A69" s="1"/>
      <c r="B69" s="1"/>
      <c r="C69" s="1"/>
      <c r="D69" s="1"/>
      <c r="E69" s="1"/>
      <c r="F69" s="1"/>
      <c r="G69" s="1"/>
      <c r="H69" s="1"/>
      <c r="I69" s="1"/>
      <c r="K69" s="1"/>
      <c r="L69" s="1"/>
      <c r="M69" s="1"/>
      <c r="N69" s="1"/>
      <c r="O69" s="1"/>
      <c r="P69" s="1"/>
      <c r="Q69" s="1"/>
      <c r="S69" s="1"/>
      <c r="T69" s="1"/>
      <c r="U69" s="1"/>
      <c r="V69" s="1"/>
      <c r="W69" s="1"/>
      <c r="X69" s="1"/>
      <c r="Y69" s="1"/>
      <c r="AA69" s="1"/>
      <c r="AB69" s="1"/>
      <c r="AC69" s="1"/>
      <c r="AD69" s="1"/>
      <c r="AE69" s="1"/>
      <c r="AF69" s="1"/>
      <c r="AG69" s="1"/>
      <c r="AI69" s="1"/>
      <c r="AJ69" s="1"/>
      <c r="AK69" s="1"/>
      <c r="AL69" s="1"/>
      <c r="AM69" s="1"/>
      <c r="AN69" s="1"/>
      <c r="AO69" s="1"/>
      <c r="AQ69" s="1">
        <f>AVERAGE(AQ47,AQ54,AQ61,AQ68)</f>
        <v>29.4673430765625</v>
      </c>
      <c r="AR69" s="1">
        <f t="shared" ref="AR69:AW69" si="205">AVERAGE(AR47,AR54,AR61,AR68)</f>
        <v>86.496049655617469</v>
      </c>
      <c r="AS69" s="1">
        <f t="shared" si="205"/>
        <v>3.5</v>
      </c>
      <c r="AT69" s="1">
        <f t="shared" si="205"/>
        <v>1</v>
      </c>
      <c r="AU69" s="1">
        <f t="shared" si="205"/>
        <v>109.17583333333333</v>
      </c>
      <c r="AV69" s="1">
        <f t="shared" si="205"/>
        <v>0.37</v>
      </c>
      <c r="AW69" s="1">
        <f t="shared" si="205"/>
        <v>6.2844767844767849E-2</v>
      </c>
    </row>
    <row r="70" spans="1:49" ht="14.4" thickBot="1" x14ac:dyDescent="0.3">
      <c r="A70" s="1"/>
      <c r="B70" s="1"/>
      <c r="C70" s="1" t="s">
        <v>2</v>
      </c>
      <c r="D70" s="1" t="s">
        <v>7</v>
      </c>
      <c r="E70" s="1" t="s">
        <v>37</v>
      </c>
      <c r="F70" s="1"/>
      <c r="G70" s="1"/>
      <c r="H70" s="1"/>
      <c r="I70" s="1"/>
      <c r="K70" s="1" t="s">
        <v>2</v>
      </c>
      <c r="L70" s="1" t="s">
        <v>7</v>
      </c>
      <c r="M70" s="1" t="s">
        <v>37</v>
      </c>
      <c r="N70" s="1"/>
      <c r="O70" s="1"/>
      <c r="P70" s="1"/>
      <c r="Q70" s="1"/>
      <c r="S70" s="1" t="s">
        <v>2</v>
      </c>
      <c r="T70" s="1" t="s">
        <v>7</v>
      </c>
      <c r="U70" s="1" t="s">
        <v>37</v>
      </c>
      <c r="V70" s="1"/>
      <c r="W70" s="1"/>
      <c r="X70" s="1"/>
      <c r="Y70" s="1"/>
      <c r="AA70" s="1" t="s">
        <v>2</v>
      </c>
      <c r="AB70" s="1" t="s">
        <v>7</v>
      </c>
      <c r="AC70" s="1" t="s">
        <v>37</v>
      </c>
      <c r="AD70" s="1"/>
      <c r="AE70" s="1"/>
      <c r="AF70" s="1"/>
      <c r="AG70" s="1"/>
      <c r="AI70" s="1" t="s">
        <v>2</v>
      </c>
      <c r="AJ70" s="1" t="s">
        <v>7</v>
      </c>
      <c r="AK70" s="1" t="s">
        <v>37</v>
      </c>
      <c r="AL70" s="1"/>
      <c r="AM70" s="1"/>
      <c r="AN70" s="1"/>
      <c r="AO70" s="1"/>
      <c r="AQ70" s="1" t="s">
        <v>2</v>
      </c>
      <c r="AR70" s="1" t="s">
        <v>7</v>
      </c>
      <c r="AS70" s="1" t="s">
        <v>37</v>
      </c>
      <c r="AT70" s="1"/>
      <c r="AU70" s="1"/>
      <c r="AV70" s="1"/>
      <c r="AW70" s="1"/>
    </row>
    <row r="71" spans="1:49" x14ac:dyDescent="0.25">
      <c r="A71" s="1" t="s">
        <v>32</v>
      </c>
      <c r="B71" s="1"/>
      <c r="C71" s="2">
        <v>8.2147235354097141</v>
      </c>
      <c r="D71" s="2">
        <v>67.065837866089481</v>
      </c>
      <c r="E71" s="2">
        <v>0.10381905821282907</v>
      </c>
      <c r="F71" s="1"/>
      <c r="G71" s="1"/>
      <c r="H71" s="1"/>
      <c r="I71" s="1"/>
      <c r="K71" s="2">
        <v>8.4837493047830925</v>
      </c>
      <c r="L71" s="2">
        <v>67.146702769761049</v>
      </c>
      <c r="M71" s="2">
        <v>0.10011123470522804</v>
      </c>
      <c r="N71" s="1"/>
      <c r="O71" s="1"/>
      <c r="P71" s="1"/>
      <c r="Q71" s="1"/>
      <c r="S71" s="2">
        <v>8.7425148312940308</v>
      </c>
      <c r="T71" s="2">
        <v>67.116205447580995</v>
      </c>
      <c r="U71" s="2">
        <v>0.10938079347423063</v>
      </c>
      <c r="V71" s="1"/>
      <c r="W71" s="1"/>
      <c r="X71" s="1"/>
      <c r="Y71" s="1"/>
      <c r="AA71" s="2">
        <v>9.1201682424916566</v>
      </c>
      <c r="AB71" s="2">
        <v>67.057743626770986</v>
      </c>
      <c r="AC71" s="2">
        <v>0.10011123470522804</v>
      </c>
      <c r="AD71" s="1"/>
      <c r="AE71" s="1"/>
      <c r="AF71" s="1"/>
      <c r="AG71" s="1"/>
      <c r="AI71" s="2">
        <v>8.2611987856878013</v>
      </c>
      <c r="AJ71" s="2">
        <v>67.213555439915012</v>
      </c>
      <c r="AK71" s="2">
        <v>0.10344827586206896</v>
      </c>
      <c r="AL71" s="1"/>
      <c r="AM71" s="1"/>
      <c r="AN71" s="1"/>
      <c r="AO71" s="1"/>
      <c r="AQ71" s="15">
        <f>AVERAGE(C71,K71,S71,AA71,AI71)</f>
        <v>8.5644709399332601</v>
      </c>
      <c r="AR71" s="16">
        <f>AVERAGE(D71,L71,T71,AB71,AJ71)</f>
        <v>67.12000903002351</v>
      </c>
      <c r="AS71" s="17">
        <f>AVERAGE(E71,M71,U71,AC71,AK71)</f>
        <v>0.10337411939191694</v>
      </c>
      <c r="AT71" s="1"/>
      <c r="AU71" s="1"/>
      <c r="AV71" s="1"/>
      <c r="AW71" s="1"/>
    </row>
    <row r="72" spans="1:49" x14ac:dyDescent="0.25">
      <c r="A72" s="1" t="s">
        <v>34</v>
      </c>
      <c r="B72" s="1"/>
      <c r="C72" s="2">
        <v>9.7645818995182374</v>
      </c>
      <c r="D72" s="2">
        <v>84.179922490180516</v>
      </c>
      <c r="E72" s="2">
        <v>0.54301445285615968</v>
      </c>
      <c r="F72" s="1"/>
      <c r="G72" s="1"/>
      <c r="H72" s="1"/>
      <c r="I72" s="1"/>
      <c r="K72" s="2">
        <v>9.7298154679972466</v>
      </c>
      <c r="L72" s="2">
        <v>84.218732457670114</v>
      </c>
      <c r="M72" s="2">
        <v>0.5457673778389539</v>
      </c>
      <c r="N72" s="1"/>
      <c r="O72" s="1"/>
      <c r="P72" s="1"/>
      <c r="Q72" s="1"/>
      <c r="S72" s="2">
        <v>10.187790347556779</v>
      </c>
      <c r="T72" s="2">
        <v>84.23731404985088</v>
      </c>
      <c r="U72" s="2">
        <v>0.54507914659325529</v>
      </c>
      <c r="V72" s="1"/>
      <c r="W72" s="1"/>
      <c r="X72" s="1"/>
      <c r="Y72" s="1"/>
      <c r="AA72" s="2">
        <v>8.7091470233998631</v>
      </c>
      <c r="AB72" s="2">
        <v>84.138954134742761</v>
      </c>
      <c r="AC72" s="2">
        <v>0.54232622161046107</v>
      </c>
      <c r="AD72" s="1"/>
      <c r="AE72" s="1"/>
      <c r="AF72" s="1"/>
      <c r="AG72" s="1"/>
      <c r="AI72" s="2">
        <v>9.0323038540949767</v>
      </c>
      <c r="AJ72" s="2">
        <v>84.204411974286998</v>
      </c>
      <c r="AK72" s="2">
        <v>0.55161734342739155</v>
      </c>
      <c r="AL72" s="1"/>
      <c r="AM72" s="1"/>
      <c r="AN72" s="1"/>
      <c r="AO72" s="1"/>
      <c r="AQ72" s="19">
        <f t="shared" ref="AQ72:AQ75" si="206">AVERAGE(C72,K72,S72,AA72,AI72)</f>
        <v>9.4847277185134207</v>
      </c>
      <c r="AR72" s="13">
        <f t="shared" ref="AR72:AR75" si="207">AVERAGE(D72,L72,T72,AB72,AJ72)</f>
        <v>84.195867021346245</v>
      </c>
      <c r="AS72" s="14">
        <f t="shared" ref="AS72:AS75" si="208">AVERAGE(E72,M72,U72,AC72,AK72)</f>
        <v>0.5455609084652443</v>
      </c>
      <c r="AT72" s="1"/>
      <c r="AU72" s="1"/>
      <c r="AV72" s="1"/>
      <c r="AW72" s="1"/>
    </row>
    <row r="73" spans="1:49" x14ac:dyDescent="0.25">
      <c r="A73" s="1" t="s">
        <v>35</v>
      </c>
      <c r="B73" s="1"/>
      <c r="C73" s="2">
        <v>0.63325991189427311</v>
      </c>
      <c r="D73" s="2">
        <v>86.24570102412855</v>
      </c>
      <c r="E73" s="2">
        <v>0.35682819383259912</v>
      </c>
      <c r="F73" s="1"/>
      <c r="G73" s="1"/>
      <c r="H73" s="1"/>
      <c r="I73" s="1"/>
      <c r="K73" s="2">
        <v>0.60166574889867841</v>
      </c>
      <c r="L73" s="2">
        <v>86.307427287502833</v>
      </c>
      <c r="M73" s="2">
        <v>0.33920704845814981</v>
      </c>
      <c r="N73" s="1"/>
      <c r="O73" s="1"/>
      <c r="P73" s="1"/>
      <c r="Q73" s="1"/>
      <c r="S73" s="2">
        <v>0.58672907488986781</v>
      </c>
      <c r="T73" s="2">
        <v>86.309487953585929</v>
      </c>
      <c r="U73" s="2">
        <v>0.34361233480176212</v>
      </c>
      <c r="V73" s="1"/>
      <c r="W73" s="1"/>
      <c r="X73" s="1"/>
      <c r="Y73" s="1"/>
      <c r="AA73" s="2">
        <v>0.59973843612334798</v>
      </c>
      <c r="AB73" s="2">
        <v>86.191993685333429</v>
      </c>
      <c r="AC73" s="2">
        <v>0.34361233480176212</v>
      </c>
      <c r="AD73" s="1"/>
      <c r="AE73" s="1"/>
      <c r="AF73" s="1"/>
      <c r="AG73" s="1"/>
      <c r="AI73" s="2">
        <v>0.55843887665198233</v>
      </c>
      <c r="AJ73" s="2">
        <v>86.054997435176219</v>
      </c>
      <c r="AK73" s="2">
        <v>0.33480176211453744</v>
      </c>
      <c r="AL73" s="1"/>
      <c r="AM73" s="1"/>
      <c r="AN73" s="1"/>
      <c r="AO73" s="1"/>
      <c r="AQ73" s="19">
        <f t="shared" si="206"/>
        <v>0.59596640969162995</v>
      </c>
      <c r="AR73" s="13">
        <f t="shared" si="207"/>
        <v>86.221921477145401</v>
      </c>
      <c r="AS73" s="14">
        <f t="shared" si="208"/>
        <v>0.34361233480176212</v>
      </c>
      <c r="AT73" s="1"/>
      <c r="AU73" s="1"/>
      <c r="AV73" s="1"/>
      <c r="AW73" s="1"/>
    </row>
    <row r="74" spans="1:49" x14ac:dyDescent="0.25">
      <c r="A74" s="1" t="s">
        <v>33</v>
      </c>
      <c r="B74" s="1"/>
      <c r="C74" s="2">
        <v>3.6113304798649626</v>
      </c>
      <c r="D74" s="2">
        <v>77.063144732441188</v>
      </c>
      <c r="E74" s="2">
        <v>0.38630335182059322</v>
      </c>
      <c r="F74" s="1"/>
      <c r="G74" s="1"/>
      <c r="H74" s="1"/>
      <c r="I74" s="1"/>
      <c r="K74" s="2">
        <v>3.5987008680974197</v>
      </c>
      <c r="L74" s="2">
        <v>77.051367127111533</v>
      </c>
      <c r="M74" s="2">
        <v>0.38799131902580181</v>
      </c>
      <c r="N74" s="1"/>
      <c r="O74" s="1"/>
      <c r="P74" s="1"/>
      <c r="Q74" s="1"/>
      <c r="S74" s="2">
        <v>3.5838444960212201</v>
      </c>
      <c r="T74" s="2">
        <v>77.062446110946738</v>
      </c>
      <c r="U74" s="2">
        <v>0.38967928623101039</v>
      </c>
      <c r="V74" s="1"/>
      <c r="W74" s="1"/>
      <c r="X74" s="1"/>
      <c r="Y74" s="1"/>
      <c r="AA74" s="2">
        <v>3.6118315951290088</v>
      </c>
      <c r="AB74" s="2">
        <v>77.070609692264483</v>
      </c>
      <c r="AC74" s="2">
        <v>0.38967928623101039</v>
      </c>
      <c r="AD74" s="1"/>
      <c r="AE74" s="1"/>
      <c r="AF74" s="1"/>
      <c r="AG74" s="1"/>
      <c r="AI74" s="2">
        <v>3.6113304798649626</v>
      </c>
      <c r="AJ74" s="2">
        <v>77.063144732441188</v>
      </c>
      <c r="AK74" s="2">
        <v>0.38630335182059322</v>
      </c>
      <c r="AL74" s="1"/>
      <c r="AM74" s="1"/>
      <c r="AN74" s="1"/>
      <c r="AO74" s="1"/>
      <c r="AQ74" s="19">
        <f t="shared" si="206"/>
        <v>3.6034075837955144</v>
      </c>
      <c r="AR74" s="13">
        <f t="shared" si="207"/>
        <v>77.062142479041029</v>
      </c>
      <c r="AS74" s="14">
        <f t="shared" si="208"/>
        <v>0.38799131902580181</v>
      </c>
      <c r="AT74" s="1"/>
      <c r="AU74" s="1"/>
      <c r="AV74" s="1"/>
      <c r="AW74" s="1"/>
    </row>
    <row r="75" spans="1:49" s="86" customFormat="1" ht="14.4" thickBot="1" x14ac:dyDescent="0.3">
      <c r="A75" s="84" t="s">
        <v>36</v>
      </c>
      <c r="B75" s="84"/>
      <c r="C75" s="85">
        <v>1.4198803191489362</v>
      </c>
      <c r="D75" s="85">
        <v>90.687300670048515</v>
      </c>
      <c r="E75" s="85">
        <v>6.3829787234042548E-2</v>
      </c>
      <c r="F75" s="84"/>
      <c r="G75" s="84"/>
      <c r="H75" s="84"/>
      <c r="I75" s="84"/>
      <c r="K75" s="85">
        <v>1.5059840425531914</v>
      </c>
      <c r="L75" s="85">
        <v>90.677268444631039</v>
      </c>
      <c r="M75" s="85">
        <v>6.3829787234042548E-2</v>
      </c>
      <c r="N75" s="84"/>
      <c r="O75" s="84"/>
      <c r="P75" s="84"/>
      <c r="Q75" s="84"/>
      <c r="S75" s="85">
        <v>1.5059840425531914</v>
      </c>
      <c r="T75" s="85">
        <v>90.677268444631039</v>
      </c>
      <c r="U75" s="85">
        <v>6.3829787234042548E-2</v>
      </c>
      <c r="V75" s="84"/>
      <c r="W75" s="84"/>
      <c r="X75" s="84"/>
      <c r="Y75" s="84"/>
      <c r="AA75" s="85">
        <v>1.462433510638298</v>
      </c>
      <c r="AB75" s="85">
        <v>90.664198088695827</v>
      </c>
      <c r="AC75" s="85">
        <v>6.3829787234042548E-2</v>
      </c>
      <c r="AD75" s="84"/>
      <c r="AE75" s="84"/>
      <c r="AF75" s="84"/>
      <c r="AG75" s="84"/>
      <c r="AI75" s="85">
        <v>1.4763962765957446</v>
      </c>
      <c r="AJ75" s="85">
        <v>90.687121534803296</v>
      </c>
      <c r="AK75" s="85">
        <v>6.3829787234042548E-2</v>
      </c>
      <c r="AL75" s="84"/>
      <c r="AM75" s="84"/>
      <c r="AN75" s="84"/>
      <c r="AO75" s="84"/>
      <c r="AQ75" s="81">
        <f t="shared" si="206"/>
        <v>1.4741356382978723</v>
      </c>
      <c r="AR75" s="90">
        <f t="shared" si="207"/>
        <v>90.678631436561929</v>
      </c>
      <c r="AS75" s="91">
        <f t="shared" si="208"/>
        <v>6.3829787234042548E-2</v>
      </c>
      <c r="AT75" s="84"/>
      <c r="AU75" s="84"/>
      <c r="AV75" s="84"/>
      <c r="AW75" s="84"/>
    </row>
    <row r="76" spans="1:49" x14ac:dyDescent="0.25">
      <c r="A76" s="1"/>
      <c r="B76" s="1"/>
      <c r="C76" s="1">
        <f>AVERAGE(C71:C75)</f>
        <v>4.7287552291672252</v>
      </c>
      <c r="D76" s="1">
        <f t="shared" ref="D76:E76" si="209">AVERAGE(D71:D75)</f>
        <v>81.04838135657765</v>
      </c>
      <c r="E76" s="1">
        <f t="shared" si="209"/>
        <v>0.29075896879124474</v>
      </c>
      <c r="F76" s="1"/>
      <c r="G76" s="1"/>
      <c r="H76" s="1"/>
      <c r="I76" s="1"/>
      <c r="K76" s="1">
        <f>AVERAGE(K71:K75)</f>
        <v>4.7839830864659252</v>
      </c>
      <c r="L76" s="1">
        <f t="shared" ref="L76:M76" si="210">AVERAGE(L71:L75)</f>
        <v>81.080299617335328</v>
      </c>
      <c r="M76" s="1">
        <f t="shared" si="210"/>
        <v>0.28738135345243521</v>
      </c>
      <c r="N76" s="1"/>
      <c r="O76" s="1"/>
      <c r="P76" s="1"/>
      <c r="Q76" s="1"/>
      <c r="S76" s="1">
        <f>AVERAGE(S71:S75)</f>
        <v>4.9213725584630179</v>
      </c>
      <c r="T76" s="1">
        <f t="shared" ref="T76:U76" si="211">AVERAGE(T71:T75)</f>
        <v>81.080544401319116</v>
      </c>
      <c r="U76" s="1">
        <f t="shared" si="211"/>
        <v>0.29031626966686019</v>
      </c>
      <c r="V76" s="1"/>
      <c r="W76" s="1"/>
      <c r="X76" s="1"/>
      <c r="Y76" s="1"/>
      <c r="AA76" s="1">
        <f>AVERAGE(AA71:AA75)</f>
        <v>4.7006637615564353</v>
      </c>
      <c r="AB76" s="1">
        <f t="shared" ref="AB76:AC76" si="212">AVERAGE(AB71:AB75)</f>
        <v>81.024699845561514</v>
      </c>
      <c r="AC76" s="1">
        <f t="shared" si="212"/>
        <v>0.28791177291650083</v>
      </c>
      <c r="AD76" s="1"/>
      <c r="AE76" s="1"/>
      <c r="AF76" s="1"/>
      <c r="AG76" s="1"/>
      <c r="AI76" s="1">
        <f>AVERAGE(AI71:AI75)</f>
        <v>4.5879336545790936</v>
      </c>
      <c r="AJ76" s="1">
        <f t="shared" ref="AJ76:AK76" si="213">AVERAGE(AJ71:AJ75)</f>
        <v>81.044646223324534</v>
      </c>
      <c r="AK76" s="1">
        <f t="shared" si="213"/>
        <v>0.28800010409172672</v>
      </c>
      <c r="AL76" s="1"/>
      <c r="AM76" s="1"/>
      <c r="AN76" s="1"/>
      <c r="AO76" s="1"/>
      <c r="AQ76" s="1">
        <f>AVERAGE(AQ71:AQ75)</f>
        <v>4.74454165804634</v>
      </c>
      <c r="AR76" s="1">
        <f t="shared" ref="AR76:AS76" si="214">AVERAGE(AR71:AR75)</f>
        <v>81.055714288823623</v>
      </c>
      <c r="AS76" s="1">
        <f t="shared" si="214"/>
        <v>0.28887369378375355</v>
      </c>
      <c r="AT76" s="1"/>
      <c r="AU76" s="1"/>
      <c r="AV76" s="1"/>
      <c r="AW76" s="1"/>
    </row>
  </sheetData>
  <mergeCells count="12">
    <mergeCell ref="AQ40:AW40"/>
    <mergeCell ref="C1:I1"/>
    <mergeCell ref="K1:Q1"/>
    <mergeCell ref="S1:Y1"/>
    <mergeCell ref="AA1:AG1"/>
    <mergeCell ref="AI1:AO1"/>
    <mergeCell ref="AQ1:AW1"/>
    <mergeCell ref="C40:I40"/>
    <mergeCell ref="K40:Q40"/>
    <mergeCell ref="S40:Y40"/>
    <mergeCell ref="AA40:AG40"/>
    <mergeCell ref="AI40:AO4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FFBC-A1C3-4733-9C85-120264B26206}">
  <dimension ref="A1:BC75"/>
  <sheetViews>
    <sheetView zoomScale="70" zoomScaleNormal="70" workbookViewId="0">
      <selection activeCell="AG66" sqref="AG66"/>
    </sheetView>
  </sheetViews>
  <sheetFormatPr defaultColWidth="8.6640625" defaultRowHeight="13.8" x14ac:dyDescent="0.25"/>
  <cols>
    <col min="1" max="1" width="8.6640625" style="30"/>
    <col min="2" max="5" width="8.77734375" style="30" bestFit="1" customWidth="1"/>
    <col min="6" max="6" width="9.6640625" style="30" bestFit="1" customWidth="1"/>
    <col min="7" max="7" width="9.88671875" style="43" bestFit="1" customWidth="1"/>
    <col min="8" max="9" width="8.77734375" style="30" bestFit="1" customWidth="1"/>
    <col min="10" max="10" width="11.77734375" style="30" bestFit="1" customWidth="1"/>
    <col min="11" max="14" width="8.77734375" style="30" bestFit="1" customWidth="1"/>
    <col min="15" max="15" width="9.88671875" style="43" bestFit="1" customWidth="1"/>
    <col min="16" max="22" width="8.77734375" style="30" bestFit="1" customWidth="1"/>
    <col min="23" max="23" width="9.88671875" style="43" bestFit="1" customWidth="1"/>
    <col min="24" max="30" width="8.77734375" style="30" bestFit="1" customWidth="1"/>
    <col min="31" max="31" width="9.88671875" style="43" bestFit="1" customWidth="1"/>
    <col min="32" max="38" width="8.77734375" style="30" bestFit="1" customWidth="1"/>
    <col min="39" max="39" width="9.88671875" style="43" bestFit="1" customWidth="1"/>
    <col min="40" max="46" width="8.77734375" style="30" bestFit="1" customWidth="1"/>
    <col min="47" max="47" width="9.88671875" style="43" bestFit="1" customWidth="1"/>
    <col min="48" max="54" width="8.77734375" style="30" bestFit="1" customWidth="1"/>
    <col min="55" max="55" width="9.88671875" style="43" bestFit="1" customWidth="1"/>
    <col min="56" max="58" width="8.77734375" style="30" bestFit="1" customWidth="1"/>
    <col min="59" max="16384" width="8.6640625" style="30"/>
  </cols>
  <sheetData>
    <row r="1" spans="1:50" x14ac:dyDescent="0.25">
      <c r="C1" s="71" t="s">
        <v>45</v>
      </c>
      <c r="D1" s="71"/>
      <c r="E1" s="71"/>
      <c r="F1" s="71"/>
      <c r="G1" s="71"/>
      <c r="H1" s="71"/>
      <c r="I1" s="71"/>
      <c r="K1" s="71" t="s">
        <v>46</v>
      </c>
      <c r="L1" s="71"/>
      <c r="M1" s="71"/>
      <c r="N1" s="71"/>
      <c r="O1" s="71"/>
      <c r="P1" s="71"/>
      <c r="Q1" s="71"/>
      <c r="S1" s="70" t="s">
        <v>1</v>
      </c>
      <c r="T1" s="70"/>
      <c r="U1" s="70"/>
      <c r="V1" s="70"/>
      <c r="W1" s="70"/>
      <c r="X1" s="70"/>
      <c r="Y1" s="70"/>
      <c r="AA1" s="70" t="s">
        <v>42</v>
      </c>
      <c r="AB1" s="70"/>
      <c r="AC1" s="70"/>
      <c r="AD1" s="70"/>
      <c r="AE1" s="70"/>
      <c r="AF1" s="70"/>
      <c r="AG1" s="70"/>
      <c r="AI1" s="70" t="s">
        <v>49</v>
      </c>
      <c r="AJ1" s="70"/>
      <c r="AK1" s="70"/>
      <c r="AL1" s="70"/>
      <c r="AM1" s="70"/>
      <c r="AN1" s="70"/>
      <c r="AO1" s="70"/>
      <c r="AQ1" s="70" t="s">
        <v>43</v>
      </c>
      <c r="AR1" s="70"/>
      <c r="AS1" s="70"/>
      <c r="AT1" s="70"/>
      <c r="AU1" s="70"/>
      <c r="AV1" s="70"/>
      <c r="AW1" s="70"/>
    </row>
    <row r="2" spans="1:50" ht="14.4" thickBot="1" x14ac:dyDescent="0.3">
      <c r="A2" s="30" t="s">
        <v>0</v>
      </c>
      <c r="B2" s="30" t="s">
        <v>9</v>
      </c>
      <c r="C2" s="30" t="s">
        <v>2</v>
      </c>
      <c r="D2" s="30" t="s">
        <v>7</v>
      </c>
      <c r="E2" s="30" t="s">
        <v>3</v>
      </c>
      <c r="F2" s="30" t="s">
        <v>5</v>
      </c>
      <c r="G2" s="43" t="s">
        <v>8</v>
      </c>
      <c r="H2" s="30" t="s">
        <v>4</v>
      </c>
      <c r="I2" s="30" t="s">
        <v>6</v>
      </c>
      <c r="J2" s="30" t="s">
        <v>96</v>
      </c>
      <c r="K2" s="30" t="s">
        <v>2</v>
      </c>
      <c r="L2" s="30" t="s">
        <v>7</v>
      </c>
      <c r="M2" s="30" t="s">
        <v>3</v>
      </c>
      <c r="N2" s="30" t="s">
        <v>5</v>
      </c>
      <c r="O2" s="43" t="s">
        <v>8</v>
      </c>
      <c r="P2" s="30" t="s">
        <v>4</v>
      </c>
      <c r="Q2" s="30" t="s">
        <v>6</v>
      </c>
      <c r="R2" s="30" t="s">
        <v>96</v>
      </c>
      <c r="S2" s="30" t="s">
        <v>2</v>
      </c>
      <c r="T2" s="30" t="s">
        <v>7</v>
      </c>
      <c r="U2" s="30" t="s">
        <v>3</v>
      </c>
      <c r="V2" s="30" t="s">
        <v>5</v>
      </c>
      <c r="W2" s="43" t="s">
        <v>8</v>
      </c>
      <c r="X2" s="30" t="s">
        <v>4</v>
      </c>
      <c r="Y2" s="30" t="s">
        <v>6</v>
      </c>
      <c r="Z2" s="30" t="s">
        <v>96</v>
      </c>
      <c r="AA2" s="30" t="s">
        <v>2</v>
      </c>
      <c r="AB2" s="30" t="s">
        <v>7</v>
      </c>
      <c r="AC2" s="30" t="s">
        <v>3</v>
      </c>
      <c r="AD2" s="30" t="s">
        <v>5</v>
      </c>
      <c r="AE2" s="43" t="s">
        <v>8</v>
      </c>
      <c r="AF2" s="30" t="s">
        <v>4</v>
      </c>
      <c r="AG2" s="30" t="s">
        <v>6</v>
      </c>
      <c r="AH2" s="30" t="s">
        <v>96</v>
      </c>
      <c r="AI2" s="30" t="s">
        <v>2</v>
      </c>
      <c r="AJ2" s="30" t="s">
        <v>7</v>
      </c>
      <c r="AK2" s="30" t="s">
        <v>3</v>
      </c>
      <c r="AL2" s="30" t="s">
        <v>5</v>
      </c>
      <c r="AM2" s="43" t="s">
        <v>8</v>
      </c>
      <c r="AN2" s="30" t="s">
        <v>4</v>
      </c>
      <c r="AO2" s="30" t="s">
        <v>6</v>
      </c>
      <c r="AP2" s="30" t="s">
        <v>96</v>
      </c>
      <c r="AQ2" s="30" t="s">
        <v>2</v>
      </c>
      <c r="AR2" s="30" t="s">
        <v>7</v>
      </c>
      <c r="AS2" s="30" t="s">
        <v>3</v>
      </c>
      <c r="AT2" s="30" t="s">
        <v>5</v>
      </c>
      <c r="AU2" s="43" t="s">
        <v>8</v>
      </c>
      <c r="AV2" s="30" t="s">
        <v>4</v>
      </c>
      <c r="AW2" s="30" t="s">
        <v>6</v>
      </c>
      <c r="AX2" s="30" t="s">
        <v>96</v>
      </c>
    </row>
    <row r="3" spans="1:50" ht="14.4" thickBot="1" x14ac:dyDescent="0.3">
      <c r="A3" s="30" t="s">
        <v>10</v>
      </c>
      <c r="B3" s="30" t="s">
        <v>15</v>
      </c>
      <c r="C3" s="31">
        <v>9.5323837499999993</v>
      </c>
      <c r="D3" s="32">
        <v>83.86558522533781</v>
      </c>
      <c r="E3" s="33">
        <v>2</v>
      </c>
      <c r="F3" s="33">
        <f>E3/3</f>
        <v>0.66666666666666663</v>
      </c>
      <c r="G3" s="44">
        <f>(168+38)/2</f>
        <v>103</v>
      </c>
      <c r="H3" s="33">
        <v>1</v>
      </c>
      <c r="I3" s="34">
        <f>H3/(E3+H3)</f>
        <v>0.33333333333333331</v>
      </c>
      <c r="J3" s="30">
        <f>1-F3</f>
        <v>0.33333333333333337</v>
      </c>
      <c r="K3" s="31">
        <v>9.6315114062500005</v>
      </c>
      <c r="L3" s="32">
        <v>83.863332184415185</v>
      </c>
      <c r="M3" s="33">
        <v>2</v>
      </c>
      <c r="N3" s="33">
        <f>M3/3</f>
        <v>0.66666666666666663</v>
      </c>
      <c r="O3" s="44">
        <v>104.8</v>
      </c>
      <c r="P3" s="33">
        <v>1</v>
      </c>
      <c r="Q3" s="34">
        <f>P3/(M3+P3)</f>
        <v>0.33333333333333331</v>
      </c>
      <c r="R3" s="30">
        <f>1-N3</f>
        <v>0.33333333333333337</v>
      </c>
      <c r="S3" s="31">
        <v>8.5825704687499993</v>
      </c>
      <c r="T3" s="32">
        <v>83.862551122336896</v>
      </c>
      <c r="U3" s="33">
        <v>2</v>
      </c>
      <c r="V3" s="33">
        <f>U3/3</f>
        <v>0.66666666666666663</v>
      </c>
      <c r="W3" s="44">
        <v>135</v>
      </c>
      <c r="X3" s="33">
        <v>1</v>
      </c>
      <c r="Y3" s="34">
        <f>X3/(U3+X3)</f>
        <v>0.33333333333333331</v>
      </c>
      <c r="Z3" s="30">
        <f>1-V3</f>
        <v>0.33333333333333337</v>
      </c>
      <c r="AA3" s="31">
        <v>9.2760821875000001</v>
      </c>
      <c r="AB3" s="32">
        <v>82.916146812424898</v>
      </c>
      <c r="AC3" s="33">
        <v>2</v>
      </c>
      <c r="AD3" s="33">
        <f>AC3/3</f>
        <v>0.66666666666666663</v>
      </c>
      <c r="AE3" s="44">
        <v>635.5</v>
      </c>
      <c r="AF3" s="33">
        <v>2</v>
      </c>
      <c r="AG3" s="34">
        <f>AF3/(AC3+AF3)</f>
        <v>0.5</v>
      </c>
      <c r="AH3" s="30">
        <f>1-AD3</f>
        <v>0.33333333333333337</v>
      </c>
      <c r="AI3" s="31">
        <v>11.15204609375</v>
      </c>
      <c r="AJ3" s="32">
        <v>83.860795701914668</v>
      </c>
      <c r="AK3" s="33">
        <v>3</v>
      </c>
      <c r="AL3" s="33">
        <f>AK3/3</f>
        <v>1</v>
      </c>
      <c r="AM3" s="44">
        <f>(246+192+338)/3</f>
        <v>258.66666666666669</v>
      </c>
      <c r="AN3" s="33">
        <v>1</v>
      </c>
      <c r="AO3" s="34">
        <f>AN3/(AK3+AN3)</f>
        <v>0.25</v>
      </c>
      <c r="AP3" s="30">
        <f>1-AL3</f>
        <v>0</v>
      </c>
      <c r="AQ3" s="31">
        <v>9.6874014062500002</v>
      </c>
      <c r="AR3" s="32">
        <v>83.847448291230478</v>
      </c>
      <c r="AS3" s="33">
        <v>3</v>
      </c>
      <c r="AT3" s="33">
        <f>AS3/3</f>
        <v>1</v>
      </c>
      <c r="AU3" s="44">
        <v>329.33</v>
      </c>
      <c r="AV3" s="33">
        <v>1</v>
      </c>
      <c r="AW3" s="34">
        <f>AV3/(AS3+AV3)</f>
        <v>0.25</v>
      </c>
      <c r="AX3" s="30">
        <f>1-AT3</f>
        <v>0</v>
      </c>
    </row>
    <row r="4" spans="1:50" ht="14.4" thickBot="1" x14ac:dyDescent="0.3">
      <c r="A4" s="30" t="s">
        <v>11</v>
      </c>
      <c r="B4" s="30" t="s">
        <v>15</v>
      </c>
      <c r="C4" s="35">
        <v>9.1992859374999991</v>
      </c>
      <c r="D4" s="36">
        <v>83.836356124845381</v>
      </c>
      <c r="E4" s="30">
        <v>3</v>
      </c>
      <c r="F4" s="33">
        <f t="shared" ref="F4:F7" si="0">E4/3</f>
        <v>1</v>
      </c>
      <c r="G4" s="43">
        <f>(48+119+64)/3</f>
        <v>77</v>
      </c>
      <c r="H4" s="30">
        <v>1</v>
      </c>
      <c r="I4" s="34">
        <f t="shared" ref="I4:I7" si="1">H4/(E4+H4)</f>
        <v>0.25</v>
      </c>
      <c r="J4" s="30">
        <f t="shared" ref="J4:J7" si="2">1-F4</f>
        <v>0</v>
      </c>
      <c r="K4" s="35">
        <v>10.035651312500001</v>
      </c>
      <c r="L4" s="36">
        <v>83.850560687564851</v>
      </c>
      <c r="M4" s="30">
        <v>3</v>
      </c>
      <c r="N4" s="33">
        <f t="shared" ref="N4:N7" si="3">M4/3</f>
        <v>1</v>
      </c>
      <c r="O4" s="43">
        <v>65.666666666666671</v>
      </c>
      <c r="P4" s="30">
        <v>2</v>
      </c>
      <c r="Q4" s="34">
        <f t="shared" ref="Q4:Q7" si="4">P4/(M4+P4)</f>
        <v>0.4</v>
      </c>
      <c r="R4" s="30">
        <f t="shared" ref="R4:R7" si="5">1-N4</f>
        <v>0</v>
      </c>
      <c r="S4" s="35">
        <v>9.1692199999999993</v>
      </c>
      <c r="T4" s="36">
        <v>83.787210014701472</v>
      </c>
      <c r="U4" s="30">
        <v>3</v>
      </c>
      <c r="V4" s="33">
        <f t="shared" ref="V4:V7" si="6">U4/3</f>
        <v>1</v>
      </c>
      <c r="W4" s="43">
        <v>89</v>
      </c>
      <c r="X4" s="30">
        <v>0</v>
      </c>
      <c r="Y4" s="34">
        <f t="shared" ref="Y4:Y7" si="7">X4/(U4+X4)</f>
        <v>0</v>
      </c>
      <c r="Z4" s="30">
        <f t="shared" ref="Z4:Z7" si="8">1-V4</f>
        <v>0</v>
      </c>
      <c r="AA4" s="35">
        <v>9.2883893749999995</v>
      </c>
      <c r="AB4" s="36">
        <v>83.618808906455016</v>
      </c>
      <c r="AC4" s="30">
        <v>2</v>
      </c>
      <c r="AD4" s="33">
        <f t="shared" ref="AD4:AD7" si="9">AC4/3</f>
        <v>0.66666666666666663</v>
      </c>
      <c r="AE4" s="43">
        <v>509</v>
      </c>
      <c r="AF4" s="30">
        <v>2</v>
      </c>
      <c r="AG4" s="34">
        <f t="shared" ref="AG4:AG7" si="10">AF4/(AC4+AF4)</f>
        <v>0.5</v>
      </c>
      <c r="AH4" s="30">
        <f t="shared" ref="AH4:AH7" si="11">1-AD4</f>
        <v>0.33333333333333337</v>
      </c>
      <c r="AI4" s="35">
        <v>9.5489107812499991</v>
      </c>
      <c r="AJ4" s="36">
        <v>83.725792887507367</v>
      </c>
      <c r="AK4" s="30">
        <v>3</v>
      </c>
      <c r="AL4" s="33">
        <f t="shared" ref="AL4:AL7" si="12">AK4/3</f>
        <v>1</v>
      </c>
      <c r="AM4" s="43">
        <f>(189+221+436)/3</f>
        <v>282</v>
      </c>
      <c r="AN4" s="30">
        <v>2</v>
      </c>
      <c r="AO4" s="34">
        <f t="shared" ref="AO4:AO7" si="13">AN4/(AK4+AN4)</f>
        <v>0.4</v>
      </c>
      <c r="AP4" s="30">
        <f t="shared" ref="AP4:AP7" si="14">1-AL4</f>
        <v>0</v>
      </c>
      <c r="AQ4" s="35">
        <v>9.7258570312499995</v>
      </c>
      <c r="AR4" s="36">
        <v>83.747699164213316</v>
      </c>
      <c r="AS4" s="30">
        <v>3</v>
      </c>
      <c r="AT4" s="33">
        <f t="shared" ref="AT4:AT7" si="15">AS4/3</f>
        <v>1</v>
      </c>
      <c r="AU4" s="43">
        <v>358.66</v>
      </c>
      <c r="AV4" s="30">
        <v>5</v>
      </c>
      <c r="AW4" s="34">
        <f t="shared" ref="AW4:AW7" si="16">AV4/(AS4+AV4)</f>
        <v>0.625</v>
      </c>
      <c r="AX4" s="30">
        <f t="shared" ref="AX4:AX7" si="17">1-AT4</f>
        <v>0</v>
      </c>
    </row>
    <row r="5" spans="1:50" ht="14.4" thickBot="1" x14ac:dyDescent="0.3">
      <c r="A5" s="30" t="s">
        <v>12</v>
      </c>
      <c r="B5" s="30" t="s">
        <v>15</v>
      </c>
      <c r="C5" s="35">
        <v>10.463646875</v>
      </c>
      <c r="D5" s="36">
        <v>83.551991228187703</v>
      </c>
      <c r="E5" s="30">
        <v>3</v>
      </c>
      <c r="F5" s="33">
        <f t="shared" si="0"/>
        <v>1</v>
      </c>
      <c r="G5" s="43">
        <f>(93+43+570)/3</f>
        <v>235.33333333333334</v>
      </c>
      <c r="H5" s="30">
        <v>0</v>
      </c>
      <c r="I5" s="34">
        <f t="shared" si="1"/>
        <v>0</v>
      </c>
      <c r="J5" s="30">
        <f t="shared" si="2"/>
        <v>0</v>
      </c>
      <c r="K5" s="35">
        <v>10.189584437499999</v>
      </c>
      <c r="L5" s="36">
        <v>83.553254165593515</v>
      </c>
      <c r="M5" s="30">
        <v>3</v>
      </c>
      <c r="N5" s="33">
        <f t="shared" si="3"/>
        <v>1</v>
      </c>
      <c r="O5" s="43">
        <v>231.33333333333331</v>
      </c>
      <c r="P5" s="30">
        <v>0</v>
      </c>
      <c r="Q5" s="34">
        <f t="shared" si="4"/>
        <v>0</v>
      </c>
      <c r="R5" s="30">
        <f t="shared" si="5"/>
        <v>0</v>
      </c>
      <c r="S5" s="35">
        <v>9.2366360937500005</v>
      </c>
      <c r="T5" s="36">
        <v>83.546997728782742</v>
      </c>
      <c r="U5" s="30">
        <v>3</v>
      </c>
      <c r="V5" s="33">
        <f t="shared" si="6"/>
        <v>1</v>
      </c>
      <c r="W5" s="43">
        <v>239.33</v>
      </c>
      <c r="X5" s="30">
        <v>0</v>
      </c>
      <c r="Y5" s="34">
        <f t="shared" si="7"/>
        <v>0</v>
      </c>
      <c r="Z5" s="30">
        <f t="shared" si="8"/>
        <v>0</v>
      </c>
      <c r="AA5" s="35">
        <v>9.1088082812500009</v>
      </c>
      <c r="AB5" s="36">
        <v>83.412765781386767</v>
      </c>
      <c r="AC5" s="30">
        <v>2</v>
      </c>
      <c r="AD5" s="33">
        <f t="shared" si="9"/>
        <v>0.66666666666666663</v>
      </c>
      <c r="AE5" s="43">
        <v>438.5</v>
      </c>
      <c r="AF5" s="30">
        <v>4</v>
      </c>
      <c r="AG5" s="34">
        <f t="shared" si="10"/>
        <v>0.66666666666666663</v>
      </c>
      <c r="AH5" s="30">
        <f t="shared" si="11"/>
        <v>0.33333333333333337</v>
      </c>
      <c r="AI5" s="35">
        <v>9.5908446875000006</v>
      </c>
      <c r="AJ5" s="36">
        <v>83.514763476103866</v>
      </c>
      <c r="AK5" s="30">
        <v>3</v>
      </c>
      <c r="AL5" s="33">
        <f t="shared" si="12"/>
        <v>1</v>
      </c>
      <c r="AM5" s="43">
        <f>(241+208+548)/3</f>
        <v>332.33333333333331</v>
      </c>
      <c r="AN5" s="30">
        <v>1</v>
      </c>
      <c r="AO5" s="34">
        <f t="shared" si="13"/>
        <v>0.25</v>
      </c>
      <c r="AP5" s="30">
        <f t="shared" si="14"/>
        <v>0</v>
      </c>
      <c r="AQ5" s="35">
        <v>9.7502482812500002</v>
      </c>
      <c r="AR5" s="36">
        <v>83.473373480487211</v>
      </c>
      <c r="AS5" s="30">
        <v>3</v>
      </c>
      <c r="AT5" s="33">
        <f t="shared" si="15"/>
        <v>1</v>
      </c>
      <c r="AU5" s="43">
        <v>448.66</v>
      </c>
      <c r="AV5" s="30">
        <v>4</v>
      </c>
      <c r="AW5" s="34">
        <f t="shared" si="16"/>
        <v>0.5714285714285714</v>
      </c>
      <c r="AX5" s="30">
        <f t="shared" si="17"/>
        <v>0</v>
      </c>
    </row>
    <row r="6" spans="1:50" ht="14.4" thickBot="1" x14ac:dyDescent="0.3">
      <c r="A6" s="30" t="s">
        <v>13</v>
      </c>
      <c r="B6" s="30" t="s">
        <v>15</v>
      </c>
      <c r="C6" s="35">
        <v>10.1210584375</v>
      </c>
      <c r="D6" s="36">
        <v>83.939484982987182</v>
      </c>
      <c r="E6" s="30">
        <v>3</v>
      </c>
      <c r="F6" s="33">
        <f t="shared" si="0"/>
        <v>1</v>
      </c>
      <c r="G6" s="43">
        <f>(103+110+553)/3</f>
        <v>255.33333333333334</v>
      </c>
      <c r="H6" s="30">
        <v>0</v>
      </c>
      <c r="I6" s="34">
        <f t="shared" si="1"/>
        <v>0</v>
      </c>
      <c r="J6" s="30">
        <f t="shared" si="2"/>
        <v>0</v>
      </c>
      <c r="K6" s="35">
        <v>10.463631906250001</v>
      </c>
      <c r="L6" s="36">
        <v>83.943469919943581</v>
      </c>
      <c r="M6" s="30">
        <v>3</v>
      </c>
      <c r="N6" s="33">
        <f t="shared" si="3"/>
        <v>1</v>
      </c>
      <c r="O6" s="43">
        <v>254.26666666666665</v>
      </c>
      <c r="P6" s="30">
        <v>0</v>
      </c>
      <c r="Q6" s="34">
        <f t="shared" si="4"/>
        <v>0</v>
      </c>
      <c r="R6" s="30">
        <f t="shared" si="5"/>
        <v>0</v>
      </c>
      <c r="S6" s="35">
        <v>9.1743367187500002</v>
      </c>
      <c r="T6" s="36">
        <v>83.927877961473072</v>
      </c>
      <c r="U6" s="30">
        <v>3</v>
      </c>
      <c r="V6" s="33">
        <f t="shared" si="6"/>
        <v>1</v>
      </c>
      <c r="W6" s="43">
        <v>280</v>
      </c>
      <c r="X6" s="30">
        <v>0</v>
      </c>
      <c r="Y6" s="34">
        <f t="shared" si="7"/>
        <v>0</v>
      </c>
      <c r="Z6" s="30">
        <f t="shared" si="8"/>
        <v>0</v>
      </c>
      <c r="AA6" s="35">
        <v>9.2995287500000003</v>
      </c>
      <c r="AB6" s="36">
        <v>83.784987697209431</v>
      </c>
      <c r="AC6" s="30">
        <v>3</v>
      </c>
      <c r="AD6" s="33">
        <f t="shared" si="9"/>
        <v>1</v>
      </c>
      <c r="AE6" s="43">
        <v>636</v>
      </c>
      <c r="AF6" s="30">
        <v>0</v>
      </c>
      <c r="AG6" s="34">
        <f t="shared" si="10"/>
        <v>0</v>
      </c>
      <c r="AH6" s="30">
        <f t="shared" si="11"/>
        <v>0</v>
      </c>
      <c r="AI6" s="35">
        <v>9.6243440625000005</v>
      </c>
      <c r="AJ6" s="36">
        <v>83.896082028896274</v>
      </c>
      <c r="AK6" s="30">
        <v>3</v>
      </c>
      <c r="AL6" s="33">
        <f t="shared" si="12"/>
        <v>1</v>
      </c>
      <c r="AM6" s="46">
        <f>(260+169+506)/3</f>
        <v>311.66666666666669</v>
      </c>
      <c r="AN6" s="30">
        <v>0</v>
      </c>
      <c r="AO6" s="34">
        <f t="shared" si="13"/>
        <v>0</v>
      </c>
      <c r="AP6" s="30">
        <f t="shared" si="14"/>
        <v>0</v>
      </c>
      <c r="AQ6" s="35">
        <v>9.8030231249999993</v>
      </c>
      <c r="AR6" s="36">
        <v>83.836468557495635</v>
      </c>
      <c r="AS6" s="30">
        <v>3</v>
      </c>
      <c r="AT6" s="33">
        <f t="shared" si="15"/>
        <v>1</v>
      </c>
      <c r="AU6" s="43">
        <v>420</v>
      </c>
      <c r="AV6" s="30">
        <v>1</v>
      </c>
      <c r="AW6" s="34">
        <f t="shared" si="16"/>
        <v>0.25</v>
      </c>
      <c r="AX6" s="30">
        <f t="shared" si="17"/>
        <v>0</v>
      </c>
    </row>
    <row r="7" spans="1:50" ht="14.4" thickBot="1" x14ac:dyDescent="0.3">
      <c r="A7" s="30" t="s">
        <v>14</v>
      </c>
      <c r="B7" s="30" t="s">
        <v>15</v>
      </c>
      <c r="C7" s="37">
        <v>9.2244607812500004</v>
      </c>
      <c r="D7" s="38">
        <v>83.594029964927586</v>
      </c>
      <c r="E7" s="39">
        <v>2</v>
      </c>
      <c r="F7" s="33">
        <f t="shared" si="0"/>
        <v>0.66666666666666663</v>
      </c>
      <c r="G7" s="45">
        <f>(163+73)/2</f>
        <v>118</v>
      </c>
      <c r="H7" s="39">
        <v>1</v>
      </c>
      <c r="I7" s="34">
        <f t="shared" si="1"/>
        <v>0.33333333333333331</v>
      </c>
      <c r="J7" s="30">
        <f t="shared" si="2"/>
        <v>0.33333333333333337</v>
      </c>
      <c r="K7" s="37">
        <v>10.307515406250001</v>
      </c>
      <c r="L7" s="38">
        <v>83.65882823859053</v>
      </c>
      <c r="M7" s="39">
        <v>3</v>
      </c>
      <c r="N7" s="33">
        <f t="shared" si="3"/>
        <v>1</v>
      </c>
      <c r="O7" s="45">
        <v>162.13333333333333</v>
      </c>
      <c r="P7" s="39">
        <v>0</v>
      </c>
      <c r="Q7" s="34">
        <f t="shared" si="4"/>
        <v>0</v>
      </c>
      <c r="R7" s="30">
        <f t="shared" si="5"/>
        <v>0</v>
      </c>
      <c r="S7" s="37">
        <v>8.7286414062500004</v>
      </c>
      <c r="T7" s="38">
        <v>83.588643417666702</v>
      </c>
      <c r="U7" s="39">
        <v>2</v>
      </c>
      <c r="V7" s="33">
        <f t="shared" si="6"/>
        <v>0.66666666666666663</v>
      </c>
      <c r="W7" s="45">
        <v>119</v>
      </c>
      <c r="X7" s="39">
        <v>0</v>
      </c>
      <c r="Y7" s="34">
        <f t="shared" si="7"/>
        <v>0</v>
      </c>
      <c r="Z7" s="30">
        <f t="shared" si="8"/>
        <v>0.33333333333333337</v>
      </c>
      <c r="AA7" s="37">
        <v>9.3707062499999996</v>
      </c>
      <c r="AB7" s="38">
        <v>82.23873628980995</v>
      </c>
      <c r="AC7" s="39">
        <v>0</v>
      </c>
      <c r="AD7" s="33">
        <f t="shared" si="9"/>
        <v>0</v>
      </c>
      <c r="AE7" s="45" t="s">
        <v>39</v>
      </c>
      <c r="AF7" s="39">
        <v>3</v>
      </c>
      <c r="AG7" s="34">
        <f t="shared" si="10"/>
        <v>1</v>
      </c>
      <c r="AH7" s="30">
        <f t="shared" si="11"/>
        <v>1</v>
      </c>
      <c r="AI7" s="37">
        <v>11.335074531249999</v>
      </c>
      <c r="AJ7" s="38">
        <v>83.622339497907433</v>
      </c>
      <c r="AK7" s="39">
        <v>3</v>
      </c>
      <c r="AL7" s="33">
        <f t="shared" si="12"/>
        <v>1</v>
      </c>
      <c r="AM7" s="45">
        <f>(243+207+406)/3</f>
        <v>285.33333333333331</v>
      </c>
      <c r="AN7" s="39">
        <v>0</v>
      </c>
      <c r="AO7" s="34">
        <f t="shared" si="13"/>
        <v>0</v>
      </c>
      <c r="AP7" s="30">
        <f t="shared" si="14"/>
        <v>0</v>
      </c>
      <c r="AQ7" s="37">
        <v>9.8729973437500007</v>
      </c>
      <c r="AR7" s="38">
        <v>83.57245059334484</v>
      </c>
      <c r="AS7" s="39">
        <v>3</v>
      </c>
      <c r="AT7" s="33">
        <f t="shared" si="15"/>
        <v>1</v>
      </c>
      <c r="AU7" s="45">
        <v>461.33</v>
      </c>
      <c r="AV7" s="39">
        <v>0</v>
      </c>
      <c r="AW7" s="34">
        <f t="shared" si="16"/>
        <v>0</v>
      </c>
      <c r="AX7" s="30">
        <f t="shared" si="17"/>
        <v>0</v>
      </c>
    </row>
    <row r="8" spans="1:50" x14ac:dyDescent="0.25">
      <c r="C8" s="30">
        <f>AVERAGE(C3:C7)</f>
        <v>9.7081671562499992</v>
      </c>
      <c r="D8" s="30">
        <f t="shared" ref="D8:I8" si="18">AVERAGE(D3:D7)</f>
        <v>83.757489505257126</v>
      </c>
      <c r="E8" s="30">
        <f t="shared" si="18"/>
        <v>2.6</v>
      </c>
      <c r="F8" s="30">
        <f t="shared" si="18"/>
        <v>0.86666666666666659</v>
      </c>
      <c r="G8" s="43">
        <f t="shared" si="18"/>
        <v>157.73333333333335</v>
      </c>
      <c r="H8" s="30">
        <f t="shared" si="18"/>
        <v>0.6</v>
      </c>
      <c r="I8" s="30">
        <f t="shared" si="18"/>
        <v>0.18333333333333329</v>
      </c>
      <c r="J8" s="30">
        <f>AVERAGE(J3:J7)</f>
        <v>0.13333333333333336</v>
      </c>
      <c r="K8" s="30">
        <v>10.125578893749999</v>
      </c>
      <c r="L8" s="30">
        <v>83.77388903922153</v>
      </c>
      <c r="M8" s="30">
        <v>2.8</v>
      </c>
      <c r="N8" s="30">
        <f t="shared" ref="N8" si="19">AVERAGE(N3:N7)</f>
        <v>0.93333333333333324</v>
      </c>
      <c r="O8" s="43">
        <v>163.63999999999999</v>
      </c>
      <c r="P8" s="30">
        <f t="shared" ref="P8" si="20">AVERAGE(P3:P7)</f>
        <v>0.6</v>
      </c>
      <c r="Q8" s="30">
        <f t="shared" ref="Q8" si="21">AVERAGE(Q3:Q7)</f>
        <v>0.14666666666666667</v>
      </c>
      <c r="R8" s="30">
        <f>AVERAGE(R3:R7)</f>
        <v>6.666666666666668E-2</v>
      </c>
      <c r="S8" s="30">
        <f>AVERAGE(S3:S7)</f>
        <v>8.9782809374999992</v>
      </c>
      <c r="T8" s="30">
        <f t="shared" ref="T8:Y8" si="22">AVERAGE(T3:T7)</f>
        <v>83.742656048992174</v>
      </c>
      <c r="U8" s="30">
        <f t="shared" si="22"/>
        <v>2.6</v>
      </c>
      <c r="V8" s="30">
        <f t="shared" si="22"/>
        <v>0.86666666666666659</v>
      </c>
      <c r="W8" s="43">
        <f t="shared" si="22"/>
        <v>172.46600000000001</v>
      </c>
      <c r="X8" s="30">
        <f t="shared" si="22"/>
        <v>0.2</v>
      </c>
      <c r="Y8" s="30">
        <f t="shared" si="22"/>
        <v>6.6666666666666666E-2</v>
      </c>
      <c r="Z8" s="30">
        <f>AVERAGE(Z3:Z7)</f>
        <v>0.13333333333333336</v>
      </c>
      <c r="AA8" s="30">
        <f>AVERAGE(AA3:AA7)</f>
        <v>9.2687029687500004</v>
      </c>
      <c r="AB8" s="30">
        <f t="shared" ref="AB8:AG8" si="23">AVERAGE(AB3:AB7)</f>
        <v>83.194289097457215</v>
      </c>
      <c r="AC8" s="30">
        <f t="shared" si="23"/>
        <v>1.8</v>
      </c>
      <c r="AD8" s="30">
        <f t="shared" si="23"/>
        <v>0.6</v>
      </c>
      <c r="AE8" s="43">
        <f t="shared" si="23"/>
        <v>554.75</v>
      </c>
      <c r="AF8" s="30">
        <f t="shared" si="23"/>
        <v>2.2000000000000002</v>
      </c>
      <c r="AG8" s="30">
        <f t="shared" si="23"/>
        <v>0.53333333333333333</v>
      </c>
      <c r="AH8" s="30">
        <f>AVERAGE(AH3:AH7)</f>
        <v>0.4</v>
      </c>
      <c r="AI8" s="30">
        <f>AVERAGE(AI3:AI7)</f>
        <v>10.25024403125</v>
      </c>
      <c r="AJ8" s="30">
        <f t="shared" ref="AJ8:AO8" si="24">AVERAGE(AJ3:AJ7)</f>
        <v>83.723954718465919</v>
      </c>
      <c r="AK8" s="30">
        <f t="shared" si="24"/>
        <v>3</v>
      </c>
      <c r="AL8" s="30">
        <f t="shared" si="24"/>
        <v>1</v>
      </c>
      <c r="AM8" s="43">
        <f t="shared" si="24"/>
        <v>294</v>
      </c>
      <c r="AN8" s="30">
        <f t="shared" si="24"/>
        <v>0.8</v>
      </c>
      <c r="AO8" s="30">
        <f t="shared" si="24"/>
        <v>0.18</v>
      </c>
      <c r="AP8" s="30">
        <f>AVERAGE(AP3:AP7)</f>
        <v>0</v>
      </c>
      <c r="AQ8" s="30">
        <f>AVERAGE(AQ3:AQ7)</f>
        <v>9.7679054374999996</v>
      </c>
      <c r="AR8" s="30">
        <f t="shared" ref="AR8:AW8" si="25">AVERAGE(AR3:AR7)</f>
        <v>83.695488017354307</v>
      </c>
      <c r="AS8" s="30">
        <f t="shared" si="25"/>
        <v>3</v>
      </c>
      <c r="AT8" s="30">
        <f t="shared" si="25"/>
        <v>1</v>
      </c>
      <c r="AU8" s="43">
        <f t="shared" si="25"/>
        <v>403.596</v>
      </c>
      <c r="AV8" s="30">
        <f t="shared" si="25"/>
        <v>2.2000000000000002</v>
      </c>
      <c r="AW8" s="30">
        <f t="shared" si="25"/>
        <v>0.3392857142857143</v>
      </c>
      <c r="AX8" s="30">
        <f>AVERAGE(AX3:AX7)</f>
        <v>0</v>
      </c>
    </row>
    <row r="9" spans="1:50" ht="14.4" thickBot="1" x14ac:dyDescent="0.3"/>
    <row r="10" spans="1:50" ht="14.4" thickBot="1" x14ac:dyDescent="0.3">
      <c r="A10" s="36" t="s">
        <v>16</v>
      </c>
      <c r="B10" s="30" t="s">
        <v>15</v>
      </c>
      <c r="C10" s="31">
        <v>25.7234315625</v>
      </c>
      <c r="D10" s="32">
        <v>89.382604321931595</v>
      </c>
      <c r="E10" s="33">
        <v>3</v>
      </c>
      <c r="F10" s="33">
        <f>E10/3</f>
        <v>1</v>
      </c>
      <c r="G10" s="44">
        <f>(412+353+397)/3</f>
        <v>387.33333333333331</v>
      </c>
      <c r="H10" s="33">
        <v>0</v>
      </c>
      <c r="I10" s="34">
        <f>H10/(E10+H10)</f>
        <v>0</v>
      </c>
      <c r="J10" s="30">
        <f>1-F10</f>
        <v>0</v>
      </c>
      <c r="K10" s="31">
        <v>26.591978093749997</v>
      </c>
      <c r="L10" s="32">
        <v>89.403425782237392</v>
      </c>
      <c r="M10" s="33">
        <v>3</v>
      </c>
      <c r="N10" s="33">
        <f>M10/3</f>
        <v>1</v>
      </c>
      <c r="O10" s="44">
        <v>340.6</v>
      </c>
      <c r="P10" s="33">
        <v>0</v>
      </c>
      <c r="Q10" s="34">
        <f>P10/(M10+P10)</f>
        <v>0</v>
      </c>
      <c r="R10" s="30">
        <f>1-N10</f>
        <v>0</v>
      </c>
      <c r="S10" s="31">
        <v>27.382272812499998</v>
      </c>
      <c r="T10" s="32">
        <v>89.360213644597053</v>
      </c>
      <c r="U10" s="33">
        <v>3</v>
      </c>
      <c r="V10" s="33">
        <f>U10/3</f>
        <v>1</v>
      </c>
      <c r="W10" s="44">
        <v>431.66</v>
      </c>
      <c r="X10" s="33">
        <v>0</v>
      </c>
      <c r="Y10" s="34">
        <f>X10/(U10+X10)</f>
        <v>0</v>
      </c>
      <c r="Z10" s="30">
        <f>1-V10</f>
        <v>0</v>
      </c>
      <c r="AA10" s="31">
        <v>25.66143671875</v>
      </c>
      <c r="AB10" s="32">
        <v>89.397267221721762</v>
      </c>
      <c r="AC10" s="33">
        <v>3</v>
      </c>
      <c r="AD10" s="33">
        <f>AC10/3</f>
        <v>1</v>
      </c>
      <c r="AE10" s="44">
        <v>477.66</v>
      </c>
      <c r="AF10" s="33">
        <v>1</v>
      </c>
      <c r="AG10" s="34">
        <f>AF10/(AC10+AF10)</f>
        <v>0.25</v>
      </c>
      <c r="AH10" s="30">
        <f>1-AD10</f>
        <v>0</v>
      </c>
      <c r="AI10" s="31">
        <v>26.862399843750001</v>
      </c>
      <c r="AJ10" s="32">
        <v>89.418059470463135</v>
      </c>
      <c r="AK10" s="33">
        <v>3</v>
      </c>
      <c r="AL10" s="33">
        <f>AK10/3</f>
        <v>1</v>
      </c>
      <c r="AM10" s="44">
        <f>(332+350+352)/3</f>
        <v>344.66666666666669</v>
      </c>
      <c r="AN10" s="33">
        <v>0</v>
      </c>
      <c r="AO10" s="34">
        <f>AN10/(AK10+AN10)</f>
        <v>0</v>
      </c>
      <c r="AP10" s="30">
        <f>1-AL10</f>
        <v>0</v>
      </c>
      <c r="AQ10" s="31">
        <v>26.262168593750001</v>
      </c>
      <c r="AR10" s="32">
        <v>89.48610838427436</v>
      </c>
      <c r="AS10" s="33">
        <v>3</v>
      </c>
      <c r="AT10" s="33">
        <f>AS10/3</f>
        <v>1</v>
      </c>
      <c r="AU10" s="44">
        <v>367.66</v>
      </c>
      <c r="AV10" s="33">
        <v>0</v>
      </c>
      <c r="AW10" s="34">
        <f>AV10/(AS10+AV10)</f>
        <v>0</v>
      </c>
      <c r="AX10" s="30">
        <f>1-AT10</f>
        <v>0</v>
      </c>
    </row>
    <row r="11" spans="1:50" ht="14.4" thickBot="1" x14ac:dyDescent="0.3">
      <c r="A11" s="36" t="s">
        <v>17</v>
      </c>
      <c r="B11" s="30" t="s">
        <v>15</v>
      </c>
      <c r="C11" s="35">
        <v>25.46628171875</v>
      </c>
      <c r="D11" s="36">
        <v>89.216270619470222</v>
      </c>
      <c r="E11" s="30">
        <v>3</v>
      </c>
      <c r="F11" s="33">
        <f t="shared" ref="F11:F14" si="26">E11/3</f>
        <v>1</v>
      </c>
      <c r="G11" s="43">
        <f>(364+338+247)/3</f>
        <v>316.33333333333331</v>
      </c>
      <c r="H11" s="30">
        <v>0</v>
      </c>
      <c r="I11" s="34">
        <f t="shared" ref="I11:I14" si="27">H11/(E11+H11)</f>
        <v>0</v>
      </c>
      <c r="J11" s="30">
        <f t="shared" ref="J11:J14" si="28">1-F11</f>
        <v>0</v>
      </c>
      <c r="K11" s="35">
        <v>26.467517687499999</v>
      </c>
      <c r="L11" s="36">
        <v>89.212961825163319</v>
      </c>
      <c r="M11" s="30">
        <v>3</v>
      </c>
      <c r="N11" s="33">
        <f t="shared" ref="N11:N14" si="29">M11/3</f>
        <v>1</v>
      </c>
      <c r="O11" s="43">
        <v>283.53333333333336</v>
      </c>
      <c r="P11" s="30">
        <v>0</v>
      </c>
      <c r="Q11" s="34">
        <f t="shared" ref="Q11:Q14" si="30">P11/(M11+P11)</f>
        <v>0</v>
      </c>
      <c r="R11" s="30">
        <f t="shared" ref="R11:R14" si="31">1-N11</f>
        <v>0</v>
      </c>
      <c r="S11" s="35">
        <v>24.523518437500002</v>
      </c>
      <c r="T11" s="36">
        <v>89.204378472813673</v>
      </c>
      <c r="U11" s="30">
        <v>3</v>
      </c>
      <c r="V11" s="33">
        <f t="shared" ref="V11:V14" si="32">U11/3</f>
        <v>1</v>
      </c>
      <c r="W11" s="43">
        <v>417</v>
      </c>
      <c r="X11" s="30">
        <v>0</v>
      </c>
      <c r="Y11" s="34">
        <f t="shared" ref="Y11:Y14" si="33">X11/(U11+X11)</f>
        <v>0</v>
      </c>
      <c r="Z11" s="30">
        <f t="shared" ref="Z11:Z14" si="34">1-V11</f>
        <v>0</v>
      </c>
      <c r="AA11" s="35">
        <v>27.04123375</v>
      </c>
      <c r="AB11" s="36">
        <v>89.204191590009643</v>
      </c>
      <c r="AC11" s="30">
        <v>3</v>
      </c>
      <c r="AD11" s="33">
        <f t="shared" ref="AD11:AD14" si="35">AC11/3</f>
        <v>1</v>
      </c>
      <c r="AE11" s="43">
        <v>467.33</v>
      </c>
      <c r="AF11" s="30">
        <v>0</v>
      </c>
      <c r="AG11" s="34">
        <f t="shared" ref="AG11:AG14" si="36">AF11/(AC11+AF11)</f>
        <v>0</v>
      </c>
      <c r="AH11" s="30">
        <f t="shared" ref="AH11:AH14" si="37">1-AD11</f>
        <v>0</v>
      </c>
      <c r="AI11" s="35">
        <v>27.229813906250001</v>
      </c>
      <c r="AJ11" s="36">
        <v>89.212293386753743</v>
      </c>
      <c r="AK11" s="30">
        <v>3</v>
      </c>
      <c r="AL11" s="33">
        <f t="shared" ref="AL11:AL14" si="38">AK11/3</f>
        <v>1</v>
      </c>
      <c r="AM11" s="43">
        <f>(357+300+298)/3</f>
        <v>318.33333333333331</v>
      </c>
      <c r="AN11" s="30">
        <v>0</v>
      </c>
      <c r="AO11" s="34">
        <f t="shared" ref="AO11:AO14" si="39">AN11/(AK11+AN11)</f>
        <v>0</v>
      </c>
      <c r="AP11" s="30">
        <f t="shared" ref="AP11:AP14" si="40">1-AL11</f>
        <v>0</v>
      </c>
      <c r="AQ11" s="35">
        <v>26.50200515625</v>
      </c>
      <c r="AR11" s="36">
        <v>89.252849157494666</v>
      </c>
      <c r="AS11" s="30">
        <v>3</v>
      </c>
      <c r="AT11" s="33">
        <f t="shared" ref="AT11:AT14" si="41">AS11/3</f>
        <v>1</v>
      </c>
      <c r="AU11" s="43">
        <v>344</v>
      </c>
      <c r="AV11" s="30">
        <v>0</v>
      </c>
      <c r="AW11" s="34">
        <f t="shared" ref="AW11:AW14" si="42">AV11/(AS11+AV11)</f>
        <v>0</v>
      </c>
      <c r="AX11" s="30">
        <f t="shared" ref="AX11:AX14" si="43">1-AT11</f>
        <v>0</v>
      </c>
    </row>
    <row r="12" spans="1:50" ht="14.4" thickBot="1" x14ac:dyDescent="0.3">
      <c r="A12" s="36" t="s">
        <v>18</v>
      </c>
      <c r="B12" s="30" t="s">
        <v>15</v>
      </c>
      <c r="C12" s="35">
        <v>26.88288984375</v>
      </c>
      <c r="D12" s="36">
        <v>89.418732270117275</v>
      </c>
      <c r="E12" s="30">
        <v>3</v>
      </c>
      <c r="F12" s="33">
        <f t="shared" si="26"/>
        <v>1</v>
      </c>
      <c r="G12" s="43">
        <f>(380+277+276)/3</f>
        <v>311</v>
      </c>
      <c r="H12" s="30">
        <v>0</v>
      </c>
      <c r="I12" s="34">
        <f t="shared" si="27"/>
        <v>0</v>
      </c>
      <c r="J12" s="30">
        <f t="shared" si="28"/>
        <v>0</v>
      </c>
      <c r="K12" s="35">
        <v>26.334593124999998</v>
      </c>
      <c r="L12" s="36">
        <v>89.41900113962285</v>
      </c>
      <c r="M12" s="30">
        <v>3</v>
      </c>
      <c r="N12" s="33">
        <f t="shared" si="29"/>
        <v>1</v>
      </c>
      <c r="O12" s="43">
        <v>301.5333333333333</v>
      </c>
      <c r="P12" s="30">
        <v>0</v>
      </c>
      <c r="Q12" s="34">
        <f t="shared" si="30"/>
        <v>0</v>
      </c>
      <c r="R12" s="30">
        <f t="shared" si="31"/>
        <v>0</v>
      </c>
      <c r="S12" s="35">
        <v>24.779672812499999</v>
      </c>
      <c r="T12" s="36">
        <v>89.419750630282422</v>
      </c>
      <c r="U12" s="30">
        <v>3</v>
      </c>
      <c r="V12" s="33">
        <f t="shared" si="32"/>
        <v>1</v>
      </c>
      <c r="W12" s="43">
        <v>313.66000000000003</v>
      </c>
      <c r="X12" s="30">
        <v>0</v>
      </c>
      <c r="Y12" s="34">
        <f t="shared" si="33"/>
        <v>0</v>
      </c>
      <c r="Z12" s="30">
        <f t="shared" si="34"/>
        <v>0</v>
      </c>
      <c r="AA12" s="35">
        <v>26.11230328125</v>
      </c>
      <c r="AB12" s="36">
        <v>89.428716631824415</v>
      </c>
      <c r="AC12" s="30">
        <v>3</v>
      </c>
      <c r="AD12" s="33">
        <f t="shared" si="35"/>
        <v>1</v>
      </c>
      <c r="AE12" s="43">
        <v>440.66</v>
      </c>
      <c r="AF12" s="30">
        <v>0</v>
      </c>
      <c r="AG12" s="34">
        <f t="shared" si="36"/>
        <v>0</v>
      </c>
      <c r="AH12" s="30">
        <f t="shared" si="37"/>
        <v>0</v>
      </c>
      <c r="AI12" s="35">
        <v>26.316344999999998</v>
      </c>
      <c r="AJ12" s="36">
        <v>89.415474111128262</v>
      </c>
      <c r="AK12" s="30">
        <v>3</v>
      </c>
      <c r="AL12" s="33">
        <f t="shared" si="38"/>
        <v>1</v>
      </c>
      <c r="AM12" s="43">
        <f>(340+332+314)/3</f>
        <v>328.66666666666669</v>
      </c>
      <c r="AN12" s="30">
        <v>0</v>
      </c>
      <c r="AO12" s="34">
        <f t="shared" si="39"/>
        <v>0</v>
      </c>
      <c r="AP12" s="30">
        <f t="shared" si="40"/>
        <v>0</v>
      </c>
      <c r="AQ12" s="35">
        <v>26.26536203125</v>
      </c>
      <c r="AR12" s="36">
        <v>89.445449694358388</v>
      </c>
      <c r="AS12" s="30">
        <v>3</v>
      </c>
      <c r="AT12" s="33">
        <f t="shared" si="41"/>
        <v>1</v>
      </c>
      <c r="AU12" s="43">
        <v>355.66</v>
      </c>
      <c r="AV12" s="30">
        <v>1</v>
      </c>
      <c r="AW12" s="34">
        <f t="shared" si="42"/>
        <v>0.25</v>
      </c>
      <c r="AX12" s="30">
        <f t="shared" si="43"/>
        <v>0</v>
      </c>
    </row>
    <row r="13" spans="1:50" ht="14.4" thickBot="1" x14ac:dyDescent="0.3">
      <c r="A13" s="36" t="s">
        <v>19</v>
      </c>
      <c r="B13" s="30" t="s">
        <v>15</v>
      </c>
      <c r="C13" s="35">
        <v>29.039776249999999</v>
      </c>
      <c r="D13" s="36">
        <v>89.309690341457923</v>
      </c>
      <c r="E13" s="30">
        <v>3</v>
      </c>
      <c r="F13" s="33">
        <f t="shared" si="26"/>
        <v>1</v>
      </c>
      <c r="G13" s="43">
        <f>(246+280+186)/3</f>
        <v>237.33333333333334</v>
      </c>
      <c r="H13" s="30">
        <v>0</v>
      </c>
      <c r="I13" s="34">
        <f t="shared" si="27"/>
        <v>0</v>
      </c>
      <c r="J13" s="30">
        <f t="shared" si="28"/>
        <v>0</v>
      </c>
      <c r="K13" s="35">
        <v>27.511460125000003</v>
      </c>
      <c r="L13" s="36">
        <v>89.310029140416802</v>
      </c>
      <c r="M13" s="30">
        <v>3</v>
      </c>
      <c r="N13" s="33">
        <f t="shared" si="29"/>
        <v>1</v>
      </c>
      <c r="O13" s="43">
        <v>237.13333333333335</v>
      </c>
      <c r="P13" s="30">
        <v>0</v>
      </c>
      <c r="Q13" s="34">
        <f t="shared" si="30"/>
        <v>0</v>
      </c>
      <c r="R13" s="30">
        <f t="shared" si="31"/>
        <v>0</v>
      </c>
      <c r="S13" s="35">
        <v>26.171800937499999</v>
      </c>
      <c r="T13" s="36">
        <v>89.29711303470971</v>
      </c>
      <c r="U13" s="30">
        <v>3</v>
      </c>
      <c r="V13" s="33">
        <f t="shared" si="32"/>
        <v>1</v>
      </c>
      <c r="W13" s="43">
        <v>258</v>
      </c>
      <c r="X13" s="30">
        <v>0</v>
      </c>
      <c r="Y13" s="34">
        <f t="shared" si="33"/>
        <v>0</v>
      </c>
      <c r="Z13" s="30">
        <f t="shared" si="34"/>
        <v>0</v>
      </c>
      <c r="AA13" s="35">
        <v>27.611102500000001</v>
      </c>
      <c r="AB13" s="36">
        <v>89.316117319294861</v>
      </c>
      <c r="AC13" s="30">
        <v>3</v>
      </c>
      <c r="AD13" s="33">
        <f t="shared" si="35"/>
        <v>1</v>
      </c>
      <c r="AE13" s="43">
        <v>368.33</v>
      </c>
      <c r="AF13" s="30">
        <v>1</v>
      </c>
      <c r="AG13" s="34">
        <f t="shared" si="36"/>
        <v>0.25</v>
      </c>
      <c r="AH13" s="30">
        <f t="shared" si="37"/>
        <v>0</v>
      </c>
      <c r="AI13" s="35">
        <v>27.991831874999999</v>
      </c>
      <c r="AJ13" s="36">
        <v>89.301056323924811</v>
      </c>
      <c r="AK13" s="30">
        <v>3</v>
      </c>
      <c r="AL13" s="33">
        <f t="shared" si="38"/>
        <v>1</v>
      </c>
      <c r="AM13" s="46">
        <f>(315+277+262)/3</f>
        <v>284.66666666666669</v>
      </c>
      <c r="AN13" s="30">
        <v>0</v>
      </c>
      <c r="AO13" s="34">
        <f t="shared" si="39"/>
        <v>0</v>
      </c>
      <c r="AP13" s="30">
        <f t="shared" si="40"/>
        <v>0</v>
      </c>
      <c r="AQ13" s="35">
        <v>26.590855625</v>
      </c>
      <c r="AR13" s="36">
        <v>89.362172138369061</v>
      </c>
      <c r="AS13" s="30">
        <v>3</v>
      </c>
      <c r="AT13" s="33">
        <f t="shared" si="41"/>
        <v>1</v>
      </c>
      <c r="AU13" s="43">
        <v>303</v>
      </c>
      <c r="AV13" s="30">
        <v>0</v>
      </c>
      <c r="AW13" s="34">
        <f t="shared" si="42"/>
        <v>0</v>
      </c>
      <c r="AX13" s="30">
        <f t="shared" si="43"/>
        <v>0</v>
      </c>
    </row>
    <row r="14" spans="1:50" ht="14.4" thickBot="1" x14ac:dyDescent="0.3">
      <c r="A14" s="36" t="s">
        <v>20</v>
      </c>
      <c r="B14" s="30" t="s">
        <v>15</v>
      </c>
      <c r="C14" s="37">
        <v>27.011287500000002</v>
      </c>
      <c r="D14" s="38">
        <v>89.296469304301894</v>
      </c>
      <c r="E14" s="39">
        <v>3</v>
      </c>
      <c r="F14" s="33">
        <f t="shared" si="26"/>
        <v>1</v>
      </c>
      <c r="G14" s="45">
        <f>(336+300+345)/3</f>
        <v>327</v>
      </c>
      <c r="H14" s="39">
        <v>0</v>
      </c>
      <c r="I14" s="34">
        <f t="shared" si="27"/>
        <v>0</v>
      </c>
      <c r="J14" s="30">
        <f t="shared" si="28"/>
        <v>0</v>
      </c>
      <c r="K14" s="37">
        <v>29.008942749999999</v>
      </c>
      <c r="L14" s="38">
        <v>89.311021042661622</v>
      </c>
      <c r="M14" s="39">
        <v>3</v>
      </c>
      <c r="N14" s="33">
        <f t="shared" si="29"/>
        <v>1</v>
      </c>
      <c r="O14" s="45">
        <v>303.66666666666663</v>
      </c>
      <c r="P14" s="39">
        <v>0</v>
      </c>
      <c r="Q14" s="34">
        <f t="shared" si="30"/>
        <v>0</v>
      </c>
      <c r="R14" s="30">
        <f t="shared" si="31"/>
        <v>0</v>
      </c>
      <c r="S14" s="37">
        <v>24.621566874999999</v>
      </c>
      <c r="T14" s="38">
        <v>89.284860457152021</v>
      </c>
      <c r="U14" s="39">
        <v>3</v>
      </c>
      <c r="V14" s="33">
        <f t="shared" si="32"/>
        <v>1</v>
      </c>
      <c r="W14" s="45">
        <v>335.33</v>
      </c>
      <c r="X14" s="39">
        <v>0</v>
      </c>
      <c r="Y14" s="34">
        <f t="shared" si="33"/>
        <v>0</v>
      </c>
      <c r="Z14" s="30">
        <f t="shared" si="34"/>
        <v>0</v>
      </c>
      <c r="AA14" s="37">
        <v>28.605612656249999</v>
      </c>
      <c r="AB14" s="38">
        <v>89.309774441701776</v>
      </c>
      <c r="AC14" s="39">
        <v>3</v>
      </c>
      <c r="AD14" s="33">
        <f t="shared" si="35"/>
        <v>1</v>
      </c>
      <c r="AE14" s="45">
        <v>410</v>
      </c>
      <c r="AF14" s="39">
        <v>0</v>
      </c>
      <c r="AG14" s="34">
        <f t="shared" si="36"/>
        <v>0</v>
      </c>
      <c r="AH14" s="30">
        <f t="shared" si="37"/>
        <v>0</v>
      </c>
      <c r="AI14" s="37">
        <v>27.414959843750001</v>
      </c>
      <c r="AJ14" s="38">
        <v>89.309781999666839</v>
      </c>
      <c r="AK14" s="39">
        <v>3</v>
      </c>
      <c r="AL14" s="33">
        <f t="shared" si="38"/>
        <v>1</v>
      </c>
      <c r="AM14" s="45">
        <f>(366+297+236)/3</f>
        <v>299.66666666666669</v>
      </c>
      <c r="AN14" s="39">
        <v>0</v>
      </c>
      <c r="AO14" s="34">
        <f t="shared" si="39"/>
        <v>0</v>
      </c>
      <c r="AP14" s="30">
        <f t="shared" si="40"/>
        <v>0</v>
      </c>
      <c r="AQ14" s="37">
        <v>26.03042390625</v>
      </c>
      <c r="AR14" s="38">
        <v>89.372967756129185</v>
      </c>
      <c r="AS14" s="39">
        <v>3</v>
      </c>
      <c r="AT14" s="33">
        <f t="shared" si="41"/>
        <v>1</v>
      </c>
      <c r="AU14" s="45">
        <v>318</v>
      </c>
      <c r="AV14" s="39">
        <v>0</v>
      </c>
      <c r="AW14" s="34">
        <f t="shared" si="42"/>
        <v>0</v>
      </c>
      <c r="AX14" s="30">
        <f t="shared" si="43"/>
        <v>0</v>
      </c>
    </row>
    <row r="15" spans="1:50" x14ac:dyDescent="0.25">
      <c r="C15" s="30">
        <f>AVERAGE(C10:C14)</f>
        <v>26.824733375000001</v>
      </c>
      <c r="D15" s="30">
        <f t="shared" ref="D15:I15" si="44">AVERAGE(D10:D14)</f>
        <v>89.324753371455785</v>
      </c>
      <c r="E15" s="30">
        <f t="shared" si="44"/>
        <v>3</v>
      </c>
      <c r="F15" s="30">
        <f t="shared" si="44"/>
        <v>1</v>
      </c>
      <c r="G15" s="43">
        <f t="shared" si="44"/>
        <v>315.8</v>
      </c>
      <c r="H15" s="30">
        <f t="shared" si="44"/>
        <v>0</v>
      </c>
      <c r="I15" s="30">
        <f t="shared" si="44"/>
        <v>0</v>
      </c>
      <c r="J15" s="30">
        <f>AVERAGE(J10:J14)</f>
        <v>0</v>
      </c>
      <c r="K15" s="30">
        <v>27.182898356249996</v>
      </c>
      <c r="L15" s="30">
        <v>89.331287786020397</v>
      </c>
      <c r="M15" s="30">
        <v>3</v>
      </c>
      <c r="N15" s="30">
        <v>1</v>
      </c>
      <c r="O15" s="43">
        <v>293.29333333333335</v>
      </c>
      <c r="P15" s="30">
        <v>0</v>
      </c>
      <c r="Q15" s="30">
        <v>0</v>
      </c>
      <c r="R15" s="30">
        <f>AVERAGE(R10:R14)</f>
        <v>0</v>
      </c>
      <c r="S15" s="30">
        <f>AVERAGE(S10:S14)</f>
        <v>25.495766374999999</v>
      </c>
      <c r="T15" s="30">
        <f t="shared" ref="T15:Y15" si="45">AVERAGE(T10:T14)</f>
        <v>89.313263247910967</v>
      </c>
      <c r="U15" s="30">
        <f t="shared" si="45"/>
        <v>3</v>
      </c>
      <c r="V15" s="30">
        <f t="shared" si="45"/>
        <v>1</v>
      </c>
      <c r="W15" s="43">
        <f t="shared" si="45"/>
        <v>351.13</v>
      </c>
      <c r="X15" s="30">
        <f t="shared" si="45"/>
        <v>0</v>
      </c>
      <c r="Y15" s="30">
        <f t="shared" si="45"/>
        <v>0</v>
      </c>
      <c r="Z15" s="30">
        <f>AVERAGE(Z10:Z14)</f>
        <v>0</v>
      </c>
      <c r="AA15" s="30">
        <f>AVERAGE(AA10:AA14)</f>
        <v>27.00633778125</v>
      </c>
      <c r="AB15" s="30">
        <f t="shared" ref="AB15:AF15" si="46">AVERAGE(AB10:AB14)</f>
        <v>89.331213440910489</v>
      </c>
      <c r="AC15" s="30">
        <f t="shared" si="46"/>
        <v>3</v>
      </c>
      <c r="AD15" s="30">
        <f t="shared" si="46"/>
        <v>1</v>
      </c>
      <c r="AE15" s="43">
        <f t="shared" si="46"/>
        <v>432.79599999999999</v>
      </c>
      <c r="AF15" s="30">
        <f t="shared" si="46"/>
        <v>0.4</v>
      </c>
      <c r="AG15" s="30">
        <f>AVERAGE(AG10:AG14)</f>
        <v>0.1</v>
      </c>
      <c r="AH15" s="30">
        <f>AVERAGE(AH10:AH14)</f>
        <v>0</v>
      </c>
      <c r="AI15" s="30">
        <f>AVERAGE(AI10:AI14)</f>
        <v>27.163070093750001</v>
      </c>
      <c r="AJ15" s="30">
        <f t="shared" ref="AJ15:AL15" si="47">AVERAGE(AJ10:AJ14)</f>
        <v>89.331333058387344</v>
      </c>
      <c r="AK15" s="30">
        <f t="shared" si="47"/>
        <v>3</v>
      </c>
      <c r="AL15" s="30">
        <f t="shared" si="47"/>
        <v>1</v>
      </c>
      <c r="AM15" s="43">
        <f>AVERAGE(AM10:AM14)</f>
        <v>315.20000000000005</v>
      </c>
      <c r="AN15" s="30">
        <f t="shared" ref="AN15:AO15" si="48">AVERAGE(AN10:AN14)</f>
        <v>0</v>
      </c>
      <c r="AO15" s="30">
        <f t="shared" si="48"/>
        <v>0</v>
      </c>
      <c r="AP15" s="30">
        <f>AVERAGE(AP10:AP14)</f>
        <v>0</v>
      </c>
      <c r="AQ15" s="30">
        <f>AVERAGE(AQ10:AQ14)</f>
        <v>26.330163062499999</v>
      </c>
      <c r="AR15" s="30">
        <f t="shared" ref="AR15:AW15" si="49">AVERAGE(AR10:AR14)</f>
        <v>89.383909426125129</v>
      </c>
      <c r="AS15" s="30">
        <f t="shared" si="49"/>
        <v>3</v>
      </c>
      <c r="AT15" s="30">
        <f t="shared" si="49"/>
        <v>1</v>
      </c>
      <c r="AU15" s="43">
        <f t="shared" si="49"/>
        <v>337.66400000000004</v>
      </c>
      <c r="AV15" s="30">
        <f t="shared" si="49"/>
        <v>0.2</v>
      </c>
      <c r="AW15" s="30">
        <f t="shared" si="49"/>
        <v>0.05</v>
      </c>
      <c r="AX15" s="30">
        <f>AVERAGE(AX10:AX14)</f>
        <v>0</v>
      </c>
    </row>
    <row r="16" spans="1:50" ht="14.4" thickBot="1" x14ac:dyDescent="0.3"/>
    <row r="17" spans="1:50" ht="14.4" thickBot="1" x14ac:dyDescent="0.3">
      <c r="A17" s="30" t="s">
        <v>21</v>
      </c>
      <c r="B17" s="30" t="s">
        <v>26</v>
      </c>
      <c r="C17" s="31">
        <v>10.03843578125</v>
      </c>
      <c r="D17" s="32">
        <v>83.254542264281852</v>
      </c>
      <c r="E17" s="33">
        <v>4</v>
      </c>
      <c r="F17" s="33">
        <f>E17/4</f>
        <v>1</v>
      </c>
      <c r="G17" s="44">
        <f>(44+37+44+42)/4</f>
        <v>41.75</v>
      </c>
      <c r="H17" s="33">
        <v>0</v>
      </c>
      <c r="I17" s="34">
        <f>H17/(E17+H17)</f>
        <v>0</v>
      </c>
      <c r="J17" s="30">
        <f>1-F17</f>
        <v>0</v>
      </c>
      <c r="K17" s="31">
        <v>10.581435218749998</v>
      </c>
      <c r="L17" s="32">
        <v>83.244769386693292</v>
      </c>
      <c r="M17" s="33">
        <v>4</v>
      </c>
      <c r="N17" s="33">
        <f>M17/4</f>
        <v>1</v>
      </c>
      <c r="O17" s="44">
        <v>41</v>
      </c>
      <c r="P17" s="33">
        <v>0</v>
      </c>
      <c r="Q17" s="34">
        <f>P17/(M17+P17)</f>
        <v>0</v>
      </c>
      <c r="R17" s="30">
        <f>1-N17</f>
        <v>0</v>
      </c>
      <c r="S17" s="31">
        <v>9.5589507812499992</v>
      </c>
      <c r="T17" s="32">
        <v>83.250883319362956</v>
      </c>
      <c r="U17" s="33">
        <v>4</v>
      </c>
      <c r="V17" s="33">
        <f>U17/4</f>
        <v>1</v>
      </c>
      <c r="W17" s="44">
        <v>82.5</v>
      </c>
      <c r="X17" s="33">
        <v>0</v>
      </c>
      <c r="Y17" s="34">
        <f>X17/(U17+X17)</f>
        <v>0</v>
      </c>
      <c r="Z17" s="30">
        <f>1-V17</f>
        <v>0</v>
      </c>
      <c r="AA17" s="31">
        <v>10.024299687499999</v>
      </c>
      <c r="AB17" s="32">
        <v>82.993474827949683</v>
      </c>
      <c r="AC17" s="33">
        <v>4</v>
      </c>
      <c r="AD17" s="33">
        <f>AC17/4</f>
        <v>1</v>
      </c>
      <c r="AE17" s="44">
        <v>167.75</v>
      </c>
      <c r="AF17" s="33">
        <v>0</v>
      </c>
      <c r="AG17" s="34">
        <f>AF17/(AC17+AF17)</f>
        <v>0</v>
      </c>
      <c r="AH17" s="30">
        <f>1-AD17</f>
        <v>0</v>
      </c>
      <c r="AI17" s="31">
        <v>11.031668124999999</v>
      </c>
      <c r="AJ17" s="32">
        <v>83.147382171315897</v>
      </c>
      <c r="AK17" s="33">
        <v>4</v>
      </c>
      <c r="AL17" s="33">
        <f>AK17/4</f>
        <v>1</v>
      </c>
      <c r="AM17" s="44">
        <f>(85+94+74+90)/4</f>
        <v>85.75</v>
      </c>
      <c r="AN17" s="33">
        <v>0</v>
      </c>
      <c r="AO17" s="34">
        <f>AN17/(AK17+AN17)</f>
        <v>0</v>
      </c>
      <c r="AP17" s="30">
        <f>1-AL17</f>
        <v>0</v>
      </c>
      <c r="AQ17" s="31">
        <v>11.01885875</v>
      </c>
      <c r="AR17" s="32">
        <v>83.123335825053914</v>
      </c>
      <c r="AS17" s="33">
        <v>4</v>
      </c>
      <c r="AT17" s="33">
        <f>AS17/4</f>
        <v>1</v>
      </c>
      <c r="AU17" s="44">
        <v>101</v>
      </c>
      <c r="AV17" s="33">
        <v>0</v>
      </c>
      <c r="AW17" s="34">
        <f>AV17/(AS17+AV17)</f>
        <v>0</v>
      </c>
      <c r="AX17" s="30">
        <f>1-AT17</f>
        <v>0</v>
      </c>
    </row>
    <row r="18" spans="1:50" ht="14.4" thickBot="1" x14ac:dyDescent="0.3">
      <c r="A18" s="30" t="s">
        <v>22</v>
      </c>
      <c r="B18" s="30" t="s">
        <v>26</v>
      </c>
      <c r="C18" s="35">
        <v>11.3275221875</v>
      </c>
      <c r="D18" s="36">
        <v>83.216248492356584</v>
      </c>
      <c r="E18" s="30">
        <v>4</v>
      </c>
      <c r="F18" s="33">
        <f t="shared" ref="F18:F21" si="50">E18/4</f>
        <v>1</v>
      </c>
      <c r="G18" s="43">
        <f>(48+37+49+38)/4</f>
        <v>43</v>
      </c>
      <c r="H18" s="30">
        <v>1</v>
      </c>
      <c r="I18" s="34">
        <f t="shared" ref="I18:I21" si="51">H18/(E18+H18)</f>
        <v>0.2</v>
      </c>
      <c r="J18" s="30">
        <f t="shared" ref="J18:J21" si="52">1-F18</f>
        <v>0</v>
      </c>
      <c r="K18" s="35">
        <v>10.805404187500001</v>
      </c>
      <c r="L18" s="36">
        <v>83.218272007693471</v>
      </c>
      <c r="M18" s="30">
        <v>4</v>
      </c>
      <c r="N18" s="33">
        <f t="shared" ref="N18:N21" si="53">M18/4</f>
        <v>1</v>
      </c>
      <c r="O18" s="43">
        <v>41.8</v>
      </c>
      <c r="P18" s="30">
        <v>0.8</v>
      </c>
      <c r="Q18" s="34">
        <f t="shared" ref="Q18:Q21" si="54">P18/(M18+P18)</f>
        <v>0.16666666666666669</v>
      </c>
      <c r="R18" s="30">
        <f t="shared" ref="R18:R21" si="55">1-N18</f>
        <v>0</v>
      </c>
      <c r="S18" s="35">
        <v>9.6519323437499995</v>
      </c>
      <c r="T18" s="36">
        <v>83.221787418230463</v>
      </c>
      <c r="U18" s="30">
        <v>4</v>
      </c>
      <c r="V18" s="33">
        <f t="shared" ref="V18:V21" si="56">U18/4</f>
        <v>1</v>
      </c>
      <c r="W18" s="43">
        <v>45</v>
      </c>
      <c r="X18" s="30">
        <v>1</v>
      </c>
      <c r="Y18" s="34">
        <f t="shared" ref="Y18:Y21" si="57">X18/(U18+X18)</f>
        <v>0.2</v>
      </c>
      <c r="Z18" s="30">
        <f t="shared" ref="Z18:Z21" si="58">1-V18</f>
        <v>0</v>
      </c>
      <c r="AA18" s="35">
        <v>10.105835624999999</v>
      </c>
      <c r="AB18" s="36">
        <v>74.788765456726807</v>
      </c>
      <c r="AC18" s="30">
        <v>3</v>
      </c>
      <c r="AD18" s="33">
        <f t="shared" ref="AD18:AD21" si="59">AC18/4</f>
        <v>0.75</v>
      </c>
      <c r="AE18" s="43">
        <v>148</v>
      </c>
      <c r="AF18" s="30">
        <v>1</v>
      </c>
      <c r="AG18" s="34">
        <f t="shared" ref="AG18:AG21" si="60">AF18/(AC18+AF18)</f>
        <v>0.25</v>
      </c>
      <c r="AH18" s="30">
        <f t="shared" ref="AH18:AH21" si="61">1-AD18</f>
        <v>0.25</v>
      </c>
      <c r="AI18" s="35">
        <v>10.88705421875</v>
      </c>
      <c r="AJ18" s="36">
        <v>83.072220793136239</v>
      </c>
      <c r="AK18" s="30">
        <v>4</v>
      </c>
      <c r="AL18" s="33">
        <f t="shared" ref="AL18:AL21" si="62">AK18/4</f>
        <v>1</v>
      </c>
      <c r="AM18" s="43">
        <f>(107+90+101+91)/4</f>
        <v>97.25</v>
      </c>
      <c r="AN18" s="30">
        <v>1</v>
      </c>
      <c r="AO18" s="34">
        <f t="shared" ref="AO18:AO21" si="63">AN18/(AK18+AN18)</f>
        <v>0.2</v>
      </c>
      <c r="AP18" s="30">
        <f t="shared" ref="AP18:AP21" si="64">1-AL18</f>
        <v>0</v>
      </c>
      <c r="AQ18" s="35">
        <v>10.551754062500001</v>
      </c>
      <c r="AR18" s="36">
        <v>83.110677275106482</v>
      </c>
      <c r="AS18" s="30">
        <v>4</v>
      </c>
      <c r="AT18" s="33">
        <f t="shared" ref="AT18:AT21" si="65">AS18/4</f>
        <v>1</v>
      </c>
      <c r="AU18" s="43">
        <v>98.5</v>
      </c>
      <c r="AV18" s="30">
        <v>3</v>
      </c>
      <c r="AW18" s="34">
        <f t="shared" ref="AW18:AW21" si="66">AV18/(AS18+AV18)</f>
        <v>0.42857142857142855</v>
      </c>
      <c r="AX18" s="30">
        <f t="shared" ref="AX18:AX21" si="67">1-AT18</f>
        <v>0</v>
      </c>
    </row>
    <row r="19" spans="1:50" ht="14.4" thickBot="1" x14ac:dyDescent="0.3">
      <c r="A19" s="30" t="s">
        <v>23</v>
      </c>
      <c r="B19" s="30" t="s">
        <v>26</v>
      </c>
      <c r="C19" s="35">
        <v>11.314596874999999</v>
      </c>
      <c r="D19" s="36">
        <v>83.408255730245585</v>
      </c>
      <c r="E19" s="30">
        <v>4</v>
      </c>
      <c r="F19" s="33">
        <f t="shared" si="50"/>
        <v>1</v>
      </c>
      <c r="G19" s="43">
        <f>(48+42+32+42)/4</f>
        <v>41</v>
      </c>
      <c r="H19" s="30">
        <v>0</v>
      </c>
      <c r="I19" s="34">
        <f t="shared" si="51"/>
        <v>0</v>
      </c>
      <c r="J19" s="30">
        <f t="shared" si="52"/>
        <v>0</v>
      </c>
      <c r="K19" s="35">
        <v>10.79328471875</v>
      </c>
      <c r="L19" s="36">
        <v>83.414088483767927</v>
      </c>
      <c r="M19" s="30">
        <v>4</v>
      </c>
      <c r="N19" s="33">
        <f t="shared" si="53"/>
        <v>1</v>
      </c>
      <c r="O19" s="43">
        <v>40.049999999999997</v>
      </c>
      <c r="P19" s="30">
        <v>0</v>
      </c>
      <c r="Q19" s="34">
        <f t="shared" si="54"/>
        <v>0</v>
      </c>
      <c r="R19" s="30">
        <f t="shared" si="55"/>
        <v>0</v>
      </c>
      <c r="S19" s="35">
        <v>10.00160265625</v>
      </c>
      <c r="T19" s="36">
        <v>83.403996868122078</v>
      </c>
      <c r="U19" s="30">
        <v>4</v>
      </c>
      <c r="V19" s="33">
        <f t="shared" si="56"/>
        <v>1</v>
      </c>
      <c r="W19" s="43">
        <v>42.75</v>
      </c>
      <c r="X19" s="30">
        <v>0</v>
      </c>
      <c r="Y19" s="34">
        <f t="shared" si="57"/>
        <v>0</v>
      </c>
      <c r="Z19" s="30">
        <f t="shared" si="58"/>
        <v>0</v>
      </c>
      <c r="AA19" s="35">
        <v>10.0069</v>
      </c>
      <c r="AB19" s="36">
        <v>82.415462667979639</v>
      </c>
      <c r="AC19" s="30">
        <v>4</v>
      </c>
      <c r="AD19" s="33">
        <f t="shared" si="59"/>
        <v>1</v>
      </c>
      <c r="AE19" s="43">
        <v>162</v>
      </c>
      <c r="AF19" s="30">
        <v>1</v>
      </c>
      <c r="AG19" s="34">
        <f t="shared" si="60"/>
        <v>0.2</v>
      </c>
      <c r="AH19" s="30">
        <f t="shared" si="61"/>
        <v>0</v>
      </c>
      <c r="AI19" s="35">
        <v>11.269244531249999</v>
      </c>
      <c r="AJ19" s="36">
        <v>83.371907751702551</v>
      </c>
      <c r="AK19" s="30">
        <v>4</v>
      </c>
      <c r="AL19" s="33">
        <f t="shared" si="62"/>
        <v>1</v>
      </c>
      <c r="AM19" s="43">
        <f>(5+71+66+87)/4</f>
        <v>57.25</v>
      </c>
      <c r="AN19" s="30">
        <v>0</v>
      </c>
      <c r="AO19" s="34">
        <f t="shared" si="63"/>
        <v>0</v>
      </c>
      <c r="AP19" s="30">
        <f t="shared" si="64"/>
        <v>0</v>
      </c>
      <c r="AQ19" s="35">
        <v>10.91790328125</v>
      </c>
      <c r="AR19" s="36">
        <v>83.33006524815967</v>
      </c>
      <c r="AS19" s="30">
        <v>4</v>
      </c>
      <c r="AT19" s="33">
        <f t="shared" si="65"/>
        <v>1</v>
      </c>
      <c r="AU19" s="43">
        <v>80</v>
      </c>
      <c r="AV19" s="30">
        <v>2</v>
      </c>
      <c r="AW19" s="34">
        <f t="shared" si="66"/>
        <v>0.33333333333333331</v>
      </c>
      <c r="AX19" s="30">
        <f t="shared" si="67"/>
        <v>0</v>
      </c>
    </row>
    <row r="20" spans="1:50" ht="14.4" thickBot="1" x14ac:dyDescent="0.3">
      <c r="A20" s="30" t="s">
        <v>24</v>
      </c>
      <c r="B20" s="30" t="s">
        <v>26</v>
      </c>
      <c r="C20" s="35">
        <v>11.39746109375</v>
      </c>
      <c r="D20" s="36">
        <v>83.319733106921021</v>
      </c>
      <c r="E20" s="30">
        <v>4</v>
      </c>
      <c r="F20" s="33">
        <f t="shared" si="50"/>
        <v>1</v>
      </c>
      <c r="G20" s="43">
        <f>(54+37+34+39)/4</f>
        <v>41</v>
      </c>
      <c r="H20" s="30">
        <v>1</v>
      </c>
      <c r="I20" s="34">
        <f t="shared" si="51"/>
        <v>0.2</v>
      </c>
      <c r="J20" s="30">
        <f t="shared" si="52"/>
        <v>0</v>
      </c>
      <c r="K20" s="35">
        <v>10.50706959375</v>
      </c>
      <c r="L20" s="36">
        <v>83.325375525068992</v>
      </c>
      <c r="M20" s="30">
        <v>4</v>
      </c>
      <c r="N20" s="33">
        <f t="shared" si="53"/>
        <v>1</v>
      </c>
      <c r="O20" s="43">
        <v>39.15</v>
      </c>
      <c r="P20" s="30">
        <v>0.8</v>
      </c>
      <c r="Q20" s="34">
        <f t="shared" si="54"/>
        <v>0.16666666666666669</v>
      </c>
      <c r="R20" s="30">
        <f t="shared" si="55"/>
        <v>0</v>
      </c>
      <c r="S20" s="35">
        <v>10.694839218749999</v>
      </c>
      <c r="T20" s="36">
        <v>83.338004277377308</v>
      </c>
      <c r="U20" s="30">
        <v>4</v>
      </c>
      <c r="V20" s="33">
        <f t="shared" si="56"/>
        <v>1</v>
      </c>
      <c r="W20" s="43">
        <v>42</v>
      </c>
      <c r="X20" s="30">
        <v>0</v>
      </c>
      <c r="Y20" s="34">
        <f t="shared" si="57"/>
        <v>0</v>
      </c>
      <c r="Z20" s="30">
        <f t="shared" si="58"/>
        <v>0</v>
      </c>
      <c r="AA20" s="35">
        <v>9.6834314062499995</v>
      </c>
      <c r="AB20" s="36">
        <v>82.648147229745447</v>
      </c>
      <c r="AC20" s="30">
        <v>3</v>
      </c>
      <c r="AD20" s="33">
        <f t="shared" si="59"/>
        <v>0.75</v>
      </c>
      <c r="AE20" s="43">
        <v>167</v>
      </c>
      <c r="AF20" s="30">
        <v>3</v>
      </c>
      <c r="AG20" s="34">
        <f t="shared" si="60"/>
        <v>0.5</v>
      </c>
      <c r="AH20" s="30">
        <f t="shared" si="61"/>
        <v>0.25</v>
      </c>
      <c r="AI20" s="35">
        <v>11.44977171875</v>
      </c>
      <c r="AJ20" s="36">
        <v>83.267813596684633</v>
      </c>
      <c r="AK20" s="30">
        <v>4</v>
      </c>
      <c r="AL20" s="33">
        <f t="shared" si="62"/>
        <v>1</v>
      </c>
      <c r="AM20" s="43">
        <f>(82+72+97+79)/4</f>
        <v>82.5</v>
      </c>
      <c r="AN20" s="30">
        <v>0</v>
      </c>
      <c r="AO20" s="34">
        <f t="shared" si="63"/>
        <v>0</v>
      </c>
      <c r="AP20" s="30">
        <f t="shared" si="64"/>
        <v>0</v>
      </c>
      <c r="AQ20" s="35">
        <v>11.193027499999999</v>
      </c>
      <c r="AR20" s="36">
        <v>83.181953695083536</v>
      </c>
      <c r="AS20" s="30">
        <v>4</v>
      </c>
      <c r="AT20" s="33">
        <f t="shared" si="65"/>
        <v>1</v>
      </c>
      <c r="AU20" s="43">
        <v>96.75</v>
      </c>
      <c r="AV20" s="30">
        <v>2</v>
      </c>
      <c r="AW20" s="34">
        <f t="shared" si="66"/>
        <v>0.33333333333333331</v>
      </c>
      <c r="AX20" s="30">
        <f t="shared" si="67"/>
        <v>0</v>
      </c>
    </row>
    <row r="21" spans="1:50" ht="14.4" thickBot="1" x14ac:dyDescent="0.3">
      <c r="A21" s="30" t="s">
        <v>25</v>
      </c>
      <c r="B21" s="30" t="s">
        <v>26</v>
      </c>
      <c r="C21" s="37">
        <v>11.269884062499999</v>
      </c>
      <c r="D21" s="38">
        <v>83.276560098087018</v>
      </c>
      <c r="E21" s="39">
        <v>4</v>
      </c>
      <c r="F21" s="33">
        <f t="shared" si="50"/>
        <v>1</v>
      </c>
      <c r="G21" s="45">
        <f>(45+52+40+34)/4</f>
        <v>42.75</v>
      </c>
      <c r="H21" s="39">
        <v>0</v>
      </c>
      <c r="I21" s="34">
        <f t="shared" si="51"/>
        <v>0</v>
      </c>
      <c r="J21" s="30">
        <f t="shared" si="52"/>
        <v>0</v>
      </c>
      <c r="K21" s="37">
        <v>10.43136271875</v>
      </c>
      <c r="L21" s="38">
        <v>83.268654564251037</v>
      </c>
      <c r="M21" s="39">
        <v>4</v>
      </c>
      <c r="N21" s="33">
        <f t="shared" si="53"/>
        <v>1</v>
      </c>
      <c r="O21" s="45">
        <v>41.4</v>
      </c>
      <c r="P21" s="39">
        <v>0</v>
      </c>
      <c r="Q21" s="34">
        <f t="shared" si="54"/>
        <v>0</v>
      </c>
      <c r="R21" s="30">
        <f t="shared" si="55"/>
        <v>0</v>
      </c>
      <c r="S21" s="37">
        <v>9.5443504687500003</v>
      </c>
      <c r="T21" s="38">
        <v>83.279785130483262</v>
      </c>
      <c r="U21" s="39">
        <v>4</v>
      </c>
      <c r="V21" s="33">
        <f t="shared" si="56"/>
        <v>1</v>
      </c>
      <c r="W21" s="45">
        <v>44.5</v>
      </c>
      <c r="X21" s="39">
        <v>0</v>
      </c>
      <c r="Y21" s="34">
        <f t="shared" si="57"/>
        <v>0</v>
      </c>
      <c r="Z21" s="30">
        <f t="shared" si="58"/>
        <v>0</v>
      </c>
      <c r="AA21" s="37">
        <v>10.087449843750001</v>
      </c>
      <c r="AB21" s="38">
        <v>82.629392494989503</v>
      </c>
      <c r="AC21" s="39">
        <v>2</v>
      </c>
      <c r="AD21" s="33">
        <f t="shared" si="59"/>
        <v>0.5</v>
      </c>
      <c r="AE21" s="45">
        <v>168</v>
      </c>
      <c r="AF21" s="39">
        <v>6</v>
      </c>
      <c r="AG21" s="34">
        <f t="shared" si="60"/>
        <v>0.75</v>
      </c>
      <c r="AH21" s="30">
        <f t="shared" si="61"/>
        <v>0.5</v>
      </c>
      <c r="AI21" s="37">
        <v>12.068248125</v>
      </c>
      <c r="AJ21" s="38">
        <v>83.157519652023808</v>
      </c>
      <c r="AK21" s="39">
        <v>4</v>
      </c>
      <c r="AL21" s="33">
        <f t="shared" si="62"/>
        <v>1</v>
      </c>
      <c r="AM21" s="45">
        <f>(101+103+98+88)/4</f>
        <v>97.5</v>
      </c>
      <c r="AN21" s="39">
        <v>0</v>
      </c>
      <c r="AO21" s="34">
        <f t="shared" si="63"/>
        <v>0</v>
      </c>
      <c r="AP21" s="30">
        <f t="shared" si="64"/>
        <v>0</v>
      </c>
      <c r="AQ21" s="37">
        <v>10.84443890625</v>
      </c>
      <c r="AR21" s="38">
        <v>83.024526391644059</v>
      </c>
      <c r="AS21" s="39">
        <v>4</v>
      </c>
      <c r="AT21" s="33">
        <f t="shared" si="65"/>
        <v>1</v>
      </c>
      <c r="AU21" s="45">
        <v>116.5</v>
      </c>
      <c r="AV21" s="39">
        <v>4</v>
      </c>
      <c r="AW21" s="34">
        <f t="shared" si="66"/>
        <v>0.5</v>
      </c>
      <c r="AX21" s="30">
        <f t="shared" si="67"/>
        <v>0</v>
      </c>
    </row>
    <row r="22" spans="1:50" x14ac:dyDescent="0.25">
      <c r="C22" s="30">
        <f>AVERAGE(C17:C21)</f>
        <v>11.069579999999998</v>
      </c>
      <c r="D22" s="30">
        <f t="shared" ref="D22:I22" si="68">AVERAGE(D17:D21)</f>
        <v>83.295067938378423</v>
      </c>
      <c r="E22" s="30">
        <f t="shared" si="68"/>
        <v>4</v>
      </c>
      <c r="F22" s="30">
        <f t="shared" si="68"/>
        <v>1</v>
      </c>
      <c r="G22" s="43">
        <f t="shared" si="68"/>
        <v>41.9</v>
      </c>
      <c r="H22" s="30">
        <f t="shared" si="68"/>
        <v>0.4</v>
      </c>
      <c r="I22" s="30">
        <f t="shared" si="68"/>
        <v>0.08</v>
      </c>
      <c r="J22" s="30">
        <f>AVERAGE(J17:J21)</f>
        <v>0</v>
      </c>
      <c r="K22" s="30">
        <v>10.623711287499999</v>
      </c>
      <c r="L22" s="30">
        <v>83.294231993494947</v>
      </c>
      <c r="M22" s="30">
        <v>4</v>
      </c>
      <c r="N22" s="30">
        <v>1</v>
      </c>
      <c r="O22" s="43">
        <v>40.68</v>
      </c>
      <c r="P22" s="30">
        <v>0.32</v>
      </c>
      <c r="Q22" s="30">
        <v>6.666666666666668E-2</v>
      </c>
      <c r="R22" s="30">
        <f>AVERAGE(R17:R21)</f>
        <v>0</v>
      </c>
      <c r="S22" s="30">
        <f>AVERAGE(S17:S21)</f>
        <v>9.8903350937500001</v>
      </c>
      <c r="T22" s="30">
        <f t="shared" ref="T22:Y22" si="69">AVERAGE(T17:T21)</f>
        <v>83.298891402715213</v>
      </c>
      <c r="U22" s="30">
        <f t="shared" si="69"/>
        <v>4</v>
      </c>
      <c r="V22" s="30">
        <f t="shared" si="69"/>
        <v>1</v>
      </c>
      <c r="W22" s="43">
        <f t="shared" si="69"/>
        <v>51.35</v>
      </c>
      <c r="X22" s="30">
        <f t="shared" si="69"/>
        <v>0.2</v>
      </c>
      <c r="Y22" s="30">
        <f t="shared" si="69"/>
        <v>0.04</v>
      </c>
      <c r="Z22" s="30">
        <f>AVERAGE(Z17:Z21)</f>
        <v>0</v>
      </c>
      <c r="AA22" s="30">
        <f>AVERAGE(AA17:AA21)</f>
        <v>9.9815833124999997</v>
      </c>
      <c r="AB22" s="30">
        <f t="shared" ref="AB22:AG22" si="70">AVERAGE(AB17:AB21)</f>
        <v>81.095048535478213</v>
      </c>
      <c r="AC22" s="30">
        <f t="shared" si="70"/>
        <v>3.2</v>
      </c>
      <c r="AD22" s="30">
        <f t="shared" si="70"/>
        <v>0.8</v>
      </c>
      <c r="AE22" s="43">
        <f t="shared" si="70"/>
        <v>162.55000000000001</v>
      </c>
      <c r="AF22" s="30">
        <f t="shared" si="70"/>
        <v>2.2000000000000002</v>
      </c>
      <c r="AG22" s="30">
        <f t="shared" si="70"/>
        <v>0.33999999999999997</v>
      </c>
      <c r="AH22" s="30">
        <f>AVERAGE(AH17:AH21)</f>
        <v>0.2</v>
      </c>
      <c r="AI22" s="30">
        <f>AVERAGE(AI17:AI21)</f>
        <v>11.34119734375</v>
      </c>
      <c r="AJ22" s="30">
        <f t="shared" ref="AJ22:AO22" si="71">AVERAGE(AJ17:AJ21)</f>
        <v>83.203368792972626</v>
      </c>
      <c r="AK22" s="30">
        <f t="shared" si="71"/>
        <v>4</v>
      </c>
      <c r="AL22" s="30">
        <f t="shared" si="71"/>
        <v>1</v>
      </c>
      <c r="AM22" s="43">
        <f t="shared" si="71"/>
        <v>84.05</v>
      </c>
      <c r="AN22" s="30">
        <f t="shared" si="71"/>
        <v>0.2</v>
      </c>
      <c r="AO22" s="30">
        <f t="shared" si="71"/>
        <v>0.04</v>
      </c>
      <c r="AP22" s="30">
        <f>AVERAGE(AP17:AP21)</f>
        <v>0</v>
      </c>
      <c r="AQ22" s="30">
        <f>AVERAGE(AQ17:AQ21)</f>
        <v>10.905196499999999</v>
      </c>
      <c r="AR22" s="30">
        <f t="shared" ref="AR22:AW22" si="72">AVERAGE(AR17:AR21)</f>
        <v>83.154111687009532</v>
      </c>
      <c r="AS22" s="30">
        <f t="shared" si="72"/>
        <v>4</v>
      </c>
      <c r="AT22" s="30">
        <f t="shared" si="72"/>
        <v>1</v>
      </c>
      <c r="AU22" s="43">
        <f t="shared" si="72"/>
        <v>98.55</v>
      </c>
      <c r="AV22" s="30">
        <f t="shared" si="72"/>
        <v>2.2000000000000002</v>
      </c>
      <c r="AW22" s="30">
        <f t="shared" si="72"/>
        <v>0.31904761904761902</v>
      </c>
      <c r="AX22" s="30">
        <f>AVERAGE(AX17:AX21)</f>
        <v>0</v>
      </c>
    </row>
    <row r="23" spans="1:50" ht="14.4" thickBot="1" x14ac:dyDescent="0.3"/>
    <row r="24" spans="1:50" ht="14.4" thickBot="1" x14ac:dyDescent="0.3">
      <c r="A24" s="30" t="s">
        <v>27</v>
      </c>
      <c r="B24" s="30" t="s">
        <v>26</v>
      </c>
      <c r="C24" s="31">
        <v>9.0745042187500005</v>
      </c>
      <c r="D24" s="32">
        <v>85.400364592439217</v>
      </c>
      <c r="E24" s="33">
        <v>4</v>
      </c>
      <c r="F24" s="33">
        <f>E24/4</f>
        <v>1</v>
      </c>
      <c r="G24" s="44">
        <f>(40+40+41+37)/4</f>
        <v>39.5</v>
      </c>
      <c r="H24" s="33">
        <v>0</v>
      </c>
      <c r="I24" s="34">
        <f>H24/(E24+H24)</f>
        <v>0</v>
      </c>
      <c r="J24" s="30">
        <f>1-F24</f>
        <v>0</v>
      </c>
      <c r="K24" s="31">
        <v>9.8823816562500006</v>
      </c>
      <c r="L24" s="32">
        <v>85.401014401560587</v>
      </c>
      <c r="M24" s="33">
        <v>4</v>
      </c>
      <c r="N24" s="33">
        <f>M24/4</f>
        <v>1</v>
      </c>
      <c r="O24" s="44">
        <v>38.85</v>
      </c>
      <c r="P24" s="33">
        <v>0</v>
      </c>
      <c r="Q24" s="34">
        <f>P24/(M24+P24)</f>
        <v>0</v>
      </c>
      <c r="R24" s="30">
        <f>1-N24</f>
        <v>0</v>
      </c>
      <c r="S24" s="31">
        <v>8.7468798437499995</v>
      </c>
      <c r="T24" s="32">
        <v>85.407031698610638</v>
      </c>
      <c r="U24" s="33">
        <v>4</v>
      </c>
      <c r="V24" s="33">
        <f>U24/4</f>
        <v>1</v>
      </c>
      <c r="W24" s="44">
        <v>40.5</v>
      </c>
      <c r="X24" s="33">
        <v>0</v>
      </c>
      <c r="Y24" s="34">
        <f>X24/(U24+X24)</f>
        <v>0</v>
      </c>
      <c r="Z24" s="30">
        <f>1-V24</f>
        <v>0</v>
      </c>
      <c r="AA24" s="31">
        <v>9.2969620312500005</v>
      </c>
      <c r="AB24" s="32">
        <v>81.869834976393989</v>
      </c>
      <c r="AC24" s="33">
        <v>3</v>
      </c>
      <c r="AD24" s="33">
        <f>AC24/4</f>
        <v>0.75</v>
      </c>
      <c r="AE24" s="44">
        <v>116.77</v>
      </c>
      <c r="AF24" s="33">
        <v>3</v>
      </c>
      <c r="AG24" s="34">
        <f>AF24/(AC24+AF24)</f>
        <v>0.5</v>
      </c>
      <c r="AH24" s="30">
        <f>1-AD24</f>
        <v>0.25</v>
      </c>
      <c r="AI24" s="31">
        <v>10.399813125</v>
      </c>
      <c r="AJ24" s="32">
        <v>85.329521318484339</v>
      </c>
      <c r="AK24" s="33">
        <v>4</v>
      </c>
      <c r="AL24" s="33">
        <f>AK24/4</f>
        <v>1</v>
      </c>
      <c r="AM24" s="44">
        <f>(86+66+86+91)/4</f>
        <v>82.25</v>
      </c>
      <c r="AN24" s="33">
        <v>1</v>
      </c>
      <c r="AO24" s="34">
        <f>AN24/(AK24+AN24)</f>
        <v>0.2</v>
      </c>
      <c r="AP24" s="30">
        <f>1-AL24</f>
        <v>0</v>
      </c>
      <c r="AQ24" s="31">
        <v>9.7958109375000006</v>
      </c>
      <c r="AR24" s="32">
        <v>85.300885857450538</v>
      </c>
      <c r="AS24" s="33">
        <v>4</v>
      </c>
      <c r="AT24" s="33">
        <f>AS24/4</f>
        <v>1</v>
      </c>
      <c r="AU24" s="44">
        <v>95</v>
      </c>
      <c r="AV24" s="33">
        <v>2</v>
      </c>
      <c r="AW24" s="34">
        <f>AV24/(AS24+AV24)</f>
        <v>0.33333333333333331</v>
      </c>
      <c r="AX24" s="30">
        <f>1-AT24</f>
        <v>0</v>
      </c>
    </row>
    <row r="25" spans="1:50" ht="14.4" thickBot="1" x14ac:dyDescent="0.3">
      <c r="A25" s="30" t="s">
        <v>28</v>
      </c>
      <c r="B25" s="30" t="s">
        <v>26</v>
      </c>
      <c r="C25" s="35">
        <v>10.142459687500001</v>
      </c>
      <c r="D25" s="36">
        <v>85.630708169675401</v>
      </c>
      <c r="E25" s="30">
        <v>4</v>
      </c>
      <c r="F25" s="33">
        <f t="shared" ref="F25:F28" si="73">E25/4</f>
        <v>1</v>
      </c>
      <c r="G25" s="43">
        <f>(47+42+53+51)/4</f>
        <v>48.25</v>
      </c>
      <c r="H25" s="30">
        <v>0</v>
      </c>
      <c r="I25" s="34">
        <f t="shared" ref="I25:I28" si="74">H25/(E25+H25)</f>
        <v>0</v>
      </c>
      <c r="J25" s="30">
        <f t="shared" ref="J25:J28" si="75">1-F25</f>
        <v>0</v>
      </c>
      <c r="K25" s="35">
        <v>10.0432665</v>
      </c>
      <c r="L25" s="36">
        <v>85.634786670748113</v>
      </c>
      <c r="M25" s="30">
        <v>4</v>
      </c>
      <c r="N25" s="33">
        <f t="shared" ref="N25:N28" si="76">M25/4</f>
        <v>1</v>
      </c>
      <c r="O25" s="43">
        <v>47.35</v>
      </c>
      <c r="P25" s="30">
        <v>0</v>
      </c>
      <c r="Q25" s="34">
        <f t="shared" ref="Q25:Q28" si="77">P25/(M25+P25)</f>
        <v>0</v>
      </c>
      <c r="R25" s="30">
        <f t="shared" ref="R25:R28" si="78">1-N25</f>
        <v>0</v>
      </c>
      <c r="S25" s="35">
        <v>9.9377346875000008</v>
      </c>
      <c r="T25" s="36">
        <v>85.63785424452351</v>
      </c>
      <c r="U25" s="30">
        <v>4</v>
      </c>
      <c r="V25" s="33">
        <f t="shared" ref="V25:V28" si="79">U25/4</f>
        <v>1</v>
      </c>
      <c r="W25" s="43">
        <v>49.5</v>
      </c>
      <c r="X25" s="30">
        <v>0</v>
      </c>
      <c r="Y25" s="34">
        <f t="shared" ref="Y25:Y28" si="80">X25/(U25+X25)</f>
        <v>0</v>
      </c>
      <c r="Z25" s="30">
        <f t="shared" ref="Z25:Z28" si="81">1-V25</f>
        <v>0</v>
      </c>
      <c r="AA25" s="35">
        <v>8.9820100000000007</v>
      </c>
      <c r="AB25" s="36">
        <v>85.421635670868994</v>
      </c>
      <c r="AC25" s="30">
        <v>3</v>
      </c>
      <c r="AD25" s="33">
        <f t="shared" ref="AD25:AD28" si="82">AC25/4</f>
        <v>0.75</v>
      </c>
      <c r="AE25" s="43">
        <v>150.66</v>
      </c>
      <c r="AF25" s="30">
        <v>2</v>
      </c>
      <c r="AG25" s="34">
        <f t="shared" ref="AG25:AG28" si="83">AF25/(AC25+AF25)</f>
        <v>0.4</v>
      </c>
      <c r="AH25" s="30">
        <f t="shared" ref="AH25:AH28" si="84">1-AD25</f>
        <v>0.25</v>
      </c>
      <c r="AI25" s="35">
        <v>10.273791718749999</v>
      </c>
      <c r="AJ25" s="36">
        <v>85.545108897668882</v>
      </c>
      <c r="AK25" s="30">
        <v>4</v>
      </c>
      <c r="AL25" s="33">
        <f t="shared" ref="AL25:AL28" si="85">AK25/4</f>
        <v>1</v>
      </c>
      <c r="AM25" s="43">
        <f>(91+86+93+85)/4</f>
        <v>88.75</v>
      </c>
      <c r="AN25" s="30">
        <v>0</v>
      </c>
      <c r="AO25" s="34">
        <f t="shared" ref="AO25:AO28" si="86">AN25/(AK25+AN25)</f>
        <v>0</v>
      </c>
      <c r="AP25" s="30">
        <f t="shared" ref="AP25:AP28" si="87">1-AL25</f>
        <v>0</v>
      </c>
      <c r="AQ25" s="35">
        <v>9.7908790625000002</v>
      </c>
      <c r="AR25" s="36">
        <v>85.516479061456607</v>
      </c>
      <c r="AS25" s="30">
        <v>4</v>
      </c>
      <c r="AT25" s="33">
        <f t="shared" ref="AT25:AT28" si="88">AS25/4</f>
        <v>1</v>
      </c>
      <c r="AU25" s="43">
        <v>104</v>
      </c>
      <c r="AV25" s="30">
        <v>1</v>
      </c>
      <c r="AW25" s="34">
        <f t="shared" ref="AW25:AW28" si="89">AV25/(AS25+AV25)</f>
        <v>0.2</v>
      </c>
      <c r="AX25" s="30">
        <f t="shared" ref="AX25:AX28" si="90">1-AT25</f>
        <v>0</v>
      </c>
    </row>
    <row r="26" spans="1:50" ht="14.4" thickBot="1" x14ac:dyDescent="0.3">
      <c r="A26" s="30" t="s">
        <v>29</v>
      </c>
      <c r="B26" s="30" t="s">
        <v>26</v>
      </c>
      <c r="C26" s="35">
        <v>9.1355050000000002</v>
      </c>
      <c r="D26" s="36">
        <v>86.623758528319399</v>
      </c>
      <c r="E26" s="30">
        <v>4</v>
      </c>
      <c r="F26" s="33">
        <f t="shared" si="73"/>
        <v>1</v>
      </c>
      <c r="G26" s="43">
        <f>(49+31+38+35)/4</f>
        <v>38.25</v>
      </c>
      <c r="H26" s="30">
        <v>0</v>
      </c>
      <c r="I26" s="34">
        <f t="shared" si="74"/>
        <v>0</v>
      </c>
      <c r="J26" s="30">
        <f t="shared" si="75"/>
        <v>0</v>
      </c>
      <c r="K26" s="35">
        <v>9.5414676874999991</v>
      </c>
      <c r="L26" s="36">
        <v>86.636637224461964</v>
      </c>
      <c r="M26" s="30">
        <v>4</v>
      </c>
      <c r="N26" s="33">
        <f t="shared" si="76"/>
        <v>1</v>
      </c>
      <c r="O26" s="43">
        <v>35.85</v>
      </c>
      <c r="P26" s="30">
        <v>0</v>
      </c>
      <c r="Q26" s="34">
        <f t="shared" si="77"/>
        <v>0</v>
      </c>
      <c r="R26" s="30">
        <f t="shared" si="78"/>
        <v>0</v>
      </c>
      <c r="S26" s="35">
        <v>8.7255001562499999</v>
      </c>
      <c r="T26" s="36">
        <v>86.627725041213154</v>
      </c>
      <c r="U26" s="30">
        <v>4</v>
      </c>
      <c r="V26" s="33">
        <f t="shared" si="79"/>
        <v>1</v>
      </c>
      <c r="W26" s="43">
        <v>39.75</v>
      </c>
      <c r="X26" s="30">
        <v>0</v>
      </c>
      <c r="Y26" s="34">
        <f t="shared" si="80"/>
        <v>0</v>
      </c>
      <c r="Z26" s="30">
        <f t="shared" si="81"/>
        <v>0</v>
      </c>
      <c r="AA26" s="35">
        <v>9.6155170312500005</v>
      </c>
      <c r="AB26" s="36">
        <v>80.777727437676205</v>
      </c>
      <c r="AC26" s="30">
        <v>1</v>
      </c>
      <c r="AD26" s="33">
        <f t="shared" si="82"/>
        <v>0.25</v>
      </c>
      <c r="AE26" s="43">
        <v>181</v>
      </c>
      <c r="AF26" s="30">
        <v>3</v>
      </c>
      <c r="AG26" s="34">
        <f t="shared" si="83"/>
        <v>0.75</v>
      </c>
      <c r="AH26" s="30">
        <f t="shared" si="84"/>
        <v>0.75</v>
      </c>
      <c r="AI26" s="35">
        <v>11.371273125</v>
      </c>
      <c r="AJ26" s="36">
        <v>86.596664348873631</v>
      </c>
      <c r="AK26" s="30">
        <v>3</v>
      </c>
      <c r="AL26" s="33">
        <f t="shared" si="85"/>
        <v>0.75</v>
      </c>
      <c r="AM26" s="43">
        <f>(58+40+54)/3</f>
        <v>50.666666666666664</v>
      </c>
      <c r="AN26" s="30">
        <v>1</v>
      </c>
      <c r="AO26" s="34">
        <f t="shared" si="86"/>
        <v>0.25</v>
      </c>
      <c r="AP26" s="30">
        <f t="shared" si="87"/>
        <v>0.25</v>
      </c>
      <c r="AQ26" s="35">
        <v>9.9163739062499996</v>
      </c>
      <c r="AR26" s="36">
        <v>86.315050584128741</v>
      </c>
      <c r="AS26" s="30">
        <v>4</v>
      </c>
      <c r="AT26" s="33">
        <f t="shared" si="88"/>
        <v>1</v>
      </c>
      <c r="AU26" s="43">
        <v>47.75</v>
      </c>
      <c r="AV26" s="30">
        <v>8</v>
      </c>
      <c r="AW26" s="34">
        <f t="shared" si="89"/>
        <v>0.66666666666666663</v>
      </c>
      <c r="AX26" s="30">
        <f t="shared" si="90"/>
        <v>0</v>
      </c>
    </row>
    <row r="27" spans="1:50" ht="14.4" thickBot="1" x14ac:dyDescent="0.3">
      <c r="A27" s="30" t="s">
        <v>30</v>
      </c>
      <c r="B27" s="30" t="s">
        <v>26</v>
      </c>
      <c r="C27" s="35">
        <v>10.36243546875</v>
      </c>
      <c r="D27" s="36">
        <v>85.740321704737823</v>
      </c>
      <c r="E27" s="30">
        <v>4</v>
      </c>
      <c r="F27" s="33">
        <f t="shared" si="73"/>
        <v>1</v>
      </c>
      <c r="G27" s="43">
        <f>(41+38+33+49)/4</f>
        <v>40.25</v>
      </c>
      <c r="H27" s="30">
        <v>0</v>
      </c>
      <c r="I27" s="34">
        <f t="shared" si="74"/>
        <v>0</v>
      </c>
      <c r="J27" s="30">
        <f t="shared" si="75"/>
        <v>0</v>
      </c>
      <c r="K27" s="35">
        <v>9.9727176562500013</v>
      </c>
      <c r="L27" s="36">
        <v>85.741535740976957</v>
      </c>
      <c r="M27" s="30">
        <v>4</v>
      </c>
      <c r="N27" s="33">
        <f t="shared" si="76"/>
        <v>1</v>
      </c>
      <c r="O27" s="43">
        <v>39.549999999999997</v>
      </c>
      <c r="P27" s="30">
        <v>0.6</v>
      </c>
      <c r="Q27" s="34">
        <f t="shared" si="77"/>
        <v>0.13043478260869565</v>
      </c>
      <c r="R27" s="30">
        <f t="shared" si="78"/>
        <v>0</v>
      </c>
      <c r="S27" s="35">
        <v>8.7626256250000001</v>
      </c>
      <c r="T27" s="36">
        <v>85.740216896719915</v>
      </c>
      <c r="U27" s="30">
        <v>4</v>
      </c>
      <c r="V27" s="33">
        <f t="shared" si="79"/>
        <v>1</v>
      </c>
      <c r="W27" s="43">
        <v>41.25</v>
      </c>
      <c r="X27" s="30">
        <v>0</v>
      </c>
      <c r="Y27" s="34">
        <f t="shared" si="80"/>
        <v>0</v>
      </c>
      <c r="Z27" s="30">
        <f t="shared" si="81"/>
        <v>0</v>
      </c>
      <c r="AA27" s="35">
        <v>9.5800203125000003</v>
      </c>
      <c r="AB27" s="36">
        <v>84.845834088442984</v>
      </c>
      <c r="AC27" s="30">
        <v>3</v>
      </c>
      <c r="AD27" s="33">
        <f t="shared" si="82"/>
        <v>0.75</v>
      </c>
      <c r="AE27" s="43">
        <v>161.66</v>
      </c>
      <c r="AF27" s="30">
        <v>2</v>
      </c>
      <c r="AG27" s="34">
        <f t="shared" si="83"/>
        <v>0.4</v>
      </c>
      <c r="AH27" s="30">
        <f t="shared" si="84"/>
        <v>0.25</v>
      </c>
      <c r="AI27" s="35">
        <v>10.46221375</v>
      </c>
      <c r="AJ27" s="36">
        <v>85.661976569568722</v>
      </c>
      <c r="AK27" s="30">
        <v>4</v>
      </c>
      <c r="AL27" s="33">
        <f t="shared" si="85"/>
        <v>1</v>
      </c>
      <c r="AM27" s="43">
        <f>(79+80+64+97)/4</f>
        <v>80</v>
      </c>
      <c r="AN27" s="30">
        <v>0</v>
      </c>
      <c r="AO27" s="34">
        <f t="shared" si="86"/>
        <v>0</v>
      </c>
      <c r="AP27" s="30">
        <f t="shared" si="87"/>
        <v>0</v>
      </c>
      <c r="AQ27" s="35">
        <v>9.7092776562500003</v>
      </c>
      <c r="AR27" s="36">
        <v>85.650682667643053</v>
      </c>
      <c r="AS27" s="30">
        <v>4</v>
      </c>
      <c r="AT27" s="33">
        <f t="shared" si="88"/>
        <v>1</v>
      </c>
      <c r="AU27" s="43">
        <v>90.75</v>
      </c>
      <c r="AV27" s="30">
        <v>0</v>
      </c>
      <c r="AW27" s="34">
        <f t="shared" si="89"/>
        <v>0</v>
      </c>
      <c r="AX27" s="30">
        <f t="shared" si="90"/>
        <v>0</v>
      </c>
    </row>
    <row r="28" spans="1:50" ht="14.4" thickBot="1" x14ac:dyDescent="0.3">
      <c r="A28" s="30" t="s">
        <v>31</v>
      </c>
      <c r="B28" s="30" t="s">
        <v>26</v>
      </c>
      <c r="C28" s="37">
        <v>10.762421406250001</v>
      </c>
      <c r="D28" s="38">
        <v>86.406017872953512</v>
      </c>
      <c r="E28" s="39">
        <v>4</v>
      </c>
      <c r="F28" s="33">
        <f t="shared" si="73"/>
        <v>1</v>
      </c>
      <c r="G28" s="45">
        <f>(44+43+41+52)/4</f>
        <v>45</v>
      </c>
      <c r="H28" s="39">
        <v>0</v>
      </c>
      <c r="I28" s="34">
        <f t="shared" si="74"/>
        <v>0</v>
      </c>
      <c r="J28" s="30">
        <f t="shared" si="75"/>
        <v>0</v>
      </c>
      <c r="K28" s="37">
        <v>10.50592846875</v>
      </c>
      <c r="L28" s="38">
        <v>86.406327300836708</v>
      </c>
      <c r="M28" s="39">
        <v>4</v>
      </c>
      <c r="N28" s="33">
        <f t="shared" si="76"/>
        <v>1</v>
      </c>
      <c r="O28" s="45">
        <v>44.6</v>
      </c>
      <c r="P28" s="39">
        <v>0</v>
      </c>
      <c r="Q28" s="34">
        <f t="shared" si="77"/>
        <v>0</v>
      </c>
      <c r="R28" s="30">
        <f t="shared" si="78"/>
        <v>0</v>
      </c>
      <c r="S28" s="37">
        <v>8.7149142187499997</v>
      </c>
      <c r="T28" s="38">
        <v>86.399502018817529</v>
      </c>
      <c r="U28" s="39">
        <v>4</v>
      </c>
      <c r="V28" s="33">
        <f t="shared" si="79"/>
        <v>1</v>
      </c>
      <c r="W28" s="45">
        <v>46.5</v>
      </c>
      <c r="X28" s="39">
        <v>0</v>
      </c>
      <c r="Y28" s="34">
        <f t="shared" si="80"/>
        <v>0</v>
      </c>
      <c r="Z28" s="30">
        <f t="shared" si="81"/>
        <v>0</v>
      </c>
      <c r="AA28" s="37">
        <v>9.0567314062499999</v>
      </c>
      <c r="AB28" s="38">
        <v>86.048270201719205</v>
      </c>
      <c r="AC28" s="39">
        <v>3</v>
      </c>
      <c r="AD28" s="33">
        <f t="shared" si="82"/>
        <v>0.75</v>
      </c>
      <c r="AE28" s="45">
        <v>165</v>
      </c>
      <c r="AF28" s="39">
        <v>3</v>
      </c>
      <c r="AG28" s="34">
        <f t="shared" si="83"/>
        <v>0.5</v>
      </c>
      <c r="AH28" s="30">
        <f t="shared" si="84"/>
        <v>0.25</v>
      </c>
      <c r="AI28" s="37">
        <v>11.392097343750001</v>
      </c>
      <c r="AJ28" s="38">
        <v>86.317366089755524</v>
      </c>
      <c r="AK28" s="39">
        <v>4</v>
      </c>
      <c r="AL28" s="33">
        <f t="shared" si="85"/>
        <v>1</v>
      </c>
      <c r="AM28" s="45">
        <f>(91+97+73+90)/4</f>
        <v>87.75</v>
      </c>
      <c r="AN28" s="39">
        <v>1</v>
      </c>
      <c r="AO28" s="34">
        <f t="shared" si="86"/>
        <v>0.2</v>
      </c>
      <c r="AP28" s="30">
        <f t="shared" si="87"/>
        <v>0</v>
      </c>
      <c r="AQ28" s="37">
        <v>10.07231265625</v>
      </c>
      <c r="AR28" s="38">
        <v>86.310717298961762</v>
      </c>
      <c r="AS28" s="39">
        <v>4</v>
      </c>
      <c r="AT28" s="33">
        <f t="shared" si="88"/>
        <v>1</v>
      </c>
      <c r="AU28" s="45">
        <v>93</v>
      </c>
      <c r="AV28" s="39">
        <v>2</v>
      </c>
      <c r="AW28" s="34">
        <f t="shared" si="89"/>
        <v>0.33333333333333331</v>
      </c>
      <c r="AX28" s="30">
        <f t="shared" si="90"/>
        <v>0</v>
      </c>
    </row>
    <row r="29" spans="1:50" x14ac:dyDescent="0.25">
      <c r="C29" s="30">
        <f>AVERAGE(C24:C28)</f>
        <v>9.8954651562500011</v>
      </c>
      <c r="D29" s="30">
        <f t="shared" ref="D29:I29" si="91">AVERAGE(D24:D28)</f>
        <v>85.960234173625068</v>
      </c>
      <c r="E29" s="30">
        <f t="shared" si="91"/>
        <v>4</v>
      </c>
      <c r="F29" s="30">
        <f t="shared" si="91"/>
        <v>1</v>
      </c>
      <c r="G29" s="43">
        <f>AVERAGE(G24:G28)</f>
        <v>42.25</v>
      </c>
      <c r="H29" s="30">
        <f t="shared" si="91"/>
        <v>0</v>
      </c>
      <c r="I29" s="30">
        <f t="shared" si="91"/>
        <v>0</v>
      </c>
      <c r="J29" s="30">
        <f>AVERAGE(J24:J28)</f>
        <v>0</v>
      </c>
      <c r="K29" s="30">
        <v>9.9891523937500004</v>
      </c>
      <c r="L29" s="30">
        <v>85.96406026771686</v>
      </c>
      <c r="M29" s="30">
        <v>4</v>
      </c>
      <c r="N29" s="30">
        <v>1</v>
      </c>
      <c r="O29" s="43">
        <v>41.24</v>
      </c>
      <c r="P29" s="30">
        <v>0.12</v>
      </c>
      <c r="Q29" s="30">
        <v>2.6086956521739129E-2</v>
      </c>
      <c r="R29" s="30">
        <f>AVERAGE(R24:R28)</f>
        <v>0</v>
      </c>
      <c r="S29" s="30">
        <f>AVERAGE(S24:S28)</f>
        <v>8.9775309062499993</v>
      </c>
      <c r="T29" s="30">
        <f t="shared" ref="T29:Y29" si="92">AVERAGE(T24:T28)</f>
        <v>85.962465979976955</v>
      </c>
      <c r="U29" s="30">
        <f t="shared" si="92"/>
        <v>4</v>
      </c>
      <c r="V29" s="30">
        <f t="shared" si="92"/>
        <v>1</v>
      </c>
      <c r="W29" s="43">
        <f t="shared" si="92"/>
        <v>43.5</v>
      </c>
      <c r="X29" s="30">
        <f t="shared" si="92"/>
        <v>0</v>
      </c>
      <c r="Y29" s="30">
        <f t="shared" si="92"/>
        <v>0</v>
      </c>
      <c r="Z29" s="30">
        <f>AVERAGE(Z24:Z28)</f>
        <v>0</v>
      </c>
      <c r="AA29" s="30">
        <f>AVERAGE(AA24:AA28)</f>
        <v>9.3062481562499997</v>
      </c>
      <c r="AB29" s="30">
        <f t="shared" ref="AB29:AG29" si="93">AVERAGE(AB24:AB28)</f>
        <v>83.792660475020284</v>
      </c>
      <c r="AC29" s="30">
        <f t="shared" si="93"/>
        <v>2.6</v>
      </c>
      <c r="AD29" s="30">
        <f t="shared" si="93"/>
        <v>0.65</v>
      </c>
      <c r="AE29" s="43">
        <f t="shared" si="93"/>
        <v>155.018</v>
      </c>
      <c r="AF29" s="30">
        <f t="shared" si="93"/>
        <v>2.6</v>
      </c>
      <c r="AG29" s="30">
        <f t="shared" si="93"/>
        <v>0.51</v>
      </c>
      <c r="AH29" s="30">
        <f>AVERAGE(AH24:AH28)</f>
        <v>0.35</v>
      </c>
      <c r="AI29" s="30">
        <f>AVERAGE(AI24:AI28)</f>
        <v>10.779837812500002</v>
      </c>
      <c r="AJ29" s="30">
        <f t="shared" ref="AJ29:AO29" si="94">AVERAGE(AJ24:AJ28)</f>
        <v>85.890127444870217</v>
      </c>
      <c r="AK29" s="30">
        <f t="shared" si="94"/>
        <v>3.8</v>
      </c>
      <c r="AL29" s="30">
        <f t="shared" si="94"/>
        <v>0.95</v>
      </c>
      <c r="AM29" s="43">
        <f t="shared" si="94"/>
        <v>77.883333333333326</v>
      </c>
      <c r="AN29" s="30">
        <f t="shared" si="94"/>
        <v>0.6</v>
      </c>
      <c r="AO29" s="30">
        <f t="shared" si="94"/>
        <v>0.13</v>
      </c>
      <c r="AP29" s="30">
        <f>AVERAGE(AP24:AP28)</f>
        <v>0.05</v>
      </c>
      <c r="AQ29" s="30">
        <f>AVERAGE(AQ24:AQ28)</f>
        <v>9.8569308437499998</v>
      </c>
      <c r="AR29" s="30">
        <f t="shared" ref="AR29:AW29" si="95">AVERAGE(AR24:AR28)</f>
        <v>85.818763093928141</v>
      </c>
      <c r="AS29" s="30">
        <f t="shared" si="95"/>
        <v>4</v>
      </c>
      <c r="AT29" s="30">
        <f t="shared" si="95"/>
        <v>1</v>
      </c>
      <c r="AU29" s="43">
        <f t="shared" si="95"/>
        <v>86.1</v>
      </c>
      <c r="AV29" s="30">
        <f t="shared" si="95"/>
        <v>2.6</v>
      </c>
      <c r="AW29" s="30">
        <f t="shared" si="95"/>
        <v>0.30666666666666664</v>
      </c>
      <c r="AX29" s="30">
        <f>AVERAGE(AX24:AX28)</f>
        <v>0</v>
      </c>
    </row>
    <row r="30" spans="1:50" x14ac:dyDescent="0.25">
      <c r="C30" s="30">
        <f>AVERAGE(C8,C15,C22,C29)</f>
        <v>14.374486421874998</v>
      </c>
      <c r="D30" s="30">
        <f t="shared" ref="D30:H30" si="96">AVERAGE(D8,D15,D22,D29)</f>
        <v>85.584386247179097</v>
      </c>
      <c r="E30" s="30">
        <f t="shared" si="96"/>
        <v>3.4</v>
      </c>
      <c r="F30" s="30">
        <f t="shared" si="96"/>
        <v>0.96666666666666667</v>
      </c>
      <c r="G30" s="43">
        <f t="shared" si="96"/>
        <v>139.42083333333335</v>
      </c>
      <c r="H30" s="30">
        <f t="shared" si="96"/>
        <v>0.25</v>
      </c>
      <c r="I30" s="30">
        <f>AVERAGE(I8,I15,I22,I29)</f>
        <v>6.5833333333333327E-2</v>
      </c>
      <c r="J30" s="30">
        <f>AVERAGE(J8,J15,J22,J29)</f>
        <v>3.333333333333334E-2</v>
      </c>
      <c r="K30" s="30">
        <f>AVERAGE(K8,K15,K22,K29)</f>
        <v>14.4803352328125</v>
      </c>
      <c r="L30" s="30">
        <f t="shared" ref="L30:Q30" si="97">AVERAGE(L8,L15,L22,L29)</f>
        <v>85.590867271613433</v>
      </c>
      <c r="M30" s="30">
        <f t="shared" si="97"/>
        <v>3.45</v>
      </c>
      <c r="N30" s="30">
        <f t="shared" si="97"/>
        <v>0.98333333333333328</v>
      </c>
      <c r="O30" s="43">
        <f t="shared" si="97"/>
        <v>134.71333333333334</v>
      </c>
      <c r="P30" s="30">
        <f t="shared" si="97"/>
        <v>0.26</v>
      </c>
      <c r="Q30" s="30">
        <f t="shared" si="97"/>
        <v>5.9855072463768116E-2</v>
      </c>
      <c r="R30" s="30">
        <f>AVERAGE(R8,R15,R22,R29)</f>
        <v>1.666666666666667E-2</v>
      </c>
      <c r="S30" s="30">
        <f>AVERAGE(S8,S15,S22,S29)</f>
        <v>13.335478328124999</v>
      </c>
      <c r="T30" s="30">
        <f t="shared" ref="T30:Y30" si="98">AVERAGE(T8,T15,T22,T29)</f>
        <v>85.579319169898838</v>
      </c>
      <c r="U30" s="30">
        <f t="shared" si="98"/>
        <v>3.4</v>
      </c>
      <c r="V30" s="30">
        <f t="shared" si="98"/>
        <v>0.96666666666666667</v>
      </c>
      <c r="W30" s="43">
        <f t="shared" si="98"/>
        <v>154.61150000000001</v>
      </c>
      <c r="X30" s="30">
        <f t="shared" si="98"/>
        <v>0.1</v>
      </c>
      <c r="Y30" s="30">
        <f t="shared" si="98"/>
        <v>2.6666666666666665E-2</v>
      </c>
      <c r="Z30" s="30">
        <f>AVERAGE(Z8,Z15,Z22,Z29)</f>
        <v>3.333333333333334E-2</v>
      </c>
      <c r="AA30" s="30">
        <f>AVERAGE(AA8,AA15,AA22,AA29)</f>
        <v>13.8907180546875</v>
      </c>
      <c r="AB30" s="30">
        <f t="shared" ref="AB30:AG30" si="99">AVERAGE(AB8,AB15,AB22,AB29)</f>
        <v>84.353302887216557</v>
      </c>
      <c r="AC30" s="30">
        <f t="shared" si="99"/>
        <v>2.65</v>
      </c>
      <c r="AD30" s="30">
        <f t="shared" si="99"/>
        <v>0.76250000000000007</v>
      </c>
      <c r="AE30" s="43">
        <f t="shared" si="99"/>
        <v>326.27850000000001</v>
      </c>
      <c r="AF30" s="30">
        <f t="shared" si="99"/>
        <v>1.85</v>
      </c>
      <c r="AG30" s="30">
        <f t="shared" si="99"/>
        <v>0.37083333333333335</v>
      </c>
      <c r="AH30" s="30">
        <f>AVERAGE(AH8,AH15,AH22,AH29)</f>
        <v>0.23750000000000002</v>
      </c>
      <c r="AI30" s="30">
        <f>AVERAGE(AI8,AI15,AI22,AI29)</f>
        <v>14.8835873203125</v>
      </c>
      <c r="AJ30" s="30">
        <f t="shared" ref="AJ30:AO30" si="100">AVERAGE(AJ8,AJ15,AJ22,AJ29)</f>
        <v>85.53719600367404</v>
      </c>
      <c r="AK30" s="30">
        <f t="shared" si="100"/>
        <v>3.45</v>
      </c>
      <c r="AL30" s="30">
        <f t="shared" si="100"/>
        <v>0.98750000000000004</v>
      </c>
      <c r="AM30" s="43">
        <f t="shared" si="100"/>
        <v>192.78333333333333</v>
      </c>
      <c r="AN30" s="30">
        <f t="shared" si="100"/>
        <v>0.4</v>
      </c>
      <c r="AO30" s="30">
        <f t="shared" si="100"/>
        <v>8.7499999999999994E-2</v>
      </c>
      <c r="AP30" s="30">
        <f>AVERAGE(AP8,AP15,AP22,AP29)</f>
        <v>1.2500000000000001E-2</v>
      </c>
      <c r="AQ30" s="30">
        <f>AVERAGE(AQ8,AQ15,AQ22,AQ29)</f>
        <v>14.2150489609375</v>
      </c>
      <c r="AR30" s="30">
        <f t="shared" ref="AR30:AW30" si="101">AVERAGE(AR8,AR15,AR22,AR29)</f>
        <v>85.513068056104288</v>
      </c>
      <c r="AS30" s="30">
        <f t="shared" si="101"/>
        <v>3.5</v>
      </c>
      <c r="AT30" s="30">
        <f t="shared" si="101"/>
        <v>1</v>
      </c>
      <c r="AU30" s="43">
        <f t="shared" si="101"/>
        <v>231.47749999999999</v>
      </c>
      <c r="AV30" s="30">
        <f t="shared" si="101"/>
        <v>1.8000000000000003</v>
      </c>
      <c r="AW30" s="30">
        <f t="shared" si="101"/>
        <v>0.25374999999999998</v>
      </c>
      <c r="AX30" s="30">
        <f>AVERAGE(AX8,AX15,AX22,AX29)</f>
        <v>0</v>
      </c>
    </row>
    <row r="31" spans="1:50" ht="14.4" thickBot="1" x14ac:dyDescent="0.3">
      <c r="C31" s="30" t="s">
        <v>2</v>
      </c>
      <c r="D31" s="30" t="s">
        <v>7</v>
      </c>
      <c r="E31" s="30" t="s">
        <v>37</v>
      </c>
      <c r="K31" s="30" t="s">
        <v>2</v>
      </c>
      <c r="L31" s="30" t="s">
        <v>7</v>
      </c>
      <c r="M31" s="30" t="s">
        <v>37</v>
      </c>
      <c r="S31" s="30" t="s">
        <v>2</v>
      </c>
      <c r="T31" s="30" t="s">
        <v>7</v>
      </c>
      <c r="U31" s="30" t="s">
        <v>37</v>
      </c>
      <c r="AA31" s="30" t="s">
        <v>2</v>
      </c>
      <c r="AB31" s="30" t="s">
        <v>7</v>
      </c>
      <c r="AC31" s="30" t="s">
        <v>37</v>
      </c>
      <c r="AI31" s="30" t="s">
        <v>2</v>
      </c>
      <c r="AJ31" s="30" t="s">
        <v>7</v>
      </c>
      <c r="AK31" s="30" t="s">
        <v>37</v>
      </c>
      <c r="AQ31" s="30" t="s">
        <v>2</v>
      </c>
      <c r="AR31" s="30" t="s">
        <v>7</v>
      </c>
      <c r="AS31" s="30" t="s">
        <v>37</v>
      </c>
    </row>
    <row r="32" spans="1:50" x14ac:dyDescent="0.25">
      <c r="A32" s="30" t="s">
        <v>32</v>
      </c>
      <c r="C32" s="31">
        <v>2.9697870318872823</v>
      </c>
      <c r="D32" s="32">
        <v>67.710140159915596</v>
      </c>
      <c r="E32" s="40">
        <v>8.1942899517982948E-2</v>
      </c>
      <c r="K32" s="31">
        <v>2.9517067575083424</v>
      </c>
      <c r="L32" s="32">
        <v>67.63205431020836</v>
      </c>
      <c r="M32" s="40">
        <v>9.3437152391546152E-2</v>
      </c>
      <c r="S32" s="31">
        <v>2.8305930200222469</v>
      </c>
      <c r="T32" s="32">
        <v>68.001323544045519</v>
      </c>
      <c r="U32" s="40">
        <v>6.2662217278457541E-2</v>
      </c>
      <c r="AA32" s="31">
        <v>2.9360342510196515</v>
      </c>
      <c r="AB32" s="32">
        <v>67.715639115635611</v>
      </c>
      <c r="AC32" s="40">
        <v>4.82017055988135E-3</v>
      </c>
      <c r="AI32" s="31">
        <v>3.13331942899518</v>
      </c>
      <c r="AJ32" s="32">
        <v>68.541737518900518</v>
      </c>
      <c r="AK32" s="40">
        <v>1.2977382276603633E-2</v>
      </c>
      <c r="AQ32" s="31">
        <v>2.8930698461253246</v>
      </c>
      <c r="AR32" s="32">
        <v>68.58255347967723</v>
      </c>
      <c r="AS32" s="40">
        <v>2.0763811642565813E-2</v>
      </c>
    </row>
    <row r="33" spans="1:55" x14ac:dyDescent="0.25">
      <c r="A33" s="30" t="s">
        <v>34</v>
      </c>
      <c r="C33" s="35">
        <v>5.8987224707501724</v>
      </c>
      <c r="D33" s="36">
        <v>84.041077652312126</v>
      </c>
      <c r="E33" s="41">
        <v>0.53544390915347562</v>
      </c>
      <c r="K33" s="35">
        <v>5.7371203974535439</v>
      </c>
      <c r="L33" s="36">
        <v>84.158975236760583</v>
      </c>
      <c r="M33" s="41">
        <v>0.56111493461803164</v>
      </c>
      <c r="S33" s="35">
        <v>5.4129763850653818</v>
      </c>
      <c r="T33" s="36">
        <v>83.828626207631075</v>
      </c>
      <c r="U33" s="41">
        <v>0.4889883000688231</v>
      </c>
      <c r="AA33" s="35">
        <v>5.2904389624913968</v>
      </c>
      <c r="AB33" s="36">
        <v>86.611029785718145</v>
      </c>
      <c r="AC33" s="41">
        <v>1.5946317962835512</v>
      </c>
      <c r="AI33" s="35">
        <v>6.5270184532002755</v>
      </c>
      <c r="AJ33" s="36">
        <v>80.950710209185814</v>
      </c>
      <c r="AK33" s="41">
        <v>9.8417068134893329E-2</v>
      </c>
      <c r="AQ33" s="35">
        <v>5.2144270474879564</v>
      </c>
      <c r="AR33" s="36">
        <v>86.163838236527369</v>
      </c>
      <c r="AS33" s="41">
        <v>0.94046799724707497</v>
      </c>
    </row>
    <row r="34" spans="1:55" x14ac:dyDescent="0.25">
      <c r="A34" s="30" t="s">
        <v>35</v>
      </c>
      <c r="C34" s="35">
        <v>0.28407213656387664</v>
      </c>
      <c r="D34" s="36">
        <v>83.078617294313162</v>
      </c>
      <c r="E34" s="41">
        <v>0.40969162995594716</v>
      </c>
      <c r="K34" s="35">
        <v>0.29827918502202644</v>
      </c>
      <c r="L34" s="36">
        <v>83.36306948663993</v>
      </c>
      <c r="M34" s="41">
        <v>0.43436123348017625</v>
      </c>
      <c r="S34" s="35">
        <v>0.28641244493392071</v>
      </c>
      <c r="T34" s="36">
        <v>82.871586021182893</v>
      </c>
      <c r="U34" s="41">
        <v>0.37444933920704848</v>
      </c>
      <c r="AA34" s="35">
        <v>0.29460352422907488</v>
      </c>
      <c r="AB34" s="36">
        <v>82.567798280010209</v>
      </c>
      <c r="AC34" s="41">
        <v>0.62995594713656389</v>
      </c>
      <c r="AI34" s="35">
        <v>0.27553689427312777</v>
      </c>
      <c r="AJ34" s="36">
        <v>80.805382907419329</v>
      </c>
      <c r="AK34" s="41">
        <v>0.12334801762114538</v>
      </c>
      <c r="AQ34" s="35">
        <v>0.32234306167400884</v>
      </c>
      <c r="AR34" s="36">
        <v>85.093394238648784</v>
      </c>
      <c r="AS34" s="41">
        <v>0.72246696035242286</v>
      </c>
    </row>
    <row r="35" spans="1:55" x14ac:dyDescent="0.25">
      <c r="A35" s="30" t="s">
        <v>33</v>
      </c>
      <c r="C35" s="35">
        <v>2.1468041656619241</v>
      </c>
      <c r="D35" s="36">
        <v>76.862105806187458</v>
      </c>
      <c r="E35" s="41">
        <v>0.39619001687967204</v>
      </c>
      <c r="K35" s="35">
        <v>2.3223693332529538</v>
      </c>
      <c r="L35" s="36">
        <v>76.878667057817523</v>
      </c>
      <c r="M35" s="41">
        <v>0.40723414516517958</v>
      </c>
      <c r="S35" s="35">
        <v>2.1305047323366288</v>
      </c>
      <c r="T35" s="36">
        <v>76.720782874998164</v>
      </c>
      <c r="U35" s="41">
        <v>0.36990595611285265</v>
      </c>
      <c r="AA35" s="35">
        <v>3.2567292621171933</v>
      </c>
      <c r="AB35" s="36">
        <v>65.844238904574382</v>
      </c>
      <c r="AC35" s="41">
        <v>0.10441282855075959</v>
      </c>
      <c r="AI35" s="35">
        <v>2.4519381480588378</v>
      </c>
      <c r="AJ35" s="36">
        <v>73.357570242530485</v>
      </c>
      <c r="AK35" s="41">
        <v>0.15891005546177961</v>
      </c>
      <c r="AQ35" s="35">
        <v>2.2400379792621172</v>
      </c>
      <c r="AR35" s="36">
        <v>77.265686790927347</v>
      </c>
      <c r="AS35" s="41">
        <v>0.62189534603327712</v>
      </c>
    </row>
    <row r="36" spans="1:55" ht="14.4" thickBot="1" x14ac:dyDescent="0.3">
      <c r="A36" s="30" t="s">
        <v>36</v>
      </c>
      <c r="C36" s="37">
        <v>0.94581117021276595</v>
      </c>
      <c r="D36" s="38">
        <v>88.991403051826808</v>
      </c>
      <c r="E36" s="42">
        <v>4.2553191489361701E-2</v>
      </c>
      <c r="K36" s="37">
        <v>1.0740026595744681</v>
      </c>
      <c r="L36" s="38">
        <v>89.120939862546379</v>
      </c>
      <c r="M36" s="42">
        <v>5.5319148936170202E-2</v>
      </c>
      <c r="S36" s="37">
        <v>0.88264627659574468</v>
      </c>
      <c r="T36" s="38">
        <v>88.765881889220793</v>
      </c>
      <c r="U36" s="42">
        <v>2.1276595744680851E-2</v>
      </c>
      <c r="AA36" s="37">
        <v>0.9228723404255319</v>
      </c>
      <c r="AB36" s="38">
        <v>84.094431095687938</v>
      </c>
      <c r="AC36" s="42">
        <v>8.5106382978723402E-2</v>
      </c>
      <c r="AI36" s="37">
        <v>0.94448138297872342</v>
      </c>
      <c r="AJ36" s="38">
        <v>88.49552903642919</v>
      </c>
      <c r="AK36" s="42">
        <v>2.1276595744680851E-2</v>
      </c>
      <c r="AQ36" s="37">
        <v>0.99168882978723405</v>
      </c>
      <c r="AR36" s="38">
        <v>88.791566412493324</v>
      </c>
      <c r="AS36" s="42">
        <v>0.40425531914893614</v>
      </c>
    </row>
    <row r="37" spans="1:55" x14ac:dyDescent="0.25">
      <c r="C37" s="30">
        <f>AVERAGE(C32:C36)</f>
        <v>2.4490393950152045</v>
      </c>
      <c r="D37" s="30">
        <f t="shared" ref="D37:E37" si="102">AVERAGE(D32:D36)</f>
        <v>80.136668792911024</v>
      </c>
      <c r="E37" s="30">
        <f t="shared" si="102"/>
        <v>0.29316432939928788</v>
      </c>
      <c r="K37" s="30">
        <v>2.476695666562267</v>
      </c>
      <c r="L37" s="30">
        <v>80.230741190794561</v>
      </c>
      <c r="M37" s="30">
        <v>0.31029332291822076</v>
      </c>
      <c r="S37" s="30">
        <f>AVERAGE(S32:S36)</f>
        <v>2.3086265717907848</v>
      </c>
      <c r="T37" s="30">
        <f t="shared" ref="T37:U37" si="103">AVERAGE(T32:T36)</f>
        <v>80.037640107415683</v>
      </c>
      <c r="U37" s="30">
        <f t="shared" si="103"/>
        <v>0.26345648168237251</v>
      </c>
      <c r="AA37" s="30">
        <f>AVERAGE(AA32:AA36)</f>
        <v>2.5401356680565699</v>
      </c>
      <c r="AB37" s="30">
        <f t="shared" ref="AB37:AC37" si="104">AVERAGE(AB32:AB36)</f>
        <v>77.36662743632526</v>
      </c>
      <c r="AC37" s="30">
        <f t="shared" si="104"/>
        <v>0.48378542510189593</v>
      </c>
      <c r="AI37" s="30">
        <f>AVERAGE(AI32:AI36)</f>
        <v>2.666458861501229</v>
      </c>
      <c r="AJ37" s="30">
        <f t="shared" ref="AJ37:AK37" si="105">AVERAGE(AJ32:AJ36)</f>
        <v>78.430185982893065</v>
      </c>
      <c r="AK37" s="30">
        <f t="shared" si="105"/>
        <v>8.298582384782055E-2</v>
      </c>
      <c r="AQ37" s="30">
        <f>AVERAGE(AQ32:AQ36)</f>
        <v>2.3323133528673283</v>
      </c>
      <c r="AR37" s="30">
        <f t="shared" ref="AR37:AS37" si="106">AVERAGE(AR32:AR36)</f>
        <v>81.179407831654814</v>
      </c>
      <c r="AS37" s="30">
        <f t="shared" si="106"/>
        <v>0.54196988688485537</v>
      </c>
    </row>
    <row r="39" spans="1:55" x14ac:dyDescent="0.25">
      <c r="C39" s="70" t="s">
        <v>48</v>
      </c>
      <c r="D39" s="70"/>
      <c r="E39" s="70"/>
      <c r="F39" s="70"/>
      <c r="G39" s="70"/>
      <c r="H39" s="70"/>
      <c r="I39" s="70"/>
      <c r="K39" s="70" t="s">
        <v>40</v>
      </c>
      <c r="L39" s="70"/>
      <c r="M39" s="70"/>
      <c r="N39" s="70"/>
      <c r="O39" s="70"/>
      <c r="P39" s="70"/>
      <c r="Q39" s="70"/>
      <c r="S39" s="70" t="s">
        <v>41</v>
      </c>
      <c r="T39" s="70"/>
      <c r="U39" s="70"/>
      <c r="V39" s="70"/>
      <c r="W39" s="70"/>
      <c r="X39" s="70"/>
      <c r="Y39" s="70"/>
      <c r="AA39" s="70" t="s">
        <v>44</v>
      </c>
      <c r="AB39" s="70"/>
      <c r="AC39" s="70"/>
      <c r="AD39" s="70"/>
      <c r="AE39" s="70"/>
      <c r="AF39" s="70"/>
      <c r="AG39" s="70"/>
      <c r="AM39" s="30"/>
      <c r="AU39" s="30"/>
      <c r="BC39" s="30"/>
    </row>
    <row r="40" spans="1:55" ht="14.4" thickBot="1" x14ac:dyDescent="0.3">
      <c r="A40" s="30" t="s">
        <v>0</v>
      </c>
      <c r="B40" s="30" t="s">
        <v>9</v>
      </c>
      <c r="C40" s="30" t="s">
        <v>2</v>
      </c>
      <c r="D40" s="30" t="s">
        <v>7</v>
      </c>
      <c r="E40" s="30" t="s">
        <v>3</v>
      </c>
      <c r="F40" s="30" t="s">
        <v>5</v>
      </c>
      <c r="G40" s="43" t="s">
        <v>8</v>
      </c>
      <c r="H40" s="30" t="s">
        <v>4</v>
      </c>
      <c r="I40" s="30" t="s">
        <v>6</v>
      </c>
      <c r="J40" s="30" t="s">
        <v>96</v>
      </c>
      <c r="K40" s="30" t="s">
        <v>2</v>
      </c>
      <c r="L40" s="30" t="s">
        <v>7</v>
      </c>
      <c r="M40" s="30" t="s">
        <v>3</v>
      </c>
      <c r="N40" s="30" t="s">
        <v>5</v>
      </c>
      <c r="O40" s="43" t="s">
        <v>8</v>
      </c>
      <c r="P40" s="30" t="s">
        <v>4</v>
      </c>
      <c r="Q40" s="30" t="s">
        <v>6</v>
      </c>
      <c r="R40" s="30" t="s">
        <v>96</v>
      </c>
      <c r="S40" s="30" t="s">
        <v>2</v>
      </c>
      <c r="T40" s="30" t="s">
        <v>7</v>
      </c>
      <c r="U40" s="30" t="s">
        <v>3</v>
      </c>
      <c r="V40" s="30" t="s">
        <v>5</v>
      </c>
      <c r="W40" s="43" t="s">
        <v>8</v>
      </c>
      <c r="X40" s="30" t="s">
        <v>4</v>
      </c>
      <c r="Y40" s="30" t="s">
        <v>6</v>
      </c>
      <c r="Z40" s="30" t="s">
        <v>96</v>
      </c>
      <c r="AA40" s="30" t="s">
        <v>2</v>
      </c>
      <c r="AB40" s="30" t="s">
        <v>7</v>
      </c>
      <c r="AC40" s="30" t="s">
        <v>3</v>
      </c>
      <c r="AD40" s="30" t="s">
        <v>5</v>
      </c>
      <c r="AE40" s="43" t="s">
        <v>8</v>
      </c>
      <c r="AF40" s="30" t="s">
        <v>4</v>
      </c>
      <c r="AG40" s="30" t="s">
        <v>6</v>
      </c>
      <c r="AH40" s="30" t="s">
        <v>96</v>
      </c>
      <c r="AM40" s="30"/>
      <c r="AU40" s="30"/>
      <c r="BC40" s="30"/>
    </row>
    <row r="41" spans="1:55" ht="14.4" thickBot="1" x14ac:dyDescent="0.3">
      <c r="A41" s="30" t="s">
        <v>10</v>
      </c>
      <c r="B41" s="30" t="s">
        <v>15</v>
      </c>
      <c r="C41" s="31">
        <v>9.2364214062500007</v>
      </c>
      <c r="D41" s="32">
        <v>83.841487546098676</v>
      </c>
      <c r="E41" s="33">
        <v>2</v>
      </c>
      <c r="F41" s="33">
        <f>E41/3</f>
        <v>0.66666666666666663</v>
      </c>
      <c r="G41" s="44">
        <f>(178+24)/2</f>
        <v>101</v>
      </c>
      <c r="H41" s="33">
        <v>0</v>
      </c>
      <c r="I41" s="34">
        <f>H41/(E41+H41)</f>
        <v>0</v>
      </c>
      <c r="J41" s="30">
        <f>1-F41</f>
        <v>0.33333333333333337</v>
      </c>
      <c r="K41" s="31">
        <v>9.3581065624999997</v>
      </c>
      <c r="L41" s="32">
        <v>83.833370969374215</v>
      </c>
      <c r="M41" s="33">
        <v>3</v>
      </c>
      <c r="N41" s="33">
        <f>M41/3</f>
        <v>1</v>
      </c>
      <c r="O41" s="44">
        <v>415.66</v>
      </c>
      <c r="P41" s="33">
        <v>0</v>
      </c>
      <c r="Q41" s="34">
        <f>P41/(M41+P41)</f>
        <v>0</v>
      </c>
      <c r="R41" s="30">
        <f>1-N41</f>
        <v>0</v>
      </c>
      <c r="S41" s="31">
        <v>9.5237059375000008</v>
      </c>
      <c r="T41" s="32">
        <v>83.909160313865826</v>
      </c>
      <c r="U41" s="33">
        <v>3</v>
      </c>
      <c r="V41" s="33">
        <f>U41/3</f>
        <v>1</v>
      </c>
      <c r="W41" s="44">
        <v>121.33</v>
      </c>
      <c r="X41" s="33">
        <v>0</v>
      </c>
      <c r="Y41" s="34">
        <f>X41/(U41+X41)</f>
        <v>0</v>
      </c>
      <c r="Z41" s="30">
        <f>1-V41</f>
        <v>0</v>
      </c>
      <c r="AA41" s="31">
        <v>9.3541801562500009</v>
      </c>
      <c r="AB41" s="32">
        <v>83.820807644085164</v>
      </c>
      <c r="AC41" s="33">
        <v>2</v>
      </c>
      <c r="AD41" s="33">
        <f>AC41/3</f>
        <v>0.66666666666666663</v>
      </c>
      <c r="AE41" s="44">
        <v>319</v>
      </c>
      <c r="AF41" s="33">
        <v>1</v>
      </c>
      <c r="AG41" s="34">
        <f>AF41/(AC41+AF41)</f>
        <v>0.33333333333333331</v>
      </c>
      <c r="AH41" s="30">
        <f>1-AD41</f>
        <v>0.33333333333333337</v>
      </c>
      <c r="AM41" s="30"/>
      <c r="AU41" s="30"/>
      <c r="BC41" s="30"/>
    </row>
    <row r="42" spans="1:55" ht="14.4" thickBot="1" x14ac:dyDescent="0.3">
      <c r="A42" s="30" t="s">
        <v>11</v>
      </c>
      <c r="B42" s="30" t="s">
        <v>15</v>
      </c>
      <c r="C42" s="35">
        <v>13.09477359375</v>
      </c>
      <c r="D42" s="36">
        <v>83.766820688682898</v>
      </c>
      <c r="E42" s="30">
        <v>2</v>
      </c>
      <c r="F42" s="33">
        <f t="shared" ref="F42:F45" si="107">E42/3</f>
        <v>0.66666666666666663</v>
      </c>
      <c r="G42" s="43">
        <f>(129+194)/2</f>
        <v>161.5</v>
      </c>
      <c r="H42" s="30">
        <v>3</v>
      </c>
      <c r="I42" s="34">
        <f t="shared" ref="I42:I45" si="108">H42/(E42+H42)</f>
        <v>0.6</v>
      </c>
      <c r="J42" s="30">
        <f t="shared" ref="J42:J45" si="109">1-F42</f>
        <v>0.33333333333333337</v>
      </c>
      <c r="K42" s="35">
        <v>9.5455062500000007</v>
      </c>
      <c r="L42" s="36">
        <v>83.784910484608432</v>
      </c>
      <c r="M42" s="30">
        <v>3</v>
      </c>
      <c r="N42" s="33">
        <f t="shared" ref="N42:N45" si="110">M42/3</f>
        <v>1</v>
      </c>
      <c r="O42" s="43">
        <v>114.66</v>
      </c>
      <c r="P42" s="30">
        <v>0</v>
      </c>
      <c r="Q42" s="34">
        <f t="shared" ref="Q42:Q45" si="111">P42/(M42+P42)</f>
        <v>0</v>
      </c>
      <c r="R42" s="30">
        <f t="shared" ref="R42:R45" si="112">1-N42</f>
        <v>0</v>
      </c>
      <c r="S42" s="35">
        <v>9.6089810937499998</v>
      </c>
      <c r="T42" s="36">
        <v>83.873220275316768</v>
      </c>
      <c r="U42" s="30">
        <v>3</v>
      </c>
      <c r="V42" s="33">
        <f t="shared" ref="V42:V45" si="113">U42/3</f>
        <v>1</v>
      </c>
      <c r="W42" s="43">
        <v>72.67</v>
      </c>
      <c r="X42" s="30">
        <v>3</v>
      </c>
      <c r="Y42" s="34">
        <f>X42/(U42+X42)</f>
        <v>0.5</v>
      </c>
      <c r="Z42" s="30">
        <f t="shared" ref="Z42:Z45" si="114">1-V42</f>
        <v>0</v>
      </c>
      <c r="AA42" s="35">
        <v>9.3094643749999992</v>
      </c>
      <c r="AB42" s="36">
        <v>83.601748377600558</v>
      </c>
      <c r="AC42" s="30">
        <v>2</v>
      </c>
      <c r="AD42" s="33">
        <f t="shared" ref="AD42:AD45" si="115">AC42/3</f>
        <v>0.66666666666666663</v>
      </c>
      <c r="AE42" s="43">
        <v>523</v>
      </c>
      <c r="AF42" s="30">
        <v>1</v>
      </c>
      <c r="AG42" s="34">
        <f t="shared" ref="AG42:AG45" si="116">AF42/(AC42+AF42)</f>
        <v>0.33333333333333331</v>
      </c>
      <c r="AH42" s="30">
        <f t="shared" ref="AH42:AH45" si="117">1-AD42</f>
        <v>0.33333333333333337</v>
      </c>
      <c r="AM42" s="30"/>
      <c r="AU42" s="30"/>
      <c r="BC42" s="30"/>
    </row>
    <row r="43" spans="1:55" ht="14.4" thickBot="1" x14ac:dyDescent="0.3">
      <c r="A43" s="30" t="s">
        <v>12</v>
      </c>
      <c r="B43" s="30" t="s">
        <v>15</v>
      </c>
      <c r="C43" s="35">
        <v>13.501707968750001</v>
      </c>
      <c r="D43" s="36">
        <v>83.555078315875861</v>
      </c>
      <c r="E43" s="30">
        <v>3</v>
      </c>
      <c r="F43" s="33">
        <f t="shared" si="107"/>
        <v>1</v>
      </c>
      <c r="G43" s="43">
        <f>(96+28+565)/3</f>
        <v>229.66666666666666</v>
      </c>
      <c r="H43" s="30">
        <v>0</v>
      </c>
      <c r="I43" s="34">
        <f t="shared" si="108"/>
        <v>0</v>
      </c>
      <c r="J43" s="30">
        <f t="shared" si="109"/>
        <v>0</v>
      </c>
      <c r="K43" s="35">
        <v>9.2888367187499998</v>
      </c>
      <c r="L43" s="36">
        <v>83.55044040241377</v>
      </c>
      <c r="M43" s="30">
        <v>3</v>
      </c>
      <c r="N43" s="33">
        <f t="shared" si="110"/>
        <v>1</v>
      </c>
      <c r="O43" s="43">
        <v>279.66000000000003</v>
      </c>
      <c r="P43" s="30">
        <v>1</v>
      </c>
      <c r="Q43" s="34">
        <f t="shared" si="111"/>
        <v>0.25</v>
      </c>
      <c r="R43" s="30">
        <f t="shared" si="112"/>
        <v>0</v>
      </c>
      <c r="S43" s="35">
        <v>9.9503604687500005</v>
      </c>
      <c r="T43" s="36">
        <v>83.563187645049183</v>
      </c>
      <c r="U43" s="30">
        <v>3</v>
      </c>
      <c r="V43" s="33">
        <f t="shared" si="113"/>
        <v>1</v>
      </c>
      <c r="W43" s="43">
        <v>224.33</v>
      </c>
      <c r="X43" s="30">
        <v>2</v>
      </c>
      <c r="Y43" s="34">
        <f t="shared" ref="Y43:Y45" si="118">X43/(U43+X43)</f>
        <v>0.4</v>
      </c>
      <c r="Z43" s="30">
        <f t="shared" si="114"/>
        <v>0</v>
      </c>
      <c r="AA43" s="35">
        <v>9.3863712499999998</v>
      </c>
      <c r="AB43" s="36">
        <v>83.369716563854311</v>
      </c>
      <c r="AC43" s="30">
        <v>3</v>
      </c>
      <c r="AD43" s="33">
        <f t="shared" si="115"/>
        <v>1</v>
      </c>
      <c r="AE43" s="43">
        <v>696.33</v>
      </c>
      <c r="AF43" s="30">
        <v>0</v>
      </c>
      <c r="AG43" s="34">
        <f t="shared" si="116"/>
        <v>0</v>
      </c>
      <c r="AH43" s="30">
        <f t="shared" si="117"/>
        <v>0</v>
      </c>
      <c r="AM43" s="30"/>
      <c r="AU43" s="30"/>
      <c r="BC43" s="30"/>
    </row>
    <row r="44" spans="1:55" ht="14.4" thickBot="1" x14ac:dyDescent="0.3">
      <c r="A44" s="30" t="s">
        <v>13</v>
      </c>
      <c r="B44" s="30" t="s">
        <v>15</v>
      </c>
      <c r="C44" s="35">
        <v>13.129206249999999</v>
      </c>
      <c r="D44" s="36">
        <v>83.931987497315092</v>
      </c>
      <c r="E44" s="30">
        <v>3</v>
      </c>
      <c r="F44" s="33">
        <f t="shared" si="107"/>
        <v>1</v>
      </c>
      <c r="G44" s="43">
        <f>(100+173+680)/3</f>
        <v>317.66666666666669</v>
      </c>
      <c r="H44" s="30">
        <v>0</v>
      </c>
      <c r="I44" s="34">
        <f t="shared" si="108"/>
        <v>0</v>
      </c>
      <c r="J44" s="30">
        <f t="shared" si="109"/>
        <v>0</v>
      </c>
      <c r="K44" s="35">
        <v>9.8134342187500003</v>
      </c>
      <c r="L44" s="36">
        <v>83.896880792833457</v>
      </c>
      <c r="M44" s="30">
        <v>3</v>
      </c>
      <c r="N44" s="33">
        <f t="shared" si="110"/>
        <v>1</v>
      </c>
      <c r="O44" s="43">
        <v>200.66</v>
      </c>
      <c r="P44" s="30">
        <v>1</v>
      </c>
      <c r="Q44" s="34">
        <f t="shared" si="111"/>
        <v>0.25</v>
      </c>
      <c r="R44" s="30">
        <f t="shared" si="112"/>
        <v>0</v>
      </c>
      <c r="S44" s="35">
        <v>9.5549276562499994</v>
      </c>
      <c r="T44" s="36">
        <v>83.94177408532822</v>
      </c>
      <c r="U44" s="30">
        <v>3</v>
      </c>
      <c r="V44" s="33">
        <f t="shared" si="113"/>
        <v>1</v>
      </c>
      <c r="W44" s="43">
        <v>248.66</v>
      </c>
      <c r="X44" s="30">
        <v>0</v>
      </c>
      <c r="Y44" s="34">
        <f t="shared" si="118"/>
        <v>0</v>
      </c>
      <c r="Z44" s="30">
        <f t="shared" si="114"/>
        <v>0</v>
      </c>
      <c r="AA44" s="35">
        <v>9.3316293750000003</v>
      </c>
      <c r="AB44" s="36">
        <v>83.853026149922698</v>
      </c>
      <c r="AC44" s="30">
        <v>2</v>
      </c>
      <c r="AD44" s="33">
        <f t="shared" si="115"/>
        <v>0.66666666666666663</v>
      </c>
      <c r="AE44" s="43">
        <v>314.66000000000003</v>
      </c>
      <c r="AF44" s="30">
        <v>1</v>
      </c>
      <c r="AG44" s="34">
        <f t="shared" si="116"/>
        <v>0.33333333333333331</v>
      </c>
      <c r="AH44" s="30">
        <f t="shared" si="117"/>
        <v>0.33333333333333337</v>
      </c>
      <c r="AM44" s="30"/>
      <c r="AU44" s="30"/>
      <c r="BC44" s="30"/>
    </row>
    <row r="45" spans="1:55" ht="14.4" thickBot="1" x14ac:dyDescent="0.3">
      <c r="A45" s="30" t="s">
        <v>14</v>
      </c>
      <c r="B45" s="30" t="s">
        <v>15</v>
      </c>
      <c r="C45" s="37">
        <v>13.4594340625</v>
      </c>
      <c r="D45" s="38">
        <v>83.637338110295715</v>
      </c>
      <c r="E45" s="39">
        <v>2</v>
      </c>
      <c r="F45" s="33">
        <f t="shared" si="107"/>
        <v>0.66666666666666663</v>
      </c>
      <c r="G45" s="45">
        <f>(170+67)/2</f>
        <v>118.5</v>
      </c>
      <c r="H45" s="39">
        <v>1</v>
      </c>
      <c r="I45" s="34">
        <f t="shared" si="108"/>
        <v>0.33333333333333331</v>
      </c>
      <c r="J45" s="30">
        <f t="shared" si="109"/>
        <v>0.33333333333333337</v>
      </c>
      <c r="K45" s="37">
        <v>9.2931626562500007</v>
      </c>
      <c r="L45" s="38">
        <v>83.650451662640847</v>
      </c>
      <c r="M45" s="39">
        <v>3</v>
      </c>
      <c r="N45" s="33">
        <f t="shared" si="110"/>
        <v>1</v>
      </c>
      <c r="O45" s="45">
        <v>176.66</v>
      </c>
      <c r="P45" s="39">
        <v>0</v>
      </c>
      <c r="Q45" s="34">
        <f t="shared" si="111"/>
        <v>0</v>
      </c>
      <c r="R45" s="30">
        <f t="shared" si="112"/>
        <v>0</v>
      </c>
      <c r="S45" s="37">
        <v>10.0504484375</v>
      </c>
      <c r="T45" s="38">
        <v>83.696107413848097</v>
      </c>
      <c r="U45" s="39">
        <v>3</v>
      </c>
      <c r="V45" s="33">
        <f t="shared" si="113"/>
        <v>1</v>
      </c>
      <c r="W45" s="45">
        <v>117.66</v>
      </c>
      <c r="X45" s="39">
        <v>2</v>
      </c>
      <c r="Y45" s="34">
        <f t="shared" si="118"/>
        <v>0.4</v>
      </c>
      <c r="Z45" s="30">
        <f t="shared" si="114"/>
        <v>0</v>
      </c>
      <c r="AA45" s="37">
        <v>9.3705818749999992</v>
      </c>
      <c r="AB45" s="38">
        <v>83.585202907232073</v>
      </c>
      <c r="AC45" s="39">
        <v>2</v>
      </c>
      <c r="AD45" s="33">
        <f t="shared" si="115"/>
        <v>0.66666666666666663</v>
      </c>
      <c r="AE45" s="45">
        <v>335.33</v>
      </c>
      <c r="AF45" s="39">
        <v>1</v>
      </c>
      <c r="AG45" s="34">
        <f t="shared" si="116"/>
        <v>0.33333333333333331</v>
      </c>
      <c r="AH45" s="30">
        <f t="shared" si="117"/>
        <v>0.33333333333333337</v>
      </c>
      <c r="AM45" s="30"/>
      <c r="AU45" s="30"/>
      <c r="BC45" s="30"/>
    </row>
    <row r="46" spans="1:55" x14ac:dyDescent="0.25">
      <c r="C46" s="30">
        <f>AVERAGE(C41:C45)</f>
        <v>12.484308656250001</v>
      </c>
      <c r="D46" s="30">
        <f t="shared" ref="D46:I46" si="119">AVERAGE(D41:D45)</f>
        <v>83.746542431653651</v>
      </c>
      <c r="E46" s="30">
        <f t="shared" si="119"/>
        <v>2.4</v>
      </c>
      <c r="F46" s="30">
        <f t="shared" si="119"/>
        <v>0.79999999999999993</v>
      </c>
      <c r="G46" s="43">
        <f t="shared" si="119"/>
        <v>185.66666666666666</v>
      </c>
      <c r="H46" s="30">
        <f t="shared" si="119"/>
        <v>0.8</v>
      </c>
      <c r="I46" s="30">
        <f t="shared" si="119"/>
        <v>0.18666666666666668</v>
      </c>
      <c r="J46" s="30">
        <f>AVERAGE(J41:J45)</f>
        <v>0.2</v>
      </c>
      <c r="K46" s="30">
        <f>AVERAGE(K41:K45)</f>
        <v>9.4598092812499992</v>
      </c>
      <c r="L46" s="30">
        <f t="shared" ref="L46:Q46" si="120">AVERAGE(L41:L45)</f>
        <v>83.743210862374141</v>
      </c>
      <c r="M46" s="30">
        <f t="shared" si="120"/>
        <v>3</v>
      </c>
      <c r="N46" s="30">
        <f t="shared" si="120"/>
        <v>1</v>
      </c>
      <c r="O46" s="43">
        <f t="shared" si="120"/>
        <v>237.45999999999998</v>
      </c>
      <c r="P46" s="30">
        <f t="shared" si="120"/>
        <v>0.4</v>
      </c>
      <c r="Q46" s="30">
        <f t="shared" si="120"/>
        <v>0.1</v>
      </c>
      <c r="R46" s="30">
        <f>AVERAGE(R41:R45)</f>
        <v>0</v>
      </c>
      <c r="S46" s="30">
        <f>AVERAGE(S41:S45)</f>
        <v>9.7376847187499997</v>
      </c>
      <c r="T46" s="30">
        <f t="shared" ref="T46:Y46" si="121">AVERAGE(T41:T45)</f>
        <v>83.796689946681624</v>
      </c>
      <c r="U46" s="30">
        <f t="shared" si="121"/>
        <v>3</v>
      </c>
      <c r="V46" s="30">
        <f t="shared" si="121"/>
        <v>1</v>
      </c>
      <c r="W46" s="43">
        <f t="shared" si="121"/>
        <v>156.93</v>
      </c>
      <c r="X46" s="30">
        <f t="shared" si="121"/>
        <v>1.4</v>
      </c>
      <c r="Y46" s="30">
        <f t="shared" si="121"/>
        <v>0.26</v>
      </c>
      <c r="Z46" s="30">
        <f>AVERAGE(Z41:Z45)</f>
        <v>0</v>
      </c>
      <c r="AA46" s="30">
        <f>AVERAGE(AA41:AA45)</f>
        <v>9.3504454062499995</v>
      </c>
      <c r="AB46" s="30">
        <f t="shared" ref="AB46:AG46" si="122">AVERAGE(AB41:AB45)</f>
        <v>83.646100328538964</v>
      </c>
      <c r="AC46" s="30">
        <f t="shared" si="122"/>
        <v>2.2000000000000002</v>
      </c>
      <c r="AD46" s="30">
        <f t="shared" si="122"/>
        <v>0.73333333333333317</v>
      </c>
      <c r="AE46" s="43">
        <f t="shared" si="122"/>
        <v>437.66400000000004</v>
      </c>
      <c r="AF46" s="30">
        <f t="shared" si="122"/>
        <v>0.8</v>
      </c>
      <c r="AG46" s="30">
        <f t="shared" si="122"/>
        <v>0.26666666666666666</v>
      </c>
      <c r="AH46" s="30">
        <f>AVERAGE(AH41:AH45)</f>
        <v>0.26666666666666672</v>
      </c>
      <c r="AM46" s="30"/>
      <c r="AU46" s="30"/>
      <c r="BC46" s="30"/>
    </row>
    <row r="47" spans="1:55" ht="14.4" thickBot="1" x14ac:dyDescent="0.3">
      <c r="AM47" s="30"/>
      <c r="AU47" s="30"/>
      <c r="BC47" s="30"/>
    </row>
    <row r="48" spans="1:55" ht="14.4" thickBot="1" x14ac:dyDescent="0.3">
      <c r="A48" s="36" t="s">
        <v>16</v>
      </c>
      <c r="B48" s="30" t="s">
        <v>15</v>
      </c>
      <c r="C48" s="31">
        <v>36.6445396875</v>
      </c>
      <c r="D48" s="32">
        <v>89.36088836857617</v>
      </c>
      <c r="E48" s="33">
        <v>3</v>
      </c>
      <c r="F48" s="33">
        <f>E48/3</f>
        <v>1</v>
      </c>
      <c r="G48" s="44">
        <f>(502+367+398)/3</f>
        <v>422.33333333333331</v>
      </c>
      <c r="H48" s="33">
        <v>0</v>
      </c>
      <c r="I48" s="34">
        <f>H48/(E48+H48)</f>
        <v>0</v>
      </c>
      <c r="J48" s="30">
        <f>1-F48</f>
        <v>0</v>
      </c>
      <c r="K48" s="31">
        <v>25.74855921875</v>
      </c>
      <c r="L48" s="32">
        <v>89.429992298638055</v>
      </c>
      <c r="M48" s="33">
        <v>3</v>
      </c>
      <c r="N48" s="33">
        <f>M48/3</f>
        <v>1</v>
      </c>
      <c r="O48" s="44">
        <v>384.66</v>
      </c>
      <c r="P48" s="33">
        <v>0</v>
      </c>
      <c r="Q48" s="34">
        <f>P48/(M48+P48)</f>
        <v>0</v>
      </c>
      <c r="R48" s="30">
        <f>1-N48</f>
        <v>0</v>
      </c>
      <c r="S48" s="31">
        <v>26.468362187499999</v>
      </c>
      <c r="T48" s="32">
        <v>89.371424566487192</v>
      </c>
      <c r="U48" s="33">
        <v>3</v>
      </c>
      <c r="V48" s="33">
        <f>U48/3</f>
        <v>1</v>
      </c>
      <c r="W48" s="44">
        <v>403</v>
      </c>
      <c r="X48" s="33">
        <v>0</v>
      </c>
      <c r="Y48" s="34">
        <f>X48/(U48+X48)</f>
        <v>0</v>
      </c>
      <c r="Z48" s="30">
        <f>1-V48</f>
        <v>0</v>
      </c>
      <c r="AA48" s="31">
        <v>25.369312968749998</v>
      </c>
      <c r="AB48" s="32">
        <v>89.25887940950301</v>
      </c>
      <c r="AC48" s="33">
        <v>3</v>
      </c>
      <c r="AD48" s="33">
        <f>AC48/3</f>
        <v>1</v>
      </c>
      <c r="AE48" s="44">
        <v>613.33000000000004</v>
      </c>
      <c r="AF48" s="33">
        <v>0</v>
      </c>
      <c r="AG48" s="34">
        <f>AF48/(AC48+AF48)</f>
        <v>0</v>
      </c>
      <c r="AH48" s="30">
        <f>1-AD48</f>
        <v>0</v>
      </c>
      <c r="AM48" s="30"/>
      <c r="AU48" s="30"/>
      <c r="BC48" s="30"/>
    </row>
    <row r="49" spans="1:55" ht="14.4" thickBot="1" x14ac:dyDescent="0.3">
      <c r="A49" s="36" t="s">
        <v>17</v>
      </c>
      <c r="B49" s="30" t="s">
        <v>15</v>
      </c>
      <c r="C49" s="35">
        <v>37.871870781250003</v>
      </c>
      <c r="D49" s="36">
        <v>89.177100100880509</v>
      </c>
      <c r="E49" s="30">
        <v>3</v>
      </c>
      <c r="F49" s="33">
        <f t="shared" ref="F49:F52" si="123">E49/3</f>
        <v>1</v>
      </c>
      <c r="G49" s="43">
        <f>(408+339+329)/3</f>
        <v>358.66666666666669</v>
      </c>
      <c r="H49" s="30">
        <v>0</v>
      </c>
      <c r="I49" s="34">
        <f t="shared" ref="I49:I52" si="124">H49/(E49+H49)</f>
        <v>0</v>
      </c>
      <c r="J49" s="30">
        <f t="shared" ref="J49:J52" si="125">1-F49</f>
        <v>0</v>
      </c>
      <c r="K49" s="35">
        <v>26.922720000000002</v>
      </c>
      <c r="L49" s="36">
        <v>89.213766563214449</v>
      </c>
      <c r="M49" s="30">
        <v>3</v>
      </c>
      <c r="N49" s="33">
        <f t="shared" ref="N49:N52" si="126">M49/3</f>
        <v>1</v>
      </c>
      <c r="O49" s="43">
        <v>274.66000000000003</v>
      </c>
      <c r="P49" s="30">
        <v>0</v>
      </c>
      <c r="Q49" s="34">
        <f t="shared" ref="Q49:Q52" si="127">P49/(M49+P49)</f>
        <v>0</v>
      </c>
      <c r="R49" s="30">
        <f t="shared" ref="R49:R52" si="128">1-N49</f>
        <v>0</v>
      </c>
      <c r="S49" s="35">
        <v>26.373085312499999</v>
      </c>
      <c r="T49" s="36">
        <v>89.190028333216119</v>
      </c>
      <c r="U49" s="30">
        <v>3</v>
      </c>
      <c r="V49" s="33">
        <f t="shared" ref="V49:V52" si="129">U49/3</f>
        <v>1</v>
      </c>
      <c r="W49" s="43">
        <v>227.33</v>
      </c>
      <c r="X49" s="30">
        <v>0</v>
      </c>
      <c r="Y49" s="34">
        <f t="shared" ref="Y49:Y52" si="130">X49/(U49+X49)</f>
        <v>0</v>
      </c>
      <c r="Z49" s="30">
        <f t="shared" ref="Z49:Z52" si="131">1-V49</f>
        <v>0</v>
      </c>
      <c r="AA49" s="35">
        <v>26.077267500000001</v>
      </c>
      <c r="AB49" s="36">
        <v>88.952175015677255</v>
      </c>
      <c r="AC49" s="30">
        <v>3</v>
      </c>
      <c r="AD49" s="33">
        <f t="shared" ref="AD49:AD52" si="132">AC49/3</f>
        <v>1</v>
      </c>
      <c r="AE49" s="43">
        <v>636.33000000000004</v>
      </c>
      <c r="AF49" s="30">
        <v>0</v>
      </c>
      <c r="AG49" s="34">
        <f t="shared" ref="AG49:AG52" si="133">AF49/(AC49+AF49)</f>
        <v>0</v>
      </c>
      <c r="AH49" s="30">
        <f t="shared" ref="AH49:AH52" si="134">1-AD49</f>
        <v>0</v>
      </c>
      <c r="AM49" s="30"/>
      <c r="AU49" s="30"/>
      <c r="BC49" s="30"/>
    </row>
    <row r="50" spans="1:55" ht="14.4" thickBot="1" x14ac:dyDescent="0.3">
      <c r="A50" s="36" t="s">
        <v>18</v>
      </c>
      <c r="B50" s="30" t="s">
        <v>15</v>
      </c>
      <c r="C50" s="35">
        <v>39.006376250000002</v>
      </c>
      <c r="D50" s="36">
        <v>89.411480021490476</v>
      </c>
      <c r="E50" s="30">
        <v>3</v>
      </c>
      <c r="F50" s="33">
        <f t="shared" si="123"/>
        <v>1</v>
      </c>
      <c r="G50" s="43">
        <f>(390+274+286)/3</f>
        <v>316.66666666666669</v>
      </c>
      <c r="H50" s="30">
        <v>0</v>
      </c>
      <c r="I50" s="34">
        <f t="shared" si="124"/>
        <v>0</v>
      </c>
      <c r="J50" s="30">
        <f t="shared" si="125"/>
        <v>0</v>
      </c>
      <c r="K50" s="35">
        <v>25.583490000000001</v>
      </c>
      <c r="L50" s="36">
        <v>89.447667248769662</v>
      </c>
      <c r="M50" s="30">
        <v>3</v>
      </c>
      <c r="N50" s="33">
        <f t="shared" si="126"/>
        <v>1</v>
      </c>
      <c r="O50" s="43">
        <v>259.66000000000003</v>
      </c>
      <c r="P50" s="30">
        <v>0</v>
      </c>
      <c r="Q50" s="34">
        <f t="shared" si="127"/>
        <v>0</v>
      </c>
      <c r="R50" s="30">
        <f t="shared" si="128"/>
        <v>0</v>
      </c>
      <c r="S50" s="35">
        <v>26.005035312499999</v>
      </c>
      <c r="T50" s="36">
        <v>89.426620442818518</v>
      </c>
      <c r="U50" s="30">
        <v>3</v>
      </c>
      <c r="V50" s="33">
        <f t="shared" si="129"/>
        <v>1</v>
      </c>
      <c r="W50" s="43">
        <v>303.66000000000003</v>
      </c>
      <c r="X50" s="30">
        <v>0</v>
      </c>
      <c r="Y50" s="34">
        <f t="shared" si="130"/>
        <v>0</v>
      </c>
      <c r="Z50" s="30">
        <f t="shared" si="131"/>
        <v>0</v>
      </c>
      <c r="AA50" s="35">
        <v>26.190358437499999</v>
      </c>
      <c r="AB50" s="36">
        <v>89.229169562307192</v>
      </c>
      <c r="AC50" s="30">
        <v>3</v>
      </c>
      <c r="AD50" s="33">
        <f t="shared" si="132"/>
        <v>1</v>
      </c>
      <c r="AE50" s="43">
        <v>562.33000000000004</v>
      </c>
      <c r="AF50" s="30">
        <v>0</v>
      </c>
      <c r="AG50" s="34">
        <f t="shared" si="133"/>
        <v>0</v>
      </c>
      <c r="AH50" s="30">
        <f t="shared" si="134"/>
        <v>0</v>
      </c>
      <c r="AM50" s="30"/>
      <c r="AU50" s="30"/>
      <c r="BC50" s="30"/>
    </row>
    <row r="51" spans="1:55" ht="14.4" thickBot="1" x14ac:dyDescent="0.3">
      <c r="A51" s="36" t="s">
        <v>19</v>
      </c>
      <c r="B51" s="30" t="s">
        <v>15</v>
      </c>
      <c r="C51" s="35">
        <v>40.0464190625</v>
      </c>
      <c r="D51" s="36">
        <v>89.299489296834082</v>
      </c>
      <c r="E51" s="30">
        <v>3</v>
      </c>
      <c r="F51" s="33">
        <f t="shared" si="123"/>
        <v>1</v>
      </c>
      <c r="G51" s="43">
        <f>(355+328+181)/3</f>
        <v>288</v>
      </c>
      <c r="H51" s="30">
        <v>0</v>
      </c>
      <c r="I51" s="34">
        <f t="shared" si="124"/>
        <v>0</v>
      </c>
      <c r="J51" s="30">
        <f t="shared" si="125"/>
        <v>0</v>
      </c>
      <c r="K51" s="35">
        <v>25.845154687499999</v>
      </c>
      <c r="L51" s="36">
        <v>89.312438564356114</v>
      </c>
      <c r="M51" s="30">
        <v>3</v>
      </c>
      <c r="N51" s="33">
        <f t="shared" si="126"/>
        <v>1</v>
      </c>
      <c r="O51" s="43">
        <v>348.33</v>
      </c>
      <c r="P51" s="30">
        <v>0</v>
      </c>
      <c r="Q51" s="34">
        <f t="shared" si="127"/>
        <v>0</v>
      </c>
      <c r="R51" s="30">
        <f t="shared" si="128"/>
        <v>0</v>
      </c>
      <c r="S51" s="35">
        <v>32.247052812500002</v>
      </c>
      <c r="T51" s="36">
        <v>89.301981828292838</v>
      </c>
      <c r="U51" s="30">
        <v>3</v>
      </c>
      <c r="V51" s="33">
        <f t="shared" si="129"/>
        <v>1</v>
      </c>
      <c r="W51" s="43">
        <v>229</v>
      </c>
      <c r="X51" s="30">
        <v>0</v>
      </c>
      <c r="Y51" s="34">
        <f t="shared" si="130"/>
        <v>0</v>
      </c>
      <c r="Z51" s="30">
        <f t="shared" si="131"/>
        <v>0</v>
      </c>
      <c r="AA51" s="35">
        <v>25.907819843750001</v>
      </c>
      <c r="AB51" s="36">
        <v>89.194116627743156</v>
      </c>
      <c r="AC51" s="30">
        <v>3</v>
      </c>
      <c r="AD51" s="33">
        <f t="shared" si="132"/>
        <v>1</v>
      </c>
      <c r="AE51" s="43">
        <v>481.66</v>
      </c>
      <c r="AF51" s="30">
        <v>0</v>
      </c>
      <c r="AG51" s="34">
        <f t="shared" si="133"/>
        <v>0</v>
      </c>
      <c r="AH51" s="30">
        <f t="shared" si="134"/>
        <v>0</v>
      </c>
      <c r="AM51" s="30"/>
      <c r="AU51" s="30"/>
      <c r="BC51" s="30"/>
    </row>
    <row r="52" spans="1:55" ht="14.4" thickBot="1" x14ac:dyDescent="0.3">
      <c r="A52" s="36" t="s">
        <v>20</v>
      </c>
      <c r="B52" s="30" t="s">
        <v>15</v>
      </c>
      <c r="C52" s="37">
        <v>38.018933906249998</v>
      </c>
      <c r="D52" s="38">
        <v>89.295744613813696</v>
      </c>
      <c r="E52" s="39">
        <v>3</v>
      </c>
      <c r="F52" s="33">
        <f t="shared" si="123"/>
        <v>1</v>
      </c>
      <c r="G52" s="45">
        <f>(274+337+346)/3</f>
        <v>319</v>
      </c>
      <c r="H52" s="39">
        <v>0</v>
      </c>
      <c r="I52" s="34">
        <f t="shared" si="124"/>
        <v>0</v>
      </c>
      <c r="J52" s="30">
        <f t="shared" si="125"/>
        <v>0</v>
      </c>
      <c r="K52" s="37">
        <v>26.39436109375</v>
      </c>
      <c r="L52" s="38">
        <v>89.337349997693622</v>
      </c>
      <c r="M52" s="39">
        <v>3</v>
      </c>
      <c r="N52" s="33">
        <f t="shared" si="126"/>
        <v>1</v>
      </c>
      <c r="O52" s="45">
        <v>284</v>
      </c>
      <c r="P52" s="39">
        <v>0</v>
      </c>
      <c r="Q52" s="34">
        <f t="shared" si="127"/>
        <v>0</v>
      </c>
      <c r="R52" s="30">
        <f t="shared" si="128"/>
        <v>0</v>
      </c>
      <c r="S52" s="37">
        <v>26.19233796875</v>
      </c>
      <c r="T52" s="38">
        <v>89.297918658886445</v>
      </c>
      <c r="U52" s="39">
        <v>3</v>
      </c>
      <c r="V52" s="33">
        <f t="shared" si="129"/>
        <v>1</v>
      </c>
      <c r="W52" s="45">
        <v>274.66000000000003</v>
      </c>
      <c r="X52" s="39">
        <v>0</v>
      </c>
      <c r="Y52" s="34">
        <f t="shared" si="130"/>
        <v>0</v>
      </c>
      <c r="Z52" s="30">
        <f t="shared" si="131"/>
        <v>0</v>
      </c>
      <c r="AA52" s="37">
        <v>25.69601484375</v>
      </c>
      <c r="AB52" s="38">
        <v>89.104500007346218</v>
      </c>
      <c r="AC52" s="39">
        <v>3</v>
      </c>
      <c r="AD52" s="33">
        <f t="shared" si="132"/>
        <v>1</v>
      </c>
      <c r="AE52" s="45">
        <v>552</v>
      </c>
      <c r="AF52" s="39">
        <v>0</v>
      </c>
      <c r="AG52" s="34">
        <f t="shared" si="133"/>
        <v>0</v>
      </c>
      <c r="AH52" s="30">
        <f t="shared" si="134"/>
        <v>0</v>
      </c>
      <c r="AM52" s="30"/>
      <c r="AU52" s="30"/>
      <c r="BC52" s="30"/>
    </row>
    <row r="53" spans="1:55" x14ac:dyDescent="0.25">
      <c r="C53" s="30">
        <f>AVERAGE(C48:C52)</f>
        <v>38.317627937499999</v>
      </c>
      <c r="D53" s="30">
        <f t="shared" ref="D53:I53" si="135">AVERAGE(D48:D52)</f>
        <v>89.308940480318981</v>
      </c>
      <c r="E53" s="30">
        <f t="shared" si="135"/>
        <v>3</v>
      </c>
      <c r="F53" s="30">
        <f t="shared" si="135"/>
        <v>1</v>
      </c>
      <c r="G53" s="43">
        <f t="shared" si="135"/>
        <v>340.93333333333334</v>
      </c>
      <c r="H53" s="30">
        <f t="shared" si="135"/>
        <v>0</v>
      </c>
      <c r="I53" s="30">
        <f t="shared" si="135"/>
        <v>0</v>
      </c>
      <c r="J53" s="30">
        <f>AVERAGE(J48:J52)</f>
        <v>0</v>
      </c>
      <c r="K53" s="30">
        <f>AVERAGE(K48:K52)</f>
        <v>26.098856999999999</v>
      </c>
      <c r="L53" s="30">
        <f t="shared" ref="L53:Q53" si="136">AVERAGE(L48:L52)</f>
        <v>89.348242934534397</v>
      </c>
      <c r="M53" s="30">
        <f t="shared" si="136"/>
        <v>3</v>
      </c>
      <c r="N53" s="30">
        <f t="shared" si="136"/>
        <v>1</v>
      </c>
      <c r="O53" s="43">
        <f t="shared" si="136"/>
        <v>310.262</v>
      </c>
      <c r="P53" s="30">
        <f t="shared" si="136"/>
        <v>0</v>
      </c>
      <c r="Q53" s="30">
        <f t="shared" si="136"/>
        <v>0</v>
      </c>
      <c r="R53" s="30">
        <f>AVERAGE(R48:R52)</f>
        <v>0</v>
      </c>
      <c r="S53" s="30">
        <f>AVERAGE(S48:S52)</f>
        <v>27.457174718750004</v>
      </c>
      <c r="T53" s="30">
        <f t="shared" ref="T53:Y53" si="137">AVERAGE(T48:T52)</f>
        <v>89.317594765940214</v>
      </c>
      <c r="U53" s="30">
        <f t="shared" si="137"/>
        <v>3</v>
      </c>
      <c r="V53" s="30">
        <f t="shared" si="137"/>
        <v>1</v>
      </c>
      <c r="W53" s="43">
        <f t="shared" si="137"/>
        <v>287.53000000000003</v>
      </c>
      <c r="X53" s="30">
        <f t="shared" si="137"/>
        <v>0</v>
      </c>
      <c r="Y53" s="30">
        <f t="shared" si="137"/>
        <v>0</v>
      </c>
      <c r="Z53" s="30">
        <f>AVERAGE(Z48:Z52)</f>
        <v>0</v>
      </c>
      <c r="AA53" s="30">
        <f>AVERAGE(AA48:AA52)</f>
        <v>25.848154718749999</v>
      </c>
      <c r="AB53" s="30">
        <f t="shared" ref="AB53:AG53" si="138">AVERAGE(AB48:AB52)</f>
        <v>89.147768124515366</v>
      </c>
      <c r="AC53" s="30">
        <f t="shared" si="138"/>
        <v>3</v>
      </c>
      <c r="AD53" s="30">
        <f t="shared" si="138"/>
        <v>1</v>
      </c>
      <c r="AE53" s="43">
        <f t="shared" si="138"/>
        <v>569.13</v>
      </c>
      <c r="AF53" s="30">
        <f t="shared" si="138"/>
        <v>0</v>
      </c>
      <c r="AG53" s="30">
        <f t="shared" si="138"/>
        <v>0</v>
      </c>
      <c r="AH53" s="30">
        <f>AVERAGE(AH48:AH52)</f>
        <v>0</v>
      </c>
      <c r="AM53" s="30"/>
      <c r="AU53" s="30"/>
      <c r="BC53" s="30"/>
    </row>
    <row r="54" spans="1:55" ht="14.4" thickBot="1" x14ac:dyDescent="0.3">
      <c r="AM54" s="30"/>
      <c r="AU54" s="30"/>
      <c r="BC54" s="30"/>
    </row>
    <row r="55" spans="1:55" ht="14.4" thickBot="1" x14ac:dyDescent="0.3">
      <c r="A55" s="30" t="s">
        <v>21</v>
      </c>
      <c r="B55" s="30" t="s">
        <v>26</v>
      </c>
      <c r="C55" s="31">
        <v>16.20557890625</v>
      </c>
      <c r="D55" s="32">
        <v>83.249792277252382</v>
      </c>
      <c r="E55" s="33">
        <v>4</v>
      </c>
      <c r="F55" s="33">
        <f>E55/4</f>
        <v>1</v>
      </c>
      <c r="G55" s="44">
        <f>(39+31+40+39)/4</f>
        <v>37.25</v>
      </c>
      <c r="H55" s="33">
        <v>0</v>
      </c>
      <c r="I55" s="34">
        <f>H55/(E55+H55)</f>
        <v>0</v>
      </c>
      <c r="J55" s="30">
        <f>1-F55</f>
        <v>0</v>
      </c>
      <c r="K55" s="31">
        <v>10.264882343749999</v>
      </c>
      <c r="L55" s="32">
        <v>83.16382570579718</v>
      </c>
      <c r="M55" s="33">
        <v>4</v>
      </c>
      <c r="N55" s="33">
        <f>M55/4</f>
        <v>1</v>
      </c>
      <c r="O55" s="44">
        <v>75.25</v>
      </c>
      <c r="P55" s="33">
        <v>0</v>
      </c>
      <c r="Q55" s="34">
        <f>P55/(M55+P55)</f>
        <v>0</v>
      </c>
      <c r="R55" s="30">
        <f>1-N55</f>
        <v>0</v>
      </c>
      <c r="S55" s="31">
        <v>10.440772656249999</v>
      </c>
      <c r="T55" s="32">
        <v>83.250706068297518</v>
      </c>
      <c r="U55" s="33">
        <v>4</v>
      </c>
      <c r="V55" s="33">
        <f>U55/4</f>
        <v>1</v>
      </c>
      <c r="W55" s="44">
        <v>34.75</v>
      </c>
      <c r="X55" s="33">
        <v>2</v>
      </c>
      <c r="Y55" s="34">
        <f>X55/(U55+X55)</f>
        <v>0.33333333333333331</v>
      </c>
      <c r="Z55" s="30">
        <f>1-V55</f>
        <v>0</v>
      </c>
      <c r="AA55" s="31">
        <v>11.3877803125</v>
      </c>
      <c r="AB55" s="32">
        <v>82.918441693300466</v>
      </c>
      <c r="AC55" s="33">
        <v>4</v>
      </c>
      <c r="AD55" s="33">
        <f>AC55/4</f>
        <v>1</v>
      </c>
      <c r="AE55" s="44">
        <v>177.5</v>
      </c>
      <c r="AF55" s="33">
        <v>0</v>
      </c>
      <c r="AG55" s="34">
        <f>AF55/(AC55+AF55)</f>
        <v>0</v>
      </c>
      <c r="AH55" s="30">
        <f>1-AD55</f>
        <v>0</v>
      </c>
      <c r="AM55" s="30"/>
      <c r="AU55" s="30"/>
      <c r="BC55" s="30"/>
    </row>
    <row r="56" spans="1:55" ht="14.4" thickBot="1" x14ac:dyDescent="0.3">
      <c r="A56" s="30" t="s">
        <v>22</v>
      </c>
      <c r="B56" s="30" t="s">
        <v>26</v>
      </c>
      <c r="C56" s="35">
        <v>15.545221250000001</v>
      </c>
      <c r="D56" s="36">
        <v>83.214518705960799</v>
      </c>
      <c r="E56" s="30">
        <v>4</v>
      </c>
      <c r="F56" s="33">
        <f t="shared" ref="F56:F59" si="139">E56/4</f>
        <v>1</v>
      </c>
      <c r="G56" s="43">
        <f>(40+34+41+32)/4</f>
        <v>36.75</v>
      </c>
      <c r="H56" s="30">
        <v>1</v>
      </c>
      <c r="I56" s="34">
        <f t="shared" ref="I56:I59" si="140">H56/(E56+H56)</f>
        <v>0.2</v>
      </c>
      <c r="J56" s="30">
        <f t="shared" ref="J56:J59" si="141">1-F56</f>
        <v>0</v>
      </c>
      <c r="K56" s="35">
        <v>10.282057968749999</v>
      </c>
      <c r="L56" s="36">
        <v>83.219026183120022</v>
      </c>
      <c r="M56" s="30">
        <v>4</v>
      </c>
      <c r="N56" s="33">
        <f t="shared" ref="N56:N59" si="142">M56/4</f>
        <v>1</v>
      </c>
      <c r="O56" s="43">
        <v>61.25</v>
      </c>
      <c r="P56" s="30">
        <v>0</v>
      </c>
      <c r="Q56" s="34">
        <f t="shared" ref="Q56:Q59" si="143">P56/(M56+P56)</f>
        <v>0</v>
      </c>
      <c r="R56" s="30">
        <f t="shared" ref="R56:R59" si="144">1-N56</f>
        <v>0</v>
      </c>
      <c r="S56" s="35">
        <v>10.33752140625</v>
      </c>
      <c r="T56" s="36">
        <v>83.203300089478731</v>
      </c>
      <c r="U56" s="30">
        <v>4</v>
      </c>
      <c r="V56" s="33">
        <f t="shared" ref="V56:V59" si="145">U56/4</f>
        <v>1</v>
      </c>
      <c r="W56" s="43">
        <v>32.25</v>
      </c>
      <c r="X56" s="30">
        <v>2</v>
      </c>
      <c r="Y56" s="34">
        <f t="shared" ref="Y56:Y59" si="146">X56/(U56+X56)</f>
        <v>0.33333333333333331</v>
      </c>
      <c r="Z56" s="30">
        <f t="shared" ref="Z56:Z59" si="147">1-V56</f>
        <v>0</v>
      </c>
      <c r="AA56" s="35">
        <v>10.171404062500001</v>
      </c>
      <c r="AB56" s="36">
        <v>82.873233251450131</v>
      </c>
      <c r="AC56" s="30">
        <v>4</v>
      </c>
      <c r="AD56" s="33">
        <f t="shared" ref="AD56:AD59" si="148">AC56/4</f>
        <v>1</v>
      </c>
      <c r="AE56" s="43">
        <v>221</v>
      </c>
      <c r="AF56" s="30">
        <v>0</v>
      </c>
      <c r="AG56" s="34">
        <f t="shared" ref="AG56:AG59" si="149">AF56/(AC56+AF56)</f>
        <v>0</v>
      </c>
      <c r="AH56" s="30">
        <f t="shared" ref="AH56:AH59" si="150">1-AD56</f>
        <v>0</v>
      </c>
      <c r="AM56" s="30"/>
      <c r="AU56" s="30"/>
      <c r="BC56" s="30"/>
    </row>
    <row r="57" spans="1:55" ht="14.4" thickBot="1" x14ac:dyDescent="0.3">
      <c r="A57" s="30" t="s">
        <v>23</v>
      </c>
      <c r="B57" s="30" t="s">
        <v>26</v>
      </c>
      <c r="C57" s="35">
        <v>13.577079375</v>
      </c>
      <c r="D57" s="36">
        <v>83.403266544142298</v>
      </c>
      <c r="E57" s="30">
        <v>4</v>
      </c>
      <c r="F57" s="33">
        <f t="shared" si="139"/>
        <v>1</v>
      </c>
      <c r="G57" s="43">
        <f>(52+35+27+40)/4</f>
        <v>38.5</v>
      </c>
      <c r="H57" s="30">
        <v>0</v>
      </c>
      <c r="I57" s="34">
        <f t="shared" si="140"/>
        <v>0</v>
      </c>
      <c r="J57" s="30">
        <f t="shared" si="141"/>
        <v>0</v>
      </c>
      <c r="K57" s="35">
        <v>10.058599062500001</v>
      </c>
      <c r="L57" s="36">
        <v>83.275302858711171</v>
      </c>
      <c r="M57" s="30">
        <v>4</v>
      </c>
      <c r="N57" s="33">
        <f t="shared" si="142"/>
        <v>1</v>
      </c>
      <c r="O57" s="43">
        <v>108.75</v>
      </c>
      <c r="P57" s="30">
        <v>0</v>
      </c>
      <c r="Q57" s="34">
        <f t="shared" si="143"/>
        <v>0</v>
      </c>
      <c r="R57" s="30">
        <f t="shared" si="144"/>
        <v>0</v>
      </c>
      <c r="S57" s="35">
        <v>10.6602934375</v>
      </c>
      <c r="T57" s="36">
        <v>83.338650822243437</v>
      </c>
      <c r="U57" s="30">
        <v>4</v>
      </c>
      <c r="V57" s="33">
        <f t="shared" si="145"/>
        <v>1</v>
      </c>
      <c r="W57" s="43">
        <v>46</v>
      </c>
      <c r="X57" s="30">
        <v>3</v>
      </c>
      <c r="Y57" s="34">
        <f t="shared" si="146"/>
        <v>0.42857142857142855</v>
      </c>
      <c r="Z57" s="30">
        <f t="shared" si="147"/>
        <v>0</v>
      </c>
      <c r="AA57" s="35">
        <v>10.296123906249999</v>
      </c>
      <c r="AB57" s="36">
        <v>83.22165259188246</v>
      </c>
      <c r="AC57" s="30">
        <v>4</v>
      </c>
      <c r="AD57" s="33">
        <f t="shared" si="148"/>
        <v>1</v>
      </c>
      <c r="AE57" s="43">
        <v>167.75</v>
      </c>
      <c r="AF57" s="30">
        <v>0</v>
      </c>
      <c r="AG57" s="34">
        <f t="shared" si="149"/>
        <v>0</v>
      </c>
      <c r="AH57" s="30">
        <f t="shared" si="150"/>
        <v>0</v>
      </c>
      <c r="AM57" s="30"/>
      <c r="AU57" s="30"/>
      <c r="BC57" s="30"/>
    </row>
    <row r="58" spans="1:55" ht="14.4" thickBot="1" x14ac:dyDescent="0.3">
      <c r="A58" s="30" t="s">
        <v>24</v>
      </c>
      <c r="B58" s="30" t="s">
        <v>26</v>
      </c>
      <c r="C58" s="35">
        <v>13.961958593749999</v>
      </c>
      <c r="D58" s="36">
        <v>83.326530864141048</v>
      </c>
      <c r="E58" s="30">
        <v>4</v>
      </c>
      <c r="F58" s="33">
        <f t="shared" si="139"/>
        <v>1</v>
      </c>
      <c r="G58" s="43">
        <f>(45+29+38+42)/4</f>
        <v>38.5</v>
      </c>
      <c r="H58" s="30">
        <v>0</v>
      </c>
      <c r="I58" s="34">
        <f t="shared" si="140"/>
        <v>0</v>
      </c>
      <c r="J58" s="30">
        <f t="shared" si="141"/>
        <v>0</v>
      </c>
      <c r="K58" s="35">
        <v>10.077540781250001</v>
      </c>
      <c r="L58" s="36">
        <v>83.250682643948039</v>
      </c>
      <c r="M58" s="30">
        <v>4</v>
      </c>
      <c r="N58" s="33">
        <f t="shared" si="142"/>
        <v>1</v>
      </c>
      <c r="O58" s="43">
        <v>75</v>
      </c>
      <c r="P58" s="30">
        <v>0</v>
      </c>
      <c r="Q58" s="34">
        <f t="shared" si="143"/>
        <v>0</v>
      </c>
      <c r="R58" s="30">
        <f t="shared" si="144"/>
        <v>0</v>
      </c>
      <c r="S58" s="35">
        <v>10.3120340625</v>
      </c>
      <c r="T58" s="36">
        <v>83.230529906842179</v>
      </c>
      <c r="U58" s="30">
        <v>4</v>
      </c>
      <c r="V58" s="33">
        <f t="shared" si="145"/>
        <v>1</v>
      </c>
      <c r="W58" s="43">
        <v>32</v>
      </c>
      <c r="X58" s="30">
        <v>3</v>
      </c>
      <c r="Y58" s="34">
        <f t="shared" si="146"/>
        <v>0.42857142857142855</v>
      </c>
      <c r="Z58" s="30">
        <f t="shared" si="147"/>
        <v>0</v>
      </c>
      <c r="AA58" s="35">
        <v>10.172814375</v>
      </c>
      <c r="AB58" s="36">
        <v>83.067619800105774</v>
      </c>
      <c r="AC58" s="30">
        <v>4</v>
      </c>
      <c r="AD58" s="33">
        <f t="shared" si="148"/>
        <v>1</v>
      </c>
      <c r="AE58" s="43">
        <v>163.5</v>
      </c>
      <c r="AF58" s="30">
        <v>0</v>
      </c>
      <c r="AG58" s="34">
        <f t="shared" si="149"/>
        <v>0</v>
      </c>
      <c r="AH58" s="30">
        <f t="shared" si="150"/>
        <v>0</v>
      </c>
      <c r="AM58" s="30"/>
      <c r="AU58" s="30"/>
      <c r="BC58" s="30"/>
    </row>
    <row r="59" spans="1:55" ht="14.4" thickBot="1" x14ac:dyDescent="0.3">
      <c r="A59" s="30" t="s">
        <v>25</v>
      </c>
      <c r="B59" s="30" t="s">
        <v>26</v>
      </c>
      <c r="C59" s="37">
        <v>13.337937968749999</v>
      </c>
      <c r="D59" s="38">
        <v>83.266996551471607</v>
      </c>
      <c r="E59" s="39">
        <v>4</v>
      </c>
      <c r="F59" s="33">
        <f t="shared" si="139"/>
        <v>1</v>
      </c>
      <c r="G59" s="45">
        <f>(33+49+34+29)/4</f>
        <v>36.25</v>
      </c>
      <c r="H59" s="39">
        <v>0</v>
      </c>
      <c r="I59" s="34">
        <f t="shared" si="140"/>
        <v>0</v>
      </c>
      <c r="J59" s="30">
        <f t="shared" si="141"/>
        <v>0</v>
      </c>
      <c r="K59" s="37">
        <v>10.34434328125</v>
      </c>
      <c r="L59" s="38">
        <v>83.266825600933529</v>
      </c>
      <c r="M59" s="39">
        <v>4</v>
      </c>
      <c r="N59" s="33">
        <f t="shared" si="142"/>
        <v>1</v>
      </c>
      <c r="O59" s="45">
        <v>43.75</v>
      </c>
      <c r="P59" s="39">
        <v>1</v>
      </c>
      <c r="Q59" s="34">
        <f t="shared" si="143"/>
        <v>0.2</v>
      </c>
      <c r="R59" s="30">
        <f t="shared" si="144"/>
        <v>0</v>
      </c>
      <c r="S59" s="37">
        <v>10.381894375</v>
      </c>
      <c r="T59" s="38">
        <v>83.176999787706876</v>
      </c>
      <c r="U59" s="39">
        <v>4</v>
      </c>
      <c r="V59" s="33">
        <f t="shared" si="145"/>
        <v>1</v>
      </c>
      <c r="W59" s="45">
        <v>34.25</v>
      </c>
      <c r="X59" s="39">
        <v>2</v>
      </c>
      <c r="Y59" s="34">
        <f t="shared" si="146"/>
        <v>0.33333333333333331</v>
      </c>
      <c r="Z59" s="30">
        <f t="shared" si="147"/>
        <v>0</v>
      </c>
      <c r="AA59" s="37">
        <v>10.5494746875</v>
      </c>
      <c r="AB59" s="38">
        <v>82.976127429227219</v>
      </c>
      <c r="AC59" s="39">
        <v>4</v>
      </c>
      <c r="AD59" s="33">
        <f t="shared" si="148"/>
        <v>1</v>
      </c>
      <c r="AE59" s="45">
        <v>185</v>
      </c>
      <c r="AF59" s="39">
        <v>0</v>
      </c>
      <c r="AG59" s="34">
        <f t="shared" si="149"/>
        <v>0</v>
      </c>
      <c r="AH59" s="30">
        <f t="shared" si="150"/>
        <v>0</v>
      </c>
      <c r="AM59" s="30"/>
      <c r="AU59" s="30"/>
      <c r="BC59" s="30"/>
    </row>
    <row r="60" spans="1:55" x14ac:dyDescent="0.25">
      <c r="C60" s="30">
        <f>AVERAGE(C55:C59)</f>
        <v>14.52555521875</v>
      </c>
      <c r="D60" s="30">
        <f t="shared" ref="D60:I60" si="151">AVERAGE(D55:D59)</f>
        <v>83.292220988593627</v>
      </c>
      <c r="E60" s="30">
        <f t="shared" si="151"/>
        <v>4</v>
      </c>
      <c r="F60" s="30">
        <f t="shared" si="151"/>
        <v>1</v>
      </c>
      <c r="G60" s="43">
        <f t="shared" si="151"/>
        <v>37.450000000000003</v>
      </c>
      <c r="H60" s="30">
        <f t="shared" si="151"/>
        <v>0.2</v>
      </c>
      <c r="I60" s="30">
        <f t="shared" si="151"/>
        <v>0.04</v>
      </c>
      <c r="J60" s="30">
        <f>AVERAGE(J55:J59)</f>
        <v>0</v>
      </c>
      <c r="K60" s="30">
        <f>AVERAGE(K55:K59)</f>
        <v>10.2054846875</v>
      </c>
      <c r="L60" s="30">
        <f t="shared" ref="L60:Q60" si="152">AVERAGE(L55:L59)</f>
        <v>83.235132598501991</v>
      </c>
      <c r="M60" s="30">
        <f t="shared" si="152"/>
        <v>4</v>
      </c>
      <c r="N60" s="30">
        <f t="shared" si="152"/>
        <v>1</v>
      </c>
      <c r="O60" s="43">
        <f t="shared" si="152"/>
        <v>72.8</v>
      </c>
      <c r="P60" s="30">
        <f t="shared" si="152"/>
        <v>0.2</v>
      </c>
      <c r="Q60" s="30">
        <f t="shared" si="152"/>
        <v>0.04</v>
      </c>
      <c r="R60" s="30">
        <f>AVERAGE(R55:R59)</f>
        <v>0</v>
      </c>
      <c r="S60" s="30">
        <f>AVERAGE(S55:S59)</f>
        <v>10.4265031875</v>
      </c>
      <c r="T60" s="30">
        <f t="shared" ref="T60:Y60" si="153">AVERAGE(T55:T59)</f>
        <v>83.240037334913751</v>
      </c>
      <c r="U60" s="30">
        <f t="shared" si="153"/>
        <v>4</v>
      </c>
      <c r="V60" s="30">
        <f t="shared" si="153"/>
        <v>1</v>
      </c>
      <c r="W60" s="43">
        <f t="shared" si="153"/>
        <v>35.85</v>
      </c>
      <c r="X60" s="30">
        <f t="shared" si="153"/>
        <v>2.4</v>
      </c>
      <c r="Y60" s="30">
        <f t="shared" si="153"/>
        <v>0.37142857142857139</v>
      </c>
      <c r="Z60" s="30">
        <f>AVERAGE(Z55:Z59)</f>
        <v>0</v>
      </c>
      <c r="AA60" s="30">
        <f>AVERAGE(AA55:AA59)</f>
        <v>10.51551946875</v>
      </c>
      <c r="AB60" s="30">
        <f t="shared" ref="AB60:AG60" si="154">AVERAGE(AB55:AB59)</f>
        <v>83.01141495319321</v>
      </c>
      <c r="AC60" s="30">
        <f t="shared" si="154"/>
        <v>4</v>
      </c>
      <c r="AD60" s="30">
        <f t="shared" si="154"/>
        <v>1</v>
      </c>
      <c r="AE60" s="43">
        <f t="shared" si="154"/>
        <v>182.95</v>
      </c>
      <c r="AF60" s="30">
        <f t="shared" si="154"/>
        <v>0</v>
      </c>
      <c r="AG60" s="30">
        <f t="shared" si="154"/>
        <v>0</v>
      </c>
      <c r="AH60" s="30">
        <f>AVERAGE(AH55:AH59)</f>
        <v>0</v>
      </c>
      <c r="AM60" s="30"/>
      <c r="AU60" s="30"/>
      <c r="BC60" s="30"/>
    </row>
    <row r="61" spans="1:55" ht="14.4" thickBot="1" x14ac:dyDescent="0.3">
      <c r="AM61" s="30"/>
      <c r="AU61" s="30"/>
      <c r="BC61" s="30"/>
    </row>
    <row r="62" spans="1:55" ht="14.4" thickBot="1" x14ac:dyDescent="0.3">
      <c r="A62" s="30" t="s">
        <v>27</v>
      </c>
      <c r="B62" s="30" t="s">
        <v>26</v>
      </c>
      <c r="C62" s="31">
        <v>13.034223125</v>
      </c>
      <c r="D62" s="32">
        <v>85.415791901448685</v>
      </c>
      <c r="E62" s="33">
        <v>4</v>
      </c>
      <c r="F62" s="33">
        <f>E62/4</f>
        <v>1</v>
      </c>
      <c r="G62" s="44">
        <f>(35+37+48+34)/4</f>
        <v>38.5</v>
      </c>
      <c r="H62" s="33">
        <v>0</v>
      </c>
      <c r="I62" s="34">
        <f>H62/(E62+H62)</f>
        <v>0</v>
      </c>
      <c r="J62" s="30">
        <f>1-F62</f>
        <v>0</v>
      </c>
      <c r="K62" s="31">
        <v>9.3859032812500001</v>
      </c>
      <c r="L62" s="32">
        <v>85.278466996952218</v>
      </c>
      <c r="M62" s="33">
        <v>4</v>
      </c>
      <c r="N62" s="33">
        <f>M62/4</f>
        <v>1</v>
      </c>
      <c r="O62" s="44">
        <v>68</v>
      </c>
      <c r="P62" s="33">
        <v>1</v>
      </c>
      <c r="Q62" s="34">
        <f>P62/(M62+P62)</f>
        <v>0.2</v>
      </c>
      <c r="R62" s="30">
        <f>1-N62</f>
        <v>0</v>
      </c>
      <c r="S62" s="31">
        <v>10.041057500000001</v>
      </c>
      <c r="T62" s="32">
        <v>85.408695686763352</v>
      </c>
      <c r="U62" s="33">
        <v>4</v>
      </c>
      <c r="V62" s="33">
        <f>U62/4</f>
        <v>1</v>
      </c>
      <c r="W62" s="44">
        <v>35.25</v>
      </c>
      <c r="X62" s="33">
        <v>0</v>
      </c>
      <c r="Y62" s="34">
        <f>X62/(U62+X62)</f>
        <v>0</v>
      </c>
      <c r="Z62" s="30">
        <f>1-V62</f>
        <v>0</v>
      </c>
      <c r="AA62" s="31">
        <v>9.4672048437500003</v>
      </c>
      <c r="AB62" s="32">
        <v>85.094703944034563</v>
      </c>
      <c r="AC62" s="33">
        <v>4</v>
      </c>
      <c r="AD62" s="33">
        <f>AC62/4</f>
        <v>1</v>
      </c>
      <c r="AE62" s="44">
        <v>164.75</v>
      </c>
      <c r="AF62" s="33">
        <v>0</v>
      </c>
      <c r="AG62" s="34">
        <f>AF62/(AC62+AF62)</f>
        <v>0</v>
      </c>
      <c r="AH62" s="30">
        <f>1-AD62</f>
        <v>0</v>
      </c>
      <c r="AM62" s="30"/>
      <c r="AU62" s="30"/>
      <c r="BC62" s="30"/>
    </row>
    <row r="63" spans="1:55" ht="14.4" thickBot="1" x14ac:dyDescent="0.3">
      <c r="A63" s="30" t="s">
        <v>28</v>
      </c>
      <c r="B63" s="30" t="s">
        <v>26</v>
      </c>
      <c r="C63" s="35">
        <v>14.1098078125</v>
      </c>
      <c r="D63" s="36">
        <v>85.632376303458145</v>
      </c>
      <c r="E63" s="30">
        <v>4</v>
      </c>
      <c r="F63" s="33">
        <f t="shared" ref="F63:F66" si="155">E63/4</f>
        <v>1</v>
      </c>
      <c r="G63" s="43">
        <f>(45+33+49+46)/4</f>
        <v>43.25</v>
      </c>
      <c r="H63" s="30">
        <v>0</v>
      </c>
      <c r="I63" s="34">
        <f t="shared" ref="I63:I66" si="156">H63/(E63+H63)</f>
        <v>0</v>
      </c>
      <c r="J63" s="30">
        <f t="shared" ref="J63:J66" si="157">1-F63</f>
        <v>0</v>
      </c>
      <c r="K63" s="35">
        <v>9.3135200000000005</v>
      </c>
      <c r="L63" s="36">
        <v>85.597319625793133</v>
      </c>
      <c r="M63" s="30">
        <v>4</v>
      </c>
      <c r="N63" s="33">
        <f t="shared" ref="N63:N66" si="158">M63/4</f>
        <v>1</v>
      </c>
      <c r="O63" s="43">
        <v>75.75</v>
      </c>
      <c r="P63" s="30">
        <v>0</v>
      </c>
      <c r="Q63" s="34">
        <f t="shared" ref="Q63:Q66" si="159">P63/(M63+P63)</f>
        <v>0</v>
      </c>
      <c r="R63" s="30">
        <f t="shared" ref="R63:R66" si="160">1-N63</f>
        <v>0</v>
      </c>
      <c r="S63" s="35">
        <v>9.6597301562499993</v>
      </c>
      <c r="T63" s="36">
        <v>85.631508891215262</v>
      </c>
      <c r="U63" s="30">
        <v>4</v>
      </c>
      <c r="V63" s="33">
        <f t="shared" ref="V63:V66" si="161">U63/4</f>
        <v>1</v>
      </c>
      <c r="W63" s="43">
        <v>40.75</v>
      </c>
      <c r="X63" s="30">
        <v>0</v>
      </c>
      <c r="Y63" s="34">
        <f t="shared" ref="Y63:Y66" si="162">X63/(U63+X63)</f>
        <v>0</v>
      </c>
      <c r="Z63" s="30">
        <f t="shared" ref="Z63:Z66" si="163">1-V63</f>
        <v>0</v>
      </c>
      <c r="AA63" s="35">
        <v>9.4357175000000009</v>
      </c>
      <c r="AB63" s="36">
        <v>85.267074450039672</v>
      </c>
      <c r="AC63" s="30">
        <v>3</v>
      </c>
      <c r="AD63" s="33">
        <f t="shared" ref="AD63:AD66" si="164">AC63/4</f>
        <v>0.75</v>
      </c>
      <c r="AE63" s="43">
        <v>128</v>
      </c>
      <c r="AF63" s="30">
        <v>1</v>
      </c>
      <c r="AG63" s="34">
        <f t="shared" ref="AG63:AG66" si="165">AF63/(AC63+AF63)</f>
        <v>0.25</v>
      </c>
      <c r="AH63" s="30">
        <f t="shared" ref="AH63:AH66" si="166">1-AD63</f>
        <v>0.25</v>
      </c>
      <c r="AM63" s="30"/>
      <c r="AU63" s="30"/>
      <c r="BC63" s="30"/>
    </row>
    <row r="64" spans="1:55" ht="14.4" thickBot="1" x14ac:dyDescent="0.3">
      <c r="A64" s="30" t="s">
        <v>29</v>
      </c>
      <c r="B64" s="30" t="s">
        <v>26</v>
      </c>
      <c r="C64" s="35">
        <v>10.078936875</v>
      </c>
      <c r="D64" s="36">
        <v>86.650732634033844</v>
      </c>
      <c r="E64" s="30">
        <v>4</v>
      </c>
      <c r="F64" s="33">
        <f t="shared" si="155"/>
        <v>1</v>
      </c>
      <c r="G64" s="43">
        <f>(39+29+29+25)/4</f>
        <v>30.5</v>
      </c>
      <c r="H64" s="30">
        <v>0</v>
      </c>
      <c r="I64" s="34">
        <f t="shared" si="156"/>
        <v>0</v>
      </c>
      <c r="J64" s="30">
        <f t="shared" si="157"/>
        <v>0</v>
      </c>
      <c r="K64" s="35">
        <v>11.3199509375</v>
      </c>
      <c r="L64" s="36">
        <v>86.371107630013057</v>
      </c>
      <c r="M64" s="30">
        <v>4</v>
      </c>
      <c r="N64" s="33">
        <f t="shared" si="158"/>
        <v>1</v>
      </c>
      <c r="O64" s="43">
        <v>102</v>
      </c>
      <c r="P64" s="30">
        <v>1</v>
      </c>
      <c r="Q64" s="34">
        <f t="shared" si="159"/>
        <v>0.2</v>
      </c>
      <c r="R64" s="30">
        <f t="shared" si="160"/>
        <v>0</v>
      </c>
      <c r="S64" s="35">
        <v>9.4985265625000004</v>
      </c>
      <c r="T64" s="36">
        <v>86.659282744635917</v>
      </c>
      <c r="U64" s="30">
        <v>4</v>
      </c>
      <c r="V64" s="33">
        <f t="shared" si="161"/>
        <v>1</v>
      </c>
      <c r="W64" s="43">
        <v>27.25</v>
      </c>
      <c r="X64" s="30">
        <v>0</v>
      </c>
      <c r="Y64" s="34">
        <f t="shared" si="162"/>
        <v>0</v>
      </c>
      <c r="Z64" s="30">
        <f t="shared" si="163"/>
        <v>0</v>
      </c>
      <c r="AA64" s="35">
        <v>9.8163357812500003</v>
      </c>
      <c r="AB64" s="36">
        <v>86.512333835538499</v>
      </c>
      <c r="AC64" s="30">
        <v>4</v>
      </c>
      <c r="AD64" s="33">
        <f t="shared" si="164"/>
        <v>1</v>
      </c>
      <c r="AE64" s="43">
        <v>97.75</v>
      </c>
      <c r="AF64" s="30">
        <v>0</v>
      </c>
      <c r="AG64" s="34">
        <f t="shared" si="165"/>
        <v>0</v>
      </c>
      <c r="AH64" s="30">
        <f t="shared" si="166"/>
        <v>0</v>
      </c>
      <c r="AM64" s="30"/>
      <c r="AU64" s="30"/>
      <c r="BC64" s="30"/>
    </row>
    <row r="65" spans="1:55" ht="14.4" thickBot="1" x14ac:dyDescent="0.3">
      <c r="A65" s="30" t="s">
        <v>30</v>
      </c>
      <c r="B65" s="30" t="s">
        <v>26</v>
      </c>
      <c r="C65" s="35">
        <v>14.161994375000001</v>
      </c>
      <c r="D65" s="36">
        <v>85.747025691990885</v>
      </c>
      <c r="E65" s="30">
        <v>4</v>
      </c>
      <c r="F65" s="33">
        <f t="shared" si="155"/>
        <v>1</v>
      </c>
      <c r="G65" s="43">
        <f>(39+35+28+49)/4</f>
        <v>37.75</v>
      </c>
      <c r="H65" s="30">
        <v>0</v>
      </c>
      <c r="I65" s="34">
        <f t="shared" si="156"/>
        <v>0</v>
      </c>
      <c r="J65" s="30">
        <f t="shared" si="157"/>
        <v>0</v>
      </c>
      <c r="K65" s="35">
        <v>9.2584892187500003</v>
      </c>
      <c r="L65" s="36">
        <v>85.552122824456447</v>
      </c>
      <c r="M65" s="30">
        <v>4</v>
      </c>
      <c r="N65" s="33">
        <f t="shared" si="158"/>
        <v>1</v>
      </c>
      <c r="O65" s="43">
        <v>102.25</v>
      </c>
      <c r="P65" s="30">
        <v>0</v>
      </c>
      <c r="Q65" s="34">
        <f t="shared" si="159"/>
        <v>0</v>
      </c>
      <c r="R65" s="30">
        <f t="shared" si="160"/>
        <v>0</v>
      </c>
      <c r="S65" s="35">
        <v>9.5669295312500005</v>
      </c>
      <c r="T65" s="36">
        <v>85.733994353048274</v>
      </c>
      <c r="U65" s="30">
        <v>4</v>
      </c>
      <c r="V65" s="33">
        <f t="shared" si="161"/>
        <v>1</v>
      </c>
      <c r="W65" s="43">
        <v>35.25</v>
      </c>
      <c r="X65" s="30">
        <v>0</v>
      </c>
      <c r="Y65" s="34">
        <f t="shared" si="162"/>
        <v>0</v>
      </c>
      <c r="Z65" s="30">
        <f t="shared" si="163"/>
        <v>0</v>
      </c>
      <c r="AA65" s="35">
        <v>9.261959375</v>
      </c>
      <c r="AB65" s="36">
        <v>85.334599482597156</v>
      </c>
      <c r="AC65" s="30">
        <v>4</v>
      </c>
      <c r="AD65" s="33">
        <f t="shared" si="164"/>
        <v>1</v>
      </c>
      <c r="AE65" s="43">
        <v>188.25</v>
      </c>
      <c r="AF65" s="30">
        <v>0</v>
      </c>
      <c r="AG65" s="34">
        <f t="shared" si="165"/>
        <v>0</v>
      </c>
      <c r="AH65" s="30">
        <f t="shared" si="166"/>
        <v>0</v>
      </c>
      <c r="AM65" s="30"/>
      <c r="AU65" s="30"/>
      <c r="BC65" s="30"/>
    </row>
    <row r="66" spans="1:55" ht="14.4" thickBot="1" x14ac:dyDescent="0.3">
      <c r="A66" s="30" t="s">
        <v>31</v>
      </c>
      <c r="B66" s="30" t="s">
        <v>26</v>
      </c>
      <c r="C66" s="37">
        <v>13.10282953125</v>
      </c>
      <c r="D66" s="38">
        <v>86.398330873276763</v>
      </c>
      <c r="E66" s="39">
        <v>4</v>
      </c>
      <c r="F66" s="33">
        <f t="shared" si="155"/>
        <v>1</v>
      </c>
      <c r="G66" s="45">
        <f>(38+39+37+46)/4</f>
        <v>40</v>
      </c>
      <c r="H66" s="39">
        <v>0</v>
      </c>
      <c r="I66" s="34">
        <f t="shared" si="156"/>
        <v>0</v>
      </c>
      <c r="J66" s="30">
        <f t="shared" si="157"/>
        <v>0</v>
      </c>
      <c r="K66" s="37">
        <v>9.4620521874999994</v>
      </c>
      <c r="L66" s="38">
        <v>86.30636760611246</v>
      </c>
      <c r="M66" s="39">
        <v>4</v>
      </c>
      <c r="N66" s="33">
        <f t="shared" si="158"/>
        <v>1</v>
      </c>
      <c r="O66" s="45">
        <v>95.5</v>
      </c>
      <c r="P66" s="39">
        <v>0</v>
      </c>
      <c r="Q66" s="34">
        <f t="shared" si="159"/>
        <v>0</v>
      </c>
      <c r="R66" s="30">
        <f t="shared" si="160"/>
        <v>0</v>
      </c>
      <c r="S66" s="37">
        <v>9.5725518750000003</v>
      </c>
      <c r="T66" s="38">
        <v>86.390108259088322</v>
      </c>
      <c r="U66" s="39">
        <v>4</v>
      </c>
      <c r="V66" s="33">
        <f t="shared" si="161"/>
        <v>1</v>
      </c>
      <c r="W66" s="45">
        <v>35.75</v>
      </c>
      <c r="X66" s="39">
        <v>0</v>
      </c>
      <c r="Y66" s="34">
        <f t="shared" si="162"/>
        <v>0</v>
      </c>
      <c r="Z66" s="30">
        <f t="shared" si="163"/>
        <v>0</v>
      </c>
      <c r="AA66" s="37">
        <v>9.3486590624999995</v>
      </c>
      <c r="AB66" s="38">
        <v>86.106142393361679</v>
      </c>
      <c r="AC66" s="39">
        <v>4</v>
      </c>
      <c r="AD66" s="33">
        <f t="shared" si="164"/>
        <v>1</v>
      </c>
      <c r="AE66" s="45">
        <v>160.25</v>
      </c>
      <c r="AF66" s="39">
        <v>1</v>
      </c>
      <c r="AG66" s="34">
        <f t="shared" si="165"/>
        <v>0.2</v>
      </c>
      <c r="AH66" s="30">
        <f t="shared" si="166"/>
        <v>0</v>
      </c>
      <c r="AM66" s="30"/>
      <c r="AU66" s="30"/>
      <c r="BC66" s="30"/>
    </row>
    <row r="67" spans="1:55" x14ac:dyDescent="0.25">
      <c r="C67" s="30">
        <f>AVERAGE(C62:C66)</f>
        <v>12.897558343750001</v>
      </c>
      <c r="D67" s="30">
        <f t="shared" ref="D67:I67" si="167">AVERAGE(D62:D66)</f>
        <v>85.968851480841664</v>
      </c>
      <c r="E67" s="30">
        <f t="shared" si="167"/>
        <v>4</v>
      </c>
      <c r="F67" s="30">
        <f t="shared" si="167"/>
        <v>1</v>
      </c>
      <c r="G67" s="43">
        <f t="shared" si="167"/>
        <v>38</v>
      </c>
      <c r="H67" s="30">
        <f t="shared" si="167"/>
        <v>0</v>
      </c>
      <c r="I67" s="30">
        <f t="shared" si="167"/>
        <v>0</v>
      </c>
      <c r="J67" s="30">
        <f>AVERAGE(J62:J66)</f>
        <v>0</v>
      </c>
      <c r="K67" s="30">
        <f>AVERAGE(K62:K66)</f>
        <v>9.7479831250000011</v>
      </c>
      <c r="L67" s="30">
        <f t="shared" ref="L67:Q67" si="168">AVERAGE(L62:L66)</f>
        <v>85.821076936665463</v>
      </c>
      <c r="M67" s="30">
        <f t="shared" si="168"/>
        <v>4</v>
      </c>
      <c r="N67" s="30">
        <f t="shared" si="168"/>
        <v>1</v>
      </c>
      <c r="O67" s="43">
        <f t="shared" si="168"/>
        <v>88.7</v>
      </c>
      <c r="P67" s="30">
        <f t="shared" si="168"/>
        <v>0.4</v>
      </c>
      <c r="Q67" s="30">
        <f t="shared" si="168"/>
        <v>0.08</v>
      </c>
      <c r="R67" s="30">
        <f>AVERAGE(R62:R66)</f>
        <v>0</v>
      </c>
      <c r="S67" s="30">
        <f>AVERAGE(S62:S66)</f>
        <v>9.6677591249999999</v>
      </c>
      <c r="T67" s="30">
        <f t="shared" ref="T67:Y67" si="169">AVERAGE(T62:T66)</f>
        <v>85.96471798695022</v>
      </c>
      <c r="U67" s="30">
        <f t="shared" si="169"/>
        <v>4</v>
      </c>
      <c r="V67" s="30">
        <f t="shared" si="169"/>
        <v>1</v>
      </c>
      <c r="W67" s="43">
        <f t="shared" si="169"/>
        <v>34.85</v>
      </c>
      <c r="X67" s="30">
        <f t="shared" si="169"/>
        <v>0</v>
      </c>
      <c r="Y67" s="30">
        <f t="shared" si="169"/>
        <v>0</v>
      </c>
      <c r="Z67" s="30">
        <f>AVERAGE(Z62:Z66)</f>
        <v>0</v>
      </c>
      <c r="AA67" s="30">
        <f>AVERAGE(AA62:AA66)</f>
        <v>9.4659753124999995</v>
      </c>
      <c r="AB67" s="30">
        <f t="shared" ref="AB67:AG67" si="170">AVERAGE(AB62:AB66)</f>
        <v>85.6629708211143</v>
      </c>
      <c r="AC67" s="30">
        <f t="shared" si="170"/>
        <v>3.8</v>
      </c>
      <c r="AD67" s="30">
        <f t="shared" si="170"/>
        <v>0.95</v>
      </c>
      <c r="AE67" s="43">
        <f t="shared" si="170"/>
        <v>147.80000000000001</v>
      </c>
      <c r="AF67" s="30">
        <f t="shared" si="170"/>
        <v>0.4</v>
      </c>
      <c r="AG67" s="30">
        <f t="shared" si="170"/>
        <v>0.09</v>
      </c>
      <c r="AH67" s="30">
        <f>AVERAGE(AH62:AH66)</f>
        <v>0.05</v>
      </c>
      <c r="AM67" s="30"/>
      <c r="AU67" s="30"/>
      <c r="BC67" s="30"/>
    </row>
    <row r="68" spans="1:55" x14ac:dyDescent="0.25">
      <c r="C68" s="30">
        <f>AVERAGE(C46,C53,C60,C67)</f>
        <v>19.556262539062502</v>
      </c>
      <c r="D68" s="30">
        <f t="shared" ref="D68:I68" si="171">AVERAGE(D46,D53,D60,D67)</f>
        <v>85.579138845351991</v>
      </c>
      <c r="E68" s="30">
        <f t="shared" si="171"/>
        <v>3.35</v>
      </c>
      <c r="F68" s="30">
        <f t="shared" si="171"/>
        <v>0.95</v>
      </c>
      <c r="G68" s="43">
        <f t="shared" si="171"/>
        <v>150.51250000000002</v>
      </c>
      <c r="H68" s="30">
        <f t="shared" si="171"/>
        <v>0.25</v>
      </c>
      <c r="I68" s="30">
        <f t="shared" si="171"/>
        <v>5.6666666666666671E-2</v>
      </c>
      <c r="J68" s="30">
        <f>AVERAGE(J46,J53,J60,J67)</f>
        <v>0.05</v>
      </c>
      <c r="K68" s="30">
        <f>AVERAGE(K46,K53,K60,K67)</f>
        <v>13.878033523437502</v>
      </c>
      <c r="L68" s="30">
        <f t="shared" ref="L68:Q68" si="172">AVERAGE(L46,L53,L60,L67)</f>
        <v>85.536915833018995</v>
      </c>
      <c r="M68" s="30">
        <f t="shared" si="172"/>
        <v>3.5</v>
      </c>
      <c r="N68" s="30">
        <f t="shared" si="172"/>
        <v>1</v>
      </c>
      <c r="O68" s="43">
        <f t="shared" si="172"/>
        <v>177.30549999999999</v>
      </c>
      <c r="P68" s="30">
        <f t="shared" si="172"/>
        <v>0.25</v>
      </c>
      <c r="Q68" s="30">
        <f t="shared" si="172"/>
        <v>5.5000000000000007E-2</v>
      </c>
      <c r="R68" s="30">
        <f>AVERAGE(R46,R53,R60,R67)</f>
        <v>0</v>
      </c>
      <c r="S68" s="30">
        <f>AVERAGE(S46,S53,S60,S67)</f>
        <v>14.322280437500002</v>
      </c>
      <c r="T68" s="30">
        <f t="shared" ref="T68:Y68" si="173">AVERAGE(T46,T53,T60,T67)</f>
        <v>85.579760008621449</v>
      </c>
      <c r="U68" s="30">
        <f t="shared" si="173"/>
        <v>3.5</v>
      </c>
      <c r="V68" s="30">
        <f t="shared" si="173"/>
        <v>1</v>
      </c>
      <c r="W68" s="43">
        <f t="shared" si="173"/>
        <v>128.79000000000002</v>
      </c>
      <c r="X68" s="30">
        <f t="shared" si="173"/>
        <v>0.95</v>
      </c>
      <c r="Y68" s="30">
        <f t="shared" si="173"/>
        <v>0.15785714285714286</v>
      </c>
      <c r="Z68" s="30">
        <f>AVERAGE(Z46,Z53,Z60,Z67)</f>
        <v>0</v>
      </c>
      <c r="AA68" s="30">
        <f>AVERAGE(AA46,AA53,AA60,AA67)</f>
        <v>13.7950237265625</v>
      </c>
      <c r="AB68" s="30">
        <f t="shared" ref="AB68:AG68" si="174">AVERAGE(AB46,AB53,AB60,AB67)</f>
        <v>85.367063556840463</v>
      </c>
      <c r="AC68" s="30">
        <f t="shared" si="174"/>
        <v>3.25</v>
      </c>
      <c r="AD68" s="30">
        <f t="shared" si="174"/>
        <v>0.92083333333333339</v>
      </c>
      <c r="AE68" s="43">
        <f t="shared" si="174"/>
        <v>334.38600000000002</v>
      </c>
      <c r="AF68" s="30">
        <f t="shared" si="174"/>
        <v>0.30000000000000004</v>
      </c>
      <c r="AG68" s="30">
        <f t="shared" si="174"/>
        <v>8.9166666666666672E-2</v>
      </c>
      <c r="AH68" s="30">
        <f>AVERAGE(AH46,AH53,AH60,AH67)</f>
        <v>7.9166666666666677E-2</v>
      </c>
      <c r="AM68" s="30"/>
      <c r="AU68" s="30"/>
      <c r="BC68" s="30"/>
    </row>
    <row r="69" spans="1:55" ht="14.4" thickBot="1" x14ac:dyDescent="0.3">
      <c r="C69" s="30" t="s">
        <v>2</v>
      </c>
      <c r="D69" s="30" t="s">
        <v>7</v>
      </c>
      <c r="E69" s="30" t="s">
        <v>37</v>
      </c>
      <c r="K69" s="30" t="s">
        <v>2</v>
      </c>
      <c r="L69" s="30" t="s">
        <v>7</v>
      </c>
      <c r="M69" s="30" t="s">
        <v>37</v>
      </c>
      <c r="S69" s="30" t="s">
        <v>2</v>
      </c>
      <c r="T69" s="30" t="s">
        <v>7</v>
      </c>
      <c r="U69" s="30" t="s">
        <v>37</v>
      </c>
      <c r="AA69" s="30" t="s">
        <v>2</v>
      </c>
      <c r="AB69" s="30" t="s">
        <v>7</v>
      </c>
      <c r="AC69" s="30" t="s">
        <v>37</v>
      </c>
      <c r="AM69" s="30"/>
      <c r="AU69" s="30"/>
      <c r="BC69" s="30"/>
    </row>
    <row r="70" spans="1:55" x14ac:dyDescent="0.25">
      <c r="A70" s="30" t="s">
        <v>32</v>
      </c>
      <c r="C70" s="31">
        <v>3.0644408138672601</v>
      </c>
      <c r="D70" s="32">
        <v>67.921862963881694</v>
      </c>
      <c r="E70" s="40">
        <v>1.2235817575083427E-2</v>
      </c>
      <c r="K70" s="31">
        <v>2.878447117167223</v>
      </c>
      <c r="L70" s="32">
        <v>68.235634271418746</v>
      </c>
      <c r="M70" s="40">
        <v>2.6696329254727477E-2</v>
      </c>
      <c r="S70" s="31">
        <v>3.0071723210975159</v>
      </c>
      <c r="T70" s="32">
        <v>66.546586457609664</v>
      </c>
      <c r="U70" s="40">
        <v>0.22988505747126436</v>
      </c>
      <c r="AA70" s="31">
        <v>2.8550994160177976</v>
      </c>
      <c r="AB70" s="32">
        <v>68.311910666782694</v>
      </c>
      <c r="AC70" s="40">
        <v>7.7864293659621799E-3</v>
      </c>
      <c r="AM70" s="30"/>
      <c r="AU70" s="30"/>
      <c r="BC70" s="30"/>
    </row>
    <row r="71" spans="1:55" x14ac:dyDescent="0.25">
      <c r="A71" s="30" t="s">
        <v>34</v>
      </c>
      <c r="C71" s="35">
        <v>6.474013893668273</v>
      </c>
      <c r="D71" s="36">
        <v>83.761598681517683</v>
      </c>
      <c r="E71" s="41">
        <v>0.61562284927735722</v>
      </c>
      <c r="K71" s="35">
        <v>5.2954393926359256</v>
      </c>
      <c r="L71" s="36">
        <v>86.587293239092929</v>
      </c>
      <c r="M71" s="41">
        <v>1.1300757054370267</v>
      </c>
      <c r="S71" s="35">
        <v>5.2324554800412937</v>
      </c>
      <c r="T71" s="36">
        <v>85.658935544166269</v>
      </c>
      <c r="U71" s="41">
        <v>0.82002752924982791</v>
      </c>
      <c r="AA71" s="35">
        <v>5.5352718513420509</v>
      </c>
      <c r="AB71" s="36">
        <v>79.776274620011023</v>
      </c>
      <c r="AC71" s="41">
        <v>4.0261527873365448E-2</v>
      </c>
      <c r="AM71" s="30"/>
      <c r="AU71" s="30"/>
      <c r="BC71" s="30"/>
    </row>
    <row r="72" spans="1:55" x14ac:dyDescent="0.25">
      <c r="A72" s="30" t="s">
        <v>35</v>
      </c>
      <c r="C72" s="35">
        <v>0.2937775330396476</v>
      </c>
      <c r="D72" s="36">
        <v>83.637301359241008</v>
      </c>
      <c r="E72" s="41">
        <v>0.45814977973568283</v>
      </c>
      <c r="K72" s="35">
        <v>0.31153634361233479</v>
      </c>
      <c r="L72" s="36">
        <v>85.577824212512539</v>
      </c>
      <c r="M72" s="41">
        <v>0.92951541850220265</v>
      </c>
      <c r="S72" s="35">
        <v>0.30733755506607929</v>
      </c>
      <c r="T72" s="36">
        <v>85.127098509242643</v>
      </c>
      <c r="U72" s="41">
        <v>0.58149779735682816</v>
      </c>
      <c r="AA72" s="35">
        <v>0.28937224669603523</v>
      </c>
      <c r="AB72" s="36">
        <v>79.750495974270052</v>
      </c>
      <c r="AC72" s="41">
        <v>4.405286343612335E-2</v>
      </c>
      <c r="AM72" s="30"/>
      <c r="AU72" s="30"/>
      <c r="BC72" s="30"/>
    </row>
    <row r="73" spans="1:55" x14ac:dyDescent="0.25">
      <c r="A73" s="30" t="s">
        <v>33</v>
      </c>
      <c r="C73" s="35">
        <v>2.312040330359296</v>
      </c>
      <c r="D73" s="36">
        <v>75.3671337804264</v>
      </c>
      <c r="E73" s="41">
        <v>0.27923800337593441</v>
      </c>
      <c r="K73" s="35">
        <v>2.2511341029659997</v>
      </c>
      <c r="L73" s="36">
        <v>77.084128027757842</v>
      </c>
      <c r="M73" s="41">
        <v>0.63057632023149268</v>
      </c>
      <c r="S73" s="35">
        <v>2.2542990414757655</v>
      </c>
      <c r="T73" s="36">
        <v>77.756833472508021</v>
      </c>
      <c r="U73" s="41">
        <v>0.55751145406317815</v>
      </c>
      <c r="AA73" s="35">
        <v>2.1819387509042683</v>
      </c>
      <c r="AB73" s="36">
        <v>71.32408643686118</v>
      </c>
      <c r="AC73" s="41">
        <v>0.11791656619242827</v>
      </c>
      <c r="AM73" s="30"/>
      <c r="AU73" s="30"/>
      <c r="BC73" s="30"/>
    </row>
    <row r="74" spans="1:55" ht="14.4" thickBot="1" x14ac:dyDescent="0.3">
      <c r="A74" s="30" t="s">
        <v>36</v>
      </c>
      <c r="C74" s="37">
        <v>0.99301861702127658</v>
      </c>
      <c r="D74" s="38">
        <v>88.893052696700096</v>
      </c>
      <c r="E74" s="42">
        <v>2.1276595744680851E-2</v>
      </c>
      <c r="K74" s="37">
        <v>0.90026595744680848</v>
      </c>
      <c r="L74" s="38">
        <v>88.871441904854407</v>
      </c>
      <c r="M74" s="42">
        <v>0.19148936170212766</v>
      </c>
      <c r="S74" s="37">
        <v>0.94980053191489366</v>
      </c>
      <c r="T74" s="38">
        <v>89.12103924911132</v>
      </c>
      <c r="U74" s="42">
        <v>0.10638297872340426</v>
      </c>
      <c r="AA74" s="37">
        <v>1.0069813829787233</v>
      </c>
      <c r="AB74" s="38">
        <v>88.379138756246405</v>
      </c>
      <c r="AC74" s="42">
        <v>2.1276595744680851E-2</v>
      </c>
      <c r="AM74" s="30"/>
      <c r="AU74" s="30"/>
      <c r="BC74" s="30"/>
    </row>
    <row r="75" spans="1:55" x14ac:dyDescent="0.25">
      <c r="C75" s="30">
        <f>AVERAGE(C70:C74)</f>
        <v>2.6274582375911502</v>
      </c>
      <c r="D75" s="30">
        <f t="shared" ref="D75:E75" si="175">AVERAGE(D70:D74)</f>
        <v>79.916189896353373</v>
      </c>
      <c r="E75" s="30">
        <f t="shared" si="175"/>
        <v>0.27730460914174776</v>
      </c>
      <c r="K75" s="30">
        <f>AVERAGE(K70:K74)</f>
        <v>2.3273645827656586</v>
      </c>
      <c r="L75" s="30">
        <f t="shared" ref="L75:M75" si="176">AVERAGE(L70:L74)</f>
        <v>81.271264331127298</v>
      </c>
      <c r="M75" s="30">
        <f t="shared" si="176"/>
        <v>0.58167062702551553</v>
      </c>
      <c r="S75" s="30">
        <f>AVERAGE(S70:S74)</f>
        <v>2.3502129859191099</v>
      </c>
      <c r="T75" s="30">
        <f t="shared" ref="T75:U75" si="177">AVERAGE(T70:T74)</f>
        <v>80.842098646527589</v>
      </c>
      <c r="U75" s="30">
        <f t="shared" si="177"/>
        <v>0.45906096337290048</v>
      </c>
      <c r="AA75" s="30">
        <f>AVERAGE(AA70:AA74)</f>
        <v>2.373732729587775</v>
      </c>
      <c r="AB75" s="30">
        <f t="shared" ref="AB75:AC75" si="178">AVERAGE(AB70:AB74)</f>
        <v>77.508381290834265</v>
      </c>
      <c r="AC75" s="30">
        <f t="shared" si="178"/>
        <v>4.6258796522512018E-2</v>
      </c>
      <c r="AM75" s="30"/>
      <c r="AU75" s="30"/>
      <c r="BC75" s="30"/>
    </row>
  </sheetData>
  <mergeCells count="10">
    <mergeCell ref="AA39:AG39"/>
    <mergeCell ref="C39:I39"/>
    <mergeCell ref="K39:Q39"/>
    <mergeCell ref="S39:Y39"/>
    <mergeCell ref="AA1:AG1"/>
    <mergeCell ref="AI1:AO1"/>
    <mergeCell ref="AQ1:AW1"/>
    <mergeCell ref="C1:I1"/>
    <mergeCell ref="K1:Q1"/>
    <mergeCell ref="S1:Y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BDF98-4EF1-4067-ADC5-F5B5802B150F}">
  <dimension ref="A1:BC75"/>
  <sheetViews>
    <sheetView zoomScale="55" zoomScaleNormal="55" workbookViewId="0">
      <selection activeCell="AP57" sqref="AP57"/>
    </sheetView>
  </sheetViews>
  <sheetFormatPr defaultColWidth="8.88671875" defaultRowHeight="13.8" x14ac:dyDescent="0.25"/>
  <cols>
    <col min="1" max="1" width="8.88671875" style="29"/>
    <col min="2" max="2" width="9" style="29" bestFit="1" customWidth="1"/>
    <col min="3" max="3" width="10" style="29" bestFit="1" customWidth="1"/>
    <col min="4" max="6" width="9" style="29" bestFit="1" customWidth="1"/>
    <col min="7" max="7" width="10" style="63" bestFit="1" customWidth="1"/>
    <col min="8" max="14" width="9" style="29" bestFit="1" customWidth="1"/>
    <col min="15" max="15" width="10" style="63" bestFit="1" customWidth="1"/>
    <col min="16" max="22" width="9" style="29" bestFit="1" customWidth="1"/>
    <col min="23" max="23" width="10" style="63" bestFit="1" customWidth="1"/>
    <col min="24" max="26" width="9" style="29" bestFit="1" customWidth="1"/>
    <col min="27" max="27" width="10" style="29" bestFit="1" customWidth="1"/>
    <col min="28" max="30" width="9" style="29" bestFit="1" customWidth="1"/>
    <col min="31" max="31" width="10" style="63" bestFit="1" customWidth="1"/>
    <col min="32" max="38" width="9" style="29" bestFit="1" customWidth="1"/>
    <col min="39" max="39" width="10" style="63" bestFit="1" customWidth="1"/>
    <col min="40" max="46" width="9" style="29" bestFit="1" customWidth="1"/>
    <col min="47" max="47" width="10" style="63" bestFit="1" customWidth="1"/>
    <col min="48" max="54" width="9" style="29" bestFit="1" customWidth="1"/>
    <col min="55" max="55" width="10" style="63" bestFit="1" customWidth="1"/>
    <col min="56" max="58" width="9" style="29" bestFit="1" customWidth="1"/>
    <col min="59" max="16384" width="8.88671875" style="29"/>
  </cols>
  <sheetData>
    <row r="1" spans="1:50" x14ac:dyDescent="0.25">
      <c r="A1" s="47"/>
      <c r="B1" s="47"/>
      <c r="C1" s="75" t="s">
        <v>45</v>
      </c>
      <c r="D1" s="76"/>
      <c r="E1" s="76"/>
      <c r="F1" s="76"/>
      <c r="G1" s="76"/>
      <c r="H1" s="76"/>
      <c r="I1" s="77"/>
      <c r="K1" s="75" t="s">
        <v>46</v>
      </c>
      <c r="L1" s="76"/>
      <c r="M1" s="76"/>
      <c r="N1" s="76"/>
      <c r="O1" s="76"/>
      <c r="P1" s="76"/>
      <c r="Q1" s="77"/>
      <c r="S1" s="72" t="s">
        <v>1</v>
      </c>
      <c r="T1" s="73"/>
      <c r="U1" s="73"/>
      <c r="V1" s="73"/>
      <c r="W1" s="73"/>
      <c r="X1" s="73"/>
      <c r="Y1" s="74"/>
      <c r="AA1" s="78" t="s">
        <v>42</v>
      </c>
      <c r="AB1" s="78"/>
      <c r="AC1" s="78"/>
      <c r="AD1" s="78"/>
      <c r="AE1" s="78"/>
      <c r="AF1" s="78"/>
      <c r="AG1" s="78"/>
      <c r="AI1" s="78" t="s">
        <v>49</v>
      </c>
      <c r="AJ1" s="78"/>
      <c r="AK1" s="78"/>
      <c r="AL1" s="78"/>
      <c r="AM1" s="78"/>
      <c r="AN1" s="78"/>
      <c r="AO1" s="78"/>
      <c r="AQ1" s="72" t="s">
        <v>43</v>
      </c>
      <c r="AR1" s="73"/>
      <c r="AS1" s="73"/>
      <c r="AT1" s="73"/>
      <c r="AU1" s="73"/>
      <c r="AV1" s="73"/>
      <c r="AW1" s="74"/>
    </row>
    <row r="2" spans="1:50" ht="14.4" thickBot="1" x14ac:dyDescent="0.3">
      <c r="A2" s="47" t="s">
        <v>0</v>
      </c>
      <c r="B2" s="47" t="s">
        <v>9</v>
      </c>
      <c r="C2" s="47" t="s">
        <v>2</v>
      </c>
      <c r="D2" s="47" t="s">
        <v>7</v>
      </c>
      <c r="E2" s="47" t="s">
        <v>3</v>
      </c>
      <c r="F2" s="47" t="s">
        <v>5</v>
      </c>
      <c r="G2" s="60" t="s">
        <v>8</v>
      </c>
      <c r="H2" s="47" t="s">
        <v>4</v>
      </c>
      <c r="I2" s="47" t="s">
        <v>6</v>
      </c>
      <c r="J2" s="47" t="s">
        <v>96</v>
      </c>
      <c r="K2" s="47" t="s">
        <v>2</v>
      </c>
      <c r="L2" s="47" t="s">
        <v>7</v>
      </c>
      <c r="M2" s="47" t="s">
        <v>3</v>
      </c>
      <c r="N2" s="47" t="s">
        <v>5</v>
      </c>
      <c r="O2" s="60" t="s">
        <v>8</v>
      </c>
      <c r="P2" s="47" t="s">
        <v>4</v>
      </c>
      <c r="Q2" s="47" t="s">
        <v>6</v>
      </c>
      <c r="R2" s="47" t="s">
        <v>96</v>
      </c>
      <c r="S2" s="47" t="s">
        <v>2</v>
      </c>
      <c r="T2" s="47" t="s">
        <v>7</v>
      </c>
      <c r="U2" s="47" t="s">
        <v>3</v>
      </c>
      <c r="V2" s="47" t="s">
        <v>5</v>
      </c>
      <c r="W2" s="60" t="s">
        <v>8</v>
      </c>
      <c r="X2" s="47" t="s">
        <v>4</v>
      </c>
      <c r="Y2" s="47" t="s">
        <v>6</v>
      </c>
      <c r="Z2" s="47" t="s">
        <v>96</v>
      </c>
      <c r="AA2" s="47" t="s">
        <v>2</v>
      </c>
      <c r="AB2" s="47" t="s">
        <v>7</v>
      </c>
      <c r="AC2" s="47" t="s">
        <v>3</v>
      </c>
      <c r="AD2" s="47" t="s">
        <v>5</v>
      </c>
      <c r="AE2" s="60" t="s">
        <v>8</v>
      </c>
      <c r="AF2" s="47" t="s">
        <v>4</v>
      </c>
      <c r="AG2" s="47" t="s">
        <v>6</v>
      </c>
      <c r="AH2" s="47" t="s">
        <v>96</v>
      </c>
      <c r="AI2" s="47" t="s">
        <v>2</v>
      </c>
      <c r="AJ2" s="47" t="s">
        <v>7</v>
      </c>
      <c r="AK2" s="47" t="s">
        <v>3</v>
      </c>
      <c r="AL2" s="47" t="s">
        <v>5</v>
      </c>
      <c r="AM2" s="60" t="s">
        <v>8</v>
      </c>
      <c r="AN2" s="47" t="s">
        <v>4</v>
      </c>
      <c r="AO2" s="47" t="s">
        <v>6</v>
      </c>
      <c r="AP2" s="47" t="s">
        <v>96</v>
      </c>
      <c r="AQ2" s="47" t="s">
        <v>2</v>
      </c>
      <c r="AR2" s="47" t="s">
        <v>7</v>
      </c>
      <c r="AS2" s="47" t="s">
        <v>3</v>
      </c>
      <c r="AT2" s="47" t="s">
        <v>5</v>
      </c>
      <c r="AU2" s="60" t="s">
        <v>8</v>
      </c>
      <c r="AV2" s="47" t="s">
        <v>4</v>
      </c>
      <c r="AW2" s="47" t="s">
        <v>6</v>
      </c>
      <c r="AX2" s="47" t="s">
        <v>96</v>
      </c>
    </row>
    <row r="3" spans="1:50" ht="14.4" thickBot="1" x14ac:dyDescent="0.3">
      <c r="A3" s="47" t="s">
        <v>10</v>
      </c>
      <c r="B3" s="47" t="s">
        <v>15</v>
      </c>
      <c r="C3" s="48">
        <v>27.70595890625</v>
      </c>
      <c r="D3" s="49">
        <v>86.577397910040474</v>
      </c>
      <c r="E3" s="49">
        <v>3</v>
      </c>
      <c r="F3" s="50">
        <f>E3/3</f>
        <v>1</v>
      </c>
      <c r="G3" s="61">
        <f>(47+38+55)/3</f>
        <v>46.666666666666664</v>
      </c>
      <c r="H3" s="50">
        <v>0</v>
      </c>
      <c r="I3" s="51">
        <f>H3/(E3+H3)</f>
        <v>0</v>
      </c>
      <c r="J3" s="47">
        <f>1-F3</f>
        <v>0</v>
      </c>
      <c r="K3" s="48">
        <v>23.39846984375</v>
      </c>
      <c r="L3" s="49">
        <v>86.572982262686352</v>
      </c>
      <c r="M3" s="49">
        <v>3</v>
      </c>
      <c r="N3" s="50">
        <f>M3/3</f>
        <v>1</v>
      </c>
      <c r="O3" s="61">
        <v>49.466666666666669</v>
      </c>
      <c r="P3" s="50">
        <v>0</v>
      </c>
      <c r="Q3" s="51">
        <f>P3/(M3+P3)</f>
        <v>0</v>
      </c>
      <c r="R3" s="47">
        <f>1-N3</f>
        <v>0</v>
      </c>
      <c r="S3" s="48">
        <v>21.496846250000001</v>
      </c>
      <c r="T3" s="49">
        <v>86.412817465509548</v>
      </c>
      <c r="U3" s="50">
        <v>3</v>
      </c>
      <c r="V3" s="50">
        <f>U3/3</f>
        <v>1</v>
      </c>
      <c r="W3" s="61">
        <f>(49+40+91)/3</f>
        <v>60</v>
      </c>
      <c r="X3" s="50">
        <v>0</v>
      </c>
      <c r="Y3" s="51">
        <f>X3/(U3+X3)</f>
        <v>0</v>
      </c>
      <c r="Z3" s="47">
        <f>1-V3</f>
        <v>0</v>
      </c>
      <c r="AA3" s="48">
        <v>27.42417015625</v>
      </c>
      <c r="AB3" s="49">
        <v>86.335507862826859</v>
      </c>
      <c r="AC3" s="50">
        <v>3</v>
      </c>
      <c r="AD3" s="50">
        <f>AC3/3</f>
        <v>1</v>
      </c>
      <c r="AE3" s="61">
        <f>(289+347+618)/3</f>
        <v>418</v>
      </c>
      <c r="AF3" s="50">
        <v>0</v>
      </c>
      <c r="AG3" s="51">
        <f>AF3/(AC3+AF3)</f>
        <v>0</v>
      </c>
      <c r="AH3" s="47">
        <f>1-AD3</f>
        <v>0</v>
      </c>
      <c r="AI3" s="48">
        <v>21.887524843750001</v>
      </c>
      <c r="AJ3" s="49">
        <v>86.433937101970798</v>
      </c>
      <c r="AK3" s="50">
        <v>3</v>
      </c>
      <c r="AL3" s="50">
        <f>AK3/3</f>
        <v>1</v>
      </c>
      <c r="AM3" s="61">
        <f>(150+156+269)/3</f>
        <v>191.66666666666666</v>
      </c>
      <c r="AN3" s="50">
        <v>0</v>
      </c>
      <c r="AO3" s="51">
        <f>AN3/(AK3+AN3)</f>
        <v>0</v>
      </c>
      <c r="AP3" s="47">
        <f>1-AL3</f>
        <v>0</v>
      </c>
      <c r="AQ3" s="48">
        <v>26.607860468750001</v>
      </c>
      <c r="AR3" s="49">
        <v>86.435978115434139</v>
      </c>
      <c r="AS3" s="50">
        <v>3</v>
      </c>
      <c r="AT3" s="50">
        <f>AS3/3</f>
        <v>1</v>
      </c>
      <c r="AU3" s="61">
        <f>(182+212+424)/3</f>
        <v>272.66666666666669</v>
      </c>
      <c r="AV3" s="50">
        <v>0</v>
      </c>
      <c r="AW3" s="51">
        <f>AV3/(AS3+AV3)</f>
        <v>0</v>
      </c>
      <c r="AX3" s="47">
        <f>1-AT3</f>
        <v>0</v>
      </c>
    </row>
    <row r="4" spans="1:50" ht="14.4" thickBot="1" x14ac:dyDescent="0.3">
      <c r="A4" s="47" t="s">
        <v>11</v>
      </c>
      <c r="B4" s="47" t="s">
        <v>15</v>
      </c>
      <c r="C4" s="52">
        <v>21.926230781249998</v>
      </c>
      <c r="D4" s="53">
        <v>86.634645101197137</v>
      </c>
      <c r="E4" s="47">
        <v>3</v>
      </c>
      <c r="F4" s="50">
        <f t="shared" ref="F4:F7" si="0">E4/3</f>
        <v>1</v>
      </c>
      <c r="G4" s="60">
        <f>(39+95+57)/3</f>
        <v>63.666666666666664</v>
      </c>
      <c r="H4" s="47">
        <v>0</v>
      </c>
      <c r="I4" s="51">
        <f t="shared" ref="I4:I7" si="1">H4/(E4+H4)</f>
        <v>0</v>
      </c>
      <c r="J4" s="47">
        <f t="shared" ref="J4:J7" si="2">1-F4</f>
        <v>0</v>
      </c>
      <c r="K4" s="52">
        <v>26.237976468749999</v>
      </c>
      <c r="L4" s="53">
        <v>86.639806328443584</v>
      </c>
      <c r="M4" s="47">
        <v>3</v>
      </c>
      <c r="N4" s="50">
        <f t="shared" ref="N4:N7" si="3">M4/3</f>
        <v>1</v>
      </c>
      <c r="O4" s="60">
        <v>59.066666666666677</v>
      </c>
      <c r="P4" s="47">
        <v>0</v>
      </c>
      <c r="Q4" s="51">
        <f t="shared" ref="Q4:Q7" si="4">P4/(M4+P4)</f>
        <v>0</v>
      </c>
      <c r="R4" s="47">
        <f t="shared" ref="R4:R7" si="5">1-N4</f>
        <v>0</v>
      </c>
      <c r="S4" s="52">
        <v>21.311946562500001</v>
      </c>
      <c r="T4" s="53">
        <v>86.610341300062302</v>
      </c>
      <c r="U4" s="47">
        <v>3</v>
      </c>
      <c r="V4" s="50">
        <f t="shared" ref="V4:V7" si="6">U4/3</f>
        <v>1</v>
      </c>
      <c r="W4" s="60">
        <f>(40+119+59)/3</f>
        <v>72.666666666666671</v>
      </c>
      <c r="X4" s="47">
        <v>0</v>
      </c>
      <c r="Y4" s="51">
        <f t="shared" ref="Y4:Y7" si="7">X4/(U4+X4)</f>
        <v>0</v>
      </c>
      <c r="Z4" s="47">
        <f t="shared" ref="Z4:Z7" si="8">1-V4</f>
        <v>0</v>
      </c>
      <c r="AA4" s="52">
        <v>37.558943593750001</v>
      </c>
      <c r="AB4" s="53">
        <v>86.38618809291043</v>
      </c>
      <c r="AC4" s="47">
        <v>3</v>
      </c>
      <c r="AD4" s="50">
        <f t="shared" ref="AD4:AD7" si="9">AC4/3</f>
        <v>1</v>
      </c>
      <c r="AE4" s="60">
        <f>(297+405+681)/3</f>
        <v>461</v>
      </c>
      <c r="AF4" s="47">
        <v>0</v>
      </c>
      <c r="AG4" s="51">
        <f t="shared" ref="AG4:AG7" si="10">AF4/(AC4+AF4)</f>
        <v>0</v>
      </c>
      <c r="AH4" s="47">
        <f t="shared" ref="AH4:AH7" si="11">1-AD4</f>
        <v>0</v>
      </c>
      <c r="AI4" s="52">
        <v>26.114793437500001</v>
      </c>
      <c r="AJ4" s="53">
        <v>86.532663342346552</v>
      </c>
      <c r="AK4" s="47">
        <v>3</v>
      </c>
      <c r="AL4" s="50">
        <f t="shared" ref="AL4:AL7" si="12">AK4/3</f>
        <v>1</v>
      </c>
      <c r="AM4" s="60">
        <f>(139+192+238)/3</f>
        <v>189.66666666666666</v>
      </c>
      <c r="AN4" s="47">
        <v>0</v>
      </c>
      <c r="AO4" s="51">
        <f t="shared" ref="AO4:AO7" si="13">AN4/(AK4+AN4)</f>
        <v>0</v>
      </c>
      <c r="AP4" s="47">
        <f t="shared" ref="AP4:AP7" si="14">1-AL4</f>
        <v>0</v>
      </c>
      <c r="AQ4" s="52">
        <v>25.354868750000001</v>
      </c>
      <c r="AR4" s="53">
        <v>86.51937013561087</v>
      </c>
      <c r="AS4" s="47">
        <v>3</v>
      </c>
      <c r="AT4" s="50">
        <f t="shared" ref="AT4:AT7" si="15">AS4/3</f>
        <v>1</v>
      </c>
      <c r="AU4" s="60">
        <f>(179+253+381)/3</f>
        <v>271</v>
      </c>
      <c r="AV4" s="47">
        <v>0</v>
      </c>
      <c r="AW4" s="51">
        <f t="shared" ref="AW4:AW7" si="16">AV4/(AS4+AV4)</f>
        <v>0</v>
      </c>
      <c r="AX4" s="47">
        <f t="shared" ref="AX4:AX7" si="17">1-AT4</f>
        <v>0</v>
      </c>
    </row>
    <row r="5" spans="1:50" ht="14.4" thickBot="1" x14ac:dyDescent="0.3">
      <c r="A5" s="47" t="s">
        <v>12</v>
      </c>
      <c r="B5" s="47" t="s">
        <v>15</v>
      </c>
      <c r="C5" s="52">
        <v>22.436410312500001</v>
      </c>
      <c r="D5" s="53">
        <v>86.678597569882371</v>
      </c>
      <c r="E5" s="47">
        <v>3</v>
      </c>
      <c r="F5" s="50">
        <f t="shared" si="0"/>
        <v>1</v>
      </c>
      <c r="G5" s="60">
        <f>(60+32+344)/3</f>
        <v>145.33333333333334</v>
      </c>
      <c r="H5" s="47">
        <v>0</v>
      </c>
      <c r="I5" s="51">
        <f t="shared" si="1"/>
        <v>0</v>
      </c>
      <c r="J5" s="47">
        <f t="shared" si="2"/>
        <v>0</v>
      </c>
      <c r="K5" s="52">
        <v>25.150575624999998</v>
      </c>
      <c r="L5" s="53">
        <v>86.692170837825486</v>
      </c>
      <c r="M5" s="47">
        <v>3</v>
      </c>
      <c r="N5" s="50">
        <f t="shared" si="3"/>
        <v>1</v>
      </c>
      <c r="O5" s="60">
        <v>47.333333333333336</v>
      </c>
      <c r="P5" s="47">
        <v>0</v>
      </c>
      <c r="Q5" s="51">
        <f t="shared" si="4"/>
        <v>0</v>
      </c>
      <c r="R5" s="47">
        <f t="shared" si="5"/>
        <v>0</v>
      </c>
      <c r="S5" s="52">
        <v>21.632929062500001</v>
      </c>
      <c r="T5" s="53">
        <v>86.661665599343493</v>
      </c>
      <c r="U5" s="47">
        <v>3</v>
      </c>
      <c r="V5" s="50">
        <f t="shared" si="6"/>
        <v>1</v>
      </c>
      <c r="W5" s="60">
        <f>(62+33+407)/3</f>
        <v>167.33333333333334</v>
      </c>
      <c r="X5" s="47">
        <v>0</v>
      </c>
      <c r="Y5" s="51">
        <f t="shared" si="7"/>
        <v>0</v>
      </c>
      <c r="Z5" s="47">
        <f t="shared" si="8"/>
        <v>0</v>
      </c>
      <c r="AA5" s="52">
        <v>34.415335468750001</v>
      </c>
      <c r="AB5" s="53">
        <v>86.494114362427894</v>
      </c>
      <c r="AC5" s="47">
        <v>3</v>
      </c>
      <c r="AD5" s="50">
        <f t="shared" si="9"/>
        <v>1</v>
      </c>
      <c r="AE5" s="60">
        <f>(276+403+584)/3</f>
        <v>421</v>
      </c>
      <c r="AF5" s="47">
        <v>2</v>
      </c>
      <c r="AG5" s="51">
        <f t="shared" si="10"/>
        <v>0.4</v>
      </c>
      <c r="AH5" s="47">
        <f t="shared" si="11"/>
        <v>0</v>
      </c>
      <c r="AI5" s="52">
        <v>26.551869531249999</v>
      </c>
      <c r="AJ5" s="53">
        <v>86.480110369712094</v>
      </c>
      <c r="AK5" s="47">
        <v>3</v>
      </c>
      <c r="AL5" s="50">
        <f t="shared" si="12"/>
        <v>1</v>
      </c>
      <c r="AM5" s="60">
        <f>(141+216+329)/3</f>
        <v>228.66666666666666</v>
      </c>
      <c r="AN5" s="47">
        <v>0</v>
      </c>
      <c r="AO5" s="51">
        <f t="shared" si="13"/>
        <v>0</v>
      </c>
      <c r="AP5" s="47">
        <f t="shared" si="14"/>
        <v>0</v>
      </c>
      <c r="AQ5" s="52">
        <v>30.161081249999999</v>
      </c>
      <c r="AR5" s="53">
        <v>86.520848325782282</v>
      </c>
      <c r="AS5" s="47">
        <v>3</v>
      </c>
      <c r="AT5" s="50">
        <f t="shared" si="15"/>
        <v>1</v>
      </c>
      <c r="AU5" s="60">
        <f>(173+277+399)/3</f>
        <v>283</v>
      </c>
      <c r="AV5" s="47">
        <v>0</v>
      </c>
      <c r="AW5" s="51">
        <f t="shared" si="16"/>
        <v>0</v>
      </c>
      <c r="AX5" s="47">
        <f t="shared" si="17"/>
        <v>0</v>
      </c>
    </row>
    <row r="6" spans="1:50" ht="14.4" thickBot="1" x14ac:dyDescent="0.3">
      <c r="A6" s="47" t="s">
        <v>13</v>
      </c>
      <c r="B6" s="47" t="s">
        <v>15</v>
      </c>
      <c r="C6" s="52">
        <v>22.507865156249999</v>
      </c>
      <c r="D6" s="53">
        <v>86.715492742256416</v>
      </c>
      <c r="E6" s="47">
        <v>3</v>
      </c>
      <c r="F6" s="50">
        <f t="shared" si="0"/>
        <v>1</v>
      </c>
      <c r="G6" s="60">
        <f>(76+167+122)/3</f>
        <v>121.66666666666667</v>
      </c>
      <c r="H6" s="47">
        <v>0</v>
      </c>
      <c r="I6" s="51">
        <f t="shared" si="1"/>
        <v>0</v>
      </c>
      <c r="J6" s="47">
        <f t="shared" si="2"/>
        <v>0</v>
      </c>
      <c r="K6" s="52">
        <v>25.977508687499999</v>
      </c>
      <c r="L6" s="53">
        <v>86.681951659637292</v>
      </c>
      <c r="M6" s="47">
        <v>3</v>
      </c>
      <c r="N6" s="50">
        <f t="shared" si="3"/>
        <v>1</v>
      </c>
      <c r="O6" s="60">
        <v>97.8</v>
      </c>
      <c r="P6" s="47">
        <v>0</v>
      </c>
      <c r="Q6" s="51">
        <f t="shared" si="4"/>
        <v>0</v>
      </c>
      <c r="R6" s="47">
        <f t="shared" si="5"/>
        <v>0</v>
      </c>
      <c r="S6" s="52">
        <v>22.080245156250001</v>
      </c>
      <c r="T6" s="53">
        <v>86.703920934902484</v>
      </c>
      <c r="U6" s="47">
        <v>3</v>
      </c>
      <c r="V6" s="50">
        <f t="shared" si="6"/>
        <v>1</v>
      </c>
      <c r="W6" s="60">
        <f>(77+168+147)/3</f>
        <v>130.66666666666666</v>
      </c>
      <c r="X6" s="47">
        <v>0</v>
      </c>
      <c r="Y6" s="51">
        <f t="shared" si="7"/>
        <v>0</v>
      </c>
      <c r="Z6" s="47">
        <f t="shared" si="8"/>
        <v>0</v>
      </c>
      <c r="AA6" s="52">
        <v>34.960495156249998</v>
      </c>
      <c r="AB6" s="53">
        <v>86.492622598297871</v>
      </c>
      <c r="AC6" s="47">
        <v>3</v>
      </c>
      <c r="AD6" s="50">
        <f t="shared" si="9"/>
        <v>1</v>
      </c>
      <c r="AE6" s="60">
        <f>(304+375+581)/3</f>
        <v>420</v>
      </c>
      <c r="AF6" s="47">
        <v>0</v>
      </c>
      <c r="AG6" s="51">
        <f t="shared" si="10"/>
        <v>0</v>
      </c>
      <c r="AH6" s="47">
        <f t="shared" si="11"/>
        <v>0</v>
      </c>
      <c r="AI6" s="52">
        <v>26.32379796875</v>
      </c>
      <c r="AJ6" s="53">
        <v>86.562685527797711</v>
      </c>
      <c r="AK6" s="47">
        <v>3</v>
      </c>
      <c r="AL6" s="50">
        <f t="shared" si="12"/>
        <v>1</v>
      </c>
      <c r="AM6" s="63">
        <f>(166+222+270)/3</f>
        <v>219.33333333333334</v>
      </c>
      <c r="AN6" s="47">
        <v>0</v>
      </c>
      <c r="AO6" s="51">
        <f t="shared" si="13"/>
        <v>0</v>
      </c>
      <c r="AP6" s="47">
        <f t="shared" si="14"/>
        <v>0</v>
      </c>
      <c r="AQ6" s="52">
        <v>31.70536515625</v>
      </c>
      <c r="AR6" s="53">
        <v>86.525798025106624</v>
      </c>
      <c r="AS6" s="47">
        <v>3</v>
      </c>
      <c r="AT6" s="50">
        <f t="shared" si="15"/>
        <v>1</v>
      </c>
      <c r="AU6" s="60">
        <f>(202+268+382)/3</f>
        <v>284</v>
      </c>
      <c r="AV6" s="47">
        <v>1</v>
      </c>
      <c r="AW6" s="51">
        <f t="shared" si="16"/>
        <v>0.25</v>
      </c>
      <c r="AX6" s="47">
        <f t="shared" si="17"/>
        <v>0</v>
      </c>
    </row>
    <row r="7" spans="1:50" ht="14.4" thickBot="1" x14ac:dyDescent="0.3">
      <c r="A7" s="47" t="s">
        <v>14</v>
      </c>
      <c r="B7" s="47" t="s">
        <v>15</v>
      </c>
      <c r="C7" s="54">
        <v>22.319274531249999</v>
      </c>
      <c r="D7" s="55">
        <v>86.617240553930102</v>
      </c>
      <c r="E7" s="56">
        <v>3</v>
      </c>
      <c r="F7" s="50">
        <f t="shared" si="0"/>
        <v>1</v>
      </c>
      <c r="G7" s="62">
        <f>(41+50+52)/3</f>
        <v>47.666666666666664</v>
      </c>
      <c r="H7" s="56">
        <v>0</v>
      </c>
      <c r="I7" s="51">
        <f t="shared" si="1"/>
        <v>0</v>
      </c>
      <c r="J7" s="47">
        <f t="shared" si="2"/>
        <v>0</v>
      </c>
      <c r="K7" s="54">
        <v>25.268867281249999</v>
      </c>
      <c r="L7" s="55">
        <v>86.611857554959272</v>
      </c>
      <c r="M7" s="56">
        <v>3</v>
      </c>
      <c r="N7" s="50">
        <f t="shared" si="3"/>
        <v>1</v>
      </c>
      <c r="O7" s="62">
        <v>46.666666666666671</v>
      </c>
      <c r="P7" s="56">
        <v>0</v>
      </c>
      <c r="Q7" s="51">
        <f t="shared" si="4"/>
        <v>0</v>
      </c>
      <c r="R7" s="47">
        <f t="shared" si="5"/>
        <v>0</v>
      </c>
      <c r="S7" s="54">
        <v>21.350169375</v>
      </c>
      <c r="T7" s="55">
        <v>86.593982010753422</v>
      </c>
      <c r="U7" s="56">
        <v>3</v>
      </c>
      <c r="V7" s="50">
        <f t="shared" si="6"/>
        <v>1</v>
      </c>
      <c r="W7" s="62">
        <f>(45+49+52)/3</f>
        <v>48.666666666666664</v>
      </c>
      <c r="X7" s="56">
        <v>0</v>
      </c>
      <c r="Y7" s="51">
        <f t="shared" si="7"/>
        <v>0</v>
      </c>
      <c r="Z7" s="47">
        <f t="shared" si="8"/>
        <v>0</v>
      </c>
      <c r="AA7" s="54">
        <v>34.959722656250001</v>
      </c>
      <c r="AB7" s="55">
        <v>86.468057804164246</v>
      </c>
      <c r="AC7" s="56">
        <v>3</v>
      </c>
      <c r="AD7" s="50">
        <f t="shared" si="9"/>
        <v>1</v>
      </c>
      <c r="AE7" s="62">
        <f>(360+354+623)/3</f>
        <v>445.66666666666669</v>
      </c>
      <c r="AF7" s="56">
        <v>1</v>
      </c>
      <c r="AG7" s="51">
        <f t="shared" si="10"/>
        <v>0.25</v>
      </c>
      <c r="AH7" s="47">
        <f t="shared" si="11"/>
        <v>0</v>
      </c>
      <c r="AI7" s="54">
        <v>26.510452656249999</v>
      </c>
      <c r="AJ7" s="55">
        <v>86.529127115227396</v>
      </c>
      <c r="AK7" s="56">
        <v>3</v>
      </c>
      <c r="AL7" s="50">
        <f t="shared" si="12"/>
        <v>1</v>
      </c>
      <c r="AM7" s="62">
        <f>(141+176+290)/3</f>
        <v>202.33333333333334</v>
      </c>
      <c r="AN7" s="56">
        <v>0</v>
      </c>
      <c r="AO7" s="51">
        <f t="shared" si="13"/>
        <v>0</v>
      </c>
      <c r="AP7" s="47">
        <f t="shared" si="14"/>
        <v>0</v>
      </c>
      <c r="AQ7" s="54">
        <v>32.501665468749998</v>
      </c>
      <c r="AR7" s="55">
        <v>86.530812837732284</v>
      </c>
      <c r="AS7" s="56">
        <v>3</v>
      </c>
      <c r="AT7" s="50">
        <f t="shared" si="15"/>
        <v>1</v>
      </c>
      <c r="AU7" s="62">
        <f>(199+250+405)/3</f>
        <v>284.66666666666669</v>
      </c>
      <c r="AV7" s="56">
        <v>1</v>
      </c>
      <c r="AW7" s="51">
        <f t="shared" si="16"/>
        <v>0.25</v>
      </c>
      <c r="AX7" s="47">
        <f t="shared" si="17"/>
        <v>0</v>
      </c>
    </row>
    <row r="8" spans="1:50" x14ac:dyDescent="0.25">
      <c r="A8" s="47"/>
      <c r="B8" s="47"/>
      <c r="C8" s="47">
        <f>AVERAGE(C3:C7)</f>
        <v>23.379147937500001</v>
      </c>
      <c r="D8" s="47">
        <f t="shared" ref="D8:I8" si="18">AVERAGE(D3:D7)</f>
        <v>86.644674775461297</v>
      </c>
      <c r="E8" s="47">
        <f t="shared" si="18"/>
        <v>3</v>
      </c>
      <c r="F8" s="47">
        <f t="shared" si="18"/>
        <v>1</v>
      </c>
      <c r="G8" s="60">
        <f t="shared" si="18"/>
        <v>85.000000000000014</v>
      </c>
      <c r="H8" s="47">
        <f t="shared" si="18"/>
        <v>0</v>
      </c>
      <c r="I8" s="47">
        <f t="shared" si="18"/>
        <v>0</v>
      </c>
      <c r="J8" s="47">
        <f>AVERAGE(J3:J7)</f>
        <v>0</v>
      </c>
      <c r="K8" s="47">
        <v>25.206679581249997</v>
      </c>
      <c r="L8" s="47">
        <v>86.639753728710403</v>
      </c>
      <c r="M8" s="47">
        <v>3</v>
      </c>
      <c r="N8" s="47">
        <v>1</v>
      </c>
      <c r="O8" s="60">
        <v>60.066666666666677</v>
      </c>
      <c r="P8" s="47">
        <v>0</v>
      </c>
      <c r="Q8" s="47">
        <v>0</v>
      </c>
      <c r="R8" s="47">
        <f>AVERAGE(R3:R7)</f>
        <v>0</v>
      </c>
      <c r="S8" s="47">
        <f>AVERAGE(S3:S7)</f>
        <v>21.574427281250003</v>
      </c>
      <c r="T8" s="47">
        <f t="shared" ref="T8:Y8" si="19">AVERAGE(T3:T7)</f>
        <v>86.59654546211425</v>
      </c>
      <c r="U8" s="47">
        <f t="shared" si="19"/>
        <v>3</v>
      </c>
      <c r="V8" s="47">
        <f t="shared" si="19"/>
        <v>1</v>
      </c>
      <c r="W8" s="60">
        <f t="shared" si="19"/>
        <v>95.86666666666666</v>
      </c>
      <c r="X8" s="47">
        <f t="shared" si="19"/>
        <v>0</v>
      </c>
      <c r="Y8" s="47">
        <f t="shared" si="19"/>
        <v>0</v>
      </c>
      <c r="Z8" s="47">
        <f>AVERAGE(Z3:Z7)</f>
        <v>0</v>
      </c>
      <c r="AA8" s="47">
        <f>AVERAGE(AA3:AA7)</f>
        <v>33.863733406249999</v>
      </c>
      <c r="AB8" s="47">
        <f t="shared" ref="AB8:AG8" si="20">AVERAGE(AB3:AB7)</f>
        <v>86.435298144125454</v>
      </c>
      <c r="AC8" s="47">
        <f t="shared" si="20"/>
        <v>3</v>
      </c>
      <c r="AD8" s="47">
        <f t="shared" si="20"/>
        <v>1</v>
      </c>
      <c r="AE8" s="60">
        <f t="shared" si="20"/>
        <v>433.13333333333333</v>
      </c>
      <c r="AF8" s="47">
        <f t="shared" si="20"/>
        <v>0.6</v>
      </c>
      <c r="AG8" s="47">
        <f t="shared" si="20"/>
        <v>0.13</v>
      </c>
      <c r="AH8" s="47">
        <f>AVERAGE(AH3:AH7)</f>
        <v>0</v>
      </c>
      <c r="AI8" s="47">
        <f>AVERAGE(AI3:AI7)</f>
        <v>25.477687687500001</v>
      </c>
      <c r="AJ8" s="47">
        <f t="shared" ref="AJ8:AO8" si="21">AVERAGE(AJ3:AJ7)</f>
        <v>86.507704691410908</v>
      </c>
      <c r="AK8" s="47">
        <f t="shared" si="21"/>
        <v>3</v>
      </c>
      <c r="AL8" s="47">
        <f t="shared" si="21"/>
        <v>1</v>
      </c>
      <c r="AM8" s="60">
        <f t="shared" si="21"/>
        <v>206.33333333333334</v>
      </c>
      <c r="AN8" s="47">
        <f t="shared" si="21"/>
        <v>0</v>
      </c>
      <c r="AO8" s="47">
        <f t="shared" si="21"/>
        <v>0</v>
      </c>
      <c r="AP8" s="47">
        <f>AVERAGE(AP3:AP7)</f>
        <v>0</v>
      </c>
      <c r="AQ8" s="47">
        <f>AVERAGE(AQ3:AQ7)</f>
        <v>29.26616821875</v>
      </c>
      <c r="AR8" s="47">
        <f t="shared" ref="AR8:AW8" si="22">AVERAGE(AR3:AR7)</f>
        <v>86.50656148793324</v>
      </c>
      <c r="AS8" s="47">
        <f t="shared" si="22"/>
        <v>3</v>
      </c>
      <c r="AT8" s="47">
        <f t="shared" si="22"/>
        <v>1</v>
      </c>
      <c r="AU8" s="60">
        <f t="shared" si="22"/>
        <v>279.06666666666672</v>
      </c>
      <c r="AV8" s="47">
        <f t="shared" si="22"/>
        <v>0.4</v>
      </c>
      <c r="AW8" s="47">
        <f t="shared" si="22"/>
        <v>0.1</v>
      </c>
      <c r="AX8" s="47">
        <f>AVERAGE(AX3:AX7)</f>
        <v>0</v>
      </c>
    </row>
    <row r="9" spans="1:50" ht="14.4" thickBot="1" x14ac:dyDescent="0.3">
      <c r="A9" s="47"/>
      <c r="B9" s="47"/>
      <c r="C9" s="47"/>
      <c r="D9" s="47"/>
      <c r="E9" s="47"/>
      <c r="F9" s="47"/>
      <c r="G9" s="60"/>
      <c r="H9" s="47"/>
      <c r="I9" s="47"/>
      <c r="J9" s="47"/>
      <c r="K9" s="47"/>
      <c r="L9" s="47"/>
      <c r="M9" s="47"/>
      <c r="N9" s="47"/>
      <c r="O9" s="60"/>
      <c r="P9" s="47"/>
      <c r="Q9" s="47"/>
      <c r="R9" s="47"/>
      <c r="S9" s="47"/>
      <c r="T9" s="47"/>
      <c r="U9" s="47"/>
      <c r="V9" s="47"/>
      <c r="W9" s="60"/>
      <c r="X9" s="47"/>
      <c r="Y9" s="47"/>
      <c r="Z9" s="47"/>
      <c r="AA9" s="47"/>
      <c r="AB9" s="47"/>
      <c r="AC9" s="47"/>
      <c r="AD9" s="47"/>
      <c r="AE9" s="60"/>
      <c r="AF9" s="47"/>
      <c r="AG9" s="47"/>
      <c r="AH9" s="47"/>
      <c r="AI9" s="47"/>
      <c r="AJ9" s="47"/>
      <c r="AK9" s="47"/>
      <c r="AL9" s="47"/>
      <c r="AM9" s="60"/>
      <c r="AN9" s="47"/>
      <c r="AO9" s="47"/>
      <c r="AP9" s="47"/>
      <c r="AQ9" s="47"/>
      <c r="AR9" s="47"/>
      <c r="AS9" s="47"/>
      <c r="AT9" s="47"/>
      <c r="AU9" s="60"/>
      <c r="AV9" s="47"/>
      <c r="AW9" s="47"/>
      <c r="AX9" s="47"/>
    </row>
    <row r="10" spans="1:50" ht="14.4" thickBot="1" x14ac:dyDescent="0.3">
      <c r="A10" s="53" t="s">
        <v>16</v>
      </c>
      <c r="B10" s="47" t="s">
        <v>15</v>
      </c>
      <c r="C10" s="48">
        <v>37.355044687499998</v>
      </c>
      <c r="D10" s="49">
        <v>89.362947349986513</v>
      </c>
      <c r="E10" s="50">
        <v>3</v>
      </c>
      <c r="F10" s="50">
        <f>E10/3</f>
        <v>1</v>
      </c>
      <c r="G10" s="61">
        <f>(412+353+397)/3</f>
        <v>387.33333333333331</v>
      </c>
      <c r="H10" s="50">
        <v>0</v>
      </c>
      <c r="I10" s="51">
        <f>H10/(E10+H10)</f>
        <v>0</v>
      </c>
      <c r="J10" s="47">
        <f>1-F10</f>
        <v>0</v>
      </c>
      <c r="K10" s="48">
        <v>39.8541489375</v>
      </c>
      <c r="L10" s="49">
        <v>89.386901504900138</v>
      </c>
      <c r="M10" s="50">
        <v>3</v>
      </c>
      <c r="N10" s="50">
        <f>M10/3</f>
        <v>1</v>
      </c>
      <c r="O10" s="61">
        <v>340.26666666666665</v>
      </c>
      <c r="P10" s="50">
        <v>0</v>
      </c>
      <c r="Q10" s="51">
        <f>P10/(M10+P10)</f>
        <v>0</v>
      </c>
      <c r="R10" s="47">
        <f>1-N10</f>
        <v>0</v>
      </c>
      <c r="S10" s="48">
        <v>36.843910781250003</v>
      </c>
      <c r="T10" s="49">
        <v>89.340556851193824</v>
      </c>
      <c r="U10" s="50">
        <v>3</v>
      </c>
      <c r="V10" s="50">
        <f>U10/3</f>
        <v>1</v>
      </c>
      <c r="W10" s="61">
        <f>(518+379+398)/3</f>
        <v>431.66666666666669</v>
      </c>
      <c r="X10" s="50">
        <v>0</v>
      </c>
      <c r="Y10" s="51">
        <f>X10/(U10+X10)</f>
        <v>0</v>
      </c>
      <c r="Z10" s="47">
        <f>1-V10</f>
        <v>0</v>
      </c>
      <c r="AA10" s="48">
        <v>51.784302968749998</v>
      </c>
      <c r="AB10" s="49">
        <v>89.378859920360185</v>
      </c>
      <c r="AC10" s="50">
        <v>3</v>
      </c>
      <c r="AD10" s="50">
        <f>AC10/3</f>
        <v>1</v>
      </c>
      <c r="AE10" s="61">
        <f>(518+467+448)/3</f>
        <v>477.66666666666669</v>
      </c>
      <c r="AF10" s="50">
        <v>0</v>
      </c>
      <c r="AG10" s="51">
        <f>AF10/(AC10+AF10)</f>
        <v>0</v>
      </c>
      <c r="AH10" s="47">
        <f>1-AD10</f>
        <v>0</v>
      </c>
      <c r="AI10" s="48">
        <v>42.640277500000003</v>
      </c>
      <c r="AJ10" s="49">
        <v>89.398966578268315</v>
      </c>
      <c r="AK10" s="50">
        <v>3</v>
      </c>
      <c r="AL10" s="50">
        <f>AK10/3</f>
        <v>1</v>
      </c>
      <c r="AM10" s="61">
        <f>(332+350+352)/3</f>
        <v>344.66666666666669</v>
      </c>
      <c r="AN10" s="50">
        <v>0</v>
      </c>
      <c r="AO10" s="51">
        <f>AN10/(AK10+AN10)</f>
        <v>0</v>
      </c>
      <c r="AP10" s="47">
        <f>1-AL10</f>
        <v>0</v>
      </c>
      <c r="AQ10" s="48">
        <v>42.865876874999998</v>
      </c>
      <c r="AR10" s="49">
        <v>89.467701082911859</v>
      </c>
      <c r="AS10" s="50">
        <v>3</v>
      </c>
      <c r="AT10" s="50">
        <f>AS10/3</f>
        <v>1</v>
      </c>
      <c r="AU10" s="61">
        <f>(367+353+383)/3</f>
        <v>367.66666666666669</v>
      </c>
      <c r="AV10" s="50">
        <v>0</v>
      </c>
      <c r="AW10" s="51">
        <f>AV10/(AS10+AV10)</f>
        <v>0</v>
      </c>
      <c r="AX10" s="47">
        <f>1-AT10</f>
        <v>0</v>
      </c>
    </row>
    <row r="11" spans="1:50" ht="14.4" thickBot="1" x14ac:dyDescent="0.3">
      <c r="A11" s="53" t="s">
        <v>17</v>
      </c>
      <c r="B11" s="47" t="s">
        <v>15</v>
      </c>
      <c r="C11" s="52">
        <v>37.379252812499999</v>
      </c>
      <c r="D11" s="53">
        <v>89.216270619470222</v>
      </c>
      <c r="E11" s="47">
        <v>3</v>
      </c>
      <c r="F11" s="50">
        <f t="shared" ref="F11:F14" si="23">E11/3</f>
        <v>1</v>
      </c>
      <c r="G11" s="60">
        <f>(364+338+247)/3</f>
        <v>316.33333333333331</v>
      </c>
      <c r="H11" s="47">
        <v>0</v>
      </c>
      <c r="I11" s="51">
        <f t="shared" ref="I11:I14" si="24">H11/(E11+H11)</f>
        <v>0</v>
      </c>
      <c r="J11" s="47">
        <f t="shared" ref="J11:J14" si="25">1-F11</f>
        <v>0</v>
      </c>
      <c r="K11" s="52">
        <v>41.278955343750006</v>
      </c>
      <c r="L11" s="53">
        <v>89.216995003923643</v>
      </c>
      <c r="M11" s="47">
        <v>3</v>
      </c>
      <c r="N11" s="50">
        <f t="shared" ref="N11:N14" si="26">M11/3</f>
        <v>1</v>
      </c>
      <c r="O11" s="60">
        <v>286.06666666666666</v>
      </c>
      <c r="P11" s="47">
        <v>0</v>
      </c>
      <c r="Q11" s="51">
        <f t="shared" ref="Q11:Q14" si="27">P11/(M11+P11)</f>
        <v>0</v>
      </c>
      <c r="R11" s="47">
        <f t="shared" ref="R11:R14" si="28">1-N11</f>
        <v>0</v>
      </c>
      <c r="S11" s="52">
        <v>36.65131796875</v>
      </c>
      <c r="T11" s="53">
        <v>89.204378472813673</v>
      </c>
      <c r="U11" s="47">
        <v>3</v>
      </c>
      <c r="V11" s="50">
        <f t="shared" ref="V11:V14" si="29">U11/3</f>
        <v>1</v>
      </c>
      <c r="W11" s="60">
        <f>(367+342+329)/3</f>
        <v>346</v>
      </c>
      <c r="X11" s="47">
        <v>0</v>
      </c>
      <c r="Y11" s="51">
        <f t="shared" ref="Y11:Y14" si="30">X11/(U11+X11)</f>
        <v>0</v>
      </c>
      <c r="Z11" s="47">
        <f t="shared" ref="Z11:Z14" si="31">1-V11</f>
        <v>0</v>
      </c>
      <c r="AA11" s="52">
        <v>57.923904374999999</v>
      </c>
      <c r="AB11" s="53">
        <v>89.204191590009643</v>
      </c>
      <c r="AC11" s="47">
        <v>3</v>
      </c>
      <c r="AD11" s="50">
        <f t="shared" ref="AD11:AD14" si="32">AC11/3</f>
        <v>1</v>
      </c>
      <c r="AE11" s="60">
        <f>(498+414+490)/3</f>
        <v>467.33333333333331</v>
      </c>
      <c r="AF11" s="47">
        <v>0</v>
      </c>
      <c r="AG11" s="51">
        <f t="shared" ref="AG11:AG14" si="33">AF11/(AC11+AF11)</f>
        <v>0</v>
      </c>
      <c r="AH11" s="47">
        <f t="shared" ref="AH11:AH14" si="34">1-AD11</f>
        <v>0</v>
      </c>
      <c r="AI11" s="52">
        <v>43.331660468750002</v>
      </c>
      <c r="AJ11" s="53">
        <v>89.208863508820883</v>
      </c>
      <c r="AK11" s="47">
        <v>3</v>
      </c>
      <c r="AL11" s="50">
        <f t="shared" ref="AL11:AL14" si="35">AK11/3</f>
        <v>1</v>
      </c>
      <c r="AM11" s="60">
        <f>(357+300+298)/3</f>
        <v>318.33333333333331</v>
      </c>
      <c r="AN11" s="47">
        <v>0</v>
      </c>
      <c r="AO11" s="51">
        <f t="shared" ref="AO11:AO14" si="36">AN11/(AK11+AN11)</f>
        <v>0</v>
      </c>
      <c r="AP11" s="47">
        <f t="shared" ref="AP11:AP14" si="37">1-AL11</f>
        <v>0</v>
      </c>
      <c r="AQ11" s="52">
        <v>48.449867968749999</v>
      </c>
      <c r="AR11" s="53">
        <v>89.252849157494666</v>
      </c>
      <c r="AS11" s="47">
        <v>3</v>
      </c>
      <c r="AT11" s="50">
        <f t="shared" ref="AT11:AT14" si="38">AS11/3</f>
        <v>1</v>
      </c>
      <c r="AU11" s="60">
        <f>(382+333+317)/3</f>
        <v>344</v>
      </c>
      <c r="AV11" s="47">
        <v>0</v>
      </c>
      <c r="AW11" s="51">
        <f t="shared" ref="AW11:AW14" si="39">AV11/(AS11+AV11)</f>
        <v>0</v>
      </c>
      <c r="AX11" s="47">
        <f t="shared" ref="AX11:AX14" si="40">1-AT11</f>
        <v>0</v>
      </c>
    </row>
    <row r="12" spans="1:50" ht="14.4" thickBot="1" x14ac:dyDescent="0.3">
      <c r="A12" s="53" t="s">
        <v>18</v>
      </c>
      <c r="B12" s="47" t="s">
        <v>15</v>
      </c>
      <c r="C12" s="52">
        <v>37.1466446875</v>
      </c>
      <c r="D12" s="53">
        <v>89.417762859475616</v>
      </c>
      <c r="E12" s="47">
        <v>3</v>
      </c>
      <c r="F12" s="50">
        <f t="shared" si="23"/>
        <v>1</v>
      </c>
      <c r="G12" s="60">
        <f>(380+277+276)/3</f>
        <v>311</v>
      </c>
      <c r="H12" s="47">
        <v>0</v>
      </c>
      <c r="I12" s="51">
        <f t="shared" si="24"/>
        <v>0</v>
      </c>
      <c r="J12" s="47">
        <f t="shared" si="25"/>
        <v>0</v>
      </c>
      <c r="K12" s="52">
        <v>39.844573593749999</v>
      </c>
      <c r="L12" s="53">
        <v>89.417488391156752</v>
      </c>
      <c r="M12" s="47">
        <v>3</v>
      </c>
      <c r="N12" s="50">
        <f t="shared" si="26"/>
        <v>1</v>
      </c>
      <c r="O12" s="60">
        <v>304.33333333333337</v>
      </c>
      <c r="P12" s="47">
        <v>0</v>
      </c>
      <c r="Q12" s="51">
        <f t="shared" si="27"/>
        <v>0</v>
      </c>
      <c r="R12" s="47">
        <f t="shared" si="28"/>
        <v>0</v>
      </c>
      <c r="S12" s="52">
        <v>36.736651406249997</v>
      </c>
      <c r="T12" s="53">
        <v>89.418495761567499</v>
      </c>
      <c r="U12" s="47">
        <v>3</v>
      </c>
      <c r="V12" s="50">
        <f t="shared" si="29"/>
        <v>1</v>
      </c>
      <c r="W12" s="60">
        <f>(381+281+279)/3</f>
        <v>313.66666666666669</v>
      </c>
      <c r="X12" s="47">
        <v>0</v>
      </c>
      <c r="Y12" s="51">
        <f t="shared" si="30"/>
        <v>0</v>
      </c>
      <c r="Z12" s="47">
        <f t="shared" si="31"/>
        <v>0</v>
      </c>
      <c r="AA12" s="52">
        <v>53.132942812499998</v>
      </c>
      <c r="AB12" s="53">
        <v>89.428716631824415</v>
      </c>
      <c r="AC12" s="47">
        <v>3</v>
      </c>
      <c r="AD12" s="50">
        <f t="shared" si="32"/>
        <v>1</v>
      </c>
      <c r="AE12" s="60">
        <f>(470+455+397)/3</f>
        <v>440.66666666666669</v>
      </c>
      <c r="AF12" s="47">
        <v>0</v>
      </c>
      <c r="AG12" s="51">
        <f t="shared" si="33"/>
        <v>0</v>
      </c>
      <c r="AH12" s="47">
        <f t="shared" si="34"/>
        <v>0</v>
      </c>
      <c r="AI12" s="52">
        <v>47.554252343750001</v>
      </c>
      <c r="AJ12" s="53">
        <v>89.415474111128262</v>
      </c>
      <c r="AK12" s="47">
        <v>3</v>
      </c>
      <c r="AL12" s="50">
        <f t="shared" si="35"/>
        <v>1</v>
      </c>
      <c r="AM12" s="60">
        <f>(340+332+314)/3</f>
        <v>328.66666666666669</v>
      </c>
      <c r="AN12" s="47">
        <v>0</v>
      </c>
      <c r="AO12" s="51">
        <f t="shared" si="36"/>
        <v>0</v>
      </c>
      <c r="AP12" s="47">
        <f t="shared" si="37"/>
        <v>0</v>
      </c>
      <c r="AQ12" s="52">
        <v>50.277918593750002</v>
      </c>
      <c r="AR12" s="53">
        <v>89.445449694358388</v>
      </c>
      <c r="AS12" s="47">
        <v>3</v>
      </c>
      <c r="AT12" s="50">
        <f t="shared" si="38"/>
        <v>1</v>
      </c>
      <c r="AU12" s="60">
        <f>(373+358+336)/3</f>
        <v>355.66666666666669</v>
      </c>
      <c r="AV12" s="47">
        <v>0</v>
      </c>
      <c r="AW12" s="51">
        <f t="shared" si="39"/>
        <v>0</v>
      </c>
      <c r="AX12" s="47">
        <f t="shared" si="40"/>
        <v>0</v>
      </c>
    </row>
    <row r="13" spans="1:50" ht="14.4" thickBot="1" x14ac:dyDescent="0.3">
      <c r="A13" s="53" t="s">
        <v>19</v>
      </c>
      <c r="B13" s="47" t="s">
        <v>15</v>
      </c>
      <c r="C13" s="52">
        <v>37.654065156249999</v>
      </c>
      <c r="D13" s="53">
        <v>89.299631130912118</v>
      </c>
      <c r="E13" s="47">
        <v>3</v>
      </c>
      <c r="F13" s="50">
        <f t="shared" si="23"/>
        <v>1</v>
      </c>
      <c r="G13" s="60">
        <f>(246+280+186)/3</f>
        <v>237.33333333333334</v>
      </c>
      <c r="H13" s="47">
        <v>0</v>
      </c>
      <c r="I13" s="51">
        <f t="shared" si="24"/>
        <v>0</v>
      </c>
      <c r="J13" s="47">
        <f t="shared" si="25"/>
        <v>0</v>
      </c>
      <c r="K13" s="52">
        <v>40.172417781249997</v>
      </c>
      <c r="L13" s="53">
        <v>89.299419299953186</v>
      </c>
      <c r="M13" s="47">
        <v>3</v>
      </c>
      <c r="N13" s="50">
        <f t="shared" si="26"/>
        <v>1</v>
      </c>
      <c r="O13" s="60">
        <v>236.86666666666665</v>
      </c>
      <c r="P13" s="47">
        <v>0</v>
      </c>
      <c r="Q13" s="51">
        <f t="shared" si="27"/>
        <v>0</v>
      </c>
      <c r="R13" s="47">
        <f t="shared" si="28"/>
        <v>0</v>
      </c>
      <c r="S13" s="52">
        <v>36.935091093750003</v>
      </c>
      <c r="T13" s="53">
        <v>89.287740745723582</v>
      </c>
      <c r="U13" s="47">
        <v>3</v>
      </c>
      <c r="V13" s="50">
        <f t="shared" si="29"/>
        <v>1</v>
      </c>
      <c r="W13" s="60">
        <f>(282+306+186)/3</f>
        <v>258</v>
      </c>
      <c r="X13" s="47">
        <v>0</v>
      </c>
      <c r="Y13" s="51">
        <f t="shared" si="30"/>
        <v>0</v>
      </c>
      <c r="Z13" s="47">
        <f t="shared" si="31"/>
        <v>0</v>
      </c>
      <c r="AA13" s="52">
        <v>59.146982343749997</v>
      </c>
      <c r="AB13" s="53">
        <v>89.263382904712358</v>
      </c>
      <c r="AC13" s="47">
        <v>2</v>
      </c>
      <c r="AD13" s="50">
        <f t="shared" si="32"/>
        <v>0.66666666666666663</v>
      </c>
      <c r="AE13" s="60">
        <f>(460+269)/2</f>
        <v>364.5</v>
      </c>
      <c r="AF13" s="47">
        <v>1</v>
      </c>
      <c r="AG13" s="51">
        <f t="shared" si="33"/>
        <v>0.33333333333333331</v>
      </c>
      <c r="AH13" s="47">
        <f t="shared" si="34"/>
        <v>0.33333333333333337</v>
      </c>
      <c r="AI13" s="52">
        <v>42.334333593750003</v>
      </c>
      <c r="AJ13" s="53">
        <v>89.28934010199373</v>
      </c>
      <c r="AK13" s="47">
        <v>3</v>
      </c>
      <c r="AL13" s="50">
        <f t="shared" si="35"/>
        <v>1</v>
      </c>
      <c r="AM13" s="63">
        <f>(315+277+262)/3</f>
        <v>284.66666666666669</v>
      </c>
      <c r="AN13" s="47">
        <v>0</v>
      </c>
      <c r="AO13" s="51">
        <f t="shared" si="36"/>
        <v>0</v>
      </c>
      <c r="AP13" s="47">
        <f t="shared" si="37"/>
        <v>0</v>
      </c>
      <c r="AQ13" s="52">
        <v>48.285114843750002</v>
      </c>
      <c r="AR13" s="53">
        <v>89.35554566820106</v>
      </c>
      <c r="AS13" s="47">
        <v>3</v>
      </c>
      <c r="AT13" s="50">
        <f t="shared" si="38"/>
        <v>1</v>
      </c>
      <c r="AU13" s="60">
        <f>(340+296+278)/3</f>
        <v>304.66666666666669</v>
      </c>
      <c r="AV13" s="47">
        <v>0</v>
      </c>
      <c r="AW13" s="51">
        <f t="shared" si="39"/>
        <v>0</v>
      </c>
      <c r="AX13" s="47">
        <f t="shared" si="40"/>
        <v>0</v>
      </c>
    </row>
    <row r="14" spans="1:50" ht="14.4" thickBot="1" x14ac:dyDescent="0.3">
      <c r="A14" s="53" t="s">
        <v>20</v>
      </c>
      <c r="B14" s="47" t="s">
        <v>15</v>
      </c>
      <c r="C14" s="54">
        <v>37.34278890625</v>
      </c>
      <c r="D14" s="55">
        <v>89.278640289982206</v>
      </c>
      <c r="E14" s="56">
        <v>3</v>
      </c>
      <c r="F14" s="50">
        <f t="shared" si="23"/>
        <v>1</v>
      </c>
      <c r="G14" s="62">
        <f>(336+300+345)/3</f>
        <v>327</v>
      </c>
      <c r="H14" s="56">
        <v>0</v>
      </c>
      <c r="I14" s="51">
        <f t="shared" si="24"/>
        <v>0</v>
      </c>
      <c r="J14" s="47">
        <f t="shared" si="25"/>
        <v>0</v>
      </c>
      <c r="K14" s="54">
        <v>40.704379531249998</v>
      </c>
      <c r="L14" s="55">
        <v>89.296569008533638</v>
      </c>
      <c r="M14" s="56">
        <v>3</v>
      </c>
      <c r="N14" s="50">
        <f t="shared" si="26"/>
        <v>1</v>
      </c>
      <c r="O14" s="62">
        <v>305</v>
      </c>
      <c r="P14" s="56">
        <v>0</v>
      </c>
      <c r="Q14" s="51">
        <f t="shared" si="27"/>
        <v>0</v>
      </c>
      <c r="R14" s="47">
        <f t="shared" si="28"/>
        <v>0</v>
      </c>
      <c r="S14" s="54">
        <v>36.288097499999999</v>
      </c>
      <c r="T14" s="55">
        <v>89.267314095886633</v>
      </c>
      <c r="U14" s="56">
        <v>3</v>
      </c>
      <c r="V14" s="50">
        <f t="shared" si="29"/>
        <v>1</v>
      </c>
      <c r="W14" s="62">
        <f>(341+319+346)/3</f>
        <v>335.33333333333331</v>
      </c>
      <c r="X14" s="56">
        <v>0</v>
      </c>
      <c r="Y14" s="51">
        <f t="shared" si="30"/>
        <v>0</v>
      </c>
      <c r="Z14" s="47">
        <f t="shared" si="31"/>
        <v>0</v>
      </c>
      <c r="AA14" s="54">
        <v>54.618172187500001</v>
      </c>
      <c r="AB14" s="55">
        <v>89.290060446222256</v>
      </c>
      <c r="AC14" s="56">
        <v>3</v>
      </c>
      <c r="AD14" s="50">
        <f t="shared" si="32"/>
        <v>1</v>
      </c>
      <c r="AE14" s="62">
        <f>(494+367+370)/3</f>
        <v>410.33333333333331</v>
      </c>
      <c r="AF14" s="56">
        <v>0</v>
      </c>
      <c r="AG14" s="51">
        <f t="shared" si="33"/>
        <v>0</v>
      </c>
      <c r="AH14" s="47">
        <f t="shared" si="34"/>
        <v>0</v>
      </c>
      <c r="AI14" s="54">
        <v>42.847481875</v>
      </c>
      <c r="AJ14" s="55">
        <v>89.292800997717976</v>
      </c>
      <c r="AK14" s="56">
        <v>3</v>
      </c>
      <c r="AL14" s="50">
        <f t="shared" si="35"/>
        <v>1</v>
      </c>
      <c r="AM14" s="62">
        <f>(366+297+236)/3</f>
        <v>299.66666666666669</v>
      </c>
      <c r="AN14" s="56">
        <v>0</v>
      </c>
      <c r="AO14" s="51">
        <f t="shared" si="36"/>
        <v>0</v>
      </c>
      <c r="AP14" s="47">
        <f t="shared" si="37"/>
        <v>0</v>
      </c>
      <c r="AQ14" s="54">
        <v>51.183685625000003</v>
      </c>
      <c r="AR14" s="55">
        <v>89.354625773120674</v>
      </c>
      <c r="AS14" s="56">
        <v>3</v>
      </c>
      <c r="AT14" s="50">
        <f t="shared" si="38"/>
        <v>1</v>
      </c>
      <c r="AU14" s="62">
        <f>(407+276+273)/3</f>
        <v>318.66666666666669</v>
      </c>
      <c r="AV14" s="56">
        <v>0</v>
      </c>
      <c r="AW14" s="51">
        <f t="shared" si="39"/>
        <v>0</v>
      </c>
      <c r="AX14" s="47">
        <f t="shared" si="40"/>
        <v>0</v>
      </c>
    </row>
    <row r="15" spans="1:50" x14ac:dyDescent="0.25">
      <c r="A15" s="47"/>
      <c r="B15" s="47"/>
      <c r="C15" s="47">
        <f>AVERAGE(C10:C14)</f>
        <v>37.375559250000002</v>
      </c>
      <c r="D15" s="47">
        <f t="shared" ref="D15:I15" si="41">AVERAGE(D10:D14)</f>
        <v>89.315050449965341</v>
      </c>
      <c r="E15" s="47">
        <f t="shared" si="41"/>
        <v>3</v>
      </c>
      <c r="F15" s="47">
        <f t="shared" si="41"/>
        <v>1</v>
      </c>
      <c r="G15" s="60">
        <f t="shared" si="41"/>
        <v>315.8</v>
      </c>
      <c r="H15" s="47">
        <f t="shared" si="41"/>
        <v>0</v>
      </c>
      <c r="I15" s="47">
        <f t="shared" si="41"/>
        <v>0</v>
      </c>
      <c r="J15" s="47">
        <f>AVERAGE(J10:J14)</f>
        <v>0</v>
      </c>
      <c r="K15" s="47">
        <v>40.370895037500006</v>
      </c>
      <c r="L15" s="47">
        <v>89.323474641693466</v>
      </c>
      <c r="M15" s="47">
        <v>3</v>
      </c>
      <c r="N15" s="47">
        <v>1</v>
      </c>
      <c r="O15" s="60">
        <v>294.50666666666666</v>
      </c>
      <c r="P15" s="47">
        <v>0</v>
      </c>
      <c r="Q15" s="47">
        <v>0</v>
      </c>
      <c r="R15" s="47">
        <f>AVERAGE(R10:R14)</f>
        <v>0</v>
      </c>
      <c r="S15" s="47">
        <f>AVERAGE(S10:S14)</f>
        <v>36.691013749999996</v>
      </c>
      <c r="T15" s="47">
        <f t="shared" ref="T15:Y15" si="42">AVERAGE(T10:T14)</f>
        <v>89.303697185437045</v>
      </c>
      <c r="U15" s="47">
        <f t="shared" si="42"/>
        <v>3</v>
      </c>
      <c r="V15" s="47">
        <f t="shared" si="42"/>
        <v>1</v>
      </c>
      <c r="W15" s="60">
        <f t="shared" si="42"/>
        <v>336.93333333333334</v>
      </c>
      <c r="X15" s="47">
        <f t="shared" si="42"/>
        <v>0</v>
      </c>
      <c r="Y15" s="47">
        <f t="shared" si="42"/>
        <v>0</v>
      </c>
      <c r="Z15" s="47">
        <f>AVERAGE(Z10:Z14)</f>
        <v>0</v>
      </c>
      <c r="AA15" s="47">
        <f>AVERAGE(AA10:AA14)</f>
        <v>55.321260937500007</v>
      </c>
      <c r="AB15" s="47">
        <f t="shared" ref="AB15:AG15" si="43">AVERAGE(AB10:AB14)</f>
        <v>89.31304229862576</v>
      </c>
      <c r="AC15" s="47">
        <f t="shared" si="43"/>
        <v>2.8</v>
      </c>
      <c r="AD15" s="47">
        <f t="shared" si="43"/>
        <v>0.93333333333333324</v>
      </c>
      <c r="AE15" s="60">
        <f t="shared" si="43"/>
        <v>432.1</v>
      </c>
      <c r="AF15" s="47">
        <f t="shared" si="43"/>
        <v>0.2</v>
      </c>
      <c r="AG15" s="47">
        <f t="shared" si="43"/>
        <v>6.6666666666666666E-2</v>
      </c>
      <c r="AH15" s="47">
        <f>AVERAGE(AH10:AH14)</f>
        <v>6.666666666666668E-2</v>
      </c>
      <c r="AI15" s="47">
        <f>AVERAGE(AI10:AI14)</f>
        <v>43.741601156250006</v>
      </c>
      <c r="AJ15" s="47">
        <f t="shared" ref="AJ15:AO15" si="44">AVERAGE(AJ10:AJ14)</f>
        <v>89.32108905958583</v>
      </c>
      <c r="AK15" s="47">
        <f t="shared" si="44"/>
        <v>3</v>
      </c>
      <c r="AL15" s="47">
        <f t="shared" si="44"/>
        <v>1</v>
      </c>
      <c r="AM15" s="60">
        <f>AVERAGE(AM10:AM14)</f>
        <v>315.20000000000005</v>
      </c>
      <c r="AN15" s="47">
        <f t="shared" si="44"/>
        <v>0</v>
      </c>
      <c r="AO15" s="47">
        <f t="shared" si="44"/>
        <v>0</v>
      </c>
      <c r="AP15" s="47">
        <f>AVERAGE(AP10:AP14)</f>
        <v>0</v>
      </c>
      <c r="AQ15" s="47">
        <f>AVERAGE(AQ10:AQ14)</f>
        <v>48.212492781249999</v>
      </c>
      <c r="AR15" s="47">
        <f t="shared" ref="AR15:AW15" si="45">AVERAGE(AR10:AR14)</f>
        <v>89.375234275217323</v>
      </c>
      <c r="AS15" s="47">
        <f t="shared" si="45"/>
        <v>3</v>
      </c>
      <c r="AT15" s="47">
        <f t="shared" si="45"/>
        <v>1</v>
      </c>
      <c r="AU15" s="60">
        <f t="shared" si="45"/>
        <v>338.13333333333338</v>
      </c>
      <c r="AV15" s="47">
        <f t="shared" si="45"/>
        <v>0</v>
      </c>
      <c r="AW15" s="47">
        <f t="shared" si="45"/>
        <v>0</v>
      </c>
      <c r="AX15" s="47">
        <f>AVERAGE(AX10:AX14)</f>
        <v>0</v>
      </c>
    </row>
    <row r="16" spans="1:50" ht="14.4" thickBot="1" x14ac:dyDescent="0.3">
      <c r="A16" s="47"/>
      <c r="B16" s="47"/>
      <c r="C16" s="47"/>
      <c r="D16" s="47"/>
      <c r="E16" s="47"/>
      <c r="F16" s="47"/>
      <c r="G16" s="60"/>
      <c r="H16" s="47"/>
      <c r="I16" s="47"/>
      <c r="J16" s="47"/>
      <c r="K16" s="47"/>
      <c r="L16" s="47"/>
      <c r="M16" s="47"/>
      <c r="N16" s="47"/>
      <c r="O16" s="60"/>
      <c r="P16" s="47"/>
      <c r="Q16" s="47"/>
      <c r="R16" s="47"/>
      <c r="S16" s="47"/>
      <c r="T16" s="47"/>
      <c r="U16" s="47"/>
      <c r="V16" s="47"/>
      <c r="W16" s="60"/>
      <c r="X16" s="47"/>
      <c r="Y16" s="47"/>
      <c r="Z16" s="47"/>
      <c r="AA16" s="47"/>
      <c r="AB16" s="47"/>
      <c r="AC16" s="47"/>
      <c r="AD16" s="47"/>
      <c r="AE16" s="60"/>
      <c r="AF16" s="47"/>
      <c r="AG16" s="47"/>
      <c r="AH16" s="47"/>
      <c r="AI16" s="47"/>
      <c r="AJ16" s="47"/>
      <c r="AK16" s="47"/>
      <c r="AL16" s="47"/>
      <c r="AM16" s="60"/>
      <c r="AN16" s="47"/>
      <c r="AO16" s="47"/>
      <c r="AP16" s="47"/>
      <c r="AQ16" s="47"/>
      <c r="AR16" s="47"/>
      <c r="AS16" s="47"/>
      <c r="AT16" s="47"/>
      <c r="AU16" s="60"/>
      <c r="AV16" s="47"/>
      <c r="AW16" s="47"/>
      <c r="AX16" s="47"/>
    </row>
    <row r="17" spans="1:50" ht="14.4" thickBot="1" x14ac:dyDescent="0.3">
      <c r="A17" s="47" t="s">
        <v>21</v>
      </c>
      <c r="B17" s="47" t="s">
        <v>26</v>
      </c>
      <c r="C17" s="48">
        <v>24.923978281250001</v>
      </c>
      <c r="D17" s="49">
        <v>83.209778965098181</v>
      </c>
      <c r="E17" s="50">
        <v>4</v>
      </c>
      <c r="F17" s="50">
        <f>E17/4</f>
        <v>1</v>
      </c>
      <c r="G17" s="61">
        <f>(44+40+42+42)/4</f>
        <v>42</v>
      </c>
      <c r="H17" s="50">
        <v>0</v>
      </c>
      <c r="I17" s="51">
        <f>H17/(E17+H17)</f>
        <v>0</v>
      </c>
      <c r="J17" s="47">
        <f>1-F17</f>
        <v>0</v>
      </c>
      <c r="K17" s="48">
        <v>27.861469968749997</v>
      </c>
      <c r="L17" s="49">
        <v>83.210187787826428</v>
      </c>
      <c r="M17" s="50">
        <v>4</v>
      </c>
      <c r="N17" s="50">
        <f>M17/4</f>
        <v>1</v>
      </c>
      <c r="O17" s="61">
        <v>41.55</v>
      </c>
      <c r="P17" s="50">
        <v>0</v>
      </c>
      <c r="Q17" s="51">
        <f>P17/(M17+P17)</f>
        <v>0</v>
      </c>
      <c r="R17" s="47">
        <f>1-N17</f>
        <v>0</v>
      </c>
      <c r="S17" s="48">
        <v>25.139168281250001</v>
      </c>
      <c r="T17" s="49">
        <v>83.226249714835049</v>
      </c>
      <c r="U17" s="50">
        <v>4</v>
      </c>
      <c r="V17" s="50">
        <f>U17/4</f>
        <v>1</v>
      </c>
      <c r="W17" s="61">
        <f>(47+46+44+43)/4</f>
        <v>45</v>
      </c>
      <c r="X17" s="50">
        <v>0</v>
      </c>
      <c r="Y17" s="51">
        <f>X17/(U17+X17)</f>
        <v>0</v>
      </c>
      <c r="Z17" s="47">
        <f>1-V17</f>
        <v>0</v>
      </c>
      <c r="AA17" s="48">
        <v>39.699637031249999</v>
      </c>
      <c r="AB17" s="49">
        <v>83.01841922958026</v>
      </c>
      <c r="AC17" s="50">
        <v>4</v>
      </c>
      <c r="AD17" s="50">
        <f>AC17/4</f>
        <v>1</v>
      </c>
      <c r="AE17" s="61">
        <f>(181+180+182+169)/4</f>
        <v>178</v>
      </c>
      <c r="AF17" s="50">
        <v>0</v>
      </c>
      <c r="AG17" s="51">
        <f>AF17/(AC17+AF17)</f>
        <v>0</v>
      </c>
      <c r="AH17" s="47">
        <f>1-AD17</f>
        <v>0</v>
      </c>
      <c r="AI17" s="48">
        <v>29.280132968749999</v>
      </c>
      <c r="AJ17" s="49">
        <v>83.16698094710452</v>
      </c>
      <c r="AK17" s="50">
        <v>4</v>
      </c>
      <c r="AL17" s="50">
        <f>AK17/4</f>
        <v>1</v>
      </c>
      <c r="AM17" s="61">
        <f>(96+85+100+96)/4</f>
        <v>94.25</v>
      </c>
      <c r="AN17" s="50">
        <v>0</v>
      </c>
      <c r="AO17" s="51">
        <f>AN17/(AK17+AN17)</f>
        <v>0</v>
      </c>
      <c r="AP17" s="47">
        <f>1-AL17</f>
        <v>0</v>
      </c>
      <c r="AQ17" s="48">
        <v>34.338028749999999</v>
      </c>
      <c r="AR17" s="49">
        <v>82.930067772769362</v>
      </c>
      <c r="AS17" s="50">
        <v>4</v>
      </c>
      <c r="AT17" s="50">
        <f>AS17/4</f>
        <v>1</v>
      </c>
      <c r="AU17" s="61">
        <f>(95+124+105+121)/4</f>
        <v>111.25</v>
      </c>
      <c r="AV17" s="50">
        <v>3</v>
      </c>
      <c r="AW17" s="51">
        <f>AV17/(AS17+AV17)</f>
        <v>0.42857142857142855</v>
      </c>
      <c r="AX17" s="47">
        <f>1-AT17</f>
        <v>0</v>
      </c>
    </row>
    <row r="18" spans="1:50" ht="14.4" thickBot="1" x14ac:dyDescent="0.3">
      <c r="A18" s="47" t="s">
        <v>22</v>
      </c>
      <c r="B18" s="47" t="s">
        <v>26</v>
      </c>
      <c r="C18" s="52">
        <v>29.993127187500001</v>
      </c>
      <c r="D18" s="53">
        <v>82.885944959366824</v>
      </c>
      <c r="E18" s="47">
        <v>4</v>
      </c>
      <c r="F18" s="50">
        <f t="shared" ref="F18:F21" si="46">E18/4</f>
        <v>1</v>
      </c>
      <c r="G18" s="60">
        <f>(47+37+46+36)/4</f>
        <v>41.5</v>
      </c>
      <c r="H18" s="47">
        <v>1</v>
      </c>
      <c r="I18" s="51">
        <f t="shared" ref="I18:I21" si="47">H18/(E18+H18)</f>
        <v>0.2</v>
      </c>
      <c r="J18" s="47">
        <f t="shared" ref="J18:J21" si="48">1-F18</f>
        <v>0</v>
      </c>
      <c r="K18" s="52">
        <v>28.161164343749999</v>
      </c>
      <c r="L18" s="53">
        <v>82.901196251188864</v>
      </c>
      <c r="M18" s="47">
        <v>4</v>
      </c>
      <c r="N18" s="50">
        <f t="shared" ref="N18:N21" si="49">M18/4</f>
        <v>1</v>
      </c>
      <c r="O18" s="60">
        <v>40.6</v>
      </c>
      <c r="P18" s="47">
        <v>1</v>
      </c>
      <c r="Q18" s="51">
        <f t="shared" ref="Q18:Q21" si="50">P18/(M18+P18)</f>
        <v>0.2</v>
      </c>
      <c r="R18" s="47">
        <f t="shared" ref="R18:R21" si="51">1-N18</f>
        <v>0</v>
      </c>
      <c r="S18" s="52">
        <v>24.690798906249999</v>
      </c>
      <c r="T18" s="53">
        <v>82.901071519297773</v>
      </c>
      <c r="U18" s="47">
        <v>4</v>
      </c>
      <c r="V18" s="50">
        <f t="shared" ref="V18:V21" si="52">U18/4</f>
        <v>1</v>
      </c>
      <c r="W18" s="60">
        <f>(49+38+49+38)/4</f>
        <v>43.5</v>
      </c>
      <c r="X18" s="47">
        <v>1</v>
      </c>
      <c r="Y18" s="51">
        <f t="shared" ref="Y18:Y21" si="53">X18/(U18+X18)</f>
        <v>0.2</v>
      </c>
      <c r="Z18" s="47">
        <f t="shared" ref="Z18:Z21" si="54">1-V18</f>
        <v>0</v>
      </c>
      <c r="AA18" s="52">
        <v>39.784146562499998</v>
      </c>
      <c r="AB18" s="53">
        <v>82.397811877988616</v>
      </c>
      <c r="AC18" s="47">
        <v>3</v>
      </c>
      <c r="AD18" s="50">
        <f t="shared" ref="AD18:AD21" si="55">AC18/4</f>
        <v>0.75</v>
      </c>
      <c r="AE18" s="60">
        <f>(229+175+173)/3</f>
        <v>192.33333333333334</v>
      </c>
      <c r="AF18" s="47">
        <v>1</v>
      </c>
      <c r="AG18" s="51">
        <f t="shared" ref="AG18:AG21" si="56">AF18/(AC18+AF18)</f>
        <v>0.25</v>
      </c>
      <c r="AH18" s="47">
        <f t="shared" ref="AH18:AH21" si="57">1-AD18</f>
        <v>0.25</v>
      </c>
      <c r="AI18" s="52">
        <v>25.455982656250001</v>
      </c>
      <c r="AJ18" s="53">
        <v>82.753010949925084</v>
      </c>
      <c r="AK18" s="47">
        <v>4</v>
      </c>
      <c r="AL18" s="50">
        <f t="shared" ref="AL18:AL21" si="58">AK18/4</f>
        <v>1</v>
      </c>
      <c r="AM18" s="60">
        <f>(106+83+100+93)/4</f>
        <v>95.5</v>
      </c>
      <c r="AN18" s="47">
        <v>1</v>
      </c>
      <c r="AO18" s="51">
        <f t="shared" ref="AO18:AO21" si="59">AN18/(AK18+AN18)</f>
        <v>0.2</v>
      </c>
      <c r="AP18" s="47">
        <f t="shared" ref="AP18:AP21" si="60">1-AL18</f>
        <v>0</v>
      </c>
      <c r="AQ18" s="52">
        <v>32.917211875</v>
      </c>
      <c r="AR18" s="53">
        <v>82.754788314771375</v>
      </c>
      <c r="AS18" s="47">
        <v>4</v>
      </c>
      <c r="AT18" s="50">
        <f t="shared" ref="AT18:AT21" si="61">AS18/4</f>
        <v>1</v>
      </c>
      <c r="AU18" s="60">
        <f>(77+88+127+104)/4</f>
        <v>99</v>
      </c>
      <c r="AV18" s="47">
        <v>8</v>
      </c>
      <c r="AW18" s="51">
        <f t="shared" ref="AW18:AW21" si="62">AV18/(AS18+AV18)</f>
        <v>0.66666666666666663</v>
      </c>
      <c r="AX18" s="47">
        <f t="shared" ref="AX18:AX21" si="63">1-AT18</f>
        <v>0</v>
      </c>
    </row>
    <row r="19" spans="1:50" ht="14.4" thickBot="1" x14ac:dyDescent="0.3">
      <c r="A19" s="47" t="s">
        <v>23</v>
      </c>
      <c r="B19" s="47" t="s">
        <v>26</v>
      </c>
      <c r="C19" s="52">
        <v>23.57549640625</v>
      </c>
      <c r="D19" s="53">
        <v>83.102120543697652</v>
      </c>
      <c r="E19" s="47">
        <v>4</v>
      </c>
      <c r="F19" s="50">
        <f t="shared" si="46"/>
        <v>1</v>
      </c>
      <c r="G19" s="60">
        <f>(52+43+32+40)/4</f>
        <v>41.75</v>
      </c>
      <c r="H19" s="47">
        <v>2</v>
      </c>
      <c r="I19" s="51">
        <f t="shared" si="47"/>
        <v>0.33333333333333331</v>
      </c>
      <c r="J19" s="47">
        <f t="shared" si="48"/>
        <v>0</v>
      </c>
      <c r="K19" s="52">
        <v>24.856144468749996</v>
      </c>
      <c r="L19" s="53">
        <v>83.10199304368669</v>
      </c>
      <c r="M19" s="47">
        <v>4</v>
      </c>
      <c r="N19" s="50">
        <f t="shared" si="49"/>
        <v>1</v>
      </c>
      <c r="O19" s="60">
        <v>41.35</v>
      </c>
      <c r="P19" s="47">
        <v>3.4</v>
      </c>
      <c r="Q19" s="51">
        <f t="shared" si="50"/>
        <v>0.45945945945945943</v>
      </c>
      <c r="R19" s="47">
        <f t="shared" si="51"/>
        <v>0</v>
      </c>
      <c r="S19" s="52">
        <v>24.658024062500001</v>
      </c>
      <c r="T19" s="53">
        <v>83.243640316101363</v>
      </c>
      <c r="U19" s="47">
        <v>4</v>
      </c>
      <c r="V19" s="50">
        <f t="shared" si="52"/>
        <v>1</v>
      </c>
      <c r="W19" s="60">
        <f>(53+44+33+41)/4</f>
        <v>42.75</v>
      </c>
      <c r="X19" s="47">
        <v>0</v>
      </c>
      <c r="Y19" s="51">
        <f t="shared" si="53"/>
        <v>0</v>
      </c>
      <c r="Z19" s="47">
        <f t="shared" si="54"/>
        <v>0</v>
      </c>
      <c r="AA19" s="52">
        <v>40.136945781249999</v>
      </c>
      <c r="AB19" s="53">
        <v>82.842350230022021</v>
      </c>
      <c r="AC19" s="47">
        <v>3</v>
      </c>
      <c r="AD19" s="50">
        <f t="shared" si="55"/>
        <v>0.75</v>
      </c>
      <c r="AE19" s="60">
        <f>(117+168+161)/3</f>
        <v>148.66666666666666</v>
      </c>
      <c r="AF19" s="47">
        <v>2</v>
      </c>
      <c r="AG19" s="51">
        <f t="shared" si="56"/>
        <v>0.4</v>
      </c>
      <c r="AH19" s="47">
        <f t="shared" si="57"/>
        <v>0.25</v>
      </c>
      <c r="AI19" s="52">
        <v>27.2020528125</v>
      </c>
      <c r="AJ19" s="53">
        <v>83.221288537244035</v>
      </c>
      <c r="AK19" s="47">
        <v>4</v>
      </c>
      <c r="AL19" s="50">
        <f t="shared" si="58"/>
        <v>1</v>
      </c>
      <c r="AM19" s="60">
        <f>(46+76+68+96)/4</f>
        <v>71.5</v>
      </c>
      <c r="AN19" s="47">
        <v>0</v>
      </c>
      <c r="AO19" s="51">
        <f t="shared" si="59"/>
        <v>0</v>
      </c>
      <c r="AP19" s="47">
        <f t="shared" si="60"/>
        <v>0</v>
      </c>
      <c r="AQ19" s="52">
        <v>35.052784375000002</v>
      </c>
      <c r="AR19" s="53">
        <v>82.942853883657421</v>
      </c>
      <c r="AS19" s="47">
        <v>4</v>
      </c>
      <c r="AT19" s="50">
        <f t="shared" si="61"/>
        <v>1</v>
      </c>
      <c r="AU19" s="60">
        <f>(46+100+94+117)/4</f>
        <v>89.25</v>
      </c>
      <c r="AV19" s="47">
        <v>3</v>
      </c>
      <c r="AW19" s="51">
        <f t="shared" si="62"/>
        <v>0.42857142857142855</v>
      </c>
      <c r="AX19" s="47">
        <f t="shared" si="63"/>
        <v>0</v>
      </c>
    </row>
    <row r="20" spans="1:50" ht="14.4" thickBot="1" x14ac:dyDescent="0.3">
      <c r="A20" s="47" t="s">
        <v>24</v>
      </c>
      <c r="B20" s="47" t="s">
        <v>26</v>
      </c>
      <c r="C20" s="52">
        <v>25.047550000000001</v>
      </c>
      <c r="D20" s="53">
        <v>83.286684339554398</v>
      </c>
      <c r="E20" s="47">
        <v>4</v>
      </c>
      <c r="F20" s="50">
        <f t="shared" si="46"/>
        <v>1</v>
      </c>
      <c r="G20" s="60">
        <f>(53+37+35+44)/4</f>
        <v>42.25</v>
      </c>
      <c r="H20" s="47">
        <v>1</v>
      </c>
      <c r="I20" s="51">
        <f t="shared" si="47"/>
        <v>0.2</v>
      </c>
      <c r="J20" s="47">
        <f t="shared" si="48"/>
        <v>0</v>
      </c>
      <c r="K20" s="52">
        <v>26.403040937499998</v>
      </c>
      <c r="L20" s="53">
        <v>83.186013238368716</v>
      </c>
      <c r="M20" s="47">
        <v>4</v>
      </c>
      <c r="N20" s="50">
        <f t="shared" si="49"/>
        <v>1</v>
      </c>
      <c r="O20" s="60">
        <v>41.55</v>
      </c>
      <c r="P20" s="47">
        <v>1.6</v>
      </c>
      <c r="Q20" s="51">
        <f t="shared" si="50"/>
        <v>0.28571428571428575</v>
      </c>
      <c r="R20" s="47">
        <f t="shared" si="51"/>
        <v>0</v>
      </c>
      <c r="S20" s="52">
        <v>24.40540015625</v>
      </c>
      <c r="T20" s="53">
        <v>83.280141282069096</v>
      </c>
      <c r="U20" s="47">
        <v>4</v>
      </c>
      <c r="V20" s="50">
        <f t="shared" si="52"/>
        <v>1</v>
      </c>
      <c r="W20" s="60">
        <f>(54+37+45+45)/4</f>
        <v>45.25</v>
      </c>
      <c r="X20" s="47">
        <v>1</v>
      </c>
      <c r="Y20" s="51">
        <f t="shared" si="53"/>
        <v>0.2</v>
      </c>
      <c r="Z20" s="47">
        <f t="shared" si="54"/>
        <v>0</v>
      </c>
      <c r="AA20" s="52">
        <v>36.443286718750002</v>
      </c>
      <c r="AB20" s="53">
        <v>82.57276924114737</v>
      </c>
      <c r="AC20" s="47">
        <v>3</v>
      </c>
      <c r="AD20" s="50">
        <f t="shared" si="55"/>
        <v>0.75</v>
      </c>
      <c r="AE20" s="60">
        <f>(139+172+177)/3</f>
        <v>162.66666666666666</v>
      </c>
      <c r="AF20" s="47">
        <v>2</v>
      </c>
      <c r="AG20" s="51">
        <f t="shared" si="56"/>
        <v>0.4</v>
      </c>
      <c r="AH20" s="47">
        <f t="shared" si="57"/>
        <v>0.25</v>
      </c>
      <c r="AI20" s="52">
        <v>30.284321406250001</v>
      </c>
      <c r="AJ20" s="53">
        <v>83.257643588627232</v>
      </c>
      <c r="AK20" s="47">
        <v>4</v>
      </c>
      <c r="AL20" s="50">
        <f t="shared" si="58"/>
        <v>1</v>
      </c>
      <c r="AM20" s="60">
        <f>(81+69+98+92)/4</f>
        <v>85</v>
      </c>
      <c r="AN20" s="47">
        <v>0</v>
      </c>
      <c r="AO20" s="51">
        <f t="shared" si="59"/>
        <v>0</v>
      </c>
      <c r="AP20" s="47">
        <f t="shared" si="60"/>
        <v>0</v>
      </c>
      <c r="AQ20" s="52">
        <v>32.342664843750001</v>
      </c>
      <c r="AR20" s="53">
        <v>83.004439087300995</v>
      </c>
      <c r="AS20" s="47">
        <v>4</v>
      </c>
      <c r="AT20" s="50">
        <f t="shared" si="61"/>
        <v>1</v>
      </c>
      <c r="AU20" s="60">
        <f>(93+80+117+90)/4</f>
        <v>95</v>
      </c>
      <c r="AV20" s="47">
        <v>6</v>
      </c>
      <c r="AW20" s="51">
        <f t="shared" si="62"/>
        <v>0.6</v>
      </c>
      <c r="AX20" s="47">
        <f t="shared" si="63"/>
        <v>0</v>
      </c>
    </row>
    <row r="21" spans="1:50" ht="14.4" thickBot="1" x14ac:dyDescent="0.3">
      <c r="A21" s="47" t="s">
        <v>25</v>
      </c>
      <c r="B21" s="47" t="s">
        <v>26</v>
      </c>
      <c r="C21" s="54">
        <v>24.262007812499998</v>
      </c>
      <c r="D21" s="55">
        <v>83.375341090437885</v>
      </c>
      <c r="E21" s="56">
        <v>4</v>
      </c>
      <c r="F21" s="50">
        <f t="shared" si="46"/>
        <v>1</v>
      </c>
      <c r="G21" s="62">
        <f>(42+53+40+34)/4</f>
        <v>42.25</v>
      </c>
      <c r="H21" s="56">
        <v>1</v>
      </c>
      <c r="I21" s="51">
        <f t="shared" si="47"/>
        <v>0.2</v>
      </c>
      <c r="J21" s="47">
        <f t="shared" si="48"/>
        <v>0</v>
      </c>
      <c r="K21" s="54">
        <v>26.608938187499994</v>
      </c>
      <c r="L21" s="55">
        <v>83.310172535760245</v>
      </c>
      <c r="M21" s="56">
        <v>4</v>
      </c>
      <c r="N21" s="50">
        <f t="shared" si="49"/>
        <v>1</v>
      </c>
      <c r="O21" s="62">
        <v>40.1</v>
      </c>
      <c r="P21" s="56">
        <v>1</v>
      </c>
      <c r="Q21" s="51">
        <f t="shared" si="50"/>
        <v>0.2</v>
      </c>
      <c r="R21" s="47">
        <f t="shared" si="51"/>
        <v>0</v>
      </c>
      <c r="S21" s="54">
        <v>25.643900468750001</v>
      </c>
      <c r="T21" s="55">
        <v>83.46222185977841</v>
      </c>
      <c r="U21" s="56">
        <v>4</v>
      </c>
      <c r="V21" s="50">
        <f t="shared" si="52"/>
        <v>1</v>
      </c>
      <c r="W21" s="62">
        <f>(43+53+41+36)/4</f>
        <v>43.25</v>
      </c>
      <c r="X21" s="56">
        <v>0</v>
      </c>
      <c r="Y21" s="51">
        <f t="shared" si="53"/>
        <v>0</v>
      </c>
      <c r="Z21" s="47">
        <f t="shared" si="54"/>
        <v>0</v>
      </c>
      <c r="AA21" s="54">
        <v>43.365690624999999</v>
      </c>
      <c r="AB21" s="55">
        <v>82.592350142565579</v>
      </c>
      <c r="AC21" s="56">
        <v>2</v>
      </c>
      <c r="AD21" s="50">
        <f t="shared" si="55"/>
        <v>0.5</v>
      </c>
      <c r="AE21" s="62">
        <f>(171+186)/2</f>
        <v>178.5</v>
      </c>
      <c r="AF21" s="56">
        <v>2</v>
      </c>
      <c r="AG21" s="51">
        <f t="shared" si="56"/>
        <v>0.5</v>
      </c>
      <c r="AH21" s="47">
        <f t="shared" si="57"/>
        <v>0.5</v>
      </c>
      <c r="AI21" s="54">
        <v>27.454213906250001</v>
      </c>
      <c r="AJ21" s="55">
        <v>83.225787890212359</v>
      </c>
      <c r="AK21" s="56">
        <v>4</v>
      </c>
      <c r="AL21" s="50">
        <f t="shared" si="58"/>
        <v>1</v>
      </c>
      <c r="AM21" s="62">
        <f>(99+109+101+83)/4</f>
        <v>98</v>
      </c>
      <c r="AN21" s="56">
        <v>1</v>
      </c>
      <c r="AO21" s="51">
        <f t="shared" si="59"/>
        <v>0.2</v>
      </c>
      <c r="AP21" s="47">
        <f t="shared" si="60"/>
        <v>0</v>
      </c>
      <c r="AQ21" s="54">
        <v>33.352780781249997</v>
      </c>
      <c r="AR21" s="55">
        <v>83.124276505851569</v>
      </c>
      <c r="AS21" s="56">
        <v>4</v>
      </c>
      <c r="AT21" s="50">
        <f t="shared" si="61"/>
        <v>1</v>
      </c>
      <c r="AU21" s="62">
        <f>(111+123+127+88)/4</f>
        <v>112.25</v>
      </c>
      <c r="AV21" s="56">
        <v>6</v>
      </c>
      <c r="AW21" s="51">
        <f t="shared" si="62"/>
        <v>0.6</v>
      </c>
      <c r="AX21" s="47">
        <f t="shared" si="63"/>
        <v>0</v>
      </c>
    </row>
    <row r="22" spans="1:50" x14ac:dyDescent="0.25">
      <c r="A22" s="47"/>
      <c r="B22" s="47"/>
      <c r="C22" s="47">
        <f>AVERAGE(C17:C21)</f>
        <v>25.560431937500002</v>
      </c>
      <c r="D22" s="47">
        <f t="shared" ref="D22:I22" si="64">AVERAGE(D17:D21)</f>
        <v>83.171973979630991</v>
      </c>
      <c r="E22" s="47">
        <f t="shared" si="64"/>
        <v>4</v>
      </c>
      <c r="F22" s="47">
        <f t="shared" si="64"/>
        <v>1</v>
      </c>
      <c r="G22" s="60">
        <f t="shared" si="64"/>
        <v>41.95</v>
      </c>
      <c r="H22" s="47">
        <f t="shared" si="64"/>
        <v>1</v>
      </c>
      <c r="I22" s="47">
        <f t="shared" si="64"/>
        <v>0.18666666666666668</v>
      </c>
      <c r="J22" s="47">
        <f>AVERAGE(J17:J21)</f>
        <v>0</v>
      </c>
      <c r="K22" s="47">
        <v>26.778151581249993</v>
      </c>
      <c r="L22" s="47">
        <v>83.141912571366191</v>
      </c>
      <c r="M22" s="47">
        <v>4</v>
      </c>
      <c r="N22" s="47">
        <v>1</v>
      </c>
      <c r="O22" s="60">
        <v>41.03</v>
      </c>
      <c r="P22" s="47">
        <v>1.4</v>
      </c>
      <c r="Q22" s="47">
        <v>0.22903474903474902</v>
      </c>
      <c r="R22" s="47">
        <f>AVERAGE(R17:R21)</f>
        <v>0</v>
      </c>
      <c r="S22" s="47">
        <f>AVERAGE(S17:S21)</f>
        <v>24.907458375000001</v>
      </c>
      <c r="T22" s="47">
        <f t="shared" ref="T22:Y22" si="65">AVERAGE(T17:T21)</f>
        <v>83.22266493841633</v>
      </c>
      <c r="U22" s="47">
        <f t="shared" si="65"/>
        <v>4</v>
      </c>
      <c r="V22" s="47">
        <f t="shared" si="65"/>
        <v>1</v>
      </c>
      <c r="W22" s="60">
        <f t="shared" si="65"/>
        <v>43.95</v>
      </c>
      <c r="X22" s="47">
        <f t="shared" si="65"/>
        <v>0.4</v>
      </c>
      <c r="Y22" s="47">
        <f t="shared" si="65"/>
        <v>0.08</v>
      </c>
      <c r="Z22" s="47">
        <f>AVERAGE(Z17:Z21)</f>
        <v>0</v>
      </c>
      <c r="AA22" s="47">
        <f>AVERAGE(AA17:AA21)</f>
        <v>39.885941343750005</v>
      </c>
      <c r="AB22" s="47">
        <f t="shared" ref="AB22:AG22" si="66">AVERAGE(AB17:AB21)</f>
        <v>82.684740144260758</v>
      </c>
      <c r="AC22" s="47">
        <f t="shared" si="66"/>
        <v>3</v>
      </c>
      <c r="AD22" s="47">
        <f t="shared" si="66"/>
        <v>0.75</v>
      </c>
      <c r="AE22" s="60">
        <f t="shared" si="66"/>
        <v>172.03333333333333</v>
      </c>
      <c r="AF22" s="47">
        <f t="shared" si="66"/>
        <v>1.4</v>
      </c>
      <c r="AG22" s="47">
        <f t="shared" si="66"/>
        <v>0.31</v>
      </c>
      <c r="AH22" s="47">
        <f>AVERAGE(AH17:AH21)</f>
        <v>0.25</v>
      </c>
      <c r="AI22" s="47">
        <f>AVERAGE(AI17:AI21)</f>
        <v>27.935340750000002</v>
      </c>
      <c r="AJ22" s="47">
        <f t="shared" ref="AJ22:AO22" si="67">AVERAGE(AJ17:AJ21)</f>
        <v>83.124942382622649</v>
      </c>
      <c r="AK22" s="47">
        <f t="shared" si="67"/>
        <v>4</v>
      </c>
      <c r="AL22" s="47">
        <f t="shared" si="67"/>
        <v>1</v>
      </c>
      <c r="AM22" s="60">
        <f t="shared" si="67"/>
        <v>88.85</v>
      </c>
      <c r="AN22" s="47">
        <f t="shared" si="67"/>
        <v>0.4</v>
      </c>
      <c r="AO22" s="47">
        <f t="shared" si="67"/>
        <v>0.08</v>
      </c>
      <c r="AP22" s="47">
        <f>AVERAGE(AP17:AP21)</f>
        <v>0</v>
      </c>
      <c r="AQ22" s="47">
        <f>AVERAGE(AQ17:AQ21)</f>
        <v>33.600694125000004</v>
      </c>
      <c r="AR22" s="47">
        <f t="shared" ref="AR22:AW22" si="68">AVERAGE(AR17:AR21)</f>
        <v>82.951285112870153</v>
      </c>
      <c r="AS22" s="47">
        <f t="shared" si="68"/>
        <v>4</v>
      </c>
      <c r="AT22" s="47">
        <f t="shared" si="68"/>
        <v>1</v>
      </c>
      <c r="AU22" s="60">
        <f t="shared" si="68"/>
        <v>101.35</v>
      </c>
      <c r="AV22" s="47">
        <f t="shared" si="68"/>
        <v>5.2</v>
      </c>
      <c r="AW22" s="47">
        <f t="shared" si="68"/>
        <v>0.54476190476190478</v>
      </c>
      <c r="AX22" s="47">
        <f>AVERAGE(AX17:AX21)</f>
        <v>0</v>
      </c>
    </row>
    <row r="23" spans="1:50" ht="14.4" thickBot="1" x14ac:dyDescent="0.3">
      <c r="A23" s="47"/>
      <c r="B23" s="47"/>
      <c r="C23" s="47"/>
      <c r="D23" s="47"/>
      <c r="E23" s="47"/>
      <c r="F23" s="47"/>
      <c r="G23" s="60"/>
      <c r="H23" s="47"/>
      <c r="I23" s="47"/>
      <c r="J23" s="47"/>
      <c r="K23" s="47"/>
      <c r="L23" s="47"/>
      <c r="M23" s="47"/>
      <c r="N23" s="47"/>
      <c r="O23" s="60"/>
      <c r="P23" s="47"/>
      <c r="Q23" s="47"/>
      <c r="R23" s="47"/>
      <c r="S23" s="47"/>
      <c r="T23" s="47"/>
      <c r="U23" s="47"/>
      <c r="V23" s="47"/>
      <c r="W23" s="60"/>
      <c r="X23" s="47"/>
      <c r="Y23" s="47"/>
      <c r="Z23" s="47"/>
      <c r="AA23" s="47"/>
      <c r="AB23" s="47"/>
      <c r="AC23" s="47"/>
      <c r="AD23" s="47"/>
      <c r="AE23" s="60"/>
      <c r="AF23" s="47"/>
      <c r="AG23" s="47"/>
      <c r="AH23" s="47"/>
      <c r="AI23" s="47"/>
      <c r="AJ23" s="47"/>
      <c r="AK23" s="47"/>
      <c r="AL23" s="47"/>
      <c r="AM23" s="60"/>
      <c r="AN23" s="47"/>
      <c r="AO23" s="47"/>
      <c r="AP23" s="47"/>
      <c r="AQ23" s="47"/>
      <c r="AR23" s="47"/>
      <c r="AS23" s="47"/>
      <c r="AT23" s="47"/>
      <c r="AU23" s="60"/>
      <c r="AV23" s="47"/>
      <c r="AW23" s="47"/>
      <c r="AX23" s="47"/>
    </row>
    <row r="24" spans="1:50" ht="14.4" thickBot="1" x14ac:dyDescent="0.3">
      <c r="A24" s="47" t="s">
        <v>27</v>
      </c>
      <c r="B24" s="47" t="s">
        <v>26</v>
      </c>
      <c r="C24" s="48">
        <v>23.159452343750001</v>
      </c>
      <c r="D24" s="49">
        <v>86.609088373540132</v>
      </c>
      <c r="E24" s="50">
        <v>4</v>
      </c>
      <c r="F24" s="50">
        <f>E24/4</f>
        <v>1</v>
      </c>
      <c r="G24" s="61">
        <f>(38+39+35+43)/4</f>
        <v>38.75</v>
      </c>
      <c r="H24" s="50">
        <v>0</v>
      </c>
      <c r="I24" s="51">
        <f>H24/(E24+H24)</f>
        <v>0</v>
      </c>
      <c r="J24" s="47">
        <f>1-F24</f>
        <v>0</v>
      </c>
      <c r="K24" s="48">
        <v>25.6423305625</v>
      </c>
      <c r="L24" s="49">
        <v>86.622729920358054</v>
      </c>
      <c r="M24" s="50">
        <v>4</v>
      </c>
      <c r="N24" s="50">
        <f>M24/4</f>
        <v>1</v>
      </c>
      <c r="O24" s="61">
        <v>38</v>
      </c>
      <c r="P24" s="50">
        <v>0</v>
      </c>
      <c r="Q24" s="51">
        <f>P24/(M24+P24)</f>
        <v>0</v>
      </c>
      <c r="R24" s="47">
        <f>1-N24</f>
        <v>0</v>
      </c>
      <c r="S24" s="48">
        <v>25.334791406250002</v>
      </c>
      <c r="T24" s="49">
        <v>86.626911571568229</v>
      </c>
      <c r="U24" s="50">
        <v>4</v>
      </c>
      <c r="V24" s="50">
        <f>U24/4</f>
        <v>1</v>
      </c>
      <c r="W24" s="61">
        <f>(39+40+41+45)/4</f>
        <v>41.25</v>
      </c>
      <c r="X24" s="50">
        <v>0</v>
      </c>
      <c r="Y24" s="51">
        <f>X24/(U24+X24)</f>
        <v>0</v>
      </c>
      <c r="Z24" s="47">
        <f>1-V24</f>
        <v>0</v>
      </c>
      <c r="AA24" s="48">
        <v>39.920930312499998</v>
      </c>
      <c r="AB24" s="49">
        <v>86.331002008470477</v>
      </c>
      <c r="AC24" s="50">
        <v>3</v>
      </c>
      <c r="AD24" s="50">
        <f>AC24/4</f>
        <v>0.75</v>
      </c>
      <c r="AE24" s="61">
        <f>(145+142+157)/3</f>
        <v>148</v>
      </c>
      <c r="AF24" s="50">
        <v>1</v>
      </c>
      <c r="AG24" s="51">
        <f>AF24/(AC24+AF24)</f>
        <v>0.25</v>
      </c>
      <c r="AH24" s="47">
        <f>1-AD24</f>
        <v>0.25</v>
      </c>
      <c r="AI24" s="48">
        <v>30.950119531249999</v>
      </c>
      <c r="AJ24" s="49">
        <v>86.513627389544823</v>
      </c>
      <c r="AK24" s="50">
        <v>4</v>
      </c>
      <c r="AL24" s="50">
        <f>AK24/4</f>
        <v>1</v>
      </c>
      <c r="AM24" s="61">
        <f>(87+83+86+96)/4</f>
        <v>88</v>
      </c>
      <c r="AN24" s="50">
        <v>0</v>
      </c>
      <c r="AO24" s="51">
        <f>AN24/(AK24+AN24)</f>
        <v>0</v>
      </c>
      <c r="AP24" s="47">
        <f>1-AL24</f>
        <v>0</v>
      </c>
      <c r="AQ24" s="48">
        <v>33.2848240625</v>
      </c>
      <c r="AR24" s="49">
        <v>86.46275750455726</v>
      </c>
      <c r="AS24" s="50">
        <v>4</v>
      </c>
      <c r="AT24" s="50">
        <f>AS24/4</f>
        <v>1</v>
      </c>
      <c r="AU24" s="61">
        <f>(99+99+97+108)/4</f>
        <v>100.75</v>
      </c>
      <c r="AV24" s="50">
        <v>0</v>
      </c>
      <c r="AW24" s="51">
        <f>AV24/(AS24+AV24)</f>
        <v>0</v>
      </c>
      <c r="AX24" s="47">
        <f>1-AT24</f>
        <v>0</v>
      </c>
    </row>
    <row r="25" spans="1:50" ht="14.4" thickBot="1" x14ac:dyDescent="0.3">
      <c r="A25" s="47" t="s">
        <v>28</v>
      </c>
      <c r="B25" s="47" t="s">
        <v>26</v>
      </c>
      <c r="C25" s="52">
        <v>23.832399531250001</v>
      </c>
      <c r="D25" s="53">
        <v>86.673707681002853</v>
      </c>
      <c r="E25" s="47">
        <v>4</v>
      </c>
      <c r="F25" s="50">
        <f t="shared" ref="F25:F28" si="69">E25/4</f>
        <v>1</v>
      </c>
      <c r="G25" s="60">
        <f>(46+44+49+50)/4</f>
        <v>47.25</v>
      </c>
      <c r="H25" s="47">
        <v>0</v>
      </c>
      <c r="I25" s="51">
        <f t="shared" ref="I25:I28" si="70">H25/(E25+H25)</f>
        <v>0</v>
      </c>
      <c r="J25" s="47">
        <f t="shared" ref="J25:J28" si="71">1-F25</f>
        <v>0</v>
      </c>
      <c r="K25" s="52">
        <v>25.616437281250001</v>
      </c>
      <c r="L25" s="53">
        <v>86.674874462280442</v>
      </c>
      <c r="M25" s="47">
        <v>4</v>
      </c>
      <c r="N25" s="50">
        <f t="shared" ref="N25:N28" si="72">M25/4</f>
        <v>1</v>
      </c>
      <c r="O25" s="60">
        <v>46.6</v>
      </c>
      <c r="P25" s="47">
        <v>0</v>
      </c>
      <c r="Q25" s="51">
        <f t="shared" ref="Q25:Q28" si="73">P25/(M25+P25)</f>
        <v>0</v>
      </c>
      <c r="R25" s="47">
        <f t="shared" ref="R25:R28" si="74">1-N25</f>
        <v>0</v>
      </c>
      <c r="S25" s="52">
        <v>23.119789531249999</v>
      </c>
      <c r="T25" s="53">
        <v>86.66305043710679</v>
      </c>
      <c r="U25" s="47">
        <v>4</v>
      </c>
      <c r="V25" s="50">
        <f t="shared" ref="V25:V28" si="75">U25/4</f>
        <v>1</v>
      </c>
      <c r="W25" s="60">
        <f>(47+45+51+51)/4</f>
        <v>48.5</v>
      </c>
      <c r="X25" s="47">
        <v>0</v>
      </c>
      <c r="Y25" s="51">
        <f t="shared" ref="Y25:Y28" si="76">X25/(U25+X25)</f>
        <v>0</v>
      </c>
      <c r="Z25" s="47">
        <f t="shared" ref="Z25:Z28" si="77">1-V25</f>
        <v>0</v>
      </c>
      <c r="AA25" s="52">
        <v>40.456387656250001</v>
      </c>
      <c r="AB25" s="53">
        <v>86.469780430476405</v>
      </c>
      <c r="AC25" s="47">
        <v>4</v>
      </c>
      <c r="AD25" s="50">
        <f t="shared" ref="AD25:AD28" si="78">AC25/4</f>
        <v>1</v>
      </c>
      <c r="AE25" s="60">
        <f>(146+150+141+152)/4</f>
        <v>147.25</v>
      </c>
      <c r="AF25" s="47">
        <v>1</v>
      </c>
      <c r="AG25" s="51">
        <f t="shared" ref="AG25:AG28" si="79">AF25/(AC25+AF25)</f>
        <v>0.2</v>
      </c>
      <c r="AH25" s="47">
        <f t="shared" ref="AH25:AH28" si="80">1-AD25</f>
        <v>0</v>
      </c>
      <c r="AI25" s="52">
        <v>28.022295312499999</v>
      </c>
      <c r="AJ25" s="53">
        <v>86.589662636164206</v>
      </c>
      <c r="AK25" s="47">
        <v>4</v>
      </c>
      <c r="AL25" s="50">
        <f t="shared" ref="AL25:AL28" si="81">AK25/4</f>
        <v>1</v>
      </c>
      <c r="AM25" s="60">
        <f>(90+92+97+92)/4</f>
        <v>92.75</v>
      </c>
      <c r="AN25" s="47">
        <v>0</v>
      </c>
      <c r="AO25" s="51">
        <f t="shared" ref="AO25:AO28" si="82">AN25/(AK25+AN25)</f>
        <v>0</v>
      </c>
      <c r="AP25" s="47">
        <f t="shared" ref="AP25:AP28" si="83">1-AL25</f>
        <v>0</v>
      </c>
      <c r="AQ25" s="52">
        <v>33.303352435225648</v>
      </c>
      <c r="AR25" s="53">
        <v>86.565936542192944</v>
      </c>
      <c r="AS25" s="47">
        <v>4</v>
      </c>
      <c r="AT25" s="50">
        <f t="shared" ref="AT25:AT28" si="84">AS25/4</f>
        <v>1</v>
      </c>
      <c r="AU25" s="60">
        <f>(103+102+106+107)/4</f>
        <v>104.5</v>
      </c>
      <c r="AV25" s="47">
        <v>2</v>
      </c>
      <c r="AW25" s="51">
        <f t="shared" ref="AW25:AW28" si="85">AV25/(AS25+AV25)</f>
        <v>0.33333333333333331</v>
      </c>
      <c r="AX25" s="47">
        <f t="shared" ref="AX25:AX28" si="86">1-AT25</f>
        <v>0</v>
      </c>
    </row>
    <row r="26" spans="1:50" ht="14.4" thickBot="1" x14ac:dyDescent="0.3">
      <c r="A26" s="47" t="s">
        <v>29</v>
      </c>
      <c r="B26" s="47" t="s">
        <v>26</v>
      </c>
      <c r="C26" s="52">
        <v>22.064279687500001</v>
      </c>
      <c r="D26" s="53">
        <v>86.955522416361035</v>
      </c>
      <c r="E26" s="47">
        <v>4</v>
      </c>
      <c r="F26" s="50">
        <f t="shared" si="69"/>
        <v>1</v>
      </c>
      <c r="G26" s="60">
        <f>(49+31+41+38)/4</f>
        <v>39.75</v>
      </c>
      <c r="H26" s="47">
        <v>1</v>
      </c>
      <c r="I26" s="51">
        <f t="shared" si="70"/>
        <v>0.2</v>
      </c>
      <c r="J26" s="47">
        <f t="shared" si="71"/>
        <v>0</v>
      </c>
      <c r="K26" s="52">
        <v>24.464546062499998</v>
      </c>
      <c r="L26" s="53">
        <v>86.962538585532442</v>
      </c>
      <c r="M26" s="47">
        <v>4</v>
      </c>
      <c r="N26" s="50">
        <f t="shared" si="72"/>
        <v>1</v>
      </c>
      <c r="O26" s="60">
        <v>38.15</v>
      </c>
      <c r="P26" s="47">
        <v>0.8</v>
      </c>
      <c r="Q26" s="51">
        <f t="shared" si="73"/>
        <v>0.16666666666666669</v>
      </c>
      <c r="R26" s="47">
        <f t="shared" si="74"/>
        <v>0</v>
      </c>
      <c r="S26" s="52">
        <v>22.19477921875</v>
      </c>
      <c r="T26" s="53">
        <v>86.727485139998777</v>
      </c>
      <c r="U26" s="47">
        <v>4</v>
      </c>
      <c r="V26" s="50">
        <f t="shared" si="75"/>
        <v>1</v>
      </c>
      <c r="W26" s="60">
        <f>(50+32+45+39)/4</f>
        <v>41.5</v>
      </c>
      <c r="X26" s="47">
        <v>0</v>
      </c>
      <c r="Y26" s="51">
        <f t="shared" si="76"/>
        <v>0</v>
      </c>
      <c r="Z26" s="47">
        <f t="shared" si="77"/>
        <v>0</v>
      </c>
      <c r="AA26" s="52">
        <v>37.856689218749999</v>
      </c>
      <c r="AB26" s="53">
        <v>86.56999438356209</v>
      </c>
      <c r="AC26" s="47">
        <v>4</v>
      </c>
      <c r="AD26" s="50">
        <f t="shared" si="78"/>
        <v>1</v>
      </c>
      <c r="AE26" s="60">
        <f>(130+90+239+117)/4</f>
        <v>144</v>
      </c>
      <c r="AF26" s="47">
        <v>7</v>
      </c>
      <c r="AG26" s="51">
        <f t="shared" si="79"/>
        <v>0.63636363636363635</v>
      </c>
      <c r="AH26" s="47">
        <f t="shared" si="80"/>
        <v>0</v>
      </c>
      <c r="AI26" s="52">
        <v>25.588236406250001</v>
      </c>
      <c r="AJ26" s="53">
        <v>86.728869392313712</v>
      </c>
      <c r="AK26" s="47">
        <v>4</v>
      </c>
      <c r="AL26" s="50">
        <f t="shared" si="81"/>
        <v>1</v>
      </c>
      <c r="AM26" s="60">
        <f>(87+68+91+64)/4</f>
        <v>77.5</v>
      </c>
      <c r="AN26" s="47">
        <v>2</v>
      </c>
      <c r="AO26" s="51">
        <f t="shared" si="82"/>
        <v>0.33333333333333331</v>
      </c>
      <c r="AP26" s="47">
        <f t="shared" si="83"/>
        <v>0</v>
      </c>
      <c r="AQ26" s="52">
        <v>31.727257343750001</v>
      </c>
      <c r="AR26" s="53">
        <v>86.557771551640741</v>
      </c>
      <c r="AS26" s="47">
        <v>4</v>
      </c>
      <c r="AT26" s="50">
        <f t="shared" si="84"/>
        <v>1</v>
      </c>
      <c r="AU26" s="60">
        <f>(104+58+96+64)/4</f>
        <v>80.5</v>
      </c>
      <c r="AV26" s="47">
        <v>5</v>
      </c>
      <c r="AW26" s="51">
        <f t="shared" si="85"/>
        <v>0.55555555555555558</v>
      </c>
      <c r="AX26" s="47">
        <f t="shared" si="86"/>
        <v>0</v>
      </c>
    </row>
    <row r="27" spans="1:50" ht="14.4" thickBot="1" x14ac:dyDescent="0.3">
      <c r="A27" s="47" t="s">
        <v>30</v>
      </c>
      <c r="B27" s="47" t="s">
        <v>26</v>
      </c>
      <c r="C27" s="52">
        <v>22.466317656249998</v>
      </c>
      <c r="D27" s="53">
        <v>86.998110758324003</v>
      </c>
      <c r="E27" s="47">
        <v>4</v>
      </c>
      <c r="F27" s="50">
        <f t="shared" si="69"/>
        <v>1</v>
      </c>
      <c r="G27" s="60">
        <f>(40+39+28+48)/4</f>
        <v>38.75</v>
      </c>
      <c r="H27" s="47">
        <v>0</v>
      </c>
      <c r="I27" s="51">
        <f t="shared" si="70"/>
        <v>0</v>
      </c>
      <c r="J27" s="47">
        <f t="shared" si="71"/>
        <v>0</v>
      </c>
      <c r="K27" s="52">
        <v>25.838703718750004</v>
      </c>
      <c r="L27" s="53">
        <v>86.999702218834813</v>
      </c>
      <c r="M27" s="47">
        <v>4</v>
      </c>
      <c r="N27" s="50">
        <f t="shared" si="72"/>
        <v>1</v>
      </c>
      <c r="O27" s="60">
        <v>38.35</v>
      </c>
      <c r="P27" s="47">
        <v>0</v>
      </c>
      <c r="Q27" s="51">
        <f t="shared" si="73"/>
        <v>0</v>
      </c>
      <c r="R27" s="47">
        <f t="shared" si="74"/>
        <v>0</v>
      </c>
      <c r="S27" s="52">
        <v>26.086043281249999</v>
      </c>
      <c r="T27" s="53">
        <v>86.968330767370617</v>
      </c>
      <c r="U27" s="47">
        <v>4</v>
      </c>
      <c r="V27" s="50">
        <f t="shared" si="75"/>
        <v>1</v>
      </c>
      <c r="W27" s="60">
        <f>(41+41+34+50)/4</f>
        <v>41.5</v>
      </c>
      <c r="X27" s="47">
        <v>0</v>
      </c>
      <c r="Y27" s="51">
        <f t="shared" si="76"/>
        <v>0</v>
      </c>
      <c r="Z27" s="47">
        <f t="shared" si="77"/>
        <v>0</v>
      </c>
      <c r="AA27" s="52">
        <v>37.548384218750002</v>
      </c>
      <c r="AB27" s="53">
        <v>86.562488070455046</v>
      </c>
      <c r="AC27" s="47">
        <v>4</v>
      </c>
      <c r="AD27" s="50">
        <f t="shared" si="78"/>
        <v>1</v>
      </c>
      <c r="AE27" s="60">
        <f>(143+143+139+149)/4</f>
        <v>143.5</v>
      </c>
      <c r="AF27" s="47">
        <v>0</v>
      </c>
      <c r="AG27" s="51">
        <f t="shared" si="79"/>
        <v>0</v>
      </c>
      <c r="AH27" s="47">
        <f t="shared" si="80"/>
        <v>0</v>
      </c>
      <c r="AI27" s="52">
        <v>27.100312656250001</v>
      </c>
      <c r="AJ27" s="53">
        <v>86.739067108564782</v>
      </c>
      <c r="AK27" s="47">
        <v>4</v>
      </c>
      <c r="AL27" s="50">
        <f t="shared" si="81"/>
        <v>1</v>
      </c>
      <c r="AM27" s="60">
        <f>(82+85+85+88)/4</f>
        <v>85</v>
      </c>
      <c r="AN27" s="47">
        <v>0</v>
      </c>
      <c r="AO27" s="51">
        <f t="shared" si="82"/>
        <v>0</v>
      </c>
      <c r="AP27" s="47">
        <f t="shared" si="83"/>
        <v>0</v>
      </c>
      <c r="AQ27" s="52">
        <v>33.263567187500001</v>
      </c>
      <c r="AR27" s="53">
        <v>86.809502415253704</v>
      </c>
      <c r="AS27" s="47">
        <v>4</v>
      </c>
      <c r="AT27" s="50">
        <f t="shared" si="84"/>
        <v>1</v>
      </c>
      <c r="AU27" s="60">
        <f>(92+94+85+104)/4</f>
        <v>93.75</v>
      </c>
      <c r="AV27" s="47">
        <v>1</v>
      </c>
      <c r="AW27" s="51">
        <f t="shared" si="85"/>
        <v>0.2</v>
      </c>
      <c r="AX27" s="47">
        <f t="shared" si="86"/>
        <v>0</v>
      </c>
    </row>
    <row r="28" spans="1:50" ht="14.4" thickBot="1" x14ac:dyDescent="0.3">
      <c r="A28" s="47" t="s">
        <v>31</v>
      </c>
      <c r="B28" s="47" t="s">
        <v>26</v>
      </c>
      <c r="C28" s="54">
        <v>22.6996634375</v>
      </c>
      <c r="D28" s="55">
        <v>87.05518643997884</v>
      </c>
      <c r="E28" s="56">
        <v>4</v>
      </c>
      <c r="F28" s="50">
        <f t="shared" si="69"/>
        <v>1</v>
      </c>
      <c r="G28" s="62">
        <f>(44+45+41+51)/4</f>
        <v>45.25</v>
      </c>
      <c r="H28" s="56">
        <v>0</v>
      </c>
      <c r="I28" s="51">
        <f t="shared" si="70"/>
        <v>0</v>
      </c>
      <c r="J28" s="47">
        <f t="shared" si="71"/>
        <v>0</v>
      </c>
      <c r="K28" s="54">
        <v>24.850873312499996</v>
      </c>
      <c r="L28" s="55">
        <v>87.051030232085026</v>
      </c>
      <c r="M28" s="56">
        <v>4</v>
      </c>
      <c r="N28" s="50">
        <f t="shared" si="72"/>
        <v>1</v>
      </c>
      <c r="O28" s="62">
        <v>44.8</v>
      </c>
      <c r="P28" s="56">
        <v>0</v>
      </c>
      <c r="Q28" s="51">
        <f t="shared" si="73"/>
        <v>0</v>
      </c>
      <c r="R28" s="47">
        <f t="shared" si="74"/>
        <v>0</v>
      </c>
      <c r="S28" s="54">
        <v>22.301504062500001</v>
      </c>
      <c r="T28" s="55">
        <v>87.074372657468729</v>
      </c>
      <c r="U28" s="56">
        <v>4</v>
      </c>
      <c r="V28" s="50">
        <f t="shared" si="75"/>
        <v>1</v>
      </c>
      <c r="W28" s="62">
        <f>(45+47+44+55)/4</f>
        <v>47.75</v>
      </c>
      <c r="X28" s="56">
        <v>0</v>
      </c>
      <c r="Y28" s="51">
        <f t="shared" si="76"/>
        <v>0</v>
      </c>
      <c r="Z28" s="47">
        <f t="shared" si="77"/>
        <v>0</v>
      </c>
      <c r="AA28" s="54">
        <v>36.631788593750002</v>
      </c>
      <c r="AB28" s="55">
        <v>86.200342895335012</v>
      </c>
      <c r="AC28" s="56">
        <v>3</v>
      </c>
      <c r="AD28" s="50">
        <f t="shared" si="78"/>
        <v>0.75</v>
      </c>
      <c r="AE28" s="62">
        <f>(215+145+152)/3</f>
        <v>170.66666666666666</v>
      </c>
      <c r="AF28" s="56">
        <v>3</v>
      </c>
      <c r="AG28" s="51">
        <f t="shared" si="79"/>
        <v>0.5</v>
      </c>
      <c r="AH28" s="47">
        <f t="shared" si="80"/>
        <v>0.25</v>
      </c>
      <c r="AI28" s="54">
        <v>28.500775937499998</v>
      </c>
      <c r="AJ28" s="55">
        <v>86.844409617858432</v>
      </c>
      <c r="AK28" s="56">
        <v>4</v>
      </c>
      <c r="AL28" s="50">
        <f t="shared" si="81"/>
        <v>1</v>
      </c>
      <c r="AM28" s="62">
        <f>(83+94+87+97)/4</f>
        <v>90.25</v>
      </c>
      <c r="AN28" s="56">
        <v>0</v>
      </c>
      <c r="AO28" s="51">
        <f t="shared" si="82"/>
        <v>0</v>
      </c>
      <c r="AP28" s="47">
        <f t="shared" si="83"/>
        <v>0</v>
      </c>
      <c r="AQ28" s="54">
        <v>28.770144531250001</v>
      </c>
      <c r="AR28" s="55">
        <v>86.217306458211851</v>
      </c>
      <c r="AS28" s="56">
        <v>4</v>
      </c>
      <c r="AT28" s="50">
        <f t="shared" si="84"/>
        <v>1</v>
      </c>
      <c r="AU28" s="62">
        <f>(120+102+103+109)/4</f>
        <v>108.5</v>
      </c>
      <c r="AV28" s="56">
        <v>9</v>
      </c>
      <c r="AW28" s="51">
        <f t="shared" si="85"/>
        <v>0.69230769230769229</v>
      </c>
      <c r="AX28" s="47">
        <f t="shared" si="86"/>
        <v>0</v>
      </c>
    </row>
    <row r="29" spans="1:50" x14ac:dyDescent="0.25">
      <c r="A29" s="47"/>
      <c r="B29" s="47"/>
      <c r="C29" s="47">
        <f>AVERAGE(C24:C28)</f>
        <v>22.84442253125</v>
      </c>
      <c r="D29" s="47">
        <f t="shared" ref="D29:I29" si="87">AVERAGE(D24:D28)</f>
        <v>86.858323133841367</v>
      </c>
      <c r="E29" s="47">
        <f t="shared" si="87"/>
        <v>4</v>
      </c>
      <c r="F29" s="47">
        <f t="shared" si="87"/>
        <v>1</v>
      </c>
      <c r="G29" s="60">
        <f t="shared" si="87"/>
        <v>41.95</v>
      </c>
      <c r="H29" s="47">
        <f t="shared" si="87"/>
        <v>0.2</v>
      </c>
      <c r="I29" s="47">
        <f t="shared" si="87"/>
        <v>0.04</v>
      </c>
      <c r="J29" s="47">
        <f>AVERAGE(J24:J28)</f>
        <v>0</v>
      </c>
      <c r="K29" s="47">
        <v>25.2825781875</v>
      </c>
      <c r="L29" s="47">
        <v>86.862175083818173</v>
      </c>
      <c r="M29" s="47">
        <v>4</v>
      </c>
      <c r="N29" s="47">
        <v>1</v>
      </c>
      <c r="O29" s="60">
        <v>41.179999999999993</v>
      </c>
      <c r="P29" s="47">
        <v>0.16</v>
      </c>
      <c r="Q29" s="47">
        <v>3.333333333333334E-2</v>
      </c>
      <c r="R29" s="47">
        <f>AVERAGE(R24:R28)</f>
        <v>0</v>
      </c>
      <c r="S29" s="47">
        <f>AVERAGE(S24:S28)</f>
        <v>23.807381499999998</v>
      </c>
      <c r="T29" s="47">
        <f t="shared" ref="T29:Y29" si="88">AVERAGE(T24:T28)</f>
        <v>86.812030114702637</v>
      </c>
      <c r="U29" s="47">
        <f t="shared" si="88"/>
        <v>4</v>
      </c>
      <c r="V29" s="47">
        <f t="shared" si="88"/>
        <v>1</v>
      </c>
      <c r="W29" s="60">
        <f t="shared" si="88"/>
        <v>44.1</v>
      </c>
      <c r="X29" s="47">
        <f t="shared" si="88"/>
        <v>0</v>
      </c>
      <c r="Y29" s="47">
        <f t="shared" si="88"/>
        <v>0</v>
      </c>
      <c r="Z29" s="47">
        <f>AVERAGE(Z24:Z28)</f>
        <v>0</v>
      </c>
      <c r="AA29" s="47">
        <f>AVERAGE(AA24:AA28)</f>
        <v>38.482835999999999</v>
      </c>
      <c r="AB29" s="47">
        <f t="shared" ref="AB29:AG29" si="89">AVERAGE(AB24:AB28)</f>
        <v>86.426721557659818</v>
      </c>
      <c r="AC29" s="47">
        <f t="shared" si="89"/>
        <v>3.6</v>
      </c>
      <c r="AD29" s="47">
        <f t="shared" si="89"/>
        <v>0.9</v>
      </c>
      <c r="AE29" s="60">
        <f t="shared" si="89"/>
        <v>150.68333333333334</v>
      </c>
      <c r="AF29" s="47">
        <f t="shared" si="89"/>
        <v>2.4</v>
      </c>
      <c r="AG29" s="47">
        <f t="shared" si="89"/>
        <v>0.31727272727272726</v>
      </c>
      <c r="AH29" s="47">
        <f>AVERAGE(AH24:AH28)</f>
        <v>0.1</v>
      </c>
      <c r="AI29" s="47">
        <f>AVERAGE(AI24:AI28)</f>
        <v>28.032347968750003</v>
      </c>
      <c r="AJ29" s="47">
        <f t="shared" ref="AJ29:AO29" si="90">AVERAGE(AJ24:AJ28)</f>
        <v>86.683127228889191</v>
      </c>
      <c r="AK29" s="47">
        <f t="shared" si="90"/>
        <v>4</v>
      </c>
      <c r="AL29" s="47">
        <f t="shared" si="90"/>
        <v>1</v>
      </c>
      <c r="AM29" s="60">
        <f t="shared" si="90"/>
        <v>86.7</v>
      </c>
      <c r="AN29" s="47">
        <f t="shared" si="90"/>
        <v>0.4</v>
      </c>
      <c r="AO29" s="47">
        <f t="shared" si="90"/>
        <v>6.6666666666666666E-2</v>
      </c>
      <c r="AP29" s="47">
        <f>AVERAGE(AP24:AP28)</f>
        <v>0</v>
      </c>
      <c r="AQ29" s="47">
        <f>AVERAGE(AQ24:AQ28)</f>
        <v>32.069829112045127</v>
      </c>
      <c r="AR29" s="47">
        <f t="shared" ref="AR29:AW29" si="91">AVERAGE(AR24:AR28)</f>
        <v>86.5226548943713</v>
      </c>
      <c r="AS29" s="47">
        <f t="shared" si="91"/>
        <v>4</v>
      </c>
      <c r="AT29" s="47">
        <f t="shared" si="91"/>
        <v>1</v>
      </c>
      <c r="AU29" s="60">
        <f t="shared" si="91"/>
        <v>97.6</v>
      </c>
      <c r="AV29" s="47">
        <f t="shared" si="91"/>
        <v>3.4</v>
      </c>
      <c r="AW29" s="47">
        <f t="shared" si="91"/>
        <v>0.35623931623931621</v>
      </c>
      <c r="AX29" s="47">
        <f>AVERAGE(AX24:AX28)</f>
        <v>0</v>
      </c>
    </row>
    <row r="30" spans="1:50" x14ac:dyDescent="0.25">
      <c r="A30" s="47"/>
      <c r="B30" s="47"/>
      <c r="C30" s="47">
        <f>AVERAGE(C8,C15,C22,C29)</f>
        <v>27.289890414062501</v>
      </c>
      <c r="D30" s="47">
        <f t="shared" ref="D30:I30" si="92">AVERAGE(D8,D15,D22,D29)</f>
        <v>86.497505584724763</v>
      </c>
      <c r="E30" s="47">
        <f t="shared" si="92"/>
        <v>3.5</v>
      </c>
      <c r="F30" s="47">
        <f t="shared" si="92"/>
        <v>1</v>
      </c>
      <c r="G30" s="60">
        <f t="shared" si="92"/>
        <v>121.175</v>
      </c>
      <c r="H30" s="47">
        <f t="shared" si="92"/>
        <v>0.3</v>
      </c>
      <c r="I30" s="47">
        <f t="shared" si="92"/>
        <v>5.6666666666666671E-2</v>
      </c>
      <c r="J30" s="47">
        <f>AVERAGE(J8,J15,J22,J29)</f>
        <v>0</v>
      </c>
      <c r="K30" s="47">
        <v>29.409576096875</v>
      </c>
      <c r="L30" s="47">
        <v>86.491829006397055</v>
      </c>
      <c r="M30" s="47">
        <v>3.5</v>
      </c>
      <c r="N30" s="47">
        <v>1</v>
      </c>
      <c r="O30" s="60">
        <v>109.19583333333334</v>
      </c>
      <c r="P30" s="47">
        <v>0.38999999999999996</v>
      </c>
      <c r="Q30" s="47">
        <v>6.5592020592020586E-2</v>
      </c>
      <c r="R30" s="47">
        <f>AVERAGE(R8,R15,R22,R29)</f>
        <v>0</v>
      </c>
      <c r="S30" s="47">
        <f>AVERAGE(S8,S15,S22,S29)</f>
        <v>26.745070226562497</v>
      </c>
      <c r="T30" s="47">
        <f t="shared" ref="T30:Y30" si="93">AVERAGE(T8,T15,T22,T29)</f>
        <v>86.483734425167555</v>
      </c>
      <c r="U30" s="47">
        <f t="shared" si="93"/>
        <v>3.5</v>
      </c>
      <c r="V30" s="47">
        <f t="shared" si="93"/>
        <v>1</v>
      </c>
      <c r="W30" s="60">
        <f t="shared" si="93"/>
        <v>130.21250000000001</v>
      </c>
      <c r="X30" s="47">
        <f t="shared" si="93"/>
        <v>0.1</v>
      </c>
      <c r="Y30" s="47">
        <f t="shared" si="93"/>
        <v>0.02</v>
      </c>
      <c r="Z30" s="47">
        <f>AVERAGE(Z8,Z15,Z22,Z29)</f>
        <v>0</v>
      </c>
      <c r="AA30" s="47">
        <f>AVERAGE(AA8,AA15,AA22,AA29)</f>
        <v>41.888442921875004</v>
      </c>
      <c r="AB30" s="47">
        <f t="shared" ref="AB30:AG30" si="94">AVERAGE(AB8,AB15,AB22,AB29)</f>
        <v>86.214950536167947</v>
      </c>
      <c r="AC30" s="47">
        <f t="shared" si="94"/>
        <v>3.1</v>
      </c>
      <c r="AD30" s="47">
        <f t="shared" si="94"/>
        <v>0.89583333333333326</v>
      </c>
      <c r="AE30" s="60">
        <f t="shared" si="94"/>
        <v>296.98750000000001</v>
      </c>
      <c r="AF30" s="47">
        <f t="shared" si="94"/>
        <v>1.1499999999999999</v>
      </c>
      <c r="AG30" s="47">
        <f t="shared" si="94"/>
        <v>0.20598484848484847</v>
      </c>
      <c r="AH30" s="47">
        <f>AVERAGE(AH8,AH15,AH22,AH29)</f>
        <v>0.10416666666666666</v>
      </c>
      <c r="AI30" s="47">
        <f>AVERAGE(AI8,AI15,AI22,AI29)</f>
        <v>31.296744390625001</v>
      </c>
      <c r="AJ30" s="47">
        <f t="shared" ref="AJ30:AO30" si="95">AVERAGE(AJ8,AJ15,AJ22,AJ29)</f>
        <v>86.409215840627141</v>
      </c>
      <c r="AK30" s="47">
        <f t="shared" si="95"/>
        <v>3.5</v>
      </c>
      <c r="AL30" s="47">
        <f t="shared" si="95"/>
        <v>1</v>
      </c>
      <c r="AM30" s="60">
        <f t="shared" si="95"/>
        <v>174.27083333333337</v>
      </c>
      <c r="AN30" s="47">
        <f t="shared" si="95"/>
        <v>0.2</v>
      </c>
      <c r="AO30" s="47">
        <f t="shared" si="95"/>
        <v>3.6666666666666667E-2</v>
      </c>
      <c r="AP30" s="47">
        <f>AVERAGE(AP8,AP15,AP22,AP29)</f>
        <v>0</v>
      </c>
      <c r="AQ30" s="47">
        <f>AVERAGE(AQ8,AQ15,AQ22,AQ29)</f>
        <v>35.78729605926128</v>
      </c>
      <c r="AR30" s="47">
        <f t="shared" ref="AR30:AW30" si="96">AVERAGE(AR8,AR15,AR22,AR29)</f>
        <v>86.338933942598004</v>
      </c>
      <c r="AS30" s="47">
        <f t="shared" si="96"/>
        <v>3.5</v>
      </c>
      <c r="AT30" s="47">
        <f t="shared" si="96"/>
        <v>1</v>
      </c>
      <c r="AU30" s="60">
        <f t="shared" si="96"/>
        <v>204.03750000000002</v>
      </c>
      <c r="AV30" s="47">
        <f t="shared" si="96"/>
        <v>2.25</v>
      </c>
      <c r="AW30" s="47">
        <f t="shared" si="96"/>
        <v>0.25025030525030523</v>
      </c>
      <c r="AX30" s="47">
        <f>AVERAGE(AX8,AX15,AX22,AX29)</f>
        <v>0</v>
      </c>
    </row>
    <row r="31" spans="1:50" ht="14.4" thickBot="1" x14ac:dyDescent="0.3">
      <c r="A31" s="47"/>
      <c r="B31" s="47"/>
      <c r="C31" s="47" t="s">
        <v>2</v>
      </c>
      <c r="D31" s="47" t="s">
        <v>7</v>
      </c>
      <c r="E31" s="47" t="s">
        <v>37</v>
      </c>
      <c r="F31" s="47"/>
      <c r="G31" s="60"/>
      <c r="H31" s="47"/>
      <c r="I31" s="47"/>
      <c r="K31" s="47" t="s">
        <v>2</v>
      </c>
      <c r="L31" s="47" t="s">
        <v>7</v>
      </c>
      <c r="M31" s="47" t="s">
        <v>37</v>
      </c>
      <c r="N31" s="47"/>
      <c r="O31" s="60"/>
      <c r="P31" s="47"/>
      <c r="Q31" s="47"/>
      <c r="S31" s="47" t="s">
        <v>2</v>
      </c>
      <c r="T31" s="47" t="s">
        <v>7</v>
      </c>
      <c r="U31" s="47" t="s">
        <v>37</v>
      </c>
      <c r="V31" s="47"/>
      <c r="W31" s="60"/>
      <c r="X31" s="47"/>
      <c r="Y31" s="47"/>
      <c r="AA31" s="47" t="s">
        <v>2</v>
      </c>
      <c r="AB31" s="47" t="s">
        <v>7</v>
      </c>
      <c r="AC31" s="47" t="s">
        <v>37</v>
      </c>
      <c r="AD31" s="47"/>
      <c r="AE31" s="60"/>
      <c r="AF31" s="47"/>
      <c r="AG31" s="47"/>
      <c r="AI31" s="47" t="s">
        <v>2</v>
      </c>
      <c r="AJ31" s="47" t="s">
        <v>7</v>
      </c>
      <c r="AK31" s="47" t="s">
        <v>37</v>
      </c>
      <c r="AL31" s="47"/>
      <c r="AM31" s="60"/>
      <c r="AN31" s="47"/>
      <c r="AO31" s="47"/>
      <c r="AQ31" s="47" t="s">
        <v>2</v>
      </c>
      <c r="AR31" s="47" t="s">
        <v>7</v>
      </c>
      <c r="AS31" s="47" t="s">
        <v>37</v>
      </c>
      <c r="AT31" s="47"/>
      <c r="AU31" s="60"/>
      <c r="AV31" s="47"/>
      <c r="AW31" s="47"/>
    </row>
    <row r="32" spans="1:50" x14ac:dyDescent="0.25">
      <c r="A32" s="47" t="s">
        <v>32</v>
      </c>
      <c r="B32" s="47"/>
      <c r="C32" s="48">
        <v>8.602480765665554</v>
      </c>
      <c r="D32" s="49">
        <v>67.103127714942474</v>
      </c>
      <c r="E32" s="57">
        <v>9.6403411197626993E-2</v>
      </c>
      <c r="F32" s="47"/>
      <c r="G32" s="60"/>
      <c r="H32" s="47"/>
      <c r="I32" s="47"/>
      <c r="K32" s="48">
        <v>9.1624107804968489</v>
      </c>
      <c r="L32" s="49">
        <v>67.048000517657982</v>
      </c>
      <c r="M32" s="57">
        <v>0.10470893585465332</v>
      </c>
      <c r="N32" s="47"/>
      <c r="O32" s="60"/>
      <c r="P32" s="47"/>
      <c r="Q32" s="47"/>
      <c r="S32" s="48">
        <v>11.909494345569151</v>
      </c>
      <c r="T32" s="49">
        <v>67.130500492347565</v>
      </c>
      <c r="U32" s="57">
        <v>7.0077864293659628E-2</v>
      </c>
      <c r="V32" s="47"/>
      <c r="W32" s="60"/>
      <c r="X32" s="47"/>
      <c r="Y32" s="47"/>
      <c r="AA32" s="48">
        <v>172.87683653133112</v>
      </c>
      <c r="AB32" s="49">
        <v>66.415329937538758</v>
      </c>
      <c r="AC32" s="57">
        <v>5.1909529106414533E-3</v>
      </c>
      <c r="AD32" s="47"/>
      <c r="AE32" s="60"/>
      <c r="AF32" s="47"/>
      <c r="AG32" s="47"/>
      <c r="AI32" s="48">
        <v>47.174470476455319</v>
      </c>
      <c r="AJ32" s="49">
        <v>66.636465817137761</v>
      </c>
      <c r="AK32" s="57">
        <v>2.3359288097886542E-2</v>
      </c>
      <c r="AL32" s="47"/>
      <c r="AM32" s="60"/>
      <c r="AN32" s="47"/>
      <c r="AO32" s="47"/>
      <c r="AQ32" s="48">
        <v>34.33636332035595</v>
      </c>
      <c r="AR32" s="49">
        <v>67.049296925913339</v>
      </c>
      <c r="AS32" s="57">
        <v>3.8932146829810901E-2</v>
      </c>
      <c r="AT32" s="47"/>
      <c r="AU32" s="60"/>
      <c r="AV32" s="47"/>
      <c r="AW32" s="47"/>
    </row>
    <row r="33" spans="1:55" x14ac:dyDescent="0.25">
      <c r="A33" s="47" t="s">
        <v>34</v>
      </c>
      <c r="B33" s="47"/>
      <c r="C33" s="52">
        <v>8.6526367859600821</v>
      </c>
      <c r="D33" s="53">
        <v>84.114118396974732</v>
      </c>
      <c r="E33" s="58">
        <v>0.5227116311080523</v>
      </c>
      <c r="F33" s="47"/>
      <c r="G33" s="60"/>
      <c r="H33" s="47"/>
      <c r="I33" s="47"/>
      <c r="K33" s="52">
        <v>9.4847277185134207</v>
      </c>
      <c r="L33" s="53">
        <v>84.195867021346245</v>
      </c>
      <c r="M33" s="58">
        <v>0.5455609084652443</v>
      </c>
      <c r="N33" s="47"/>
      <c r="O33" s="60"/>
      <c r="P33" s="47"/>
      <c r="Q33" s="47"/>
      <c r="S33" s="52">
        <v>8.1816930488644193</v>
      </c>
      <c r="T33" s="53">
        <v>83.981268745880698</v>
      </c>
      <c r="U33" s="58">
        <v>0.47453544390915348</v>
      </c>
      <c r="V33" s="47"/>
      <c r="W33" s="60"/>
      <c r="X33" s="47"/>
      <c r="Y33" s="47"/>
      <c r="AA33" s="52">
        <v>16.818586545079146</v>
      </c>
      <c r="AB33" s="53">
        <v>87.224193147666938</v>
      </c>
      <c r="AC33" s="58">
        <v>1.4800412938747418</v>
      </c>
      <c r="AD33" s="47"/>
      <c r="AE33" s="60"/>
      <c r="AF33" s="47"/>
      <c r="AG33" s="47"/>
      <c r="AI33" s="52">
        <v>9.6492440209910537</v>
      </c>
      <c r="AJ33" s="53">
        <v>83.037312843641203</v>
      </c>
      <c r="AK33" s="58">
        <v>7.7770130763936685E-2</v>
      </c>
      <c r="AL33" s="47"/>
      <c r="AM33" s="60"/>
      <c r="AN33" s="47"/>
      <c r="AO33" s="47"/>
      <c r="AQ33" s="52">
        <v>12.026824888162423</v>
      </c>
      <c r="AR33" s="53">
        <v>85.813349469305706</v>
      </c>
      <c r="AS33" s="58">
        <v>0.91913282863041978</v>
      </c>
      <c r="AT33" s="47"/>
      <c r="AU33" s="60"/>
      <c r="AV33" s="47"/>
      <c r="AW33" s="47"/>
    </row>
    <row r="34" spans="1:55" x14ac:dyDescent="0.25">
      <c r="A34" s="47" t="s">
        <v>35</v>
      </c>
      <c r="B34" s="47"/>
      <c r="C34" s="52">
        <v>0.57523403083700442</v>
      </c>
      <c r="D34" s="53">
        <v>86.12051321753421</v>
      </c>
      <c r="E34" s="58">
        <v>0.33480176211453744</v>
      </c>
      <c r="F34" s="47"/>
      <c r="G34" s="60"/>
      <c r="H34" s="47"/>
      <c r="I34" s="47"/>
      <c r="K34" s="52">
        <v>0.59596640969162995</v>
      </c>
      <c r="L34" s="53">
        <v>86.221921477145401</v>
      </c>
      <c r="M34" s="58">
        <v>0.34361233480176212</v>
      </c>
      <c r="N34" s="47"/>
      <c r="O34" s="60"/>
      <c r="P34" s="47"/>
      <c r="Q34" s="47"/>
      <c r="S34" s="52">
        <v>0.52856552863436124</v>
      </c>
      <c r="T34" s="53">
        <v>86.197625823045016</v>
      </c>
      <c r="U34" s="58">
        <v>0.27312775330396477</v>
      </c>
      <c r="V34" s="47"/>
      <c r="W34" s="60"/>
      <c r="X34" s="47"/>
      <c r="Y34" s="47"/>
      <c r="AA34" s="52">
        <v>0.92517896475770922</v>
      </c>
      <c r="AB34" s="53">
        <v>86.70859115842012</v>
      </c>
      <c r="AC34" s="58">
        <v>0.74449339207048459</v>
      </c>
      <c r="AD34" s="47"/>
      <c r="AE34" s="60"/>
      <c r="AF34" s="47"/>
      <c r="AG34" s="47"/>
      <c r="AI34" s="52">
        <v>0.56890143171806162</v>
      </c>
      <c r="AJ34" s="53">
        <v>84.848483061736488</v>
      </c>
      <c r="AK34" s="58">
        <v>9.6916299559471369E-2</v>
      </c>
      <c r="AL34" s="47"/>
      <c r="AM34" s="60"/>
      <c r="AN34" s="47"/>
      <c r="AO34" s="47"/>
      <c r="AQ34" s="52">
        <v>0.77168226872246692</v>
      </c>
      <c r="AR34" s="53">
        <v>86.943865986264441</v>
      </c>
      <c r="AS34" s="58">
        <v>0.62995594713656389</v>
      </c>
      <c r="AT34" s="47"/>
      <c r="AU34" s="60"/>
      <c r="AV34" s="47"/>
      <c r="AW34" s="47"/>
    </row>
    <row r="35" spans="1:55" x14ac:dyDescent="0.25">
      <c r="A35" s="47" t="s">
        <v>33</v>
      </c>
      <c r="B35" s="47"/>
      <c r="C35" s="52">
        <v>3.7976926091150229</v>
      </c>
      <c r="D35" s="53">
        <v>77.06045386187364</v>
      </c>
      <c r="E35" s="58">
        <v>0.37714010127803232</v>
      </c>
      <c r="F35" s="47"/>
      <c r="G35" s="60"/>
      <c r="H35" s="47"/>
      <c r="I35" s="47"/>
      <c r="K35" s="52">
        <v>3.8049395647455997</v>
      </c>
      <c r="L35" s="53">
        <v>77.014857398818393</v>
      </c>
      <c r="M35" s="58">
        <v>0.38895587171449242</v>
      </c>
      <c r="N35" s="47"/>
      <c r="O35" s="60"/>
      <c r="P35" s="47"/>
      <c r="Q35" s="47"/>
      <c r="S35" s="52">
        <v>3.5356997528333736</v>
      </c>
      <c r="T35" s="53">
        <v>76.876102308793648</v>
      </c>
      <c r="U35" s="58">
        <v>0.35085604051121294</v>
      </c>
      <c r="V35" s="47"/>
      <c r="W35" s="60"/>
      <c r="X35" s="47"/>
      <c r="Y35" s="47"/>
      <c r="AA35" s="52">
        <v>8.2037391487822529</v>
      </c>
      <c r="AB35" s="53">
        <v>73.684125085598453</v>
      </c>
      <c r="AC35" s="58">
        <v>0.25223052809259705</v>
      </c>
      <c r="AD35" s="47"/>
      <c r="AE35" s="60"/>
      <c r="AF35" s="47"/>
      <c r="AG35" s="47"/>
      <c r="AI35" s="52">
        <v>3.5632723957077403</v>
      </c>
      <c r="AJ35" s="53">
        <v>73.771369681584716</v>
      </c>
      <c r="AK35" s="58">
        <v>0.1487822522305281</v>
      </c>
      <c r="AL35" s="47"/>
      <c r="AM35" s="60"/>
      <c r="AN35" s="47"/>
      <c r="AO35" s="47"/>
      <c r="AQ35" s="52">
        <v>5.5017407161803717</v>
      </c>
      <c r="AR35" s="53">
        <v>77.397804200794695</v>
      </c>
      <c r="AS35" s="58">
        <v>0.60573908849770919</v>
      </c>
      <c r="AT35" s="47"/>
      <c r="AU35" s="60"/>
      <c r="AV35" s="47"/>
      <c r="AW35" s="47"/>
    </row>
    <row r="36" spans="1:55" ht="14.4" thickBot="1" x14ac:dyDescent="0.3">
      <c r="A36" s="47" t="s">
        <v>36</v>
      </c>
      <c r="B36" s="47"/>
      <c r="C36" s="54">
        <v>1.4720744680851063</v>
      </c>
      <c r="D36" s="55">
        <v>90.677268444631039</v>
      </c>
      <c r="E36" s="59">
        <v>6.3829787234042548E-2</v>
      </c>
      <c r="F36" s="47"/>
      <c r="G36" s="60"/>
      <c r="H36" s="47"/>
      <c r="I36" s="47"/>
      <c r="K36" s="54">
        <v>1.5083111702127661</v>
      </c>
      <c r="L36" s="55">
        <v>90.499405831100717</v>
      </c>
      <c r="M36" s="59">
        <v>6.9148936170212755E-2</v>
      </c>
      <c r="N36" s="47"/>
      <c r="O36" s="60"/>
      <c r="P36" s="47"/>
      <c r="Q36" s="47"/>
      <c r="S36" s="54">
        <v>1.4827127659574468</v>
      </c>
      <c r="T36" s="55">
        <v>90.464108433539408</v>
      </c>
      <c r="U36" s="59">
        <v>4.2553191489361701E-2</v>
      </c>
      <c r="V36" s="47"/>
      <c r="W36" s="60"/>
      <c r="X36" s="47"/>
      <c r="Y36" s="47"/>
      <c r="AA36" s="54">
        <v>2.1688829787234041</v>
      </c>
      <c r="AB36" s="55">
        <v>90.892448106559058</v>
      </c>
      <c r="AC36" s="59">
        <v>0.85106382978723405</v>
      </c>
      <c r="AD36" s="47"/>
      <c r="AE36" s="60"/>
      <c r="AF36" s="47"/>
      <c r="AG36" s="47"/>
      <c r="AI36" s="54">
        <v>1.6585771276595744</v>
      </c>
      <c r="AJ36" s="55">
        <v>89.190804546187024</v>
      </c>
      <c r="AK36" s="59">
        <v>4.2553191489361701E-2</v>
      </c>
      <c r="AL36" s="47"/>
      <c r="AM36" s="60"/>
      <c r="AN36" s="47"/>
      <c r="AO36" s="47"/>
      <c r="AQ36" s="54">
        <v>1.9348404255319149</v>
      </c>
      <c r="AR36" s="55">
        <v>90.889135767292942</v>
      </c>
      <c r="AS36" s="59">
        <v>0.38297872340425532</v>
      </c>
      <c r="AT36" s="47"/>
      <c r="AU36" s="60"/>
      <c r="AV36" s="47"/>
      <c r="AW36" s="47"/>
    </row>
    <row r="37" spans="1:55" x14ac:dyDescent="0.25">
      <c r="A37" s="47"/>
      <c r="B37" s="47"/>
      <c r="C37" s="47">
        <f>AVERAGE(C32:C36)</f>
        <v>4.6200237319325543</v>
      </c>
      <c r="D37" s="47">
        <f t="shared" ref="D37:E37" si="97">AVERAGE(D32:D36)</f>
        <v>81.015096327191216</v>
      </c>
      <c r="E37" s="47">
        <f t="shared" si="97"/>
        <v>0.27897733858645835</v>
      </c>
      <c r="F37" s="47"/>
      <c r="G37" s="60"/>
      <c r="H37" s="47"/>
      <c r="I37" s="47"/>
      <c r="K37" s="47">
        <v>4.9112711287320527</v>
      </c>
      <c r="L37" s="47">
        <v>80.996010449213742</v>
      </c>
      <c r="M37" s="47">
        <v>0.29039739740127296</v>
      </c>
      <c r="N37" s="47"/>
      <c r="O37" s="60"/>
      <c r="P37" s="47"/>
      <c r="Q37" s="47"/>
      <c r="S37" s="47">
        <f>AVERAGE(S32:S36)</f>
        <v>5.1276330883717502</v>
      </c>
      <c r="T37" s="47">
        <f t="shared" ref="T37:U37" si="98">AVERAGE(T32:T36)</f>
        <v>80.929921160721264</v>
      </c>
      <c r="U37" s="47">
        <f t="shared" si="98"/>
        <v>0.24223005870147052</v>
      </c>
      <c r="V37" s="47"/>
      <c r="W37" s="60"/>
      <c r="X37" s="47"/>
      <c r="Y37" s="47"/>
      <c r="AA37" s="47">
        <f>AVERAGE(AA32:AA36)</f>
        <v>40.198644833734733</v>
      </c>
      <c r="AB37" s="47">
        <f t="shared" ref="AB37:AC37" si="99">AVERAGE(AB32:AB36)</f>
        <v>80.984937487156657</v>
      </c>
      <c r="AC37" s="47">
        <f t="shared" si="99"/>
        <v>0.66660399934713976</v>
      </c>
      <c r="AD37" s="47"/>
      <c r="AE37" s="60"/>
      <c r="AF37" s="47"/>
      <c r="AG37" s="47"/>
      <c r="AI37" s="47">
        <f>AVERAGE(AI32:AI36)</f>
        <v>12.522893090506351</v>
      </c>
      <c r="AJ37" s="47">
        <f t="shared" ref="AJ37:AK37" si="100">AVERAGE(AJ32:AJ36)</f>
        <v>79.496887190057436</v>
      </c>
      <c r="AK37" s="47">
        <f t="shared" si="100"/>
        <v>7.787623242823688E-2</v>
      </c>
      <c r="AL37" s="47"/>
      <c r="AM37" s="60"/>
      <c r="AN37" s="47"/>
      <c r="AO37" s="47"/>
      <c r="AQ37" s="47">
        <f>AVERAGE(AQ32:AQ36)</f>
        <v>10.914290323790626</v>
      </c>
      <c r="AR37" s="47">
        <f t="shared" ref="AR37:AS37" si="101">AVERAGE(AR32:AR36)</f>
        <v>81.618690469914213</v>
      </c>
      <c r="AS37" s="47">
        <f t="shared" si="101"/>
        <v>0.51534774689975182</v>
      </c>
      <c r="AT37" s="47"/>
      <c r="AU37" s="60"/>
      <c r="AV37" s="47"/>
      <c r="AW37" s="47"/>
    </row>
    <row r="38" spans="1:55" x14ac:dyDescent="0.25">
      <c r="AE38" s="29"/>
      <c r="AM38" s="29"/>
      <c r="BC38" s="29"/>
    </row>
    <row r="39" spans="1:55" x14ac:dyDescent="0.25">
      <c r="A39" s="47"/>
      <c r="B39" s="47"/>
      <c r="C39" s="72" t="s">
        <v>47</v>
      </c>
      <c r="D39" s="73"/>
      <c r="E39" s="73"/>
      <c r="F39" s="73"/>
      <c r="G39" s="73"/>
      <c r="H39" s="73"/>
      <c r="I39" s="74"/>
      <c r="K39" s="78" t="s">
        <v>40</v>
      </c>
      <c r="L39" s="78"/>
      <c r="M39" s="78"/>
      <c r="N39" s="78"/>
      <c r="O39" s="78"/>
      <c r="P39" s="78"/>
      <c r="Q39" s="78"/>
      <c r="R39" s="47"/>
      <c r="S39" s="78" t="s">
        <v>41</v>
      </c>
      <c r="T39" s="78"/>
      <c r="U39" s="78"/>
      <c r="V39" s="78"/>
      <c r="W39" s="78"/>
      <c r="X39" s="78"/>
      <c r="Y39" s="78"/>
      <c r="AA39" s="72" t="s">
        <v>44</v>
      </c>
      <c r="AB39" s="73"/>
      <c r="AC39" s="73"/>
      <c r="AD39" s="73"/>
      <c r="AE39" s="73"/>
      <c r="AF39" s="73"/>
      <c r="AG39" s="74"/>
      <c r="AM39" s="29"/>
      <c r="AU39" s="29"/>
      <c r="BC39" s="29"/>
    </row>
    <row r="40" spans="1:55" ht="14.4" thickBot="1" x14ac:dyDescent="0.3">
      <c r="A40" s="47" t="s">
        <v>0</v>
      </c>
      <c r="B40" s="47" t="s">
        <v>9</v>
      </c>
      <c r="C40" s="47" t="s">
        <v>2</v>
      </c>
      <c r="D40" s="47" t="s">
        <v>7</v>
      </c>
      <c r="E40" s="47" t="s">
        <v>3</v>
      </c>
      <c r="F40" s="47" t="s">
        <v>5</v>
      </c>
      <c r="G40" s="60" t="s">
        <v>8</v>
      </c>
      <c r="H40" s="47" t="s">
        <v>4</v>
      </c>
      <c r="I40" s="47" t="s">
        <v>6</v>
      </c>
      <c r="J40" s="47" t="s">
        <v>96</v>
      </c>
      <c r="K40" s="47" t="s">
        <v>2</v>
      </c>
      <c r="L40" s="47" t="s">
        <v>7</v>
      </c>
      <c r="M40" s="47" t="s">
        <v>3</v>
      </c>
      <c r="N40" s="47" t="s">
        <v>5</v>
      </c>
      <c r="O40" s="60" t="s">
        <v>8</v>
      </c>
      <c r="P40" s="47" t="s">
        <v>4</v>
      </c>
      <c r="Q40" s="47" t="s">
        <v>6</v>
      </c>
      <c r="R40" s="47" t="s">
        <v>96</v>
      </c>
      <c r="S40" s="47" t="s">
        <v>2</v>
      </c>
      <c r="T40" s="47" t="s">
        <v>7</v>
      </c>
      <c r="U40" s="47" t="s">
        <v>3</v>
      </c>
      <c r="V40" s="47" t="s">
        <v>5</v>
      </c>
      <c r="W40" s="60" t="s">
        <v>8</v>
      </c>
      <c r="X40" s="47" t="s">
        <v>4</v>
      </c>
      <c r="Y40" s="47" t="s">
        <v>6</v>
      </c>
      <c r="Z40" s="47" t="s">
        <v>96</v>
      </c>
      <c r="AA40" s="47" t="s">
        <v>2</v>
      </c>
      <c r="AB40" s="47" t="s">
        <v>7</v>
      </c>
      <c r="AC40" s="47" t="s">
        <v>3</v>
      </c>
      <c r="AD40" s="47" t="s">
        <v>5</v>
      </c>
      <c r="AE40" s="60" t="s">
        <v>8</v>
      </c>
      <c r="AF40" s="47" t="s">
        <v>4</v>
      </c>
      <c r="AG40" s="47" t="s">
        <v>6</v>
      </c>
      <c r="AH40" s="47" t="s">
        <v>96</v>
      </c>
      <c r="AM40" s="29"/>
      <c r="AU40" s="29"/>
      <c r="BC40" s="29"/>
    </row>
    <row r="41" spans="1:55" ht="14.4" thickBot="1" x14ac:dyDescent="0.3">
      <c r="A41" s="47" t="s">
        <v>10</v>
      </c>
      <c r="B41" s="47" t="s">
        <v>15</v>
      </c>
      <c r="C41" s="48">
        <v>22.067510468750001</v>
      </c>
      <c r="D41" s="49">
        <v>86.365475197435799</v>
      </c>
      <c r="E41" s="50">
        <v>3</v>
      </c>
      <c r="F41" s="50">
        <f>E41/3</f>
        <v>1</v>
      </c>
      <c r="G41" s="61">
        <f>(53+24+515)/3</f>
        <v>197.33333333333334</v>
      </c>
      <c r="H41" s="50">
        <v>1</v>
      </c>
      <c r="I41" s="51">
        <f>H41/(E41+H41)</f>
        <v>0.25</v>
      </c>
      <c r="J41" s="47">
        <f>1-F41</f>
        <v>0</v>
      </c>
      <c r="K41" s="48">
        <v>22.284163906250001</v>
      </c>
      <c r="L41" s="49">
        <v>86.199423387845172</v>
      </c>
      <c r="M41" s="50">
        <v>3</v>
      </c>
      <c r="N41" s="50">
        <f>M41/3</f>
        <v>1</v>
      </c>
      <c r="O41" s="61">
        <f>(51+8+54)/3</f>
        <v>37.666666666666664</v>
      </c>
      <c r="P41" s="50">
        <v>2</v>
      </c>
      <c r="Q41" s="51">
        <f>P41/(M41+P41)</f>
        <v>0.4</v>
      </c>
      <c r="R41" s="47">
        <f>1-N41</f>
        <v>0</v>
      </c>
      <c r="S41" s="48">
        <v>30.45705109375</v>
      </c>
      <c r="T41" s="49">
        <v>86.561460172810726</v>
      </c>
      <c r="U41" s="50">
        <v>3</v>
      </c>
      <c r="V41" s="50">
        <f>U41/3</f>
        <v>1</v>
      </c>
      <c r="W41" s="61">
        <f>(46+24+137)/3</f>
        <v>69</v>
      </c>
      <c r="X41" s="50">
        <v>2</v>
      </c>
      <c r="Y41" s="51">
        <f>X41/(U41+X41)</f>
        <v>0.4</v>
      </c>
      <c r="Z41" s="47">
        <f>1-V41</f>
        <v>0</v>
      </c>
      <c r="AA41" s="48">
        <v>27.93767734375</v>
      </c>
      <c r="AB41" s="49">
        <v>86.188674817146421</v>
      </c>
      <c r="AC41" s="50">
        <v>2</v>
      </c>
      <c r="AD41" s="50">
        <f>AC41/3</f>
        <v>0.66666666666666663</v>
      </c>
      <c r="AE41" s="61">
        <f>(737+476)/2</f>
        <v>606.5</v>
      </c>
      <c r="AF41" s="50">
        <v>1</v>
      </c>
      <c r="AG41" s="51">
        <f>AF41/(AC41+AF41)</f>
        <v>0.33333333333333331</v>
      </c>
      <c r="AH41" s="47">
        <f>1-AD41</f>
        <v>0.33333333333333337</v>
      </c>
      <c r="AM41" s="29"/>
      <c r="AU41" s="29"/>
      <c r="BC41" s="29"/>
    </row>
    <row r="42" spans="1:55" ht="14.4" thickBot="1" x14ac:dyDescent="0.3">
      <c r="A42" s="47" t="s">
        <v>11</v>
      </c>
      <c r="B42" s="47" t="s">
        <v>15</v>
      </c>
      <c r="C42" s="52">
        <v>26.28224640625</v>
      </c>
      <c r="D42" s="53">
        <v>86.58680815700464</v>
      </c>
      <c r="E42" s="47">
        <v>3</v>
      </c>
      <c r="F42" s="50">
        <f t="shared" ref="F42:F45" si="102">E42/3</f>
        <v>1</v>
      </c>
      <c r="G42" s="60">
        <f>(25+23+47)/3</f>
        <v>31.666666666666668</v>
      </c>
      <c r="H42" s="47">
        <v>2</v>
      </c>
      <c r="I42" s="51">
        <f t="shared" ref="I42:I45" si="103">H42/(E42+H42)</f>
        <v>0.4</v>
      </c>
      <c r="J42" s="47">
        <f t="shared" ref="J42:J45" si="104">1-F42</f>
        <v>0</v>
      </c>
      <c r="K42" s="52">
        <v>35.04755171875</v>
      </c>
      <c r="L42" s="53">
        <v>86.602889031634632</v>
      </c>
      <c r="M42" s="47">
        <v>3</v>
      </c>
      <c r="N42" s="50">
        <f t="shared" ref="N42:N45" si="105">M42/3</f>
        <v>1</v>
      </c>
      <c r="O42" s="60">
        <f>(7+79+45)/3</f>
        <v>43.666666666666664</v>
      </c>
      <c r="P42" s="47">
        <v>0</v>
      </c>
      <c r="Q42" s="51">
        <f t="shared" ref="Q42:Q45" si="106">P42/(M42+P42)</f>
        <v>0</v>
      </c>
      <c r="R42" s="47">
        <f t="shared" ref="R42:R45" si="107">1-N42</f>
        <v>0</v>
      </c>
      <c r="S42" s="52">
        <v>29.155506562500001</v>
      </c>
      <c r="T42" s="53">
        <v>86.605531937891044</v>
      </c>
      <c r="U42" s="47">
        <v>3</v>
      </c>
      <c r="V42" s="50">
        <f t="shared" ref="V42:V45" si="108">U42/3</f>
        <v>1</v>
      </c>
      <c r="W42" s="60">
        <f>(21+17+43)/3</f>
        <v>27</v>
      </c>
      <c r="X42" s="47">
        <v>1</v>
      </c>
      <c r="Y42" s="51">
        <f t="shared" ref="Y42:Y45" si="109">X42/(U42+X42)</f>
        <v>0.25</v>
      </c>
      <c r="Z42" s="47">
        <f t="shared" ref="Z42:Z45" si="110">1-V42</f>
        <v>0</v>
      </c>
      <c r="AA42" s="52">
        <v>31.983944843749999</v>
      </c>
      <c r="AB42" s="53">
        <v>86.206066513098719</v>
      </c>
      <c r="AC42" s="47">
        <v>2</v>
      </c>
      <c r="AD42" s="50">
        <f t="shared" ref="AD42:AD45" si="111">AC42/3</f>
        <v>0.66666666666666663</v>
      </c>
      <c r="AE42" s="60">
        <f>(806+877)/2</f>
        <v>841.5</v>
      </c>
      <c r="AF42" s="47">
        <v>1</v>
      </c>
      <c r="AG42" s="51">
        <f t="shared" ref="AG42:AG45" si="112">AF42/(AC42+AF42)</f>
        <v>0.33333333333333331</v>
      </c>
      <c r="AH42" s="47">
        <f t="shared" ref="AH42:AH45" si="113">1-AD42</f>
        <v>0.33333333333333337</v>
      </c>
      <c r="AM42" s="29"/>
      <c r="AU42" s="29"/>
      <c r="BC42" s="29"/>
    </row>
    <row r="43" spans="1:55" ht="14.4" thickBot="1" x14ac:dyDescent="0.3">
      <c r="A43" s="47" t="s">
        <v>12</v>
      </c>
      <c r="B43" s="47" t="s">
        <v>15</v>
      </c>
      <c r="C43" s="52">
        <v>27.693855468750002</v>
      </c>
      <c r="D43" s="53">
        <v>86.590570955495039</v>
      </c>
      <c r="E43" s="47">
        <v>3</v>
      </c>
      <c r="F43" s="50">
        <f t="shared" si="102"/>
        <v>1</v>
      </c>
      <c r="G43" s="60">
        <f>(46+23+562)/3</f>
        <v>210.33333333333334</v>
      </c>
      <c r="H43" s="47">
        <v>0</v>
      </c>
      <c r="I43" s="51">
        <f t="shared" si="103"/>
        <v>0</v>
      </c>
      <c r="J43" s="47">
        <f t="shared" si="104"/>
        <v>0</v>
      </c>
      <c r="K43" s="52">
        <v>34.490733749999997</v>
      </c>
      <c r="L43" s="53">
        <v>86.567470262025992</v>
      </c>
      <c r="M43" s="47">
        <v>3</v>
      </c>
      <c r="N43" s="50">
        <f t="shared" si="105"/>
        <v>1</v>
      </c>
      <c r="O43" s="60">
        <f>(91+13+15)/3</f>
        <v>39.666666666666664</v>
      </c>
      <c r="P43" s="47">
        <v>1</v>
      </c>
      <c r="Q43" s="51">
        <f t="shared" si="106"/>
        <v>0.25</v>
      </c>
      <c r="R43" s="47">
        <f t="shared" si="107"/>
        <v>0</v>
      </c>
      <c r="S43" s="52">
        <v>34.1873003125</v>
      </c>
      <c r="T43" s="53">
        <v>86.643061391500183</v>
      </c>
      <c r="U43" s="47">
        <v>3</v>
      </c>
      <c r="V43" s="50">
        <f t="shared" si="108"/>
        <v>1</v>
      </c>
      <c r="W43" s="60">
        <f>(41+22+208)/3</f>
        <v>90.333333333333329</v>
      </c>
      <c r="X43" s="47">
        <v>0</v>
      </c>
      <c r="Y43" s="51">
        <f t="shared" si="109"/>
        <v>0</v>
      </c>
      <c r="Z43" s="47">
        <f t="shared" si="110"/>
        <v>0</v>
      </c>
      <c r="AA43" s="52">
        <v>23.328044218750001</v>
      </c>
      <c r="AB43" s="53">
        <v>86.150662286339553</v>
      </c>
      <c r="AC43" s="47">
        <v>2</v>
      </c>
      <c r="AD43" s="50">
        <f t="shared" si="111"/>
        <v>0.66666666666666663</v>
      </c>
      <c r="AE43" s="60">
        <f>(674+993)/2</f>
        <v>833.5</v>
      </c>
      <c r="AF43" s="47">
        <v>1</v>
      </c>
      <c r="AG43" s="51">
        <f t="shared" si="112"/>
        <v>0.33333333333333331</v>
      </c>
      <c r="AH43" s="47">
        <f t="shared" si="113"/>
        <v>0.33333333333333337</v>
      </c>
      <c r="AM43" s="29"/>
      <c r="AU43" s="29"/>
      <c r="BC43" s="29"/>
    </row>
    <row r="44" spans="1:55" ht="14.4" thickBot="1" x14ac:dyDescent="0.3">
      <c r="A44" s="47" t="s">
        <v>13</v>
      </c>
      <c r="B44" s="47" t="s">
        <v>15</v>
      </c>
      <c r="C44" s="52">
        <v>30.706634218750001</v>
      </c>
      <c r="D44" s="53">
        <v>86.709417029571384</v>
      </c>
      <c r="E44" s="47">
        <v>3</v>
      </c>
      <c r="F44" s="50">
        <f t="shared" si="102"/>
        <v>1</v>
      </c>
      <c r="G44" s="60">
        <f>(79+171+128)/3</f>
        <v>126</v>
      </c>
      <c r="H44" s="47">
        <v>0</v>
      </c>
      <c r="I44" s="51">
        <f t="shared" si="103"/>
        <v>0</v>
      </c>
      <c r="J44" s="47">
        <f t="shared" si="104"/>
        <v>0</v>
      </c>
      <c r="K44" s="52">
        <v>34.088658906249997</v>
      </c>
      <c r="L44" s="53">
        <v>86.327847368614655</v>
      </c>
      <c r="M44" s="47">
        <v>3</v>
      </c>
      <c r="N44" s="50">
        <f t="shared" si="105"/>
        <v>1</v>
      </c>
      <c r="O44" s="60">
        <f>(73+233+202)/3</f>
        <v>169.33333333333334</v>
      </c>
      <c r="P44" s="47">
        <v>3</v>
      </c>
      <c r="Q44" s="51">
        <f t="shared" si="106"/>
        <v>0.5</v>
      </c>
      <c r="R44" s="47">
        <f t="shared" si="107"/>
        <v>0</v>
      </c>
      <c r="S44" s="52">
        <v>28.084436406249999</v>
      </c>
      <c r="T44" s="53">
        <v>86.644122084220157</v>
      </c>
      <c r="U44" s="47">
        <v>3</v>
      </c>
      <c r="V44" s="50">
        <f t="shared" si="108"/>
        <v>1</v>
      </c>
      <c r="W44" s="60">
        <f>(76+76+120)/3</f>
        <v>90.666666666666671</v>
      </c>
      <c r="X44" s="47">
        <v>0</v>
      </c>
      <c r="Y44" s="51">
        <f t="shared" si="109"/>
        <v>0</v>
      </c>
      <c r="Z44" s="47">
        <f t="shared" si="110"/>
        <v>0</v>
      </c>
      <c r="AA44" s="52">
        <v>35.225954218749997</v>
      </c>
      <c r="AB44" s="53">
        <v>86.174308351279521</v>
      </c>
      <c r="AC44" s="47">
        <v>1</v>
      </c>
      <c r="AD44" s="50">
        <f t="shared" si="111"/>
        <v>0.33333333333333331</v>
      </c>
      <c r="AE44" s="60">
        <v>723</v>
      </c>
      <c r="AF44" s="47">
        <v>2</v>
      </c>
      <c r="AG44" s="51">
        <f t="shared" si="112"/>
        <v>0.66666666666666663</v>
      </c>
      <c r="AH44" s="47">
        <f t="shared" si="113"/>
        <v>0.66666666666666674</v>
      </c>
      <c r="AM44" s="29"/>
      <c r="AU44" s="29"/>
      <c r="BC44" s="29"/>
    </row>
    <row r="45" spans="1:55" ht="14.4" thickBot="1" x14ac:dyDescent="0.3">
      <c r="A45" s="47" t="s">
        <v>14</v>
      </c>
      <c r="B45" s="47" t="s">
        <v>15</v>
      </c>
      <c r="C45" s="54">
        <v>29.525747656250001</v>
      </c>
      <c r="D45" s="55">
        <v>86.590435946635608</v>
      </c>
      <c r="E45" s="56">
        <v>3</v>
      </c>
      <c r="F45" s="50">
        <f t="shared" si="102"/>
        <v>1</v>
      </c>
      <c r="G45" s="62">
        <f>(41+75+175)/3</f>
        <v>97</v>
      </c>
      <c r="H45" s="56">
        <v>0</v>
      </c>
      <c r="I45" s="51">
        <f t="shared" si="103"/>
        <v>0</v>
      </c>
      <c r="J45" s="47">
        <f t="shared" si="104"/>
        <v>0</v>
      </c>
      <c r="K45" s="54">
        <v>36.066546250000002</v>
      </c>
      <c r="L45" s="55">
        <v>86.550622610739779</v>
      </c>
      <c r="M45" s="56">
        <v>3</v>
      </c>
      <c r="N45" s="50">
        <f t="shared" si="105"/>
        <v>1</v>
      </c>
      <c r="O45" s="62">
        <f>(93+62+81)/3</f>
        <v>78.666666666666671</v>
      </c>
      <c r="P45" s="56">
        <v>0</v>
      </c>
      <c r="Q45" s="51">
        <f t="shared" si="106"/>
        <v>0</v>
      </c>
      <c r="R45" s="47">
        <f t="shared" si="107"/>
        <v>0</v>
      </c>
      <c r="S45" s="54">
        <v>35.094866406249999</v>
      </c>
      <c r="T45" s="55">
        <v>86.556458409271556</v>
      </c>
      <c r="U45" s="56">
        <v>3</v>
      </c>
      <c r="V45" s="50">
        <f t="shared" si="108"/>
        <v>1</v>
      </c>
      <c r="W45" s="62">
        <f>(28+59+226)/3</f>
        <v>104.33333333333333</v>
      </c>
      <c r="X45" s="56">
        <v>1</v>
      </c>
      <c r="Y45" s="51">
        <f t="shared" si="109"/>
        <v>0.25</v>
      </c>
      <c r="Z45" s="47">
        <f t="shared" si="110"/>
        <v>0</v>
      </c>
      <c r="AA45" s="54">
        <v>33.877777187500001</v>
      </c>
      <c r="AB45" s="55">
        <v>86.29408336931165</v>
      </c>
      <c r="AC45" s="56">
        <v>2</v>
      </c>
      <c r="AD45" s="50">
        <f t="shared" si="111"/>
        <v>0.66666666666666663</v>
      </c>
      <c r="AE45" s="62">
        <f>(680+657)/2</f>
        <v>668.5</v>
      </c>
      <c r="AF45" s="56">
        <v>1</v>
      </c>
      <c r="AG45" s="51">
        <f t="shared" si="112"/>
        <v>0.33333333333333331</v>
      </c>
      <c r="AH45" s="47">
        <f t="shared" si="113"/>
        <v>0.33333333333333337</v>
      </c>
      <c r="AM45" s="29"/>
      <c r="AU45" s="29"/>
      <c r="BC45" s="29"/>
    </row>
    <row r="46" spans="1:55" x14ac:dyDescent="0.25">
      <c r="A46" s="47"/>
      <c r="B46" s="47"/>
      <c r="C46" s="47">
        <f>AVERAGE(C41:C45)</f>
        <v>27.255198843749998</v>
      </c>
      <c r="D46" s="47">
        <f t="shared" ref="D46:I46" si="114">AVERAGE(D41:D45)</f>
        <v>86.568541457228505</v>
      </c>
      <c r="E46" s="47">
        <f t="shared" si="114"/>
        <v>3</v>
      </c>
      <c r="F46" s="47">
        <f t="shared" si="114"/>
        <v>1</v>
      </c>
      <c r="G46" s="60">
        <f t="shared" si="114"/>
        <v>132.46666666666667</v>
      </c>
      <c r="H46" s="47">
        <f t="shared" si="114"/>
        <v>0.6</v>
      </c>
      <c r="I46" s="47">
        <f t="shared" si="114"/>
        <v>0.13</v>
      </c>
      <c r="J46" s="47">
        <f>AVERAGE(J41:J45)</f>
        <v>0</v>
      </c>
      <c r="K46" s="47">
        <f>AVERAGE(K41:K45)</f>
        <v>32.395530906249995</v>
      </c>
      <c r="L46" s="47">
        <f t="shared" ref="L46:Q46" si="115">AVERAGE(L41:L45)</f>
        <v>86.449650532172043</v>
      </c>
      <c r="M46" s="47">
        <f t="shared" si="115"/>
        <v>3</v>
      </c>
      <c r="N46" s="47">
        <f t="shared" si="115"/>
        <v>1</v>
      </c>
      <c r="O46" s="60">
        <f t="shared" si="115"/>
        <v>73.800000000000011</v>
      </c>
      <c r="P46" s="47">
        <f t="shared" si="115"/>
        <v>1.2</v>
      </c>
      <c r="Q46" s="47">
        <f t="shared" si="115"/>
        <v>0.22999999999999998</v>
      </c>
      <c r="R46" s="47">
        <f>AVERAGE(R41:R45)</f>
        <v>0</v>
      </c>
      <c r="S46" s="47">
        <f>AVERAGE(S41:S45)</f>
        <v>31.395832156249998</v>
      </c>
      <c r="T46" s="47">
        <f t="shared" ref="T46:Y46" si="116">AVERAGE(T41:T45)</f>
        <v>86.60212679913873</v>
      </c>
      <c r="U46" s="47">
        <f t="shared" si="116"/>
        <v>3</v>
      </c>
      <c r="V46" s="47">
        <f t="shared" si="116"/>
        <v>1</v>
      </c>
      <c r="W46" s="60">
        <f t="shared" si="116"/>
        <v>76.266666666666666</v>
      </c>
      <c r="X46" s="47">
        <f t="shared" si="116"/>
        <v>0.8</v>
      </c>
      <c r="Y46" s="47">
        <f t="shared" si="116"/>
        <v>0.18</v>
      </c>
      <c r="Z46" s="47">
        <f>AVERAGE(Z41:Z45)</f>
        <v>0</v>
      </c>
      <c r="AA46" s="47">
        <f>AVERAGE(AA41:AA45)</f>
        <v>30.470679562500003</v>
      </c>
      <c r="AB46" s="47">
        <f t="shared" ref="AB46:AG46" si="117">AVERAGE(AB41:AB45)</f>
        <v>86.202759067435181</v>
      </c>
      <c r="AC46" s="47">
        <f t="shared" si="117"/>
        <v>1.8</v>
      </c>
      <c r="AD46" s="47">
        <f t="shared" si="117"/>
        <v>0.6</v>
      </c>
      <c r="AE46" s="60">
        <f t="shared" si="117"/>
        <v>734.6</v>
      </c>
      <c r="AF46" s="47">
        <f t="shared" si="117"/>
        <v>1.2</v>
      </c>
      <c r="AG46" s="47">
        <f t="shared" si="117"/>
        <v>0.39999999999999997</v>
      </c>
      <c r="AH46" s="47">
        <f>AVERAGE(AH41:AH45)</f>
        <v>0.4</v>
      </c>
      <c r="AM46" s="29"/>
      <c r="AU46" s="29"/>
      <c r="BC46" s="29"/>
    </row>
    <row r="47" spans="1:55" ht="14.4" thickBot="1" x14ac:dyDescent="0.3">
      <c r="A47" s="47"/>
      <c r="B47" s="47"/>
      <c r="C47" s="47"/>
      <c r="D47" s="47"/>
      <c r="E47" s="47"/>
      <c r="F47" s="47"/>
      <c r="G47" s="60"/>
      <c r="H47" s="47"/>
      <c r="I47" s="47"/>
      <c r="J47" s="47"/>
      <c r="K47" s="47"/>
      <c r="L47" s="47"/>
      <c r="M47" s="47"/>
      <c r="N47" s="47"/>
      <c r="O47" s="60"/>
      <c r="P47" s="47"/>
      <c r="Q47" s="47"/>
      <c r="R47" s="47"/>
      <c r="S47" s="47"/>
      <c r="T47" s="47"/>
      <c r="U47" s="47"/>
      <c r="V47" s="47"/>
      <c r="W47" s="60"/>
      <c r="X47" s="47"/>
      <c r="Y47" s="47"/>
      <c r="Z47" s="47"/>
      <c r="AA47" s="47"/>
      <c r="AB47" s="47"/>
      <c r="AC47" s="47"/>
      <c r="AD47" s="47"/>
      <c r="AE47" s="60"/>
      <c r="AF47" s="47"/>
      <c r="AG47" s="47"/>
      <c r="AH47" s="47"/>
      <c r="AM47" s="29"/>
      <c r="AU47" s="29"/>
      <c r="BC47" s="29"/>
    </row>
    <row r="48" spans="1:55" ht="14.4" thickBot="1" x14ac:dyDescent="0.3">
      <c r="A48" s="53" t="s">
        <v>16</v>
      </c>
      <c r="B48" s="47" t="s">
        <v>15</v>
      </c>
      <c r="C48" s="48">
        <v>45.889218593750002</v>
      </c>
      <c r="D48" s="49">
        <v>89.337133118529394</v>
      </c>
      <c r="E48" s="50">
        <v>3</v>
      </c>
      <c r="F48" s="50">
        <f>E48/3</f>
        <v>1</v>
      </c>
      <c r="G48" s="61">
        <f>(502+367+398)/3</f>
        <v>422.33333333333331</v>
      </c>
      <c r="H48" s="50">
        <v>0</v>
      </c>
      <c r="I48" s="51">
        <f>H48/(E48+H48)</f>
        <v>0</v>
      </c>
      <c r="J48" s="47">
        <f>1-F48</f>
        <v>0</v>
      </c>
      <c r="K48" s="48">
        <v>51.827593437499999</v>
      </c>
      <c r="L48" s="49">
        <v>89.411584997277416</v>
      </c>
      <c r="M48" s="50">
        <v>3</v>
      </c>
      <c r="N48" s="50">
        <f>M48/3</f>
        <v>1</v>
      </c>
      <c r="O48" s="61">
        <f>(406+422+326)/3</f>
        <v>384.66666666666669</v>
      </c>
      <c r="P48" s="50">
        <v>0</v>
      </c>
      <c r="Q48" s="51">
        <f>P48/(M48+P48)</f>
        <v>0</v>
      </c>
      <c r="R48" s="47">
        <f>1-N48</f>
        <v>0</v>
      </c>
      <c r="S48" s="48">
        <v>57.146158437499999</v>
      </c>
      <c r="T48" s="49">
        <v>89.352735420990314</v>
      </c>
      <c r="U48" s="50">
        <v>3</v>
      </c>
      <c r="V48" s="50">
        <f>U48/3</f>
        <v>1</v>
      </c>
      <c r="W48" s="61">
        <f>(501+314+394)/3</f>
        <v>403</v>
      </c>
      <c r="X48" s="50">
        <v>0</v>
      </c>
      <c r="Y48" s="51">
        <f>X48/(U48+X48)</f>
        <v>0</v>
      </c>
      <c r="Z48" s="47">
        <f>1-V48</f>
        <v>0</v>
      </c>
      <c r="AA48" s="48">
        <v>54.365812812500003</v>
      </c>
      <c r="AB48" s="49">
        <v>89.237403207511989</v>
      </c>
      <c r="AC48" s="50">
        <v>3</v>
      </c>
      <c r="AD48" s="50">
        <f>AC48/3</f>
        <v>1</v>
      </c>
      <c r="AE48" s="61">
        <f>(661+665+565)/3</f>
        <v>630.33333333333337</v>
      </c>
      <c r="AF48" s="50">
        <v>0</v>
      </c>
      <c r="AG48" s="51">
        <f>AF48/(AC48+AF48)</f>
        <v>0</v>
      </c>
      <c r="AH48" s="47">
        <f>1-AD48</f>
        <v>0</v>
      </c>
      <c r="AM48" s="29"/>
      <c r="AU48" s="29"/>
      <c r="BC48" s="29"/>
    </row>
    <row r="49" spans="1:55" ht="14.4" thickBot="1" x14ac:dyDescent="0.3">
      <c r="A49" s="53" t="s">
        <v>17</v>
      </c>
      <c r="B49" s="47" t="s">
        <v>15</v>
      </c>
      <c r="C49" s="52">
        <v>48.772549374999997</v>
      </c>
      <c r="D49" s="53">
        <v>89.177100100880509</v>
      </c>
      <c r="E49" s="47">
        <v>3</v>
      </c>
      <c r="F49" s="50">
        <f t="shared" ref="F49:F52" si="118">E49/3</f>
        <v>1</v>
      </c>
      <c r="G49" s="60">
        <f>(408+339+329)/3</f>
        <v>358.66666666666669</v>
      </c>
      <c r="H49" s="47">
        <v>0</v>
      </c>
      <c r="I49" s="51">
        <f t="shared" ref="I49:I52" si="119">H49/(E49+H49)</f>
        <v>0</v>
      </c>
      <c r="J49" s="47">
        <f t="shared" ref="J49:J52" si="120">1-F49</f>
        <v>0</v>
      </c>
      <c r="K49" s="52">
        <v>56.869086718749998</v>
      </c>
      <c r="L49" s="53">
        <v>89.208279028105011</v>
      </c>
      <c r="M49" s="47">
        <v>3</v>
      </c>
      <c r="N49" s="50">
        <f t="shared" ref="N49:N52" si="121">M49/3</f>
        <v>1</v>
      </c>
      <c r="O49" s="60">
        <f>(352+220+251)/3</f>
        <v>274.33333333333331</v>
      </c>
      <c r="P49" s="47">
        <v>0</v>
      </c>
      <c r="Q49" s="51">
        <f t="shared" ref="Q49:Q52" si="122">P49/(M49+P49)</f>
        <v>0</v>
      </c>
      <c r="R49" s="47">
        <f t="shared" ref="R49:R52" si="123">1-N49</f>
        <v>0</v>
      </c>
      <c r="S49" s="52">
        <v>55.81305296875</v>
      </c>
      <c r="T49" s="53">
        <v>89.189340337715379</v>
      </c>
      <c r="U49" s="47">
        <v>3</v>
      </c>
      <c r="V49" s="50">
        <f t="shared" ref="V49:V52" si="124">U49/3</f>
        <v>1</v>
      </c>
      <c r="W49" s="60">
        <f>(364+235+83)/3</f>
        <v>227.33333333333334</v>
      </c>
      <c r="X49" s="47">
        <v>0</v>
      </c>
      <c r="Y49" s="51">
        <f t="shared" ref="Y49:Y52" si="125">X49/(U49+X49)</f>
        <v>0</v>
      </c>
      <c r="Z49" s="47">
        <f t="shared" ref="Z49:Z52" si="126">1-V49</f>
        <v>0</v>
      </c>
      <c r="AA49" s="52">
        <v>55.002968750000001</v>
      </c>
      <c r="AB49" s="53">
        <v>88.952175015677255</v>
      </c>
      <c r="AC49" s="47">
        <v>3</v>
      </c>
      <c r="AD49" s="50">
        <f t="shared" ref="AD49:AD52" si="127">AC49/3</f>
        <v>1</v>
      </c>
      <c r="AE49" s="60">
        <f>(757+615+536)/3</f>
        <v>636</v>
      </c>
      <c r="AF49" s="47">
        <v>0</v>
      </c>
      <c r="AG49" s="51">
        <f t="shared" ref="AG49:AG52" si="128">AF49/(AC49+AF49)</f>
        <v>0</v>
      </c>
      <c r="AH49" s="47">
        <f t="shared" ref="AH49:AH52" si="129">1-AD49</f>
        <v>0</v>
      </c>
      <c r="AM49" s="29"/>
      <c r="AU49" s="29"/>
      <c r="BC49" s="29"/>
    </row>
    <row r="50" spans="1:55" ht="14.4" thickBot="1" x14ac:dyDescent="0.3">
      <c r="A50" s="53" t="s">
        <v>18</v>
      </c>
      <c r="B50" s="47" t="s">
        <v>15</v>
      </c>
      <c r="C50" s="52">
        <v>46.425963125000003</v>
      </c>
      <c r="D50" s="53">
        <v>89.408452384969252</v>
      </c>
      <c r="E50" s="47">
        <v>3</v>
      </c>
      <c r="F50" s="50">
        <f t="shared" si="118"/>
        <v>1</v>
      </c>
      <c r="G50" s="60">
        <f>(390+274+286)/3</f>
        <v>316.66666666666669</v>
      </c>
      <c r="H50" s="47">
        <v>0</v>
      </c>
      <c r="I50" s="51">
        <f t="shared" si="119"/>
        <v>0</v>
      </c>
      <c r="J50" s="47">
        <f t="shared" si="120"/>
        <v>0</v>
      </c>
      <c r="K50" s="52">
        <v>54.053184218749998</v>
      </c>
      <c r="L50" s="53">
        <v>89.447667248769662</v>
      </c>
      <c r="M50" s="47">
        <v>3</v>
      </c>
      <c r="N50" s="50">
        <f t="shared" si="121"/>
        <v>1</v>
      </c>
      <c r="O50" s="60">
        <f>(272+254+253)/3</f>
        <v>259.66666666666669</v>
      </c>
      <c r="P50" s="47">
        <v>0</v>
      </c>
      <c r="Q50" s="51">
        <f t="shared" si="122"/>
        <v>0</v>
      </c>
      <c r="R50" s="47">
        <f t="shared" si="123"/>
        <v>0</v>
      </c>
      <c r="S50" s="52">
        <v>55.964689531250002</v>
      </c>
      <c r="T50" s="53">
        <v>89.426336648161822</v>
      </c>
      <c r="U50" s="47">
        <v>3</v>
      </c>
      <c r="V50" s="50">
        <f t="shared" si="124"/>
        <v>1</v>
      </c>
      <c r="W50" s="60">
        <f>(381+256+274)/3</f>
        <v>303.66666666666669</v>
      </c>
      <c r="X50" s="47">
        <v>0</v>
      </c>
      <c r="Y50" s="51">
        <f t="shared" si="125"/>
        <v>0</v>
      </c>
      <c r="Z50" s="47">
        <f t="shared" si="126"/>
        <v>0</v>
      </c>
      <c r="AA50" s="52">
        <v>56.515429374999997</v>
      </c>
      <c r="AB50" s="53">
        <v>89.229050772131515</v>
      </c>
      <c r="AC50" s="47">
        <v>3</v>
      </c>
      <c r="AD50" s="50">
        <f t="shared" si="127"/>
        <v>1</v>
      </c>
      <c r="AE50" s="60">
        <f>(539+646+503)/3</f>
        <v>562.66666666666663</v>
      </c>
      <c r="AF50" s="47">
        <v>0</v>
      </c>
      <c r="AG50" s="51">
        <f t="shared" si="128"/>
        <v>0</v>
      </c>
      <c r="AH50" s="47">
        <f t="shared" si="129"/>
        <v>0</v>
      </c>
      <c r="AM50" s="29"/>
      <c r="AU50" s="29"/>
      <c r="BC50" s="29"/>
    </row>
    <row r="51" spans="1:55" ht="14.4" thickBot="1" x14ac:dyDescent="0.3">
      <c r="A51" s="53" t="s">
        <v>19</v>
      </c>
      <c r="B51" s="47" t="s">
        <v>15</v>
      </c>
      <c r="C51" s="52">
        <v>49.474859843749996</v>
      </c>
      <c r="D51" s="53">
        <v>89.288460375844451</v>
      </c>
      <c r="E51" s="47">
        <v>3</v>
      </c>
      <c r="F51" s="50">
        <f t="shared" si="118"/>
        <v>1</v>
      </c>
      <c r="G51" s="60">
        <f>(355+328+181)/3</f>
        <v>288</v>
      </c>
      <c r="H51" s="47">
        <v>0</v>
      </c>
      <c r="I51" s="51">
        <f t="shared" si="119"/>
        <v>0</v>
      </c>
      <c r="J51" s="47">
        <f t="shared" si="120"/>
        <v>0</v>
      </c>
      <c r="K51" s="52">
        <v>51.145368124999997</v>
      </c>
      <c r="L51" s="53">
        <v>89.308574129345516</v>
      </c>
      <c r="M51" s="47">
        <v>3</v>
      </c>
      <c r="N51" s="50">
        <f t="shared" si="121"/>
        <v>1</v>
      </c>
      <c r="O51" s="60">
        <f>(342+324+223)/3</f>
        <v>296.33333333333331</v>
      </c>
      <c r="P51" s="47">
        <v>0</v>
      </c>
      <c r="Q51" s="51">
        <f t="shared" si="122"/>
        <v>0</v>
      </c>
      <c r="R51" s="47">
        <f t="shared" si="123"/>
        <v>0</v>
      </c>
      <c r="S51" s="52">
        <v>55.712048750000001</v>
      </c>
      <c r="T51" s="53">
        <v>89.291922279728311</v>
      </c>
      <c r="U51" s="47">
        <v>3</v>
      </c>
      <c r="V51" s="50">
        <f t="shared" si="124"/>
        <v>1</v>
      </c>
      <c r="W51" s="60">
        <f>(245+278+164)/3</f>
        <v>229</v>
      </c>
      <c r="X51" s="47">
        <v>0</v>
      </c>
      <c r="Y51" s="51">
        <f t="shared" si="125"/>
        <v>0</v>
      </c>
      <c r="Z51" s="47">
        <f t="shared" si="126"/>
        <v>0</v>
      </c>
      <c r="AA51" s="52">
        <v>54.5146090625</v>
      </c>
      <c r="AB51" s="53">
        <v>89.183116962394962</v>
      </c>
      <c r="AC51" s="47">
        <v>3</v>
      </c>
      <c r="AD51" s="50">
        <f t="shared" si="127"/>
        <v>1</v>
      </c>
      <c r="AE51" s="60">
        <f>(527+484+436)/3</f>
        <v>482.33333333333331</v>
      </c>
      <c r="AF51" s="47">
        <v>0</v>
      </c>
      <c r="AG51" s="51">
        <f t="shared" si="128"/>
        <v>0</v>
      </c>
      <c r="AH51" s="47">
        <f t="shared" si="129"/>
        <v>0</v>
      </c>
      <c r="AM51" s="29"/>
      <c r="AU51" s="29"/>
      <c r="BC51" s="29"/>
    </row>
    <row r="52" spans="1:55" ht="14.4" thickBot="1" x14ac:dyDescent="0.3">
      <c r="A52" s="53" t="s">
        <v>20</v>
      </c>
      <c r="B52" s="47" t="s">
        <v>15</v>
      </c>
      <c r="C52" s="54">
        <v>48.994946562499997</v>
      </c>
      <c r="D52" s="55">
        <v>89.278198252548762</v>
      </c>
      <c r="E52" s="56">
        <v>3</v>
      </c>
      <c r="F52" s="50">
        <f t="shared" si="118"/>
        <v>1</v>
      </c>
      <c r="G52" s="62">
        <f>(274+337+346)/3</f>
        <v>319</v>
      </c>
      <c r="H52" s="56">
        <v>0</v>
      </c>
      <c r="I52" s="51">
        <f t="shared" si="119"/>
        <v>0</v>
      </c>
      <c r="J52" s="47">
        <f t="shared" si="120"/>
        <v>0</v>
      </c>
      <c r="K52" s="54">
        <v>46.485877500000001</v>
      </c>
      <c r="L52" s="55">
        <v>89.32036899574554</v>
      </c>
      <c r="M52" s="56">
        <v>3</v>
      </c>
      <c r="N52" s="50">
        <f t="shared" si="121"/>
        <v>1</v>
      </c>
      <c r="O52" s="62">
        <f>(310+201+341)/3</f>
        <v>284</v>
      </c>
      <c r="P52" s="56">
        <v>0</v>
      </c>
      <c r="Q52" s="51">
        <f t="shared" si="122"/>
        <v>0</v>
      </c>
      <c r="R52" s="47">
        <f t="shared" si="123"/>
        <v>0</v>
      </c>
      <c r="S52" s="54">
        <v>53.396493906250001</v>
      </c>
      <c r="T52" s="55">
        <v>89.280937656939912</v>
      </c>
      <c r="U52" s="56">
        <v>3</v>
      </c>
      <c r="V52" s="50">
        <f t="shared" si="124"/>
        <v>1</v>
      </c>
      <c r="W52" s="62">
        <f>(256+227+340)/3</f>
        <v>274.33333333333331</v>
      </c>
      <c r="X52" s="56">
        <v>0</v>
      </c>
      <c r="Y52" s="51">
        <f t="shared" si="125"/>
        <v>0</v>
      </c>
      <c r="Z52" s="47">
        <f t="shared" si="126"/>
        <v>0</v>
      </c>
      <c r="AA52" s="54">
        <v>55.185848437499999</v>
      </c>
      <c r="AB52" s="55">
        <v>89.062629555627467</v>
      </c>
      <c r="AC52" s="56">
        <v>3</v>
      </c>
      <c r="AD52" s="50">
        <f t="shared" si="127"/>
        <v>1</v>
      </c>
      <c r="AE52" s="62">
        <f>(588+507+586)/3</f>
        <v>560.33333333333337</v>
      </c>
      <c r="AF52" s="56">
        <v>0</v>
      </c>
      <c r="AG52" s="51">
        <f t="shared" si="128"/>
        <v>0</v>
      </c>
      <c r="AH52" s="47">
        <f t="shared" si="129"/>
        <v>0</v>
      </c>
      <c r="AM52" s="29"/>
      <c r="AU52" s="29"/>
      <c r="BC52" s="29"/>
    </row>
    <row r="53" spans="1:55" x14ac:dyDescent="0.25">
      <c r="A53" s="47"/>
      <c r="B53" s="47"/>
      <c r="C53" s="47">
        <f>AVERAGE(C48:C52)</f>
        <v>47.911507499999992</v>
      </c>
      <c r="D53" s="47">
        <f t="shared" ref="D53:I53" si="130">AVERAGE(D48:D52)</f>
        <v>89.297868846554465</v>
      </c>
      <c r="E53" s="47">
        <f t="shared" si="130"/>
        <v>3</v>
      </c>
      <c r="F53" s="47">
        <f t="shared" si="130"/>
        <v>1</v>
      </c>
      <c r="G53" s="60">
        <f t="shared" si="130"/>
        <v>340.93333333333334</v>
      </c>
      <c r="H53" s="47">
        <f t="shared" si="130"/>
        <v>0</v>
      </c>
      <c r="I53" s="47">
        <f t="shared" si="130"/>
        <v>0</v>
      </c>
      <c r="J53" s="47">
        <f>AVERAGE(J48:J52)</f>
        <v>0</v>
      </c>
      <c r="K53" s="47">
        <f>AVERAGE(K48:K52)</f>
        <v>52.076221999999994</v>
      </c>
      <c r="L53" s="47">
        <f t="shared" ref="L53:Q53" si="131">AVERAGE(L48:L52)</f>
        <v>89.339294879848623</v>
      </c>
      <c r="M53" s="47">
        <f t="shared" si="131"/>
        <v>3</v>
      </c>
      <c r="N53" s="47">
        <f t="shared" si="131"/>
        <v>1</v>
      </c>
      <c r="O53" s="60">
        <f t="shared" si="131"/>
        <v>299.8</v>
      </c>
      <c r="P53" s="47">
        <f t="shared" si="131"/>
        <v>0</v>
      </c>
      <c r="Q53" s="47">
        <f t="shared" si="131"/>
        <v>0</v>
      </c>
      <c r="R53" s="47">
        <f>AVERAGE(R48:R52)</f>
        <v>0</v>
      </c>
      <c r="S53" s="47">
        <f>AVERAGE(S48:S52)</f>
        <v>55.606488718750008</v>
      </c>
      <c r="T53" s="47">
        <f t="shared" ref="T53:Y53" si="132">AVERAGE(T48:T52)</f>
        <v>89.308254468707133</v>
      </c>
      <c r="U53" s="47">
        <f t="shared" si="132"/>
        <v>3</v>
      </c>
      <c r="V53" s="47">
        <f t="shared" si="132"/>
        <v>1</v>
      </c>
      <c r="W53" s="60">
        <f t="shared" si="132"/>
        <v>287.46666666666664</v>
      </c>
      <c r="X53" s="47">
        <f t="shared" si="132"/>
        <v>0</v>
      </c>
      <c r="Y53" s="47">
        <f t="shared" si="132"/>
        <v>0</v>
      </c>
      <c r="Z53" s="47">
        <f>AVERAGE(Z48:Z52)</f>
        <v>0</v>
      </c>
      <c r="AA53" s="47">
        <f>AVERAGE(AA48:AA52)</f>
        <v>55.116933687500001</v>
      </c>
      <c r="AB53" s="47">
        <f t="shared" ref="AB53:AG53" si="133">AVERAGE(AB48:AB52)</f>
        <v>89.132875102668635</v>
      </c>
      <c r="AC53" s="47">
        <f t="shared" si="133"/>
        <v>3</v>
      </c>
      <c r="AD53" s="47">
        <f t="shared" si="133"/>
        <v>1</v>
      </c>
      <c r="AE53" s="60">
        <f t="shared" si="133"/>
        <v>574.33333333333337</v>
      </c>
      <c r="AF53" s="47">
        <f t="shared" si="133"/>
        <v>0</v>
      </c>
      <c r="AG53" s="47">
        <f t="shared" si="133"/>
        <v>0</v>
      </c>
      <c r="AH53" s="47">
        <f>AVERAGE(AH48:AH52)</f>
        <v>0</v>
      </c>
      <c r="AM53" s="29"/>
      <c r="AU53" s="29"/>
      <c r="BC53" s="29"/>
    </row>
    <row r="54" spans="1:55" ht="14.4" thickBot="1" x14ac:dyDescent="0.3">
      <c r="A54" s="47"/>
      <c r="B54" s="47"/>
      <c r="C54" s="47"/>
      <c r="D54" s="47"/>
      <c r="E54" s="47"/>
      <c r="F54" s="47"/>
      <c r="G54" s="60"/>
      <c r="H54" s="47"/>
      <c r="I54" s="47"/>
      <c r="J54" s="47"/>
      <c r="K54" s="47"/>
      <c r="L54" s="47"/>
      <c r="M54" s="47"/>
      <c r="N54" s="47"/>
      <c r="O54" s="60"/>
      <c r="P54" s="47"/>
      <c r="Q54" s="47"/>
      <c r="R54" s="47"/>
      <c r="S54" s="47"/>
      <c r="T54" s="47"/>
      <c r="U54" s="47"/>
      <c r="V54" s="47"/>
      <c r="W54" s="60"/>
      <c r="X54" s="47"/>
      <c r="Y54" s="47"/>
      <c r="Z54" s="47"/>
      <c r="AA54" s="47"/>
      <c r="AB54" s="47"/>
      <c r="AC54" s="47"/>
      <c r="AD54" s="47"/>
      <c r="AE54" s="60"/>
      <c r="AF54" s="47"/>
      <c r="AG54" s="47"/>
      <c r="AH54" s="47"/>
      <c r="AM54" s="29"/>
      <c r="AU54" s="29"/>
      <c r="BC54" s="29"/>
    </row>
    <row r="55" spans="1:55" ht="14.4" thickBot="1" x14ac:dyDescent="0.3">
      <c r="A55" s="47" t="s">
        <v>21</v>
      </c>
      <c r="B55" s="47" t="s">
        <v>26</v>
      </c>
      <c r="C55" s="48">
        <v>26.21461875</v>
      </c>
      <c r="D55" s="49">
        <v>83.223007005557591</v>
      </c>
      <c r="E55" s="50">
        <v>4</v>
      </c>
      <c r="F55" s="50">
        <f>E55/4</f>
        <v>1</v>
      </c>
      <c r="G55" s="61">
        <f>(39+40+36+39)/4</f>
        <v>38.5</v>
      </c>
      <c r="H55" s="50">
        <v>0</v>
      </c>
      <c r="I55" s="51">
        <f>H55/(E55+H55)</f>
        <v>0</v>
      </c>
      <c r="J55" s="47">
        <f>1-F55</f>
        <v>0</v>
      </c>
      <c r="K55" s="48">
        <v>40.1672625</v>
      </c>
      <c r="L55" s="49">
        <v>83.189643621758862</v>
      </c>
      <c r="M55" s="50">
        <v>4</v>
      </c>
      <c r="N55" s="50">
        <f>M55/4</f>
        <v>1</v>
      </c>
      <c r="O55" s="61">
        <f>(60+64+75+59)/4</f>
        <v>64.5</v>
      </c>
      <c r="P55" s="50">
        <v>0</v>
      </c>
      <c r="Q55" s="51">
        <f>P55/(M55+P55)</f>
        <v>0</v>
      </c>
      <c r="R55" s="47">
        <f>1-N55</f>
        <v>0</v>
      </c>
      <c r="S55" s="48">
        <v>41.967975781249997</v>
      </c>
      <c r="T55" s="49">
        <v>83.219321124993044</v>
      </c>
      <c r="U55" s="50">
        <v>4</v>
      </c>
      <c r="V55" s="50">
        <f>U55/4</f>
        <v>1</v>
      </c>
      <c r="W55" s="61">
        <f>(36+35+29+38)/4</f>
        <v>34.5</v>
      </c>
      <c r="X55" s="50">
        <v>1</v>
      </c>
      <c r="Y55" s="51">
        <f>X55/(U55+X55)</f>
        <v>0.2</v>
      </c>
      <c r="Z55" s="47">
        <f>1-V55</f>
        <v>0</v>
      </c>
      <c r="AA55" s="48">
        <v>40.106884687499999</v>
      </c>
      <c r="AB55" s="49">
        <v>82.719580113700033</v>
      </c>
      <c r="AC55" s="50">
        <v>2</v>
      </c>
      <c r="AD55" s="50">
        <f>AC55/4</f>
        <v>0.5</v>
      </c>
      <c r="AE55" s="61">
        <f>(218+226)/2</f>
        <v>222</v>
      </c>
      <c r="AF55" s="50">
        <v>2</v>
      </c>
      <c r="AG55" s="51">
        <f>AF55/(AC55+AF55)</f>
        <v>0.5</v>
      </c>
      <c r="AH55" s="47">
        <f>1-AD55</f>
        <v>0.5</v>
      </c>
      <c r="AM55" s="29"/>
      <c r="AU55" s="29"/>
      <c r="BC55" s="29"/>
    </row>
    <row r="56" spans="1:55" ht="14.4" thickBot="1" x14ac:dyDescent="0.3">
      <c r="A56" s="47" t="s">
        <v>22</v>
      </c>
      <c r="B56" s="47" t="s">
        <v>26</v>
      </c>
      <c r="C56" s="52">
        <v>31.392469375000001</v>
      </c>
      <c r="D56" s="53">
        <v>82.64852837262103</v>
      </c>
      <c r="E56" s="47">
        <v>4</v>
      </c>
      <c r="F56" s="50">
        <f t="shared" ref="F56:F59" si="134">E56/4</f>
        <v>1</v>
      </c>
      <c r="G56" s="60">
        <f>(38+34+41+33)/4</f>
        <v>36.5</v>
      </c>
      <c r="H56" s="47">
        <v>6</v>
      </c>
      <c r="I56" s="51">
        <f t="shared" ref="I56:I59" si="135">H56/(E56+H56)</f>
        <v>0.6</v>
      </c>
      <c r="J56" s="47">
        <f t="shared" ref="J56:J59" si="136">1-F56</f>
        <v>0</v>
      </c>
      <c r="K56" s="52">
        <v>37.811020468750002</v>
      </c>
      <c r="L56" s="53">
        <v>83.057648861729078</v>
      </c>
      <c r="M56" s="47">
        <v>4</v>
      </c>
      <c r="N56" s="50">
        <f t="shared" ref="N56:N59" si="137">M56/4</f>
        <v>1</v>
      </c>
      <c r="O56" s="60">
        <f>(39+63+61+43)/4</f>
        <v>51.5</v>
      </c>
      <c r="P56" s="47">
        <v>3</v>
      </c>
      <c r="Q56" s="51">
        <f t="shared" ref="Q56:Q59" si="138">P56/(M56+P56)</f>
        <v>0.42857142857142855</v>
      </c>
      <c r="R56" s="47">
        <f t="shared" ref="R56:R59" si="139">1-N56</f>
        <v>0</v>
      </c>
      <c r="S56" s="52">
        <v>35.244886718750003</v>
      </c>
      <c r="T56" s="53">
        <v>82.907030977069979</v>
      </c>
      <c r="U56" s="47">
        <v>4</v>
      </c>
      <c r="V56" s="50">
        <f t="shared" ref="V56:V59" si="140">U56/4</f>
        <v>1</v>
      </c>
      <c r="W56" s="60">
        <f>(38+28+38+34)/4</f>
        <v>34.5</v>
      </c>
      <c r="X56" s="47">
        <v>4</v>
      </c>
      <c r="Y56" s="51">
        <f t="shared" ref="Y56:Y59" si="141">X56/(U56+X56)</f>
        <v>0.5</v>
      </c>
      <c r="Z56" s="47">
        <f t="shared" ref="Z56:Z59" si="142">1-V56</f>
        <v>0</v>
      </c>
      <c r="AA56" s="52">
        <v>39.479332968750001</v>
      </c>
      <c r="AB56" s="53">
        <v>82.636340751339389</v>
      </c>
      <c r="AC56" s="47">
        <v>2</v>
      </c>
      <c r="AD56" s="50">
        <f t="shared" ref="AD56:AD59" si="143">AC56/4</f>
        <v>0.5</v>
      </c>
      <c r="AE56" s="60">
        <f>(213+246)/2</f>
        <v>229.5</v>
      </c>
      <c r="AF56" s="47">
        <v>2</v>
      </c>
      <c r="AG56" s="51">
        <f t="shared" ref="AG56:AG59" si="144">AF56/(AC56+AF56)</f>
        <v>0.5</v>
      </c>
      <c r="AH56" s="47">
        <f t="shared" ref="AH56:AH59" si="145">1-AD56</f>
        <v>0.5</v>
      </c>
      <c r="AM56" s="29"/>
      <c r="AU56" s="29"/>
      <c r="BC56" s="29"/>
    </row>
    <row r="57" spans="1:55" ht="14.4" thickBot="1" x14ac:dyDescent="0.3">
      <c r="A57" s="47" t="s">
        <v>23</v>
      </c>
      <c r="B57" s="47" t="s">
        <v>26</v>
      </c>
      <c r="C57" s="52">
        <v>32.715722968750001</v>
      </c>
      <c r="D57" s="53">
        <v>83.253913159652171</v>
      </c>
      <c r="E57" s="47">
        <v>4</v>
      </c>
      <c r="F57" s="50">
        <f t="shared" si="134"/>
        <v>1</v>
      </c>
      <c r="G57" s="60">
        <f>(56+36+27+40)/4</f>
        <v>39.75</v>
      </c>
      <c r="H57" s="47">
        <v>1</v>
      </c>
      <c r="I57" s="51">
        <f t="shared" si="135"/>
        <v>0.2</v>
      </c>
      <c r="J57" s="47">
        <f t="shared" si="136"/>
        <v>0</v>
      </c>
      <c r="K57" s="52">
        <v>36.273125624999999</v>
      </c>
      <c r="L57" s="53">
        <v>83.185702069227474</v>
      </c>
      <c r="M57" s="47">
        <v>4</v>
      </c>
      <c r="N57" s="50">
        <f t="shared" si="137"/>
        <v>1</v>
      </c>
      <c r="O57" s="60">
        <f>(105+45+88+98)/4</f>
        <v>84</v>
      </c>
      <c r="P57" s="47">
        <v>2</v>
      </c>
      <c r="Q57" s="51">
        <f t="shared" si="138"/>
        <v>0.33333333333333331</v>
      </c>
      <c r="R57" s="47">
        <f t="shared" si="139"/>
        <v>0</v>
      </c>
      <c r="S57" s="52">
        <v>36.432604687500003</v>
      </c>
      <c r="T57" s="53">
        <v>83.19997830682702</v>
      </c>
      <c r="U57" s="47">
        <v>4</v>
      </c>
      <c r="V57" s="50">
        <f t="shared" si="140"/>
        <v>1</v>
      </c>
      <c r="W57" s="60">
        <f>(52+36+26+31)/4</f>
        <v>36.25</v>
      </c>
      <c r="X57" s="47">
        <v>3</v>
      </c>
      <c r="Y57" s="51">
        <f t="shared" si="141"/>
        <v>0.42857142857142855</v>
      </c>
      <c r="Z57" s="47">
        <f t="shared" si="142"/>
        <v>0</v>
      </c>
      <c r="AA57" s="52">
        <v>38.853786562499998</v>
      </c>
      <c r="AB57" s="53">
        <v>82.977565684264746</v>
      </c>
      <c r="AC57" s="47">
        <v>3</v>
      </c>
      <c r="AD57" s="50">
        <f t="shared" si="143"/>
        <v>0.75</v>
      </c>
      <c r="AE57" s="60">
        <f>(145+199+203)/3</f>
        <v>182.33333333333334</v>
      </c>
      <c r="AF57" s="47">
        <v>1</v>
      </c>
      <c r="AG57" s="51">
        <f t="shared" si="144"/>
        <v>0.25</v>
      </c>
      <c r="AH57" s="47">
        <f t="shared" si="145"/>
        <v>0.25</v>
      </c>
      <c r="AM57" s="29"/>
      <c r="AU57" s="29"/>
      <c r="BC57" s="29"/>
    </row>
    <row r="58" spans="1:55" ht="14.4" thickBot="1" x14ac:dyDescent="0.3">
      <c r="A58" s="47" t="s">
        <v>24</v>
      </c>
      <c r="B58" s="47" t="s">
        <v>26</v>
      </c>
      <c r="C58" s="52">
        <v>31.13495140625</v>
      </c>
      <c r="D58" s="53">
        <v>83.198451215898103</v>
      </c>
      <c r="E58" s="47">
        <v>4</v>
      </c>
      <c r="F58" s="50">
        <f t="shared" si="134"/>
        <v>1</v>
      </c>
      <c r="G58" s="60">
        <f>(45+29+39+43)/4</f>
        <v>39</v>
      </c>
      <c r="H58" s="47">
        <v>3</v>
      </c>
      <c r="I58" s="51">
        <f t="shared" si="135"/>
        <v>0.42857142857142855</v>
      </c>
      <c r="J58" s="47">
        <f t="shared" si="136"/>
        <v>0</v>
      </c>
      <c r="K58" s="52">
        <v>39.133263906250001</v>
      </c>
      <c r="L58" s="53">
        <v>83.220991362381042</v>
      </c>
      <c r="M58" s="47">
        <v>4</v>
      </c>
      <c r="N58" s="50">
        <f t="shared" si="137"/>
        <v>1</v>
      </c>
      <c r="O58" s="60">
        <f>(67+129+46+75)/4</f>
        <v>79.25</v>
      </c>
      <c r="P58" s="47">
        <v>1</v>
      </c>
      <c r="Q58" s="51">
        <f t="shared" si="138"/>
        <v>0.2</v>
      </c>
      <c r="R58" s="47">
        <f t="shared" si="139"/>
        <v>0</v>
      </c>
      <c r="S58" s="52">
        <v>37.452298749999997</v>
      </c>
      <c r="T58" s="53">
        <v>83.066079701640163</v>
      </c>
      <c r="U58" s="47">
        <v>4</v>
      </c>
      <c r="V58" s="50">
        <f t="shared" si="140"/>
        <v>1</v>
      </c>
      <c r="W58" s="60">
        <f>(40+24+25+39)/4</f>
        <v>32</v>
      </c>
      <c r="X58" s="47">
        <v>4</v>
      </c>
      <c r="Y58" s="51">
        <f t="shared" si="141"/>
        <v>0.5</v>
      </c>
      <c r="Z58" s="47">
        <f t="shared" si="142"/>
        <v>0</v>
      </c>
      <c r="AA58" s="52">
        <v>38.153079218750001</v>
      </c>
      <c r="AB58" s="53">
        <v>82.975118556099929</v>
      </c>
      <c r="AC58" s="47">
        <v>4</v>
      </c>
      <c r="AD58" s="50">
        <f t="shared" si="143"/>
        <v>1</v>
      </c>
      <c r="AE58" s="60">
        <f>(192+160+198+243)/4</f>
        <v>198.25</v>
      </c>
      <c r="AF58" s="47">
        <v>0</v>
      </c>
      <c r="AG58" s="51">
        <f t="shared" si="144"/>
        <v>0</v>
      </c>
      <c r="AH58" s="47">
        <f t="shared" si="145"/>
        <v>0</v>
      </c>
      <c r="AM58" s="29"/>
      <c r="AU58" s="29"/>
      <c r="BC58" s="29"/>
    </row>
    <row r="59" spans="1:55" ht="14.4" thickBot="1" x14ac:dyDescent="0.3">
      <c r="A59" s="47" t="s">
        <v>25</v>
      </c>
      <c r="B59" s="47" t="s">
        <v>26</v>
      </c>
      <c r="C59" s="54">
        <v>30.59330109375</v>
      </c>
      <c r="D59" s="55">
        <v>83.361438530123323</v>
      </c>
      <c r="E59" s="56">
        <v>4</v>
      </c>
      <c r="F59" s="50">
        <f t="shared" si="134"/>
        <v>1</v>
      </c>
      <c r="G59" s="62">
        <f>(32+49+34+29)/4</f>
        <v>36</v>
      </c>
      <c r="H59" s="56">
        <v>1</v>
      </c>
      <c r="I59" s="51">
        <f t="shared" si="135"/>
        <v>0.2</v>
      </c>
      <c r="J59" s="47">
        <f t="shared" si="136"/>
        <v>0</v>
      </c>
      <c r="K59" s="54">
        <v>35.99876890625</v>
      </c>
      <c r="L59" s="55">
        <v>83.168405271771221</v>
      </c>
      <c r="M59" s="56">
        <v>4</v>
      </c>
      <c r="N59" s="50">
        <f t="shared" si="137"/>
        <v>1</v>
      </c>
      <c r="O59" s="62">
        <f>(33+55+84+42)/4</f>
        <v>53.5</v>
      </c>
      <c r="P59" s="56">
        <v>4</v>
      </c>
      <c r="Q59" s="51">
        <f t="shared" si="138"/>
        <v>0.5</v>
      </c>
      <c r="R59" s="47">
        <f t="shared" si="139"/>
        <v>0</v>
      </c>
      <c r="S59" s="54">
        <v>33.119444062500001</v>
      </c>
      <c r="T59" s="55">
        <v>83.118659245474788</v>
      </c>
      <c r="U59" s="56">
        <v>4</v>
      </c>
      <c r="V59" s="50">
        <f t="shared" si="140"/>
        <v>1</v>
      </c>
      <c r="W59" s="62">
        <f>(30+45+34+18)/4</f>
        <v>31.75</v>
      </c>
      <c r="X59" s="56">
        <v>5</v>
      </c>
      <c r="Y59" s="51">
        <f t="shared" si="141"/>
        <v>0.55555555555555558</v>
      </c>
      <c r="Z59" s="47">
        <f t="shared" si="142"/>
        <v>0</v>
      </c>
      <c r="AA59" s="54">
        <v>38.657223593749997</v>
      </c>
      <c r="AB59" s="55">
        <v>82.950971486876014</v>
      </c>
      <c r="AC59" s="56">
        <v>3</v>
      </c>
      <c r="AD59" s="50">
        <f t="shared" si="143"/>
        <v>0.75</v>
      </c>
      <c r="AE59" s="62">
        <f>(213+236+212)/3</f>
        <v>220.33333333333334</v>
      </c>
      <c r="AF59" s="56">
        <v>1</v>
      </c>
      <c r="AG59" s="51">
        <f t="shared" si="144"/>
        <v>0.25</v>
      </c>
      <c r="AH59" s="47">
        <f t="shared" si="145"/>
        <v>0.25</v>
      </c>
      <c r="AM59" s="29"/>
      <c r="AU59" s="29"/>
      <c r="BC59" s="29"/>
    </row>
    <row r="60" spans="1:55" x14ac:dyDescent="0.25">
      <c r="A60" s="47"/>
      <c r="B60" s="47"/>
      <c r="C60" s="47">
        <f>AVERAGE(C55:C59)</f>
        <v>30.41021271875</v>
      </c>
      <c r="D60" s="47">
        <f t="shared" ref="D60:I60" si="146">AVERAGE(D55:D59)</f>
        <v>83.137067656770455</v>
      </c>
      <c r="E60" s="47">
        <f t="shared" si="146"/>
        <v>4</v>
      </c>
      <c r="F60" s="47">
        <f t="shared" si="146"/>
        <v>1</v>
      </c>
      <c r="G60" s="60">
        <f t="shared" si="146"/>
        <v>37.950000000000003</v>
      </c>
      <c r="H60" s="47">
        <f t="shared" si="146"/>
        <v>2.2000000000000002</v>
      </c>
      <c r="I60" s="47">
        <f t="shared" si="146"/>
        <v>0.2857142857142857</v>
      </c>
      <c r="J60" s="47">
        <f>AVERAGE(J55:J59)</f>
        <v>0</v>
      </c>
      <c r="K60" s="47">
        <f>AVERAGE(K55:K59)</f>
        <v>37.876688281249997</v>
      </c>
      <c r="L60" s="47">
        <f t="shared" ref="L60:Q60" si="147">AVERAGE(L55:L59)</f>
        <v>83.16447823737353</v>
      </c>
      <c r="M60" s="47">
        <f t="shared" si="147"/>
        <v>4</v>
      </c>
      <c r="N60" s="47">
        <f t="shared" si="147"/>
        <v>1</v>
      </c>
      <c r="O60" s="60">
        <f t="shared" si="147"/>
        <v>66.55</v>
      </c>
      <c r="P60" s="47">
        <f t="shared" si="147"/>
        <v>2</v>
      </c>
      <c r="Q60" s="47">
        <f t="shared" si="147"/>
        <v>0.29238095238095235</v>
      </c>
      <c r="R60" s="47">
        <f>AVERAGE(R55:R59)</f>
        <v>0</v>
      </c>
      <c r="S60" s="47">
        <f>AVERAGE(S55:S59)</f>
        <v>36.843442000000003</v>
      </c>
      <c r="T60" s="47">
        <f t="shared" ref="T60:Y60" si="148">AVERAGE(T55:T59)</f>
        <v>83.102213871201002</v>
      </c>
      <c r="U60" s="47">
        <f t="shared" si="148"/>
        <v>4</v>
      </c>
      <c r="V60" s="47">
        <f t="shared" si="148"/>
        <v>1</v>
      </c>
      <c r="W60" s="60">
        <f t="shared" si="148"/>
        <v>33.799999999999997</v>
      </c>
      <c r="X60" s="47">
        <f t="shared" si="148"/>
        <v>3.4</v>
      </c>
      <c r="Y60" s="47">
        <f t="shared" si="148"/>
        <v>0.43682539682539689</v>
      </c>
      <c r="Z60" s="47">
        <f>AVERAGE(Z55:Z59)</f>
        <v>0</v>
      </c>
      <c r="AA60" s="47">
        <f>AVERAGE(AA55:AA59)</f>
        <v>39.050061406250002</v>
      </c>
      <c r="AB60" s="47">
        <f t="shared" ref="AB60:AG60" si="149">AVERAGE(AB55:AB59)</f>
        <v>82.851915318456022</v>
      </c>
      <c r="AC60" s="47">
        <f t="shared" si="149"/>
        <v>2.8</v>
      </c>
      <c r="AD60" s="47">
        <f t="shared" si="149"/>
        <v>0.7</v>
      </c>
      <c r="AE60" s="60">
        <f t="shared" si="149"/>
        <v>210.48333333333335</v>
      </c>
      <c r="AF60" s="47">
        <f t="shared" si="149"/>
        <v>1.2</v>
      </c>
      <c r="AG60" s="47">
        <f t="shared" si="149"/>
        <v>0.3</v>
      </c>
      <c r="AH60" s="47">
        <f>AVERAGE(AH55:AH59)</f>
        <v>0.3</v>
      </c>
      <c r="AM60" s="29"/>
      <c r="AU60" s="29"/>
      <c r="BC60" s="29"/>
    </row>
    <row r="61" spans="1:55" ht="14.4" thickBot="1" x14ac:dyDescent="0.3">
      <c r="A61" s="47"/>
      <c r="B61" s="47"/>
      <c r="C61" s="47"/>
      <c r="D61" s="47"/>
      <c r="E61" s="47"/>
      <c r="F61" s="47"/>
      <c r="G61" s="60"/>
      <c r="H61" s="47"/>
      <c r="I61" s="47"/>
      <c r="J61" s="47"/>
      <c r="K61" s="47"/>
      <c r="L61" s="47"/>
      <c r="M61" s="47"/>
      <c r="N61" s="47"/>
      <c r="O61" s="60"/>
      <c r="P61" s="47"/>
      <c r="Q61" s="47"/>
      <c r="R61" s="47"/>
      <c r="S61" s="47"/>
      <c r="T61" s="47"/>
      <c r="U61" s="47"/>
      <c r="V61" s="47"/>
      <c r="W61" s="60"/>
      <c r="X61" s="47"/>
      <c r="Y61" s="47"/>
      <c r="Z61" s="47"/>
      <c r="AA61" s="47"/>
      <c r="AB61" s="47"/>
      <c r="AC61" s="47"/>
      <c r="AD61" s="47"/>
      <c r="AE61" s="60"/>
      <c r="AF61" s="47"/>
      <c r="AG61" s="47"/>
      <c r="AH61" s="47"/>
      <c r="AM61" s="29"/>
      <c r="AU61" s="29"/>
      <c r="BC61" s="29"/>
    </row>
    <row r="62" spans="1:55" ht="14.4" thickBot="1" x14ac:dyDescent="0.3">
      <c r="A62" s="47" t="s">
        <v>27</v>
      </c>
      <c r="B62" s="47" t="s">
        <v>26</v>
      </c>
      <c r="C62" s="48">
        <v>30.281587187500001</v>
      </c>
      <c r="D62" s="49">
        <v>86.62408965087883</v>
      </c>
      <c r="E62" s="50">
        <v>4</v>
      </c>
      <c r="F62" s="50">
        <f>E62/4</f>
        <v>1</v>
      </c>
      <c r="G62" s="61">
        <f>(34+36+45+35)/4</f>
        <v>37.5</v>
      </c>
      <c r="H62" s="50">
        <v>0</v>
      </c>
      <c r="I62" s="51">
        <f>H62/(E62+H62)</f>
        <v>0</v>
      </c>
      <c r="J62" s="47">
        <f>1-F62</f>
        <v>0</v>
      </c>
      <c r="K62" s="48">
        <v>35.695854687500002</v>
      </c>
      <c r="L62" s="49">
        <v>86.588722184513273</v>
      </c>
      <c r="M62" s="50">
        <v>4</v>
      </c>
      <c r="N62" s="50">
        <f>M62/4</f>
        <v>1</v>
      </c>
      <c r="O62" s="61">
        <f>(35+35+85+34)/4</f>
        <v>47.25</v>
      </c>
      <c r="P62" s="50">
        <v>0</v>
      </c>
      <c r="Q62" s="51">
        <f>P62/(M62+P62)</f>
        <v>0</v>
      </c>
      <c r="R62" s="47">
        <f>1-N62</f>
        <v>0</v>
      </c>
      <c r="S62" s="48">
        <v>35.0659615625</v>
      </c>
      <c r="T62" s="49">
        <v>86.324382058002811</v>
      </c>
      <c r="U62" s="50">
        <v>4</v>
      </c>
      <c r="V62" s="50">
        <f>U62/4</f>
        <v>1</v>
      </c>
      <c r="W62" s="61">
        <f>(32+35+39+34)/4</f>
        <v>35</v>
      </c>
      <c r="X62" s="50">
        <v>1</v>
      </c>
      <c r="Y62" s="51">
        <f>X62/(U62+X62)</f>
        <v>0.2</v>
      </c>
      <c r="Z62" s="47">
        <f>1-V62</f>
        <v>0</v>
      </c>
      <c r="AA62" s="48">
        <v>36.310434687499999</v>
      </c>
      <c r="AB62" s="49">
        <v>85.966780451392836</v>
      </c>
      <c r="AC62" s="50">
        <v>1</v>
      </c>
      <c r="AD62" s="50">
        <f>AC62/4</f>
        <v>0.25</v>
      </c>
      <c r="AE62" s="61">
        <v>228</v>
      </c>
      <c r="AF62" s="50">
        <v>3</v>
      </c>
      <c r="AG62" s="51">
        <f>AF62/(AC62+AF62)</f>
        <v>0.75</v>
      </c>
      <c r="AH62" s="47">
        <f>1-AD62</f>
        <v>0.75</v>
      </c>
      <c r="AM62" s="29"/>
      <c r="AU62" s="29"/>
      <c r="BC62" s="29"/>
    </row>
    <row r="63" spans="1:55" ht="14.4" thickBot="1" x14ac:dyDescent="0.3">
      <c r="A63" s="47" t="s">
        <v>28</v>
      </c>
      <c r="B63" s="47" t="s">
        <v>26</v>
      </c>
      <c r="C63" s="52">
        <v>32.844006406250003</v>
      </c>
      <c r="D63" s="53">
        <v>86.690302605436514</v>
      </c>
      <c r="E63" s="47">
        <v>4</v>
      </c>
      <c r="F63" s="50">
        <f t="shared" ref="F63:F66" si="150">E63/4</f>
        <v>1</v>
      </c>
      <c r="G63" s="60">
        <f>(45+39+49+44)/4</f>
        <v>44.25</v>
      </c>
      <c r="H63" s="47">
        <v>0</v>
      </c>
      <c r="I63" s="51">
        <f t="shared" ref="I63:I66" si="151">H63/(E63+H63)</f>
        <v>0</v>
      </c>
      <c r="J63" s="47">
        <f t="shared" ref="J63:J66" si="152">1-F63</f>
        <v>0</v>
      </c>
      <c r="K63" s="52">
        <v>36.701930781249999</v>
      </c>
      <c r="L63" s="53">
        <v>86.696674308164134</v>
      </c>
      <c r="M63" s="47">
        <v>4</v>
      </c>
      <c r="N63" s="50">
        <f t="shared" ref="N63:N66" si="153">M63/4</f>
        <v>1</v>
      </c>
      <c r="O63" s="60">
        <f>(62+62+73+86)/4</f>
        <v>70.75</v>
      </c>
      <c r="P63" s="47">
        <v>1</v>
      </c>
      <c r="Q63" s="51">
        <f t="shared" ref="Q63:Q66" si="154">P63/(M63+P63)</f>
        <v>0.2</v>
      </c>
      <c r="R63" s="47">
        <f t="shared" ref="R63:R66" si="155">1-N63</f>
        <v>0</v>
      </c>
      <c r="S63" s="52">
        <v>36.63245921875</v>
      </c>
      <c r="T63" s="53">
        <v>86.700589393074011</v>
      </c>
      <c r="U63" s="47">
        <v>4</v>
      </c>
      <c r="V63" s="50">
        <f t="shared" ref="V63:V66" si="156">U63/4</f>
        <v>1</v>
      </c>
      <c r="W63" s="60">
        <f>(41+32+47+44)/4</f>
        <v>41</v>
      </c>
      <c r="X63" s="47">
        <v>0</v>
      </c>
      <c r="Y63" s="51">
        <f t="shared" ref="Y63:Y66" si="157">X63/(U63+X63)</f>
        <v>0</v>
      </c>
      <c r="Z63" s="47">
        <f t="shared" ref="Z63:Z66" si="158">1-V63</f>
        <v>0</v>
      </c>
      <c r="AA63" s="52">
        <v>34.833544375000002</v>
      </c>
      <c r="AB63" s="53">
        <v>86.450136396239941</v>
      </c>
      <c r="AC63" s="47">
        <v>2</v>
      </c>
      <c r="AD63" s="50">
        <f t="shared" ref="AD63:AD66" si="159">AC63/4</f>
        <v>0.5</v>
      </c>
      <c r="AE63" s="60">
        <f>(141+243)/2</f>
        <v>192</v>
      </c>
      <c r="AF63" s="47">
        <v>2</v>
      </c>
      <c r="AG63" s="51">
        <f t="shared" ref="AG63:AG66" si="160">AF63/(AC63+AF63)</f>
        <v>0.5</v>
      </c>
      <c r="AH63" s="47">
        <f t="shared" ref="AH63:AH66" si="161">1-AD63</f>
        <v>0.5</v>
      </c>
      <c r="AM63" s="29"/>
      <c r="AU63" s="29"/>
      <c r="BC63" s="29"/>
    </row>
    <row r="64" spans="1:55" ht="14.4" thickBot="1" x14ac:dyDescent="0.3">
      <c r="A64" s="47" t="s">
        <v>29</v>
      </c>
      <c r="B64" s="47" t="s">
        <v>26</v>
      </c>
      <c r="C64" s="52">
        <v>29.78836328125</v>
      </c>
      <c r="D64" s="53">
        <v>86.779383678893893</v>
      </c>
      <c r="E64" s="47">
        <v>4</v>
      </c>
      <c r="F64" s="50">
        <f t="shared" si="150"/>
        <v>1</v>
      </c>
      <c r="G64" s="60">
        <f>(40+29+29+26)/4</f>
        <v>31</v>
      </c>
      <c r="H64" s="47">
        <v>0</v>
      </c>
      <c r="I64" s="51">
        <f t="shared" si="151"/>
        <v>0</v>
      </c>
      <c r="J64" s="47">
        <f t="shared" si="152"/>
        <v>0</v>
      </c>
      <c r="K64" s="52">
        <v>34.50298734375</v>
      </c>
      <c r="L64" s="53">
        <v>86.939796419416268</v>
      </c>
      <c r="M64" s="47">
        <v>4</v>
      </c>
      <c r="N64" s="50">
        <f t="shared" si="153"/>
        <v>1</v>
      </c>
      <c r="O64" s="60">
        <f>(86+71+36+82)/4</f>
        <v>68.75</v>
      </c>
      <c r="P64" s="47">
        <v>1</v>
      </c>
      <c r="Q64" s="51">
        <f t="shared" si="154"/>
        <v>0.2</v>
      </c>
      <c r="R64" s="47">
        <f t="shared" si="155"/>
        <v>0</v>
      </c>
      <c r="S64" s="52">
        <v>36.951913437499996</v>
      </c>
      <c r="T64" s="53">
        <v>86.774156709098278</v>
      </c>
      <c r="U64" s="47">
        <v>4</v>
      </c>
      <c r="V64" s="50">
        <f t="shared" si="156"/>
        <v>1</v>
      </c>
      <c r="W64" s="60">
        <f>(39+28+36+23)/4</f>
        <v>31.5</v>
      </c>
      <c r="X64" s="47">
        <v>0</v>
      </c>
      <c r="Y64" s="51">
        <f t="shared" si="157"/>
        <v>0</v>
      </c>
      <c r="Z64" s="47">
        <f t="shared" si="158"/>
        <v>0</v>
      </c>
      <c r="AA64" s="52">
        <v>34.241972500000003</v>
      </c>
      <c r="AB64" s="53">
        <v>86.281751676591156</v>
      </c>
      <c r="AC64" s="47">
        <v>4</v>
      </c>
      <c r="AD64" s="50">
        <f t="shared" si="159"/>
        <v>1</v>
      </c>
      <c r="AE64" s="60">
        <f>(225+205+225+211)/4</f>
        <v>216.5</v>
      </c>
      <c r="AF64" s="47">
        <v>0</v>
      </c>
      <c r="AG64" s="51">
        <f t="shared" si="160"/>
        <v>0</v>
      </c>
      <c r="AH64" s="47">
        <f t="shared" si="161"/>
        <v>0</v>
      </c>
      <c r="AM64" s="29"/>
      <c r="AU64" s="29"/>
      <c r="BC64" s="29"/>
    </row>
    <row r="65" spans="1:55" ht="14.4" thickBot="1" x14ac:dyDescent="0.3">
      <c r="A65" s="47" t="s">
        <v>30</v>
      </c>
      <c r="B65" s="47" t="s">
        <v>26</v>
      </c>
      <c r="C65" s="52">
        <v>28.621650781250001</v>
      </c>
      <c r="D65" s="53">
        <v>87.002730061127636</v>
      </c>
      <c r="E65" s="47">
        <v>4</v>
      </c>
      <c r="F65" s="50">
        <f t="shared" si="150"/>
        <v>1</v>
      </c>
      <c r="G65" s="60">
        <f>(37+36+25+47)/4</f>
        <v>36.25</v>
      </c>
      <c r="H65" s="47">
        <v>0</v>
      </c>
      <c r="I65" s="51">
        <f t="shared" si="151"/>
        <v>0</v>
      </c>
      <c r="J65" s="47">
        <f t="shared" si="152"/>
        <v>0</v>
      </c>
      <c r="K65" s="52">
        <v>35.776846093750002</v>
      </c>
      <c r="L65" s="53">
        <v>86.889619376099503</v>
      </c>
      <c r="M65" s="47">
        <v>4</v>
      </c>
      <c r="N65" s="50">
        <f t="shared" si="153"/>
        <v>1</v>
      </c>
      <c r="O65" s="60">
        <f>(83+63+26+53)/4</f>
        <v>56.25</v>
      </c>
      <c r="P65" s="47">
        <v>0</v>
      </c>
      <c r="Q65" s="51">
        <f t="shared" si="154"/>
        <v>0</v>
      </c>
      <c r="R65" s="47">
        <f t="shared" si="155"/>
        <v>0</v>
      </c>
      <c r="S65" s="52">
        <v>36.955807656250002</v>
      </c>
      <c r="T65" s="53">
        <v>86.886899366905354</v>
      </c>
      <c r="U65" s="47">
        <v>4</v>
      </c>
      <c r="V65" s="50">
        <f t="shared" si="156"/>
        <v>1</v>
      </c>
      <c r="W65" s="60">
        <f>(34+33+25+38)/4</f>
        <v>32.5</v>
      </c>
      <c r="X65" s="47">
        <v>0</v>
      </c>
      <c r="Y65" s="51">
        <f t="shared" si="157"/>
        <v>0</v>
      </c>
      <c r="Z65" s="47">
        <f t="shared" si="158"/>
        <v>0</v>
      </c>
      <c r="AA65" s="52">
        <v>35.477325156249996</v>
      </c>
      <c r="AB65" s="53">
        <v>86.448851003051757</v>
      </c>
      <c r="AC65" s="47">
        <v>2</v>
      </c>
      <c r="AD65" s="50">
        <f t="shared" si="159"/>
        <v>0.5</v>
      </c>
      <c r="AE65" s="60">
        <f>(247+149)/2</f>
        <v>198</v>
      </c>
      <c r="AF65" s="47">
        <v>2</v>
      </c>
      <c r="AG65" s="51">
        <f t="shared" si="160"/>
        <v>0.5</v>
      </c>
      <c r="AH65" s="47">
        <f t="shared" si="161"/>
        <v>0.5</v>
      </c>
      <c r="AM65" s="29"/>
      <c r="AU65" s="29"/>
      <c r="BC65" s="29"/>
    </row>
    <row r="66" spans="1:55" ht="14.4" thickBot="1" x14ac:dyDescent="0.3">
      <c r="A66" s="47" t="s">
        <v>31</v>
      </c>
      <c r="B66" s="47" t="s">
        <v>26</v>
      </c>
      <c r="C66" s="54">
        <v>29.237940312500001</v>
      </c>
      <c r="D66" s="55">
        <v>87.056094640689182</v>
      </c>
      <c r="E66" s="56">
        <v>4</v>
      </c>
      <c r="F66" s="50">
        <f t="shared" si="150"/>
        <v>1</v>
      </c>
      <c r="G66" s="62">
        <f>(38+40+37+46)/4</f>
        <v>40.25</v>
      </c>
      <c r="H66" s="56">
        <v>0</v>
      </c>
      <c r="I66" s="51">
        <f t="shared" si="151"/>
        <v>0</v>
      </c>
      <c r="J66" s="47">
        <f t="shared" si="152"/>
        <v>0</v>
      </c>
      <c r="K66" s="54">
        <v>34.163820000000001</v>
      </c>
      <c r="L66" s="55">
        <v>86.543585846814594</v>
      </c>
      <c r="M66" s="56">
        <v>4</v>
      </c>
      <c r="N66" s="50">
        <f t="shared" si="153"/>
        <v>1</v>
      </c>
      <c r="O66" s="62">
        <f>(36+51+47+46)/4</f>
        <v>45</v>
      </c>
      <c r="P66" s="56">
        <v>2</v>
      </c>
      <c r="Q66" s="51">
        <f t="shared" si="154"/>
        <v>0.33333333333333331</v>
      </c>
      <c r="R66" s="47">
        <f t="shared" si="155"/>
        <v>0</v>
      </c>
      <c r="S66" s="54">
        <v>36.260624999999997</v>
      </c>
      <c r="T66" s="55">
        <v>87.076280674288512</v>
      </c>
      <c r="U66" s="56">
        <v>4</v>
      </c>
      <c r="V66" s="50">
        <f t="shared" si="156"/>
        <v>1</v>
      </c>
      <c r="W66" s="62">
        <f>(35+31+34+45)/4</f>
        <v>36.25</v>
      </c>
      <c r="X66" s="56">
        <v>0</v>
      </c>
      <c r="Y66" s="51">
        <f t="shared" si="157"/>
        <v>0</v>
      </c>
      <c r="Z66" s="47">
        <f t="shared" si="158"/>
        <v>0</v>
      </c>
      <c r="AA66" s="54">
        <v>34.323639687499998</v>
      </c>
      <c r="AB66" s="55">
        <v>86.732497434567847</v>
      </c>
      <c r="AC66" s="56">
        <v>3</v>
      </c>
      <c r="AD66" s="50">
        <f t="shared" si="159"/>
        <v>0.75</v>
      </c>
      <c r="AE66" s="62">
        <f>(165+247+239)/3</f>
        <v>217</v>
      </c>
      <c r="AF66" s="56">
        <v>1</v>
      </c>
      <c r="AG66" s="51">
        <f t="shared" si="160"/>
        <v>0.25</v>
      </c>
      <c r="AH66" s="47">
        <f t="shared" si="161"/>
        <v>0.25</v>
      </c>
      <c r="AM66" s="29"/>
      <c r="AU66" s="29"/>
      <c r="BC66" s="29"/>
    </row>
    <row r="67" spans="1:55" x14ac:dyDescent="0.25">
      <c r="A67" s="47"/>
      <c r="B67" s="47"/>
      <c r="C67" s="47">
        <f>AVERAGE(C62:C66)</f>
        <v>30.154709593749999</v>
      </c>
      <c r="D67" s="47">
        <f t="shared" ref="D67:I67" si="162">AVERAGE(D62:D66)</f>
        <v>86.830520127405208</v>
      </c>
      <c r="E67" s="47">
        <f t="shared" si="162"/>
        <v>4</v>
      </c>
      <c r="F67" s="47">
        <f t="shared" si="162"/>
        <v>1</v>
      </c>
      <c r="G67" s="60">
        <f t="shared" si="162"/>
        <v>37.85</v>
      </c>
      <c r="H67" s="47">
        <f t="shared" si="162"/>
        <v>0</v>
      </c>
      <c r="I67" s="47">
        <f t="shared" si="162"/>
        <v>0</v>
      </c>
      <c r="J67" s="47">
        <f>AVERAGE(J62:J66)</f>
        <v>0</v>
      </c>
      <c r="K67" s="47">
        <f>AVERAGE(K62:K66)</f>
        <v>35.368287781250004</v>
      </c>
      <c r="L67" s="47">
        <f t="shared" ref="L67:Q67" si="163">AVERAGE(L62:L66)</f>
        <v>86.731679627001569</v>
      </c>
      <c r="M67" s="47">
        <f t="shared" si="163"/>
        <v>4</v>
      </c>
      <c r="N67" s="47">
        <f t="shared" si="163"/>
        <v>1</v>
      </c>
      <c r="O67" s="60">
        <f t="shared" si="163"/>
        <v>57.6</v>
      </c>
      <c r="P67" s="47">
        <f t="shared" si="163"/>
        <v>0.8</v>
      </c>
      <c r="Q67" s="47">
        <f t="shared" si="163"/>
        <v>0.14666666666666667</v>
      </c>
      <c r="R67" s="47">
        <f>AVERAGE(R62:R66)</f>
        <v>0</v>
      </c>
      <c r="S67" s="47">
        <f>AVERAGE(S62:S66)</f>
        <v>36.373353375000001</v>
      </c>
      <c r="T67" s="47">
        <f t="shared" ref="T67:Y67" si="164">AVERAGE(T62:T66)</f>
        <v>86.752461640273793</v>
      </c>
      <c r="U67" s="47">
        <f t="shared" si="164"/>
        <v>4</v>
      </c>
      <c r="V67" s="47">
        <f t="shared" si="164"/>
        <v>1</v>
      </c>
      <c r="W67" s="60">
        <f t="shared" si="164"/>
        <v>35.25</v>
      </c>
      <c r="X67" s="47">
        <f t="shared" si="164"/>
        <v>0.2</v>
      </c>
      <c r="Y67" s="47">
        <f t="shared" si="164"/>
        <v>0.04</v>
      </c>
      <c r="Z67" s="47">
        <f>AVERAGE(Z62:Z66)</f>
        <v>0</v>
      </c>
      <c r="AA67" s="47">
        <f>AVERAGE(AA62:AA66)</f>
        <v>35.037383281250001</v>
      </c>
      <c r="AB67" s="47">
        <f t="shared" ref="AB67:AG67" si="165">AVERAGE(AB62:AB66)</f>
        <v>86.376003392368702</v>
      </c>
      <c r="AC67" s="47">
        <f t="shared" si="165"/>
        <v>2.4</v>
      </c>
      <c r="AD67" s="47">
        <f t="shared" si="165"/>
        <v>0.6</v>
      </c>
      <c r="AE67" s="60">
        <f t="shared" si="165"/>
        <v>210.3</v>
      </c>
      <c r="AF67" s="47">
        <f t="shared" si="165"/>
        <v>1.6</v>
      </c>
      <c r="AG67" s="47">
        <f t="shared" si="165"/>
        <v>0.4</v>
      </c>
      <c r="AH67" s="47">
        <f>AVERAGE(AH62:AH66)</f>
        <v>0.4</v>
      </c>
      <c r="AM67" s="29"/>
      <c r="AU67" s="29"/>
      <c r="BC67" s="29"/>
    </row>
    <row r="68" spans="1:55" x14ac:dyDescent="0.25">
      <c r="A68" s="47"/>
      <c r="B68" s="47"/>
      <c r="C68" s="47">
        <f>AVERAGE(C46,C53,C60,C67)</f>
        <v>33.932907164062499</v>
      </c>
      <c r="D68" s="47">
        <f t="shared" ref="D68:I68" si="166">AVERAGE(D46,D53,D60,D67)</f>
        <v>86.458499521989665</v>
      </c>
      <c r="E68" s="47">
        <f t="shared" si="166"/>
        <v>3.5</v>
      </c>
      <c r="F68" s="47">
        <f t="shared" si="166"/>
        <v>1</v>
      </c>
      <c r="G68" s="60">
        <f t="shared" si="166"/>
        <v>137.29999999999998</v>
      </c>
      <c r="H68" s="47">
        <f t="shared" si="166"/>
        <v>0.70000000000000007</v>
      </c>
      <c r="I68" s="47">
        <f t="shared" si="166"/>
        <v>0.10392857142857143</v>
      </c>
      <c r="J68" s="47">
        <f>AVERAGE(J46,J53,J60,J67)</f>
        <v>0</v>
      </c>
      <c r="K68" s="47">
        <f>AVERAGE(K46,K53,K60,K67)</f>
        <v>39.429182242187494</v>
      </c>
      <c r="L68" s="47">
        <f t="shared" ref="L68:Q68" si="167">AVERAGE(L46,L53,L60,L67)</f>
        <v>86.421275819098952</v>
      </c>
      <c r="M68" s="47">
        <f t="shared" si="167"/>
        <v>3.5</v>
      </c>
      <c r="N68" s="47">
        <f t="shared" si="167"/>
        <v>1</v>
      </c>
      <c r="O68" s="60">
        <f t="shared" si="167"/>
        <v>124.43750000000001</v>
      </c>
      <c r="P68" s="47">
        <f t="shared" si="167"/>
        <v>1</v>
      </c>
      <c r="Q68" s="47">
        <f t="shared" si="167"/>
        <v>0.16726190476190478</v>
      </c>
      <c r="R68" s="47">
        <f>AVERAGE(R46,R53,R60,R67)</f>
        <v>0</v>
      </c>
      <c r="S68" s="47">
        <f>AVERAGE(S46,S53,S60,S67)</f>
        <v>40.054779062500003</v>
      </c>
      <c r="T68" s="47">
        <f t="shared" ref="T68:Y68" si="168">AVERAGE(T46,T53,T60,T67)</f>
        <v>86.441264194830168</v>
      </c>
      <c r="U68" s="47">
        <f t="shared" si="168"/>
        <v>3.5</v>
      </c>
      <c r="V68" s="47">
        <f t="shared" si="168"/>
        <v>1</v>
      </c>
      <c r="W68" s="60">
        <f t="shared" si="168"/>
        <v>108.19583333333333</v>
      </c>
      <c r="X68" s="47">
        <f t="shared" si="168"/>
        <v>1.1000000000000001</v>
      </c>
      <c r="Y68" s="47">
        <f t="shared" si="168"/>
        <v>0.16420634920634924</v>
      </c>
      <c r="Z68" s="47">
        <f>AVERAGE(Z46,Z53,Z60,Z67)</f>
        <v>0</v>
      </c>
      <c r="AA68" s="47">
        <f>AVERAGE(AA46,AA53,AA60,AA67)</f>
        <v>39.918764484375004</v>
      </c>
      <c r="AB68" s="47">
        <f t="shared" ref="AB68:AG68" si="169">AVERAGE(AB46,AB53,AB60,AB67)</f>
        <v>86.140888220232142</v>
      </c>
      <c r="AC68" s="47">
        <f t="shared" si="169"/>
        <v>2.5</v>
      </c>
      <c r="AD68" s="47">
        <f t="shared" si="169"/>
        <v>0.72499999999999998</v>
      </c>
      <c r="AE68" s="60">
        <f t="shared" si="169"/>
        <v>432.42916666666667</v>
      </c>
      <c r="AF68" s="47">
        <f t="shared" si="169"/>
        <v>1</v>
      </c>
      <c r="AG68" s="47">
        <f t="shared" si="169"/>
        <v>0.27500000000000002</v>
      </c>
      <c r="AH68" s="47">
        <f>AVERAGE(AH46,AH53,AH60,AH67)</f>
        <v>0.27500000000000002</v>
      </c>
      <c r="AM68" s="29"/>
      <c r="AU68" s="29"/>
      <c r="BC68" s="29"/>
    </row>
    <row r="69" spans="1:55" ht="14.4" thickBot="1" x14ac:dyDescent="0.3">
      <c r="A69" s="47"/>
      <c r="B69" s="47"/>
      <c r="C69" s="47" t="s">
        <v>2</v>
      </c>
      <c r="D69" s="47" t="s">
        <v>7</v>
      </c>
      <c r="E69" s="47" t="s">
        <v>37</v>
      </c>
      <c r="F69" s="47"/>
      <c r="G69" s="60"/>
      <c r="H69" s="47"/>
      <c r="I69" s="47"/>
      <c r="K69" s="47" t="s">
        <v>2</v>
      </c>
      <c r="L69" s="47" t="s">
        <v>7</v>
      </c>
      <c r="M69" s="47" t="s">
        <v>37</v>
      </c>
      <c r="N69" s="47"/>
      <c r="O69" s="60"/>
      <c r="P69" s="47"/>
      <c r="Q69" s="47"/>
      <c r="R69" s="47"/>
      <c r="S69" s="47" t="s">
        <v>2</v>
      </c>
      <c r="T69" s="47" t="s">
        <v>7</v>
      </c>
      <c r="U69" s="47" t="s">
        <v>37</v>
      </c>
      <c r="V69" s="47"/>
      <c r="W69" s="60"/>
      <c r="X69" s="47"/>
      <c r="Y69" s="47"/>
      <c r="AA69" s="47" t="s">
        <v>2</v>
      </c>
      <c r="AB69" s="47" t="s">
        <v>7</v>
      </c>
      <c r="AC69" s="47" t="s">
        <v>37</v>
      </c>
      <c r="AD69" s="47"/>
      <c r="AE69" s="60"/>
      <c r="AF69" s="47"/>
      <c r="AG69" s="47"/>
      <c r="AM69" s="29"/>
      <c r="AU69" s="29"/>
      <c r="BC69" s="29"/>
    </row>
    <row r="70" spans="1:55" x14ac:dyDescent="0.25">
      <c r="A70" s="47" t="s">
        <v>32</v>
      </c>
      <c r="B70" s="47"/>
      <c r="C70" s="48">
        <v>122.82360609010011</v>
      </c>
      <c r="D70" s="49">
        <v>65.735764547372867</v>
      </c>
      <c r="E70" s="57">
        <v>4.4493882091212458E-3</v>
      </c>
      <c r="F70" s="47"/>
      <c r="G70" s="60"/>
      <c r="H70" s="47"/>
      <c r="I70" s="47"/>
      <c r="K70" s="48">
        <v>31.744727938450129</v>
      </c>
      <c r="L70" s="49">
        <v>66.50831251683438</v>
      </c>
      <c r="M70" s="57">
        <v>3.2628846866889133E-2</v>
      </c>
      <c r="N70" s="47"/>
      <c r="O70" s="60"/>
      <c r="P70" s="47"/>
      <c r="Q70" s="47"/>
      <c r="R70" s="47"/>
      <c r="S70" s="48">
        <v>7.4353680014831296</v>
      </c>
      <c r="T70" s="49">
        <v>66.281576769335402</v>
      </c>
      <c r="U70" s="57">
        <v>0.2417500926955877</v>
      </c>
      <c r="V70" s="47"/>
      <c r="W70" s="60"/>
      <c r="X70" s="47"/>
      <c r="Y70" s="47"/>
      <c r="AA70" s="48">
        <v>90.583310159436408</v>
      </c>
      <c r="AB70" s="49">
        <v>66.314687491481067</v>
      </c>
      <c r="AC70" s="57">
        <v>4.82017055988135E-3</v>
      </c>
      <c r="AD70" s="47"/>
      <c r="AE70" s="60"/>
      <c r="AF70" s="47"/>
      <c r="AG70" s="47"/>
      <c r="AM70" s="29"/>
      <c r="AU70" s="29"/>
      <c r="BC70" s="29"/>
    </row>
    <row r="71" spans="1:55" x14ac:dyDescent="0.25">
      <c r="A71" s="47" t="s">
        <v>34</v>
      </c>
      <c r="B71" s="47"/>
      <c r="C71" s="52">
        <v>9.470884592222987</v>
      </c>
      <c r="D71" s="53">
        <v>83.928009061797638</v>
      </c>
      <c r="E71" s="58">
        <v>0.5908465244322092</v>
      </c>
      <c r="F71" s="47"/>
      <c r="G71" s="60"/>
      <c r="H71" s="47"/>
      <c r="I71" s="47"/>
      <c r="K71" s="52">
        <v>14.245956641431521</v>
      </c>
      <c r="L71" s="53">
        <v>86.517052516704069</v>
      </c>
      <c r="M71" s="58">
        <v>1.2715072264280798</v>
      </c>
      <c r="N71" s="47"/>
      <c r="O71" s="60"/>
      <c r="P71" s="47"/>
      <c r="Q71" s="47"/>
      <c r="R71" s="47"/>
      <c r="S71" s="52">
        <v>9.8665476600137652</v>
      </c>
      <c r="T71" s="53">
        <v>85.425335362503972</v>
      </c>
      <c r="U71" s="58">
        <v>0.80591878871300759</v>
      </c>
      <c r="V71" s="47"/>
      <c r="W71" s="60"/>
      <c r="X71" s="47"/>
      <c r="Y71" s="47"/>
      <c r="AA71" s="52">
        <v>14.225433370612526</v>
      </c>
      <c r="AB71" s="53">
        <v>81.04302868580541</v>
      </c>
      <c r="AC71" s="58">
        <v>3.0970406056434963E-2</v>
      </c>
      <c r="AD71" s="47"/>
      <c r="AE71" s="60"/>
      <c r="AF71" s="47"/>
      <c r="AG71" s="47"/>
      <c r="AM71" s="29"/>
      <c r="AU71" s="29"/>
      <c r="BC71" s="29"/>
    </row>
    <row r="72" spans="1:55" x14ac:dyDescent="0.25">
      <c r="A72" s="47" t="s">
        <v>35</v>
      </c>
      <c r="B72" s="47"/>
      <c r="C72" s="52">
        <v>0.60001376651982374</v>
      </c>
      <c r="D72" s="53">
        <v>86.560773957117405</v>
      </c>
      <c r="E72" s="58">
        <v>0.3788546255506608</v>
      </c>
      <c r="F72" s="47"/>
      <c r="G72" s="60"/>
      <c r="H72" s="47"/>
      <c r="I72" s="47"/>
      <c r="K72" s="52">
        <v>0.77003028634361237</v>
      </c>
      <c r="L72" s="53">
        <v>86.94309090662604</v>
      </c>
      <c r="M72" s="58">
        <v>0.92511013215859028</v>
      </c>
      <c r="N72" s="47"/>
      <c r="O72" s="60"/>
      <c r="P72" s="47"/>
      <c r="Q72" s="47"/>
      <c r="R72" s="47"/>
      <c r="S72" s="52">
        <v>0.62555066079295152</v>
      </c>
      <c r="T72" s="53">
        <v>86.809790167646341</v>
      </c>
      <c r="U72" s="58">
        <v>0.51541850220264318</v>
      </c>
      <c r="V72" s="47"/>
      <c r="W72" s="60"/>
      <c r="X72" s="47"/>
      <c r="Y72" s="47"/>
      <c r="AA72" s="52">
        <v>0.70835627753303965</v>
      </c>
      <c r="AB72" s="53">
        <v>84.707120559092289</v>
      </c>
      <c r="AC72" s="58">
        <v>2.643171806167401E-2</v>
      </c>
      <c r="AD72" s="47"/>
      <c r="AE72" s="60"/>
      <c r="AF72" s="47"/>
      <c r="AG72" s="47"/>
      <c r="AM72" s="29"/>
      <c r="AU72" s="29"/>
      <c r="BC72" s="29"/>
    </row>
    <row r="73" spans="1:55" x14ac:dyDescent="0.25">
      <c r="A73" s="47" t="s">
        <v>33</v>
      </c>
      <c r="B73" s="47"/>
      <c r="C73" s="52">
        <v>3.766845761996624</v>
      </c>
      <c r="D73" s="53">
        <v>75.477829238780515</v>
      </c>
      <c r="E73" s="58">
        <v>0.2703158910055462</v>
      </c>
      <c r="F73" s="47"/>
      <c r="G73" s="60"/>
      <c r="H73" s="47"/>
      <c r="I73" s="47"/>
      <c r="K73" s="52">
        <v>5.394746955630576</v>
      </c>
      <c r="L73" s="53">
        <v>77.088196303889006</v>
      </c>
      <c r="M73" s="58">
        <v>0.61851941162285995</v>
      </c>
      <c r="N73" s="47"/>
      <c r="O73" s="60"/>
      <c r="P73" s="47"/>
      <c r="Q73" s="47"/>
      <c r="R73" s="47"/>
      <c r="S73" s="52">
        <v>4.2876326259946946</v>
      </c>
      <c r="T73" s="53">
        <v>77.752444906191528</v>
      </c>
      <c r="U73" s="58">
        <v>0.53315649867374004</v>
      </c>
      <c r="V73" s="47"/>
      <c r="W73" s="60"/>
      <c r="X73" s="47"/>
      <c r="Y73" s="47"/>
      <c r="AA73" s="52">
        <v>4.3909075837955145</v>
      </c>
      <c r="AB73" s="53">
        <v>72.169558029439898</v>
      </c>
      <c r="AC73" s="58">
        <v>9.7178683385579931E-2</v>
      </c>
      <c r="AD73" s="47"/>
      <c r="AE73" s="60"/>
      <c r="AF73" s="47"/>
      <c r="AG73" s="47"/>
      <c r="AM73" s="29"/>
      <c r="AU73" s="29"/>
      <c r="BC73" s="29"/>
    </row>
    <row r="74" spans="1:55" ht="14.4" thickBot="1" x14ac:dyDescent="0.3">
      <c r="A74" s="47" t="s">
        <v>36</v>
      </c>
      <c r="B74" s="47"/>
      <c r="C74" s="54">
        <v>1.5927526595744681</v>
      </c>
      <c r="D74" s="55">
        <v>90.744434664212463</v>
      </c>
      <c r="E74" s="59">
        <v>4.2553191489361701E-2</v>
      </c>
      <c r="F74" s="47"/>
      <c r="G74" s="60"/>
      <c r="H74" s="47"/>
      <c r="I74" s="47"/>
      <c r="K74" s="54">
        <v>1.6722074468085106</v>
      </c>
      <c r="L74" s="55">
        <v>90.778239392942226</v>
      </c>
      <c r="M74" s="59">
        <v>0.21276595744680851</v>
      </c>
      <c r="N74" s="47"/>
      <c r="O74" s="60"/>
      <c r="P74" s="47"/>
      <c r="Q74" s="47"/>
      <c r="R74" s="47"/>
      <c r="S74" s="54">
        <v>1.7253989361702127</v>
      </c>
      <c r="T74" s="55">
        <v>90.510202187694034</v>
      </c>
      <c r="U74" s="59">
        <v>0.1702127659574468</v>
      </c>
      <c r="V74" s="47"/>
      <c r="W74" s="60"/>
      <c r="X74" s="47"/>
      <c r="Y74" s="47"/>
      <c r="AA74" s="54">
        <v>1.6489361702127661</v>
      </c>
      <c r="AB74" s="55">
        <v>88.823898540517376</v>
      </c>
      <c r="AC74" s="59">
        <v>4.2553191489361701E-2</v>
      </c>
      <c r="AD74" s="47"/>
      <c r="AE74" s="60"/>
      <c r="AF74" s="47"/>
      <c r="AG74" s="47"/>
      <c r="AM74" s="29"/>
      <c r="AU74" s="29"/>
      <c r="BC74" s="29"/>
    </row>
    <row r="75" spans="1:55" x14ac:dyDescent="0.25">
      <c r="C75" s="47">
        <f>AVERAGE(C70:C74)</f>
        <v>27.650820574082804</v>
      </c>
      <c r="D75" s="47">
        <f t="shared" ref="D75:E75" si="170">AVERAGE(D70:D74)</f>
        <v>80.489362293856175</v>
      </c>
      <c r="E75" s="47">
        <f t="shared" si="170"/>
        <v>0.25740392413737989</v>
      </c>
      <c r="F75" s="47"/>
      <c r="G75" s="60"/>
      <c r="H75" s="47"/>
      <c r="I75" s="47"/>
      <c r="K75" s="47">
        <f>AVERAGE(K70:K74)</f>
        <v>10.765533853732871</v>
      </c>
      <c r="L75" s="47">
        <f t="shared" ref="L75:M75" si="171">AVERAGE(L70:L74)</f>
        <v>81.566978327399141</v>
      </c>
      <c r="M75" s="47">
        <f t="shared" si="171"/>
        <v>0.61210631490464551</v>
      </c>
      <c r="N75" s="47"/>
      <c r="O75" s="60"/>
      <c r="P75" s="47"/>
      <c r="Q75" s="47"/>
      <c r="R75" s="47"/>
      <c r="S75" s="47">
        <f>AVERAGE(S70:S74)</f>
        <v>4.7880995768909509</v>
      </c>
      <c r="T75" s="47">
        <f t="shared" ref="T75:U75" si="172">AVERAGE(T70:T74)</f>
        <v>81.355869878674255</v>
      </c>
      <c r="U75" s="47">
        <f t="shared" si="172"/>
        <v>0.45329132964848506</v>
      </c>
      <c r="V75" s="47"/>
      <c r="W75" s="60"/>
      <c r="X75" s="47"/>
      <c r="Y75" s="47"/>
      <c r="AA75" s="47">
        <f>AVERAGE(AA70:AA74)</f>
        <v>22.311388712318049</v>
      </c>
      <c r="AB75" s="47">
        <f t="shared" ref="AB75:AC75" si="173">AVERAGE(AB70:AB74)</f>
        <v>78.611658661267214</v>
      </c>
      <c r="AC75" s="47">
        <f t="shared" si="173"/>
        <v>4.0390833910586392E-2</v>
      </c>
      <c r="AD75" s="47"/>
      <c r="AE75" s="60"/>
      <c r="AF75" s="47"/>
      <c r="AG75" s="47"/>
      <c r="AU75" s="29"/>
      <c r="BC75" s="29"/>
    </row>
  </sheetData>
  <mergeCells count="10">
    <mergeCell ref="C39:I39"/>
    <mergeCell ref="K39:Q39"/>
    <mergeCell ref="S39:Y39"/>
    <mergeCell ref="AA1:AG1"/>
    <mergeCell ref="AI1:AO1"/>
    <mergeCell ref="AQ1:AW1"/>
    <mergeCell ref="AA39:AG39"/>
    <mergeCell ref="C1:I1"/>
    <mergeCell ref="K1:Q1"/>
    <mergeCell ref="S1:Y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4F813-AA52-49CE-90F3-A997D8BBE5AE}">
  <dimension ref="A1:Y88"/>
  <sheetViews>
    <sheetView zoomScale="85" zoomScaleNormal="85" workbookViewId="0">
      <selection activeCell="M84" sqref="M84"/>
    </sheetView>
  </sheetViews>
  <sheetFormatPr defaultRowHeight="13.8" x14ac:dyDescent="0.25"/>
  <cols>
    <col min="2" max="2" width="12.77734375" bestFit="1" customWidth="1"/>
    <col min="3" max="4" width="11.21875" bestFit="1" customWidth="1"/>
    <col min="5" max="6" width="10.6640625" bestFit="1" customWidth="1"/>
    <col min="7" max="11" width="11.21875" bestFit="1" customWidth="1"/>
    <col min="14" max="14" width="12.88671875" bestFit="1" customWidth="1"/>
    <col min="15" max="23" width="11.21875" bestFit="1" customWidth="1"/>
  </cols>
  <sheetData>
    <row r="1" spans="1:23" x14ac:dyDescent="0.25">
      <c r="A1" s="79" t="s">
        <v>87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</row>
    <row r="2" spans="1:23" x14ac:dyDescent="0.25">
      <c r="A2" s="80" t="s">
        <v>85</v>
      </c>
      <c r="B2" s="80"/>
      <c r="C2" s="80"/>
      <c r="D2" s="80"/>
      <c r="E2" s="80"/>
      <c r="F2" s="80"/>
      <c r="G2" s="80"/>
      <c r="H2" s="80"/>
      <c r="I2" s="80"/>
      <c r="J2" s="80"/>
      <c r="K2" s="80"/>
      <c r="M2" s="80" t="s">
        <v>86</v>
      </c>
      <c r="N2" s="80"/>
      <c r="O2" s="80"/>
      <c r="P2" s="80"/>
      <c r="Q2" s="80"/>
      <c r="R2" s="80"/>
      <c r="S2" s="80"/>
      <c r="T2" s="80"/>
      <c r="U2" s="80"/>
      <c r="V2" s="80"/>
      <c r="W2" s="80"/>
    </row>
    <row r="3" spans="1:23" x14ac:dyDescent="0.25">
      <c r="A3" s="1" t="s">
        <v>7</v>
      </c>
      <c r="B3" s="1" t="s">
        <v>45</v>
      </c>
      <c r="C3" s="1" t="s">
        <v>50</v>
      </c>
      <c r="D3" s="1" t="s">
        <v>1</v>
      </c>
      <c r="E3" s="1" t="s">
        <v>38</v>
      </c>
      <c r="F3" s="1" t="s">
        <v>40</v>
      </c>
      <c r="G3" s="1" t="s">
        <v>41</v>
      </c>
      <c r="H3" s="1" t="s">
        <v>42</v>
      </c>
      <c r="I3" s="1" t="s">
        <v>49</v>
      </c>
      <c r="J3" s="1" t="s">
        <v>43</v>
      </c>
      <c r="K3" s="1" t="s">
        <v>51</v>
      </c>
      <c r="M3" s="1" t="s">
        <v>7</v>
      </c>
      <c r="N3" s="1" t="s">
        <v>45</v>
      </c>
      <c r="O3" s="1" t="s">
        <v>50</v>
      </c>
      <c r="P3" s="1" t="s">
        <v>1</v>
      </c>
      <c r="Q3" s="1" t="s">
        <v>38</v>
      </c>
      <c r="R3" s="1" t="s">
        <v>40</v>
      </c>
      <c r="S3" s="1" t="s">
        <v>41</v>
      </c>
      <c r="T3" s="1" t="s">
        <v>42</v>
      </c>
      <c r="U3" s="1" t="s">
        <v>49</v>
      </c>
      <c r="V3" s="1" t="s">
        <v>43</v>
      </c>
      <c r="W3" s="1" t="s">
        <v>51</v>
      </c>
    </row>
    <row r="4" spans="1:23" x14ac:dyDescent="0.25">
      <c r="A4" t="s">
        <v>52</v>
      </c>
      <c r="B4">
        <v>83.86558522533781</v>
      </c>
      <c r="C4">
        <v>83.863332184415185</v>
      </c>
      <c r="D4">
        <v>83.862551122336896</v>
      </c>
      <c r="E4">
        <v>83.841487546098676</v>
      </c>
      <c r="F4">
        <v>83.833370969374215</v>
      </c>
      <c r="G4">
        <v>83.909160313865826</v>
      </c>
      <c r="H4">
        <v>82.916146812424898</v>
      </c>
      <c r="I4">
        <v>83.860795701914668</v>
      </c>
      <c r="J4">
        <v>83.847448291230478</v>
      </c>
      <c r="K4">
        <v>83.820807644085164</v>
      </c>
      <c r="M4" t="s">
        <v>52</v>
      </c>
      <c r="N4">
        <v>86.577397910040474</v>
      </c>
      <c r="O4">
        <v>86.572982262686352</v>
      </c>
      <c r="P4">
        <v>86.412817465509548</v>
      </c>
      <c r="Q4">
        <v>86.365475197435799</v>
      </c>
      <c r="R4">
        <v>86.199423387845172</v>
      </c>
      <c r="S4">
        <v>86.561460172810726</v>
      </c>
      <c r="T4">
        <v>86.335507862826859</v>
      </c>
      <c r="U4">
        <v>86.433937101970798</v>
      </c>
      <c r="V4">
        <v>86.435978115434139</v>
      </c>
      <c r="W4">
        <v>86.188674817146421</v>
      </c>
    </row>
    <row r="5" spans="1:23" x14ac:dyDescent="0.25">
      <c r="B5">
        <f>RANK(B4,B4:K4)</f>
        <v>2</v>
      </c>
      <c r="C5">
        <f>RANK(C4,B4:K4)</f>
        <v>3</v>
      </c>
      <c r="D5">
        <f>RANK(D4,B4:K4)</f>
        <v>4</v>
      </c>
      <c r="E5">
        <f>RANK(E4,B4:K4)</f>
        <v>7</v>
      </c>
      <c r="F5">
        <f>RANK(F4,B4:K4)</f>
        <v>8</v>
      </c>
      <c r="G5">
        <f>RANK(G4,B4:K4)</f>
        <v>1</v>
      </c>
      <c r="H5">
        <f>RANK(H4,B4:K4)</f>
        <v>10</v>
      </c>
      <c r="I5">
        <f>RANK(I4,B4:K4)</f>
        <v>5</v>
      </c>
      <c r="J5">
        <f>RANK(J4,B4:K4)</f>
        <v>6</v>
      </c>
      <c r="K5">
        <f>RANK(K4,B4:K4)</f>
        <v>9</v>
      </c>
      <c r="N5">
        <f>RANK(N4,N4:W4)</f>
        <v>1</v>
      </c>
      <c r="O5">
        <f>RANK(O4,N4:W4)</f>
        <v>2</v>
      </c>
      <c r="P5">
        <f>RANK(P4,N4:W4)</f>
        <v>6</v>
      </c>
      <c r="Q5">
        <f>RANK(Q4,N4:W4)</f>
        <v>7</v>
      </c>
      <c r="R5">
        <f>RANK(R4,N4:W4)</f>
        <v>9</v>
      </c>
      <c r="S5">
        <f>RANK(S4,N4:W4)</f>
        <v>3</v>
      </c>
      <c r="T5">
        <f>RANK(T4,N4:W4)</f>
        <v>8</v>
      </c>
      <c r="U5">
        <f>RANK(U4,N4:W4)</f>
        <v>5</v>
      </c>
      <c r="V5">
        <f>RANK(V4,N4:W4)</f>
        <v>4</v>
      </c>
      <c r="W5">
        <f>RANK(W4,N4:W4)</f>
        <v>10</v>
      </c>
    </row>
    <row r="6" spans="1:23" x14ac:dyDescent="0.25">
      <c r="A6" t="s">
        <v>53</v>
      </c>
      <c r="B6">
        <v>83.836356124845381</v>
      </c>
      <c r="C6">
        <v>83.850560687564851</v>
      </c>
      <c r="D6">
        <v>83.787210014701472</v>
      </c>
      <c r="E6">
        <v>83.766820688682898</v>
      </c>
      <c r="F6">
        <v>83.784910484608432</v>
      </c>
      <c r="G6">
        <v>83.873220275316768</v>
      </c>
      <c r="H6">
        <v>83.618808906455016</v>
      </c>
      <c r="I6">
        <v>83.725792887507367</v>
      </c>
      <c r="J6">
        <v>83.747699164213316</v>
      </c>
      <c r="K6">
        <v>83.601748377600558</v>
      </c>
      <c r="M6" t="s">
        <v>53</v>
      </c>
      <c r="N6">
        <v>86.634645101197137</v>
      </c>
      <c r="O6">
        <v>86.639806328443584</v>
      </c>
      <c r="P6">
        <v>86.610341300062302</v>
      </c>
      <c r="Q6">
        <v>86.58680815700464</v>
      </c>
      <c r="R6">
        <v>86.602889031634632</v>
      </c>
      <c r="S6">
        <v>86.605531937891044</v>
      </c>
      <c r="T6">
        <v>86.38618809291043</v>
      </c>
      <c r="U6">
        <v>86.532663342346552</v>
      </c>
      <c r="V6">
        <v>86.51937013561087</v>
      </c>
      <c r="W6">
        <v>86.206066513098719</v>
      </c>
    </row>
    <row r="7" spans="1:23" x14ac:dyDescent="0.25">
      <c r="B7">
        <f>RANK(B6,B6:K6)</f>
        <v>3</v>
      </c>
      <c r="C7">
        <f>RANK(C6,B6:K6)</f>
        <v>2</v>
      </c>
      <c r="D7">
        <f>RANK(D6,B6:K6)</f>
        <v>4</v>
      </c>
      <c r="E7">
        <f>RANK(E6,B6:K6)</f>
        <v>6</v>
      </c>
      <c r="F7">
        <f>RANK(F6,B6:K6)</f>
        <v>5</v>
      </c>
      <c r="G7">
        <f>RANK(G6,B6:K6)</f>
        <v>1</v>
      </c>
      <c r="H7">
        <f>RANK(H6,B6:K6)</f>
        <v>9</v>
      </c>
      <c r="I7">
        <f>RANK(I6,B6:K6)</f>
        <v>8</v>
      </c>
      <c r="J7">
        <f>RANK(J6,B6:K6)</f>
        <v>7</v>
      </c>
      <c r="K7">
        <f>RANK(K6,B6:K6)</f>
        <v>10</v>
      </c>
      <c r="N7">
        <f>RANK(N6,N6:W6)</f>
        <v>2</v>
      </c>
      <c r="O7">
        <f>RANK(O6,N6:W6)</f>
        <v>1</v>
      </c>
      <c r="P7">
        <f>RANK(P6,N6:W6)</f>
        <v>3</v>
      </c>
      <c r="Q7">
        <f>RANK(Q6,N6:W6)</f>
        <v>6</v>
      </c>
      <c r="R7">
        <f>RANK(R6,N6:W6)</f>
        <v>5</v>
      </c>
      <c r="S7">
        <f>RANK(S6,N6:W6)</f>
        <v>4</v>
      </c>
      <c r="T7">
        <f>RANK(T6,N6:W6)</f>
        <v>9</v>
      </c>
      <c r="U7">
        <f>RANK(U6,N6:W6)</f>
        <v>7</v>
      </c>
      <c r="V7">
        <f>RANK(V6,N6:W6)</f>
        <v>8</v>
      </c>
      <c r="W7">
        <f>RANK(W6,N6:W6)</f>
        <v>10</v>
      </c>
    </row>
    <row r="8" spans="1:23" x14ac:dyDescent="0.25">
      <c r="A8" t="s">
        <v>54</v>
      </c>
      <c r="B8">
        <v>83.551991228187703</v>
      </c>
      <c r="C8">
        <v>83.553254165593515</v>
      </c>
      <c r="D8">
        <v>83.546997728782742</v>
      </c>
      <c r="E8">
        <v>83.555078315875861</v>
      </c>
      <c r="F8">
        <v>83.55044040241377</v>
      </c>
      <c r="G8">
        <v>83.563187645049183</v>
      </c>
      <c r="H8">
        <v>83.412765781386767</v>
      </c>
      <c r="I8">
        <v>83.514763476103866</v>
      </c>
      <c r="J8">
        <v>83.473373480487211</v>
      </c>
      <c r="K8">
        <v>83.369716563854311</v>
      </c>
      <c r="M8" t="s">
        <v>54</v>
      </c>
      <c r="N8">
        <v>86.678597569882371</v>
      </c>
      <c r="O8">
        <v>86.692170837825486</v>
      </c>
      <c r="P8">
        <v>86.661665599343493</v>
      </c>
      <c r="Q8">
        <v>86.590570955495039</v>
      </c>
      <c r="R8">
        <v>86.567470262025992</v>
      </c>
      <c r="S8">
        <v>86.643061391500183</v>
      </c>
      <c r="T8">
        <v>86.494114362427894</v>
      </c>
      <c r="U8">
        <v>86.480110369712094</v>
      </c>
      <c r="V8">
        <v>86.520848325782282</v>
      </c>
      <c r="W8">
        <v>86.150662286339553</v>
      </c>
    </row>
    <row r="9" spans="1:23" x14ac:dyDescent="0.25">
      <c r="B9">
        <f>RANK(B8,B8:K8)</f>
        <v>4</v>
      </c>
      <c r="C9">
        <f>RANK(C8,B8:K8)</f>
        <v>3</v>
      </c>
      <c r="D9">
        <f>RANK(D8,B8:K8)</f>
        <v>6</v>
      </c>
      <c r="E9">
        <f>RANK(E8,B8:K8)</f>
        <v>2</v>
      </c>
      <c r="F9">
        <f>RANK(F8,B8:K8)</f>
        <v>5</v>
      </c>
      <c r="G9">
        <f>RANK(G8,B8:K8)</f>
        <v>1</v>
      </c>
      <c r="H9">
        <f>RANK(H8,B8:K8)</f>
        <v>9</v>
      </c>
      <c r="I9">
        <f>RANK(I8,B8:K8)</f>
        <v>7</v>
      </c>
      <c r="J9">
        <f>RANK(J8,B8:K8)</f>
        <v>8</v>
      </c>
      <c r="K9">
        <f>RANK(K8,B8:K8)</f>
        <v>10</v>
      </c>
      <c r="N9">
        <f>RANK(N8,N8:W8)</f>
        <v>2</v>
      </c>
      <c r="O9">
        <f>RANK(O8,N8:W8)</f>
        <v>1</v>
      </c>
      <c r="P9">
        <f>RANK(P8,N8:W8)</f>
        <v>3</v>
      </c>
      <c r="Q9">
        <f>RANK(Q8,N8:W8)</f>
        <v>5</v>
      </c>
      <c r="R9">
        <f>RANK(R8,N8:W8)</f>
        <v>6</v>
      </c>
      <c r="S9">
        <f>RANK(S8,N8:W8)</f>
        <v>4</v>
      </c>
      <c r="T9">
        <f>RANK(T8,N8:W8)</f>
        <v>8</v>
      </c>
      <c r="U9">
        <f>RANK(U8,N8:W8)</f>
        <v>9</v>
      </c>
      <c r="V9">
        <f>RANK(V8,N8:W8)</f>
        <v>7</v>
      </c>
      <c r="W9">
        <f>RANK(W8,N8:W8)</f>
        <v>10</v>
      </c>
    </row>
    <row r="10" spans="1:23" x14ac:dyDescent="0.25">
      <c r="A10" t="s">
        <v>55</v>
      </c>
      <c r="B10">
        <v>83.939484982987182</v>
      </c>
      <c r="C10">
        <v>83.943469919943581</v>
      </c>
      <c r="D10">
        <v>83.927877961473072</v>
      </c>
      <c r="E10">
        <v>83.931987497315092</v>
      </c>
      <c r="F10">
        <v>83.896880792833457</v>
      </c>
      <c r="G10">
        <v>83.94177408532822</v>
      </c>
      <c r="H10">
        <v>83.784987697209431</v>
      </c>
      <c r="I10">
        <v>83.896082028896274</v>
      </c>
      <c r="J10">
        <v>83.836468557495635</v>
      </c>
      <c r="K10">
        <v>83.853026149922698</v>
      </c>
      <c r="M10" t="s">
        <v>55</v>
      </c>
      <c r="N10">
        <v>86.715492742256416</v>
      </c>
      <c r="O10">
        <v>86.681951659637292</v>
      </c>
      <c r="P10">
        <v>86.703920934902484</v>
      </c>
      <c r="Q10">
        <v>86.709417029571384</v>
      </c>
      <c r="R10">
        <v>86.327847368614655</v>
      </c>
      <c r="S10">
        <v>86.644122084220157</v>
      </c>
      <c r="T10">
        <v>86.492622598297871</v>
      </c>
      <c r="U10">
        <v>86.562685527797711</v>
      </c>
      <c r="V10">
        <v>86.525798025106624</v>
      </c>
      <c r="W10">
        <v>86.174308351279521</v>
      </c>
    </row>
    <row r="11" spans="1:23" x14ac:dyDescent="0.25">
      <c r="B11">
        <f>RANK(B10,B10:K10)</f>
        <v>3</v>
      </c>
      <c r="C11">
        <f>RANK(C10,B10:K10)</f>
        <v>1</v>
      </c>
      <c r="D11">
        <f>RANK(D10,B10:K10)</f>
        <v>5</v>
      </c>
      <c r="E11">
        <f>RANK(E10,B10:K10)</f>
        <v>4</v>
      </c>
      <c r="F11">
        <f>RANK(F10,B10:K10)</f>
        <v>6</v>
      </c>
      <c r="G11">
        <f>RANK(G10,B10:K10)</f>
        <v>2</v>
      </c>
      <c r="H11">
        <f>RANK(H10,B10:K10)</f>
        <v>10</v>
      </c>
      <c r="I11">
        <f>RANK(I10,B10:K10)</f>
        <v>7</v>
      </c>
      <c r="J11">
        <f>RANK(J10,B10:K10)</f>
        <v>9</v>
      </c>
      <c r="K11">
        <f>RANK(K10,B10:K10)</f>
        <v>8</v>
      </c>
      <c r="N11">
        <f>RANK(N10,N10:W10)</f>
        <v>1</v>
      </c>
      <c r="O11">
        <f>RANK(O10,N10:W10)</f>
        <v>4</v>
      </c>
      <c r="P11">
        <f>RANK(P10,N10:W10)</f>
        <v>3</v>
      </c>
      <c r="Q11">
        <f>RANK(Q10,N10:W10)</f>
        <v>2</v>
      </c>
      <c r="R11">
        <f>RANK(R10,N10:W10)</f>
        <v>9</v>
      </c>
      <c r="S11">
        <f>RANK(S10,N10:W10)</f>
        <v>5</v>
      </c>
      <c r="T11">
        <f>RANK(T10,N10:W10)</f>
        <v>8</v>
      </c>
      <c r="U11">
        <f>RANK(U10,N10:W10)</f>
        <v>6</v>
      </c>
      <c r="V11">
        <f>RANK(V10,N10:W10)</f>
        <v>7</v>
      </c>
      <c r="W11">
        <f>RANK(W10,N10:W10)</f>
        <v>10</v>
      </c>
    </row>
    <row r="12" spans="1:23" x14ac:dyDescent="0.25">
      <c r="A12" t="s">
        <v>56</v>
      </c>
      <c r="B12">
        <v>83.594029964927586</v>
      </c>
      <c r="C12">
        <v>83.65882823859053</v>
      </c>
      <c r="D12">
        <v>83.588643417666702</v>
      </c>
      <c r="E12">
        <v>83.637338110295715</v>
      </c>
      <c r="F12">
        <v>83.650451662640847</v>
      </c>
      <c r="G12">
        <v>83.696107413848097</v>
      </c>
      <c r="H12">
        <v>82.23873628980995</v>
      </c>
      <c r="I12">
        <v>83.622339497907433</v>
      </c>
      <c r="J12">
        <v>83.57245059334484</v>
      </c>
      <c r="K12">
        <v>83.585202907232073</v>
      </c>
      <c r="M12" t="s">
        <v>56</v>
      </c>
      <c r="N12">
        <v>86.617240553930102</v>
      </c>
      <c r="O12">
        <v>86.611857554959272</v>
      </c>
      <c r="P12">
        <v>86.593982010753422</v>
      </c>
      <c r="Q12">
        <v>86.590435946635608</v>
      </c>
      <c r="R12">
        <v>86.550622610739779</v>
      </c>
      <c r="S12">
        <v>86.556458409271556</v>
      </c>
      <c r="T12">
        <v>86.468057804164246</v>
      </c>
      <c r="U12">
        <v>86.529127115227396</v>
      </c>
      <c r="V12">
        <v>86.530812837732284</v>
      </c>
      <c r="W12">
        <v>86.29408336931165</v>
      </c>
    </row>
    <row r="13" spans="1:23" x14ac:dyDescent="0.25">
      <c r="B13">
        <f>RANK(B12,B12:K12)</f>
        <v>6</v>
      </c>
      <c r="C13">
        <f>RANK(C12,B12:K12)</f>
        <v>2</v>
      </c>
      <c r="D13">
        <f>RANK(D12,B12:K12)</f>
        <v>7</v>
      </c>
      <c r="E13">
        <f>RANK(E12,B12:K12)</f>
        <v>4</v>
      </c>
      <c r="F13">
        <f>RANK(F12,B12:K12)</f>
        <v>3</v>
      </c>
      <c r="G13">
        <f>RANK(G12,B12:K12)</f>
        <v>1</v>
      </c>
      <c r="H13">
        <f>RANK(H12,B12:K12)</f>
        <v>10</v>
      </c>
      <c r="I13">
        <f>RANK(I12,B12:K12)</f>
        <v>5</v>
      </c>
      <c r="J13">
        <f>RANK(J12,B12:K12)</f>
        <v>9</v>
      </c>
      <c r="K13">
        <f>RANK(K12,B12:K12)</f>
        <v>8</v>
      </c>
      <c r="N13">
        <f>RANK(N12,N12:W12)</f>
        <v>1</v>
      </c>
      <c r="O13">
        <f>RANK(O12,N12:W12)</f>
        <v>2</v>
      </c>
      <c r="P13">
        <f>RANK(P12,N12:W12)</f>
        <v>3</v>
      </c>
      <c r="Q13">
        <f>RANK(Q12,N12:W12)</f>
        <v>4</v>
      </c>
      <c r="R13">
        <f>RANK(R12,N12:W12)</f>
        <v>6</v>
      </c>
      <c r="S13">
        <f>RANK(S12,N12:W12)</f>
        <v>5</v>
      </c>
      <c r="T13">
        <f>RANK(T12,N12:W12)</f>
        <v>9</v>
      </c>
      <c r="U13">
        <f>RANK(U12,N12:W12)</f>
        <v>8</v>
      </c>
      <c r="V13">
        <f>RANK(V12,N12:W12)</f>
        <v>7</v>
      </c>
      <c r="W13">
        <f>RANK(W12,N12:W12)</f>
        <v>10</v>
      </c>
    </row>
    <row r="14" spans="1:23" x14ac:dyDescent="0.25">
      <c r="A14" t="s">
        <v>57</v>
      </c>
      <c r="B14">
        <f>AVERAGE(B4,B6,B8,B10,B12)</f>
        <v>83.757489505257126</v>
      </c>
      <c r="C14">
        <f t="shared" ref="C14:K14" si="0">AVERAGE(C4,C6,C8,C10,C12)</f>
        <v>83.77388903922153</v>
      </c>
      <c r="D14">
        <f t="shared" si="0"/>
        <v>83.742656048992174</v>
      </c>
      <c r="E14">
        <f t="shared" si="0"/>
        <v>83.746542431653651</v>
      </c>
      <c r="F14">
        <f t="shared" si="0"/>
        <v>83.743210862374141</v>
      </c>
      <c r="G14">
        <f t="shared" si="0"/>
        <v>83.796689946681624</v>
      </c>
      <c r="H14">
        <f t="shared" si="0"/>
        <v>83.194289097457215</v>
      </c>
      <c r="I14">
        <f t="shared" si="0"/>
        <v>83.723954718465919</v>
      </c>
      <c r="J14">
        <f t="shared" si="0"/>
        <v>83.695488017354307</v>
      </c>
      <c r="K14">
        <f t="shared" si="0"/>
        <v>83.646100328538964</v>
      </c>
      <c r="M14" t="s">
        <v>57</v>
      </c>
      <c r="N14">
        <f>AVERAGE(N4,N6,N8,N10,N12)</f>
        <v>86.644674775461297</v>
      </c>
      <c r="O14">
        <f t="shared" ref="O14:W14" si="1">AVERAGE(O4,O6,O8,O10,O12)</f>
        <v>86.639753728710403</v>
      </c>
      <c r="P14">
        <f t="shared" si="1"/>
        <v>86.59654546211425</v>
      </c>
      <c r="Q14">
        <f t="shared" si="1"/>
        <v>86.568541457228505</v>
      </c>
      <c r="R14">
        <f t="shared" si="1"/>
        <v>86.449650532172043</v>
      </c>
      <c r="S14">
        <f t="shared" si="1"/>
        <v>86.60212679913873</v>
      </c>
      <c r="T14">
        <f t="shared" si="1"/>
        <v>86.435298144125454</v>
      </c>
      <c r="U14">
        <f t="shared" si="1"/>
        <v>86.507704691410908</v>
      </c>
      <c r="V14">
        <f t="shared" si="1"/>
        <v>86.50656148793324</v>
      </c>
      <c r="W14">
        <f t="shared" si="1"/>
        <v>86.202759067435181</v>
      </c>
    </row>
    <row r="15" spans="1:23" x14ac:dyDescent="0.25">
      <c r="A15" t="s">
        <v>83</v>
      </c>
      <c r="B15">
        <f>RANK(B14,B14:K14)</f>
        <v>3</v>
      </c>
      <c r="C15">
        <f>RANK(C14,B14:K14)</f>
        <v>2</v>
      </c>
      <c r="D15">
        <f>RANK(D14,B14:K14)</f>
        <v>6</v>
      </c>
      <c r="E15">
        <f>RANK(E14,B14:K14)</f>
        <v>4</v>
      </c>
      <c r="F15">
        <f>RANK(F14,B14:K14)</f>
        <v>5</v>
      </c>
      <c r="G15">
        <f>RANK(G14,B14:K14)</f>
        <v>1</v>
      </c>
      <c r="H15">
        <f>RANK(H14,B14:K14)</f>
        <v>10</v>
      </c>
      <c r="I15">
        <f>RANK(I14,B14:K14)</f>
        <v>7</v>
      </c>
      <c r="J15">
        <f>RANK(J14,B14:K14)</f>
        <v>8</v>
      </c>
      <c r="K15">
        <f>RANK(K14,B14:K14)</f>
        <v>9</v>
      </c>
      <c r="M15" t="s">
        <v>83</v>
      </c>
      <c r="N15">
        <f>RANK(N14,N14:W14)</f>
        <v>1</v>
      </c>
      <c r="O15">
        <f>RANK(O14,N14:W14)</f>
        <v>2</v>
      </c>
      <c r="P15">
        <f>RANK(P14,N14:W14)</f>
        <v>4</v>
      </c>
      <c r="Q15">
        <f>RANK(Q14,N14:W14)</f>
        <v>5</v>
      </c>
      <c r="R15">
        <f>RANK(R14,N14:W14)</f>
        <v>8</v>
      </c>
      <c r="S15">
        <f>RANK(S14,N14:W14)</f>
        <v>3</v>
      </c>
      <c r="T15">
        <f>RANK(T14,N14:W14)</f>
        <v>9</v>
      </c>
      <c r="U15">
        <f>RANK(U14,N14:W14)</f>
        <v>6</v>
      </c>
      <c r="V15">
        <f>RANK(V14,N14:W14)</f>
        <v>7</v>
      </c>
      <c r="W15">
        <f>RANK(W14,N14:W14)</f>
        <v>10</v>
      </c>
    </row>
    <row r="16" spans="1:23" x14ac:dyDescent="0.25">
      <c r="A16" t="s">
        <v>58</v>
      </c>
      <c r="B16">
        <v>89.382604321931595</v>
      </c>
      <c r="C16">
        <v>89.403425782237392</v>
      </c>
      <c r="D16">
        <v>89.360213644597053</v>
      </c>
      <c r="E16">
        <v>89.36088836857617</v>
      </c>
      <c r="F16">
        <v>89.429992298638055</v>
      </c>
      <c r="G16">
        <v>89.371424566487192</v>
      </c>
      <c r="H16">
        <v>89.397267221721762</v>
      </c>
      <c r="I16">
        <v>89.418059470463135</v>
      </c>
      <c r="J16">
        <v>89.48610838427436</v>
      </c>
      <c r="K16">
        <v>89.25887940950301</v>
      </c>
      <c r="M16" t="s">
        <v>58</v>
      </c>
      <c r="N16">
        <v>89.362947349986513</v>
      </c>
      <c r="O16">
        <v>89.386901504900138</v>
      </c>
      <c r="P16">
        <v>89.340556851193824</v>
      </c>
      <c r="Q16">
        <v>89.337133118529394</v>
      </c>
      <c r="R16">
        <v>89.411584997277416</v>
      </c>
      <c r="S16">
        <v>89.352735420990314</v>
      </c>
      <c r="T16">
        <v>89.378859920360185</v>
      </c>
      <c r="U16">
        <v>89.398966578268315</v>
      </c>
      <c r="V16">
        <v>89.467701082911859</v>
      </c>
      <c r="W16">
        <v>89.237403207511989</v>
      </c>
    </row>
    <row r="17" spans="1:23" x14ac:dyDescent="0.25">
      <c r="B17">
        <f>RANK(B16,B16:K16)</f>
        <v>6</v>
      </c>
      <c r="C17">
        <f>RANK(C16,B16:K16)</f>
        <v>4</v>
      </c>
      <c r="D17">
        <f>RANK(D16,B16:K16)</f>
        <v>9</v>
      </c>
      <c r="E17">
        <f>RANK(E16,B16:K16)</f>
        <v>8</v>
      </c>
      <c r="F17">
        <f>RANK(F16,B16:K16)</f>
        <v>2</v>
      </c>
      <c r="G17">
        <f>RANK(G16,B16:K16)</f>
        <v>7</v>
      </c>
      <c r="H17">
        <f>RANK(H16,B16:K16)</f>
        <v>5</v>
      </c>
      <c r="I17">
        <f>RANK(I16,B16:K16)</f>
        <v>3</v>
      </c>
      <c r="J17">
        <f>RANK(J16,B16:K16)</f>
        <v>1</v>
      </c>
      <c r="K17">
        <f>RANK(K16,B16:K16)</f>
        <v>10</v>
      </c>
      <c r="N17">
        <f>RANK(N16,N16:W16)</f>
        <v>6</v>
      </c>
      <c r="O17">
        <f>RANK(O16,N16:W16)</f>
        <v>4</v>
      </c>
      <c r="P17">
        <f>RANK(P16,N16:W16)</f>
        <v>8</v>
      </c>
      <c r="Q17">
        <f>RANK(Q16,N16:W16)</f>
        <v>9</v>
      </c>
      <c r="R17">
        <f>RANK(R16,N16:W16)</f>
        <v>2</v>
      </c>
      <c r="S17">
        <f>RANK(S16,N16:W16)</f>
        <v>7</v>
      </c>
      <c r="T17">
        <f>RANK(T16,N16:W16)</f>
        <v>5</v>
      </c>
      <c r="U17">
        <f>RANK(U16,N16:W16)</f>
        <v>3</v>
      </c>
      <c r="V17">
        <f>RANK(V16,N16:W16)</f>
        <v>1</v>
      </c>
      <c r="W17">
        <f>RANK(W16,N16:W16)</f>
        <v>10</v>
      </c>
    </row>
    <row r="18" spans="1:23" x14ac:dyDescent="0.25">
      <c r="A18" t="s">
        <v>59</v>
      </c>
      <c r="B18">
        <v>89.216270619470222</v>
      </c>
      <c r="C18">
        <v>89.212961825163319</v>
      </c>
      <c r="D18">
        <v>89.204378472813673</v>
      </c>
      <c r="E18">
        <v>89.177100100880509</v>
      </c>
      <c r="F18">
        <v>89.213766563214449</v>
      </c>
      <c r="G18">
        <v>89.190028333216119</v>
      </c>
      <c r="H18">
        <v>89.204191590009643</v>
      </c>
      <c r="I18">
        <v>89.212293386753743</v>
      </c>
      <c r="J18">
        <v>89.252849157494666</v>
      </c>
      <c r="K18">
        <v>88.952175015677255</v>
      </c>
      <c r="M18" t="s">
        <v>59</v>
      </c>
      <c r="N18">
        <v>89.216270619470222</v>
      </c>
      <c r="O18">
        <v>89.216995003923643</v>
      </c>
      <c r="P18">
        <v>89.204378472813673</v>
      </c>
      <c r="Q18">
        <v>89.177100100880509</v>
      </c>
      <c r="R18">
        <v>89.208279028105011</v>
      </c>
      <c r="S18">
        <v>89.189340337715379</v>
      </c>
      <c r="T18">
        <v>89.204191590009643</v>
      </c>
      <c r="U18">
        <v>89.208863508820883</v>
      </c>
      <c r="V18">
        <v>89.252849157494666</v>
      </c>
      <c r="W18">
        <v>88.952175015677255</v>
      </c>
    </row>
    <row r="19" spans="1:23" x14ac:dyDescent="0.25">
      <c r="B19">
        <f>RANK(B18,B18:K18)</f>
        <v>2</v>
      </c>
      <c r="C19">
        <f>RANK(C18,B18:K18)</f>
        <v>4</v>
      </c>
      <c r="D19">
        <f>RANK(D18,B18:K18)</f>
        <v>6</v>
      </c>
      <c r="E19">
        <f>RANK(E18,B18:K18)</f>
        <v>9</v>
      </c>
      <c r="F19">
        <f>RANK(F18,B18:K18)</f>
        <v>3</v>
      </c>
      <c r="G19">
        <f>RANK(G18,B18:K18)</f>
        <v>8</v>
      </c>
      <c r="H19">
        <f>RANK(H18,B18:K18)</f>
        <v>7</v>
      </c>
      <c r="I19">
        <f>RANK(I18,B18:K18)</f>
        <v>5</v>
      </c>
      <c r="J19">
        <f>RANK(J18,B18:K18)</f>
        <v>1</v>
      </c>
      <c r="K19">
        <f>RANK(K18,B18:K18)</f>
        <v>10</v>
      </c>
      <c r="N19">
        <f>RANK(N18,N18:W18)</f>
        <v>3</v>
      </c>
      <c r="O19">
        <f>RANK(O18,N18:W18)</f>
        <v>2</v>
      </c>
      <c r="P19">
        <f>RANK(P18,N18:W18)</f>
        <v>6</v>
      </c>
      <c r="Q19">
        <f>RANK(Q18,N18:W18)</f>
        <v>9</v>
      </c>
      <c r="R19">
        <f>RANK(R18,N18:W18)</f>
        <v>5</v>
      </c>
      <c r="S19">
        <f>RANK(S18,N18:W18)</f>
        <v>8</v>
      </c>
      <c r="T19">
        <f>RANK(T18,N18:W18)</f>
        <v>7</v>
      </c>
      <c r="U19">
        <f>RANK(U18,N18:W18)</f>
        <v>4</v>
      </c>
      <c r="V19">
        <f>RANK(V18,N18:W18)</f>
        <v>1</v>
      </c>
      <c r="W19">
        <f>RANK(W18,N18:W18)</f>
        <v>10</v>
      </c>
    </row>
    <row r="20" spans="1:23" x14ac:dyDescent="0.25">
      <c r="A20" t="s">
        <v>60</v>
      </c>
      <c r="B20">
        <v>89.418732270117275</v>
      </c>
      <c r="C20">
        <v>89.419830660389749</v>
      </c>
      <c r="D20">
        <v>89.419750630282422</v>
      </c>
      <c r="E20">
        <v>89.411480021490476</v>
      </c>
      <c r="F20">
        <v>89.447667248769662</v>
      </c>
      <c r="G20">
        <v>89.426620442818518</v>
      </c>
      <c r="H20">
        <v>89.428716631824415</v>
      </c>
      <c r="I20">
        <v>89.415474111128262</v>
      </c>
      <c r="J20">
        <v>89.445449694358388</v>
      </c>
      <c r="K20">
        <v>89.229169562307192</v>
      </c>
      <c r="M20" t="s">
        <v>60</v>
      </c>
      <c r="N20">
        <v>89.417762859475616</v>
      </c>
      <c r="O20">
        <v>89.417488391156752</v>
      </c>
      <c r="P20">
        <v>89.418495761567499</v>
      </c>
      <c r="Q20">
        <v>89.408452384969252</v>
      </c>
      <c r="R20">
        <v>89.447667248769662</v>
      </c>
      <c r="S20">
        <v>89.426336648161822</v>
      </c>
      <c r="T20">
        <v>89.428716631824415</v>
      </c>
      <c r="U20">
        <v>89.415474111128262</v>
      </c>
      <c r="V20">
        <v>89.445449694358388</v>
      </c>
      <c r="W20">
        <v>89.229050772131515</v>
      </c>
    </row>
    <row r="21" spans="1:23" x14ac:dyDescent="0.25">
      <c r="B21">
        <f>RANK(B20,B20:K20)</f>
        <v>7</v>
      </c>
      <c r="C21">
        <f>RANK(C20,B20:K20)</f>
        <v>5</v>
      </c>
      <c r="D21">
        <f>RANK(D20,B20:K20)</f>
        <v>6</v>
      </c>
      <c r="E21">
        <f>RANK(E20,B20:K20)</f>
        <v>9</v>
      </c>
      <c r="F21">
        <f>RANK(F20,B20:K20)</f>
        <v>1</v>
      </c>
      <c r="G21">
        <f>RANK(G20,B20:K20)</f>
        <v>4</v>
      </c>
      <c r="H21">
        <f>RANK(H20,B20:K20)</f>
        <v>3</v>
      </c>
      <c r="I21">
        <f>RANK(I20,B20:K20)</f>
        <v>8</v>
      </c>
      <c r="J21">
        <f>RANK(J20,B20:K20)</f>
        <v>2</v>
      </c>
      <c r="K21">
        <f>RANK(K20,B20:K20)</f>
        <v>10</v>
      </c>
      <c r="N21">
        <f>RANK(N20,N20:W20)</f>
        <v>6</v>
      </c>
      <c r="O21">
        <f>RANK(O20,N20:W20)</f>
        <v>7</v>
      </c>
      <c r="P21">
        <f>RANK(P20,N20:W20)</f>
        <v>5</v>
      </c>
      <c r="Q21">
        <f>RANK(Q20,N20:W20)</f>
        <v>9</v>
      </c>
      <c r="R21">
        <f>RANK(R20,N20:W20)</f>
        <v>1</v>
      </c>
      <c r="S21">
        <f>RANK(S20,N20:W20)</f>
        <v>4</v>
      </c>
      <c r="T21">
        <f>RANK(T20,N20:W20)</f>
        <v>3</v>
      </c>
      <c r="U21">
        <f>RANK(U20,N20:W20)</f>
        <v>8</v>
      </c>
      <c r="V21">
        <f>RANK(V20,N20:W20)</f>
        <v>2</v>
      </c>
      <c r="W21">
        <f>RANK(W20,N20:W20)</f>
        <v>10</v>
      </c>
    </row>
    <row r="22" spans="1:23" x14ac:dyDescent="0.25">
      <c r="A22" t="s">
        <v>61</v>
      </c>
      <c r="B22">
        <v>89.309690341457923</v>
      </c>
      <c r="C22">
        <v>89.310029140416802</v>
      </c>
      <c r="D22">
        <v>89.29711303470971</v>
      </c>
      <c r="E22">
        <v>89.299489296834082</v>
      </c>
      <c r="F22">
        <v>89.312438564356114</v>
      </c>
      <c r="G22">
        <v>89.301981828292838</v>
      </c>
      <c r="H22">
        <v>89.316117319294861</v>
      </c>
      <c r="I22">
        <v>89.301056323924811</v>
      </c>
      <c r="J22">
        <v>89.362172138369061</v>
      </c>
      <c r="K22">
        <v>89.194116627743156</v>
      </c>
      <c r="M22" t="s">
        <v>61</v>
      </c>
      <c r="N22">
        <v>89.299631130912118</v>
      </c>
      <c r="O22">
        <v>89.299419299953186</v>
      </c>
      <c r="P22">
        <v>89.287740745723582</v>
      </c>
      <c r="Q22">
        <v>89.288460375844451</v>
      </c>
      <c r="R22">
        <v>89.308574129345516</v>
      </c>
      <c r="S22">
        <v>89.291922279728311</v>
      </c>
      <c r="T22">
        <v>89.263382904712358</v>
      </c>
      <c r="U22">
        <v>89.28934010199373</v>
      </c>
      <c r="V22">
        <v>89.35554566820106</v>
      </c>
      <c r="W22">
        <v>89.183116962394962</v>
      </c>
    </row>
    <row r="23" spans="1:23" x14ac:dyDescent="0.25">
      <c r="B23">
        <f>RANK(B22,B22:K22)</f>
        <v>5</v>
      </c>
      <c r="C23">
        <f>RANK(C22,B22:K22)</f>
        <v>4</v>
      </c>
      <c r="D23">
        <f>RANK(D22,B22:K22)</f>
        <v>9</v>
      </c>
      <c r="E23">
        <f>RANK(E22,B22:K22)</f>
        <v>8</v>
      </c>
      <c r="F23">
        <f>RANK(F22,B22:K22)</f>
        <v>3</v>
      </c>
      <c r="G23">
        <f>RANK(G22,B22:K22)</f>
        <v>6</v>
      </c>
      <c r="H23">
        <f>RANK(H22,B22:K22)</f>
        <v>2</v>
      </c>
      <c r="I23">
        <f>RANK(I22,B22:K22)</f>
        <v>7</v>
      </c>
      <c r="J23">
        <f>RANK(J22,B22:K22)</f>
        <v>1</v>
      </c>
      <c r="K23">
        <f>RANK(K22,B22:K22)</f>
        <v>10</v>
      </c>
      <c r="N23">
        <f>RANK(N22,N22:W22)</f>
        <v>3</v>
      </c>
      <c r="O23">
        <f>RANK(O22,N22:W22)</f>
        <v>4</v>
      </c>
      <c r="P23">
        <f>RANK(P22,N22:W22)</f>
        <v>8</v>
      </c>
      <c r="Q23">
        <f>RANK(Q22,N22:W22)</f>
        <v>7</v>
      </c>
      <c r="R23">
        <f>RANK(R22,N22:W22)</f>
        <v>2</v>
      </c>
      <c r="S23">
        <f>RANK(S22,N22:W22)</f>
        <v>5</v>
      </c>
      <c r="T23">
        <f>RANK(T22,N22:W22)</f>
        <v>9</v>
      </c>
      <c r="U23">
        <f>RANK(U22,N22:W22)</f>
        <v>6</v>
      </c>
      <c r="V23">
        <f>RANK(V22,N22:W22)</f>
        <v>1</v>
      </c>
      <c r="W23">
        <f>RANK(W22,N22:W22)</f>
        <v>10</v>
      </c>
    </row>
    <row r="24" spans="1:23" x14ac:dyDescent="0.25">
      <c r="A24" t="s">
        <v>62</v>
      </c>
      <c r="B24">
        <v>89.296469304301894</v>
      </c>
      <c r="C24">
        <v>89.311021042661622</v>
      </c>
      <c r="D24">
        <v>89.284860457152021</v>
      </c>
      <c r="E24">
        <v>89.295744613813696</v>
      </c>
      <c r="F24">
        <v>89.337349997693622</v>
      </c>
      <c r="G24">
        <v>89.297918658886445</v>
      </c>
      <c r="H24">
        <v>89.309774441701776</v>
      </c>
      <c r="I24">
        <v>89.309781999666839</v>
      </c>
      <c r="J24">
        <v>89.372967756129185</v>
      </c>
      <c r="K24">
        <v>89.104500007346218</v>
      </c>
      <c r="M24" t="s">
        <v>62</v>
      </c>
      <c r="N24">
        <v>89.278640289982206</v>
      </c>
      <c r="O24">
        <v>89.296569008533638</v>
      </c>
      <c r="P24">
        <v>89.267314095886633</v>
      </c>
      <c r="Q24">
        <v>89.278198252548762</v>
      </c>
      <c r="R24">
        <v>89.32036899574554</v>
      </c>
      <c r="S24">
        <v>89.280937656939912</v>
      </c>
      <c r="T24">
        <v>89.290060446222256</v>
      </c>
      <c r="U24">
        <v>89.292800997717976</v>
      </c>
      <c r="V24">
        <v>89.354625773120674</v>
      </c>
      <c r="W24">
        <v>89.062629555627467</v>
      </c>
    </row>
    <row r="25" spans="1:23" x14ac:dyDescent="0.25">
      <c r="B25">
        <f>RANK(B24,B24:K24)</f>
        <v>7</v>
      </c>
      <c r="C25">
        <f>RANK(C24,B24:K24)</f>
        <v>3</v>
      </c>
      <c r="D25">
        <f>RANK(D24,B24:K24)</f>
        <v>9</v>
      </c>
      <c r="E25">
        <f>RANK(E24,B24:K24)</f>
        <v>8</v>
      </c>
      <c r="F25">
        <f>RANK(F24,B24:K24)</f>
        <v>2</v>
      </c>
      <c r="G25">
        <f>RANK(G24,B24:K24)</f>
        <v>6</v>
      </c>
      <c r="H25">
        <f>RANK(H24,B24:K24)</f>
        <v>5</v>
      </c>
      <c r="I25">
        <f>RANK(I24,B24:K24)</f>
        <v>4</v>
      </c>
      <c r="J25">
        <f>RANK(J24,B24:K24)</f>
        <v>1</v>
      </c>
      <c r="K25">
        <f>RANK(K24,B24:K24)</f>
        <v>10</v>
      </c>
      <c r="N25">
        <f>RANK(N24,N24:W24)</f>
        <v>7</v>
      </c>
      <c r="O25">
        <f>RANK(O24,N24:W24)</f>
        <v>3</v>
      </c>
      <c r="P25">
        <f>RANK(P24,N24:W24)</f>
        <v>9</v>
      </c>
      <c r="Q25">
        <f>RANK(Q24,N24:W24)</f>
        <v>8</v>
      </c>
      <c r="R25">
        <f>RANK(R24,N24:W24)</f>
        <v>2</v>
      </c>
      <c r="S25">
        <f>RANK(S24,N24:W24)</f>
        <v>6</v>
      </c>
      <c r="T25">
        <f>RANK(T24,N24:W24)</f>
        <v>5</v>
      </c>
      <c r="U25">
        <f>RANK(U24,N24:W24)</f>
        <v>4</v>
      </c>
      <c r="V25">
        <f>RANK(V24,N24:W24)</f>
        <v>1</v>
      </c>
      <c r="W25">
        <f>RANK(W24,N24:W24)</f>
        <v>10</v>
      </c>
    </row>
    <row r="26" spans="1:23" x14ac:dyDescent="0.25">
      <c r="A26" t="s">
        <v>63</v>
      </c>
      <c r="B26">
        <f>AVERAGE(B16,B18,B20,B22,B24)</f>
        <v>89.324753371455785</v>
      </c>
      <c r="C26">
        <f t="shared" ref="C26:K26" si="2">AVERAGE(C16,C18,C20,C22,C24)</f>
        <v>89.331453690173774</v>
      </c>
      <c r="D26">
        <f t="shared" si="2"/>
        <v>89.313263247910967</v>
      </c>
      <c r="E26">
        <f t="shared" si="2"/>
        <v>89.308940480318981</v>
      </c>
      <c r="F26">
        <f t="shared" si="2"/>
        <v>89.348242934534397</v>
      </c>
      <c r="G26">
        <f t="shared" si="2"/>
        <v>89.317594765940214</v>
      </c>
      <c r="H26">
        <f t="shared" si="2"/>
        <v>89.331213440910489</v>
      </c>
      <c r="I26">
        <f t="shared" si="2"/>
        <v>89.331333058387344</v>
      </c>
      <c r="J26">
        <f t="shared" si="2"/>
        <v>89.383909426125129</v>
      </c>
      <c r="K26">
        <f t="shared" si="2"/>
        <v>89.147768124515366</v>
      </c>
      <c r="M26" t="s">
        <v>63</v>
      </c>
      <c r="N26">
        <f>AVERAGE(N16,N18,N20,N22,N24)</f>
        <v>89.315050449965341</v>
      </c>
      <c r="O26">
        <f t="shared" ref="O26:W26" si="3">AVERAGE(O16,O18,O20,O22,O24)</f>
        <v>89.323474641693466</v>
      </c>
      <c r="P26">
        <f t="shared" si="3"/>
        <v>89.303697185437045</v>
      </c>
      <c r="Q26">
        <f t="shared" si="3"/>
        <v>89.297868846554465</v>
      </c>
      <c r="R26">
        <f t="shared" si="3"/>
        <v>89.339294879848623</v>
      </c>
      <c r="S26">
        <f t="shared" si="3"/>
        <v>89.308254468707133</v>
      </c>
      <c r="T26">
        <f t="shared" si="3"/>
        <v>89.31304229862576</v>
      </c>
      <c r="U26">
        <f t="shared" si="3"/>
        <v>89.32108905958583</v>
      </c>
      <c r="V26">
        <f t="shared" si="3"/>
        <v>89.375234275217323</v>
      </c>
      <c r="W26">
        <f t="shared" si="3"/>
        <v>89.132875102668635</v>
      </c>
    </row>
    <row r="27" spans="1:23" x14ac:dyDescent="0.25">
      <c r="A27" t="s">
        <v>83</v>
      </c>
      <c r="B27">
        <f>RANK(B26,B26:K26)</f>
        <v>6</v>
      </c>
      <c r="C27">
        <f>RANK(C26,B26:K26)</f>
        <v>3</v>
      </c>
      <c r="D27">
        <f>RANK(D26,B26:K26)</f>
        <v>8</v>
      </c>
      <c r="E27">
        <f>RANK(E26,B26:K26)</f>
        <v>9</v>
      </c>
      <c r="F27">
        <f>RANK(F26,B26:K26)</f>
        <v>2</v>
      </c>
      <c r="G27">
        <f>RANK(G26,B26:K26)</f>
        <v>7</v>
      </c>
      <c r="H27">
        <f>RANK(H26,B26:K26)</f>
        <v>5</v>
      </c>
      <c r="I27">
        <f>RANK(I26,B26:K26)</f>
        <v>4</v>
      </c>
      <c r="J27">
        <f>RANK(J26,B26:K26)</f>
        <v>1</v>
      </c>
      <c r="K27">
        <f>RANK(K26,B26:K26)</f>
        <v>10</v>
      </c>
      <c r="M27" t="s">
        <v>83</v>
      </c>
      <c r="N27">
        <f>RANK(N26,N26:W26)</f>
        <v>5</v>
      </c>
      <c r="O27">
        <f>RANK(O26,N26:W26)</f>
        <v>3</v>
      </c>
      <c r="P27">
        <f>RANK(P26,N26:W26)</f>
        <v>8</v>
      </c>
      <c r="Q27">
        <f>RANK(Q26,N26:W26)</f>
        <v>9</v>
      </c>
      <c r="R27">
        <f>RANK(R26,N26:W26)</f>
        <v>2</v>
      </c>
      <c r="S27">
        <f>RANK(S26,N26:W26)</f>
        <v>7</v>
      </c>
      <c r="T27">
        <f>RANK(T26,N26:W26)</f>
        <v>6</v>
      </c>
      <c r="U27">
        <f>RANK(U26,N26:W26)</f>
        <v>4</v>
      </c>
      <c r="V27">
        <f>RANK(V26,N26:W26)</f>
        <v>1</v>
      </c>
      <c r="W27">
        <f>RANK(W26,N26:W26)</f>
        <v>10</v>
      </c>
    </row>
    <row r="28" spans="1:23" x14ac:dyDescent="0.25">
      <c r="A28" t="s">
        <v>64</v>
      </c>
      <c r="B28">
        <v>83.254542264281852</v>
      </c>
      <c r="C28">
        <v>83.251084465976888</v>
      </c>
      <c r="D28">
        <v>83.250883319362956</v>
      </c>
      <c r="E28">
        <v>83.249792277252382</v>
      </c>
      <c r="F28">
        <v>83.16382570579718</v>
      </c>
      <c r="G28">
        <v>83.250706068297518</v>
      </c>
      <c r="H28">
        <v>82.993474827949683</v>
      </c>
      <c r="I28">
        <v>83.147382171315897</v>
      </c>
      <c r="J28">
        <v>83.123335825053914</v>
      </c>
      <c r="K28">
        <v>82.918441693300466</v>
      </c>
      <c r="M28" t="s">
        <v>64</v>
      </c>
      <c r="N28">
        <v>83.209778965098181</v>
      </c>
      <c r="O28">
        <v>83.210187787826428</v>
      </c>
      <c r="P28">
        <v>83.226249714835049</v>
      </c>
      <c r="Q28">
        <v>83.223007005557591</v>
      </c>
      <c r="R28">
        <v>83.189643621758862</v>
      </c>
      <c r="S28">
        <v>83.219321124993044</v>
      </c>
      <c r="T28">
        <v>83.01841922958026</v>
      </c>
      <c r="U28">
        <v>83.16698094710452</v>
      </c>
      <c r="V28">
        <v>82.930067772769362</v>
      </c>
      <c r="W28">
        <v>82.719580113700033</v>
      </c>
    </row>
    <row r="29" spans="1:23" x14ac:dyDescent="0.25">
      <c r="B29">
        <f>RANK(B28,B28:K28)</f>
        <v>1</v>
      </c>
      <c r="C29">
        <f>RANK(C28,B28:K28)</f>
        <v>2</v>
      </c>
      <c r="D29">
        <f>RANK(D28,B28:K28)</f>
        <v>3</v>
      </c>
      <c r="E29">
        <f>RANK(E28,B28:K28)</f>
        <v>5</v>
      </c>
      <c r="F29">
        <f>RANK(F28,B28:K28)</f>
        <v>6</v>
      </c>
      <c r="G29">
        <f>RANK(G28,B28:K28)</f>
        <v>4</v>
      </c>
      <c r="H29">
        <f>RANK(H28,B28:K28)</f>
        <v>9</v>
      </c>
      <c r="I29">
        <f>RANK(I28,B28:K28)</f>
        <v>7</v>
      </c>
      <c r="J29">
        <f>RANK(J28,B28:K28)</f>
        <v>8</v>
      </c>
      <c r="K29">
        <f>RANK(K28,B28:K28)</f>
        <v>10</v>
      </c>
      <c r="N29">
        <f>RANK(N28,N28:W28)</f>
        <v>5</v>
      </c>
      <c r="O29">
        <f>RANK(O28,N28:W28)</f>
        <v>4</v>
      </c>
      <c r="P29">
        <f>RANK(P28,N28:W28)</f>
        <v>1</v>
      </c>
      <c r="Q29">
        <f>RANK(Q28,N28:W28)</f>
        <v>2</v>
      </c>
      <c r="R29">
        <f>RANK(R28,N28:W28)</f>
        <v>6</v>
      </c>
      <c r="S29">
        <f>RANK(S28,N28:W28)</f>
        <v>3</v>
      </c>
      <c r="T29">
        <f>RANK(T28,N28:W28)</f>
        <v>8</v>
      </c>
      <c r="U29">
        <f>RANK(U28,N28:W28)</f>
        <v>7</v>
      </c>
      <c r="V29">
        <f>RANK(V28,N28:W28)</f>
        <v>9</v>
      </c>
      <c r="W29">
        <f>RANK(W28,N28:W28)</f>
        <v>10</v>
      </c>
    </row>
    <row r="30" spans="1:23" x14ac:dyDescent="0.25">
      <c r="A30" t="s">
        <v>65</v>
      </c>
      <c r="B30">
        <v>83.216248492356584</v>
      </c>
      <c r="C30">
        <v>83.218272007693471</v>
      </c>
      <c r="D30">
        <v>83.221787418230463</v>
      </c>
      <c r="E30">
        <v>83.214518705960799</v>
      </c>
      <c r="F30">
        <v>83.219026183120022</v>
      </c>
      <c r="G30">
        <v>83.203300089478731</v>
      </c>
      <c r="H30">
        <v>74.788765456726807</v>
      </c>
      <c r="I30">
        <v>83.072220793136239</v>
      </c>
      <c r="J30">
        <v>83.110677275106482</v>
      </c>
      <c r="K30">
        <v>82.873233251450131</v>
      </c>
      <c r="M30" t="s">
        <v>65</v>
      </c>
      <c r="N30">
        <v>82.885944959366824</v>
      </c>
      <c r="O30">
        <v>82.901196251188864</v>
      </c>
      <c r="P30">
        <v>82.901071519297773</v>
      </c>
      <c r="Q30">
        <v>82.64852837262103</v>
      </c>
      <c r="R30">
        <v>83.057648861729078</v>
      </c>
      <c r="S30">
        <v>82.907030977069979</v>
      </c>
      <c r="T30">
        <v>82.397811877988616</v>
      </c>
      <c r="U30">
        <v>82.753010949925084</v>
      </c>
      <c r="V30">
        <v>82.754788314771375</v>
      </c>
      <c r="W30">
        <v>82.636340751339389</v>
      </c>
    </row>
    <row r="31" spans="1:23" x14ac:dyDescent="0.25">
      <c r="B31">
        <f>RANK(B30,B30:K30)</f>
        <v>4</v>
      </c>
      <c r="C31">
        <f>RANK(C30,B30:K30)</f>
        <v>3</v>
      </c>
      <c r="D31">
        <f>RANK(D30,B30:K30)</f>
        <v>1</v>
      </c>
      <c r="E31">
        <f>RANK(E30,B30:K30)</f>
        <v>5</v>
      </c>
      <c r="F31">
        <f>RANK(F30,B30:K30)</f>
        <v>2</v>
      </c>
      <c r="G31">
        <f>RANK(G30,B30:K30)</f>
        <v>6</v>
      </c>
      <c r="H31">
        <f>RANK(H30,B30:K30)</f>
        <v>10</v>
      </c>
      <c r="I31">
        <f>RANK(I30,B30:K30)</f>
        <v>8</v>
      </c>
      <c r="J31">
        <f>RANK(J30,B30:K30)</f>
        <v>7</v>
      </c>
      <c r="K31">
        <f>RANK(K30,B30:K30)</f>
        <v>9</v>
      </c>
      <c r="N31">
        <f>RANK(N30,N30:W30)</f>
        <v>5</v>
      </c>
      <c r="O31">
        <f>RANK(O30,N30:W30)</f>
        <v>3</v>
      </c>
      <c r="P31">
        <f>RANK(P30,N30:W30)</f>
        <v>4</v>
      </c>
      <c r="Q31">
        <f>RANK(Q30,N30:W30)</f>
        <v>8</v>
      </c>
      <c r="R31">
        <f>RANK(R30,N30:W30)</f>
        <v>1</v>
      </c>
      <c r="S31">
        <f>RANK(S30,N30:W30)</f>
        <v>2</v>
      </c>
      <c r="T31">
        <f>RANK(T30,N30:W30)</f>
        <v>10</v>
      </c>
      <c r="U31">
        <f>RANK(U30,N30:W30)</f>
        <v>7</v>
      </c>
      <c r="V31">
        <f>RANK(V30,N30:W30)</f>
        <v>6</v>
      </c>
      <c r="W31">
        <f>RANK(W30,N30:W30)</f>
        <v>9</v>
      </c>
    </row>
    <row r="32" spans="1:23" x14ac:dyDescent="0.25">
      <c r="A32" t="s">
        <v>66</v>
      </c>
      <c r="B32">
        <v>83.408255730245585</v>
      </c>
      <c r="C32">
        <v>83.414088483767927</v>
      </c>
      <c r="D32">
        <v>83.403996868122078</v>
      </c>
      <c r="E32">
        <v>83.403266544142298</v>
      </c>
      <c r="F32">
        <v>83.275302858711171</v>
      </c>
      <c r="G32">
        <v>83.338650822243437</v>
      </c>
      <c r="H32">
        <v>82.415462667979639</v>
      </c>
      <c r="I32">
        <v>83.371907751702551</v>
      </c>
      <c r="J32">
        <v>83.33006524815967</v>
      </c>
      <c r="K32">
        <v>83.22165259188246</v>
      </c>
      <c r="M32" t="s">
        <v>66</v>
      </c>
      <c r="N32">
        <v>83.102120543697652</v>
      </c>
      <c r="O32">
        <v>83.10199304368669</v>
      </c>
      <c r="P32">
        <v>83.243640316101363</v>
      </c>
      <c r="Q32">
        <v>83.253913159652171</v>
      </c>
      <c r="R32">
        <v>83.185702069227474</v>
      </c>
      <c r="S32">
        <v>83.19997830682702</v>
      </c>
      <c r="T32">
        <v>82.842350230022021</v>
      </c>
      <c r="U32">
        <v>83.221288537244035</v>
      </c>
      <c r="V32">
        <v>82.942853883657421</v>
      </c>
      <c r="W32">
        <v>82.977565684264746</v>
      </c>
    </row>
    <row r="33" spans="1:23" x14ac:dyDescent="0.25">
      <c r="B33">
        <f>RANK(B32,B32:K32)</f>
        <v>2</v>
      </c>
      <c r="C33">
        <f>RANK(C32,B32:K32)</f>
        <v>1</v>
      </c>
      <c r="D33">
        <f>RANK(D32,B32:K32)</f>
        <v>3</v>
      </c>
      <c r="E33">
        <f>RANK(E32,B32:K32)</f>
        <v>4</v>
      </c>
      <c r="F33">
        <f>RANK(F32,B32:K32)</f>
        <v>8</v>
      </c>
      <c r="G33">
        <f>RANK(G32,B32:K32)</f>
        <v>6</v>
      </c>
      <c r="H33">
        <f>RANK(H32,B32:K32)</f>
        <v>10</v>
      </c>
      <c r="I33">
        <f>RANK(I32,B32:K32)</f>
        <v>5</v>
      </c>
      <c r="J33">
        <f>RANK(J32,B32:K32)</f>
        <v>7</v>
      </c>
      <c r="K33">
        <f>RANK(K32,B32:K32)</f>
        <v>9</v>
      </c>
      <c r="N33">
        <f>RANK(N32,N32:W32)</f>
        <v>6</v>
      </c>
      <c r="O33">
        <f>RANK(O32,N32:W32)</f>
        <v>7</v>
      </c>
      <c r="P33">
        <f>RANK(P32,N32:W32)</f>
        <v>2</v>
      </c>
      <c r="Q33">
        <f>RANK(Q32,N32:W32)</f>
        <v>1</v>
      </c>
      <c r="R33">
        <f>RANK(R32,N32:W32)</f>
        <v>5</v>
      </c>
      <c r="S33">
        <f>RANK(S32,N32:W32)</f>
        <v>4</v>
      </c>
      <c r="T33">
        <f>RANK(T32,N32:W32)</f>
        <v>10</v>
      </c>
      <c r="U33">
        <f>RANK(U32,N32:W32)</f>
        <v>3</v>
      </c>
      <c r="V33">
        <f>RANK(V32,N32:W32)</f>
        <v>9</v>
      </c>
      <c r="W33">
        <f>RANK(W32,N32:W32)</f>
        <v>8</v>
      </c>
    </row>
    <row r="34" spans="1:23" x14ac:dyDescent="0.25">
      <c r="A34" t="s">
        <v>67</v>
      </c>
      <c r="B34">
        <v>83.319733106921021</v>
      </c>
      <c r="C34">
        <v>83.325375525068992</v>
      </c>
      <c r="D34">
        <v>83.338004277377308</v>
      </c>
      <c r="E34">
        <v>83.326530864141048</v>
      </c>
      <c r="F34">
        <v>83.250682643948039</v>
      </c>
      <c r="G34">
        <v>83.230529906842179</v>
      </c>
      <c r="H34">
        <v>82.648147229745447</v>
      </c>
      <c r="I34">
        <v>83.267813596684633</v>
      </c>
      <c r="J34">
        <v>83.181953695083536</v>
      </c>
      <c r="K34">
        <v>83.067619800105774</v>
      </c>
      <c r="M34" t="s">
        <v>67</v>
      </c>
      <c r="N34">
        <v>83.286684339554398</v>
      </c>
      <c r="O34">
        <v>83.248838255528042</v>
      </c>
      <c r="P34">
        <v>83.280141282069096</v>
      </c>
      <c r="Q34">
        <v>83.198451215898103</v>
      </c>
      <c r="R34">
        <v>83.220991362381042</v>
      </c>
      <c r="S34">
        <v>83.066079701640163</v>
      </c>
      <c r="T34">
        <v>82.57276924114737</v>
      </c>
      <c r="U34">
        <v>83.257643588627232</v>
      </c>
      <c r="V34">
        <v>83.004439087300995</v>
      </c>
      <c r="W34">
        <v>82.975118556099929</v>
      </c>
    </row>
    <row r="35" spans="1:23" x14ac:dyDescent="0.25">
      <c r="B35">
        <f>RANK(B34,B34:K34)</f>
        <v>4</v>
      </c>
      <c r="C35">
        <f>RANK(C34,B34:K34)</f>
        <v>3</v>
      </c>
      <c r="D35">
        <f>RANK(D34,B34:K34)</f>
        <v>1</v>
      </c>
      <c r="E35">
        <f>RANK(E34,B34:K34)</f>
        <v>2</v>
      </c>
      <c r="F35">
        <f>RANK(F34,B34:K34)</f>
        <v>6</v>
      </c>
      <c r="G35">
        <f>RANK(G34,B34:K34)</f>
        <v>7</v>
      </c>
      <c r="H35">
        <f>RANK(H34,B34:K34)</f>
        <v>10</v>
      </c>
      <c r="I35">
        <f>RANK(I34,B34:K34)</f>
        <v>5</v>
      </c>
      <c r="J35">
        <f>RANK(J34,B34:K34)</f>
        <v>8</v>
      </c>
      <c r="K35">
        <f>RANK(K34,B34:K34)</f>
        <v>9</v>
      </c>
      <c r="N35">
        <f>RANK(N34,N34:W34)</f>
        <v>1</v>
      </c>
      <c r="O35">
        <f>RANK(O34,N34:W34)</f>
        <v>4</v>
      </c>
      <c r="P35">
        <f>RANK(P34,N34:W34)</f>
        <v>2</v>
      </c>
      <c r="Q35">
        <f>RANK(Q34,N34:W34)</f>
        <v>6</v>
      </c>
      <c r="R35">
        <f>RANK(R34,N34:W34)</f>
        <v>5</v>
      </c>
      <c r="S35">
        <f>RANK(S34,N34:W34)</f>
        <v>7</v>
      </c>
      <c r="T35">
        <f>RANK(T34,N34:W34)</f>
        <v>10</v>
      </c>
      <c r="U35">
        <f>RANK(U34,N34:W34)</f>
        <v>3</v>
      </c>
      <c r="V35">
        <f>RANK(V34,N34:W34)</f>
        <v>8</v>
      </c>
      <c r="W35">
        <f>RANK(W34,N34:W34)</f>
        <v>9</v>
      </c>
    </row>
    <row r="36" spans="1:23" x14ac:dyDescent="0.25">
      <c r="A36" t="s">
        <v>68</v>
      </c>
      <c r="B36">
        <v>83.276560098087018</v>
      </c>
      <c r="C36">
        <v>83.271297334405773</v>
      </c>
      <c r="D36">
        <v>83.279785130483262</v>
      </c>
      <c r="E36">
        <v>83.266996551471607</v>
      </c>
      <c r="F36">
        <v>83.266825600933529</v>
      </c>
      <c r="G36">
        <v>83.176999787706876</v>
      </c>
      <c r="H36">
        <v>82.629392494989503</v>
      </c>
      <c r="I36">
        <v>83.157519652023808</v>
      </c>
      <c r="J36">
        <v>83.024526391644059</v>
      </c>
      <c r="K36">
        <v>82.976127429227219</v>
      </c>
      <c r="M36" t="s">
        <v>68</v>
      </c>
      <c r="N36">
        <v>83.375341090437885</v>
      </c>
      <c r="O36">
        <v>83.331760503009178</v>
      </c>
      <c r="P36">
        <v>83.46222185977841</v>
      </c>
      <c r="Q36">
        <v>83.361438530123323</v>
      </c>
      <c r="R36">
        <v>83.168405271771221</v>
      </c>
      <c r="S36">
        <v>83.118659245474788</v>
      </c>
      <c r="T36">
        <v>82.592350142565579</v>
      </c>
      <c r="U36">
        <v>83.225787890212359</v>
      </c>
      <c r="V36">
        <v>83.124276505851569</v>
      </c>
      <c r="W36">
        <v>82.950971486876014</v>
      </c>
    </row>
    <row r="37" spans="1:23" x14ac:dyDescent="0.25">
      <c r="B37">
        <f>RANK(B36,B36:K36)</f>
        <v>2</v>
      </c>
      <c r="C37">
        <f>RANK(C36,B36:K36)</f>
        <v>3</v>
      </c>
      <c r="D37">
        <f>RANK(D36,B36:K36)</f>
        <v>1</v>
      </c>
      <c r="E37">
        <f>RANK(E36,B36:K36)</f>
        <v>4</v>
      </c>
      <c r="F37">
        <f>RANK(F36,B36:K36)</f>
        <v>5</v>
      </c>
      <c r="G37">
        <f>RANK(G36,B36:K36)</f>
        <v>6</v>
      </c>
      <c r="H37">
        <f>RANK(H36,B36:K36)</f>
        <v>10</v>
      </c>
      <c r="I37">
        <f>RANK(I36,B36:K36)</f>
        <v>7</v>
      </c>
      <c r="J37">
        <f>RANK(J36,B36:K36)</f>
        <v>8</v>
      </c>
      <c r="K37">
        <f>RANK(K36,B36:K36)</f>
        <v>9</v>
      </c>
      <c r="N37">
        <f>RANK(N36,N36:W36)</f>
        <v>2</v>
      </c>
      <c r="O37">
        <f>RANK(O36,N36:W36)</f>
        <v>4</v>
      </c>
      <c r="P37">
        <f>RANK(P36,N36:W36)</f>
        <v>1</v>
      </c>
      <c r="Q37">
        <f>RANK(Q36,N36:W36)</f>
        <v>3</v>
      </c>
      <c r="R37">
        <f>RANK(R36,N36:W36)</f>
        <v>6</v>
      </c>
      <c r="S37">
        <f>RANK(S36,N36:W36)</f>
        <v>8</v>
      </c>
      <c r="T37">
        <f>RANK(T36,N36:W36)</f>
        <v>10</v>
      </c>
      <c r="U37">
        <f>RANK(U36,N36:W36)</f>
        <v>5</v>
      </c>
      <c r="V37">
        <f>RANK(V36,N36:W36)</f>
        <v>7</v>
      </c>
      <c r="W37">
        <f>RANK(W36,N36:W36)</f>
        <v>9</v>
      </c>
    </row>
    <row r="38" spans="1:23" x14ac:dyDescent="0.25">
      <c r="A38" t="s">
        <v>69</v>
      </c>
      <c r="B38">
        <f>AVERAGE(B28,B30,B32,B34,B36)</f>
        <v>83.295067938378423</v>
      </c>
      <c r="C38">
        <f t="shared" ref="C38:K38" si="4">AVERAGE(C28,C30,C32,C34,C36)</f>
        <v>83.296023563382619</v>
      </c>
      <c r="D38">
        <f t="shared" si="4"/>
        <v>83.298891402715213</v>
      </c>
      <c r="E38">
        <f t="shared" si="4"/>
        <v>83.292220988593627</v>
      </c>
      <c r="F38">
        <f t="shared" si="4"/>
        <v>83.235132598501991</v>
      </c>
      <c r="G38">
        <f t="shared" si="4"/>
        <v>83.240037334913751</v>
      </c>
      <c r="H38">
        <f t="shared" si="4"/>
        <v>81.095048535478213</v>
      </c>
      <c r="I38">
        <f t="shared" si="4"/>
        <v>83.203368792972626</v>
      </c>
      <c r="J38">
        <f t="shared" si="4"/>
        <v>83.154111687009532</v>
      </c>
      <c r="K38">
        <f t="shared" si="4"/>
        <v>83.01141495319321</v>
      </c>
      <c r="M38" t="s">
        <v>69</v>
      </c>
      <c r="N38">
        <f>AVERAGE(N28,N30,N32,N34,N36)</f>
        <v>83.171973979630991</v>
      </c>
      <c r="O38">
        <f t="shared" ref="O38:W38" si="5">AVERAGE(O28,O30,O32,O34,O36)</f>
        <v>83.158795168247849</v>
      </c>
      <c r="P38">
        <f t="shared" si="5"/>
        <v>83.22266493841633</v>
      </c>
      <c r="Q38">
        <f t="shared" si="5"/>
        <v>83.137067656770455</v>
      </c>
      <c r="R38">
        <f t="shared" si="5"/>
        <v>83.16447823737353</v>
      </c>
      <c r="S38">
        <f t="shared" si="5"/>
        <v>83.102213871201002</v>
      </c>
      <c r="T38">
        <f t="shared" si="5"/>
        <v>82.684740144260758</v>
      </c>
      <c r="U38">
        <f t="shared" si="5"/>
        <v>83.124942382622649</v>
      </c>
      <c r="V38">
        <f t="shared" si="5"/>
        <v>82.951285112870153</v>
      </c>
      <c r="W38">
        <f t="shared" si="5"/>
        <v>82.851915318456022</v>
      </c>
    </row>
    <row r="39" spans="1:23" x14ac:dyDescent="0.25">
      <c r="A39" t="s">
        <v>83</v>
      </c>
      <c r="B39">
        <f>RANK(B38,B38:K38)</f>
        <v>3</v>
      </c>
      <c r="C39">
        <f>RANK(C38,B38:K38)</f>
        <v>2</v>
      </c>
      <c r="D39">
        <f>RANK(D38,B38:K38)</f>
        <v>1</v>
      </c>
      <c r="E39">
        <f>RANK(E38,B38:K38)</f>
        <v>4</v>
      </c>
      <c r="F39">
        <f>RANK(F38,B38:K38)</f>
        <v>6</v>
      </c>
      <c r="G39">
        <f>RANK(G38,B38:K38)</f>
        <v>5</v>
      </c>
      <c r="H39">
        <f>RANK(H38,B38:K38)</f>
        <v>10</v>
      </c>
      <c r="I39">
        <f>RANK(I38,B38:K38)</f>
        <v>7</v>
      </c>
      <c r="J39">
        <f>RANK(J38,B38:K38)</f>
        <v>8</v>
      </c>
      <c r="K39">
        <f>RANK(K38,B38:K38)</f>
        <v>9</v>
      </c>
      <c r="M39" t="s">
        <v>83</v>
      </c>
      <c r="N39">
        <f>RANK(N38,N38:W38)</f>
        <v>2</v>
      </c>
      <c r="O39">
        <f>RANK(O38,N38:W38)</f>
        <v>4</v>
      </c>
      <c r="P39">
        <f>RANK(P38,N38:W38)</f>
        <v>1</v>
      </c>
      <c r="Q39">
        <f>RANK(Q38,N38:W38)</f>
        <v>5</v>
      </c>
      <c r="R39">
        <f>RANK(R38,N38:W38)</f>
        <v>3</v>
      </c>
      <c r="S39">
        <f>RANK(S38,N38:W38)</f>
        <v>7</v>
      </c>
      <c r="T39">
        <f>RANK(T38,N38:W38)</f>
        <v>10</v>
      </c>
      <c r="U39">
        <f>RANK(U38,N38:W38)</f>
        <v>6</v>
      </c>
      <c r="V39">
        <f>RANK(V38,N38:W38)</f>
        <v>8</v>
      </c>
      <c r="W39">
        <f>RANK(W38,N38:W38)</f>
        <v>9</v>
      </c>
    </row>
    <row r="40" spans="1:23" x14ac:dyDescent="0.25">
      <c r="A40" t="s">
        <v>70</v>
      </c>
      <c r="B40">
        <v>85.400364592439217</v>
      </c>
      <c r="C40">
        <v>85.401014401560587</v>
      </c>
      <c r="D40">
        <v>85.407031698610638</v>
      </c>
      <c r="E40">
        <v>85.415791901448685</v>
      </c>
      <c r="F40">
        <v>85.278466996952218</v>
      </c>
      <c r="G40">
        <v>85.408695686763352</v>
      </c>
      <c r="H40">
        <v>81.869834976393989</v>
      </c>
      <c r="I40">
        <v>85.329521318484339</v>
      </c>
      <c r="J40">
        <v>85.300885857450538</v>
      </c>
      <c r="K40">
        <v>85.094703944034563</v>
      </c>
      <c r="M40" t="s">
        <v>70</v>
      </c>
      <c r="N40">
        <v>86.609088373540132</v>
      </c>
      <c r="O40">
        <v>86.622729920358054</v>
      </c>
      <c r="P40">
        <v>86.626911571568229</v>
      </c>
      <c r="Q40">
        <v>86.62408965087883</v>
      </c>
      <c r="R40">
        <v>86.588722184513273</v>
      </c>
      <c r="S40">
        <v>86.324382058002811</v>
      </c>
      <c r="T40">
        <v>86.331002008470477</v>
      </c>
      <c r="U40">
        <v>86.513627389544823</v>
      </c>
      <c r="V40">
        <v>86.46275750455726</v>
      </c>
      <c r="W40">
        <v>85.966780451392836</v>
      </c>
    </row>
    <row r="41" spans="1:23" x14ac:dyDescent="0.25">
      <c r="B41">
        <f>RANK(B40,B40:K40)</f>
        <v>5</v>
      </c>
      <c r="C41">
        <f>RANK(C40,B40:K40)</f>
        <v>4</v>
      </c>
      <c r="D41">
        <f>RANK(D40,B40:K40)</f>
        <v>3</v>
      </c>
      <c r="E41">
        <f>RANK(E40,B40:K40)</f>
        <v>1</v>
      </c>
      <c r="F41">
        <f>RANK(F40,B40:K40)</f>
        <v>8</v>
      </c>
      <c r="G41">
        <f>RANK(G40,B40:K40)</f>
        <v>2</v>
      </c>
      <c r="H41">
        <f>RANK(H40,B40:K40)</f>
        <v>10</v>
      </c>
      <c r="I41">
        <f>RANK(I40,B40:K40)</f>
        <v>6</v>
      </c>
      <c r="J41">
        <f>RANK(J40,B40:K40)</f>
        <v>7</v>
      </c>
      <c r="K41">
        <f>RANK(K40,B40:K40)</f>
        <v>9</v>
      </c>
      <c r="N41">
        <f>RANK(N40,N40:W40)</f>
        <v>4</v>
      </c>
      <c r="O41">
        <f>RANK(O40,N40:W40)</f>
        <v>3</v>
      </c>
      <c r="P41">
        <f>RANK(P40,N40:W40)</f>
        <v>1</v>
      </c>
      <c r="Q41">
        <f>RANK(Q40,N40:W40)</f>
        <v>2</v>
      </c>
      <c r="R41">
        <f>RANK(R40,N40:W40)</f>
        <v>5</v>
      </c>
      <c r="S41">
        <f>RANK(S40,N40:W40)</f>
        <v>9</v>
      </c>
      <c r="T41">
        <f>RANK(T40,N40:W40)</f>
        <v>8</v>
      </c>
      <c r="U41">
        <f>RANK(U40,N40:W40)</f>
        <v>6</v>
      </c>
      <c r="V41">
        <f>RANK(V40,N40:W40)</f>
        <v>7</v>
      </c>
      <c r="W41">
        <f>RANK(W40,N40:W40)</f>
        <v>10</v>
      </c>
    </row>
    <row r="42" spans="1:23" x14ac:dyDescent="0.25">
      <c r="A42" t="s">
        <v>71</v>
      </c>
      <c r="B42">
        <v>85.630708169675401</v>
      </c>
      <c r="C42">
        <v>85.634786670748113</v>
      </c>
      <c r="D42">
        <v>85.63785424452351</v>
      </c>
      <c r="E42">
        <v>85.632376303458145</v>
      </c>
      <c r="F42">
        <v>85.597319625793133</v>
      </c>
      <c r="G42">
        <v>85.631508891215262</v>
      </c>
      <c r="H42">
        <v>85.421635670868994</v>
      </c>
      <c r="I42">
        <v>85.545108897668882</v>
      </c>
      <c r="J42">
        <v>85.516479061456607</v>
      </c>
      <c r="K42">
        <v>85.267074450039672</v>
      </c>
      <c r="M42" t="s">
        <v>71</v>
      </c>
      <c r="N42">
        <v>86.673707681002853</v>
      </c>
      <c r="O42">
        <v>86.674874462280442</v>
      </c>
      <c r="P42">
        <v>86.66305043710679</v>
      </c>
      <c r="Q42">
        <v>86.690302605436514</v>
      </c>
      <c r="R42">
        <v>86.696674308164134</v>
      </c>
      <c r="S42">
        <v>86.700589393074011</v>
      </c>
      <c r="T42">
        <v>86.469780430476405</v>
      </c>
      <c r="U42">
        <v>86.589662636164206</v>
      </c>
      <c r="V42">
        <v>86.565936542192944</v>
      </c>
      <c r="W42">
        <v>86.450136396239941</v>
      </c>
    </row>
    <row r="43" spans="1:23" x14ac:dyDescent="0.25">
      <c r="B43">
        <f>RANK(B42,B42:K42)</f>
        <v>5</v>
      </c>
      <c r="C43">
        <f>RANK(C42,B42:K42)</f>
        <v>2</v>
      </c>
      <c r="D43">
        <f>RANK(D42,B42:K42)</f>
        <v>1</v>
      </c>
      <c r="E43">
        <f>RANK(E42,B42:K42)</f>
        <v>3</v>
      </c>
      <c r="F43">
        <f>RANK(F42,B42:K42)</f>
        <v>6</v>
      </c>
      <c r="G43">
        <f>RANK(G42,B42:K42)</f>
        <v>4</v>
      </c>
      <c r="H43">
        <f>RANK(H42,B42:K42)</f>
        <v>9</v>
      </c>
      <c r="I43">
        <f>RANK(I42,B42:K42)</f>
        <v>7</v>
      </c>
      <c r="J43">
        <f>RANK(J42,B42:K42)</f>
        <v>8</v>
      </c>
      <c r="K43">
        <f>RANK(K42,B42:K42)</f>
        <v>10</v>
      </c>
      <c r="N43">
        <f>RANK(N42,N42:W42)</f>
        <v>5</v>
      </c>
      <c r="O43">
        <f>RANK(O42,N42:W42)</f>
        <v>4</v>
      </c>
      <c r="P43">
        <f>RANK(P42,N42:W42)</f>
        <v>6</v>
      </c>
      <c r="Q43">
        <f>RANK(Q42,N42:W42)</f>
        <v>3</v>
      </c>
      <c r="R43">
        <f>RANK(R42,N42:W42)</f>
        <v>2</v>
      </c>
      <c r="S43">
        <f>RANK(S42,N42:W42)</f>
        <v>1</v>
      </c>
      <c r="T43">
        <f>RANK(T42,N42:W42)</f>
        <v>9</v>
      </c>
      <c r="U43">
        <f>RANK(U42,N42:W42)</f>
        <v>7</v>
      </c>
      <c r="V43">
        <f>RANK(V42,N42:W42)</f>
        <v>8</v>
      </c>
      <c r="W43">
        <f>RANK(W42,N42:W42)</f>
        <v>10</v>
      </c>
    </row>
    <row r="44" spans="1:23" x14ac:dyDescent="0.25">
      <c r="A44" t="s">
        <v>72</v>
      </c>
      <c r="B44">
        <v>86.623758528319399</v>
      </c>
      <c r="C44">
        <v>86.636637224461964</v>
      </c>
      <c r="D44">
        <v>86.627725041213154</v>
      </c>
      <c r="E44">
        <v>86.650732634033844</v>
      </c>
      <c r="F44">
        <v>86.371107630013057</v>
      </c>
      <c r="G44">
        <v>86.659282744635917</v>
      </c>
      <c r="H44">
        <v>80.777727437676205</v>
      </c>
      <c r="I44">
        <v>86.596664348873631</v>
      </c>
      <c r="J44">
        <v>86.315050584128741</v>
      </c>
      <c r="K44">
        <v>86.512333835538499</v>
      </c>
      <c r="M44" t="s">
        <v>72</v>
      </c>
      <c r="N44">
        <v>86.955522416361035</v>
      </c>
      <c r="O44">
        <v>86.962538585532442</v>
      </c>
      <c r="P44">
        <v>86.727485139998777</v>
      </c>
      <c r="Q44">
        <v>86.779383678893893</v>
      </c>
      <c r="R44">
        <v>86.939796419416268</v>
      </c>
      <c r="S44">
        <v>86.774156709098278</v>
      </c>
      <c r="T44">
        <v>86.56999438356209</v>
      </c>
      <c r="U44">
        <v>86.728869392313712</v>
      </c>
      <c r="V44">
        <v>86.557771551640741</v>
      </c>
      <c r="W44">
        <v>86.281751676591156</v>
      </c>
    </row>
    <row r="45" spans="1:23" x14ac:dyDescent="0.25">
      <c r="B45">
        <f>RANK(B44,B44:K44)</f>
        <v>5</v>
      </c>
      <c r="C45">
        <f>RANK(C44,B44:K44)</f>
        <v>3</v>
      </c>
      <c r="D45">
        <f>RANK(D44,B44:K44)</f>
        <v>4</v>
      </c>
      <c r="E45">
        <f>RANK(E44,B44:K44)</f>
        <v>2</v>
      </c>
      <c r="F45">
        <f>RANK(F44,B44:K44)</f>
        <v>8</v>
      </c>
      <c r="G45">
        <f>RANK(G44,B44:K44)</f>
        <v>1</v>
      </c>
      <c r="H45">
        <f>RANK(H44,B44:K44)</f>
        <v>10</v>
      </c>
      <c r="I45">
        <f>RANK(I44,B44:K44)</f>
        <v>6</v>
      </c>
      <c r="J45">
        <f>RANK(J44,B44:K44)</f>
        <v>9</v>
      </c>
      <c r="K45">
        <f>RANK(K44,B44:K44)</f>
        <v>7</v>
      </c>
      <c r="N45">
        <f>RANK(N44,N44:W44)</f>
        <v>2</v>
      </c>
      <c r="O45">
        <f>RANK(O44,N44:W44)</f>
        <v>1</v>
      </c>
      <c r="P45">
        <f>RANK(P44,N44:W44)</f>
        <v>7</v>
      </c>
      <c r="Q45">
        <f>RANK(Q44,N44:W44)</f>
        <v>4</v>
      </c>
      <c r="R45">
        <f>RANK(R44,N44:W44)</f>
        <v>3</v>
      </c>
      <c r="S45">
        <f>RANK(S44,N44:W44)</f>
        <v>5</v>
      </c>
      <c r="T45">
        <f>RANK(T44,N44:W44)</f>
        <v>8</v>
      </c>
      <c r="U45">
        <f>RANK(U44,N44:W44)</f>
        <v>6</v>
      </c>
      <c r="V45">
        <f>RANK(V44,N44:W44)</f>
        <v>9</v>
      </c>
      <c r="W45">
        <f>RANK(W44,N44:W44)</f>
        <v>10</v>
      </c>
    </row>
    <row r="46" spans="1:23" x14ac:dyDescent="0.25">
      <c r="A46" t="s">
        <v>73</v>
      </c>
      <c r="B46">
        <v>85.740321704737823</v>
      </c>
      <c r="C46">
        <v>85.741535740976957</v>
      </c>
      <c r="D46">
        <v>85.740216896719915</v>
      </c>
      <c r="E46">
        <v>85.747025691990885</v>
      </c>
      <c r="F46">
        <v>85.552122824456447</v>
      </c>
      <c r="G46">
        <v>85.733994353048274</v>
      </c>
      <c r="H46">
        <v>84.845834088442984</v>
      </c>
      <c r="I46">
        <v>85.661976569568722</v>
      </c>
      <c r="J46">
        <v>85.650682667643053</v>
      </c>
      <c r="K46">
        <v>85.334599482597156</v>
      </c>
      <c r="M46" t="s">
        <v>73</v>
      </c>
      <c r="N46">
        <v>86.998110758324003</v>
      </c>
      <c r="O46">
        <v>86.999702218834813</v>
      </c>
      <c r="P46">
        <v>86.968330767370617</v>
      </c>
      <c r="Q46">
        <v>87.002730061127636</v>
      </c>
      <c r="R46">
        <v>86.889619376099503</v>
      </c>
      <c r="S46">
        <v>86.886899366905354</v>
      </c>
      <c r="T46">
        <v>86.562488070455046</v>
      </c>
      <c r="U46">
        <v>86.739067108564782</v>
      </c>
      <c r="V46">
        <v>86.809502415253704</v>
      </c>
      <c r="W46">
        <v>86.448851003051757</v>
      </c>
    </row>
    <row r="47" spans="1:23" x14ac:dyDescent="0.25">
      <c r="B47">
        <f>RANK(B46,B46:K46)</f>
        <v>3</v>
      </c>
      <c r="C47">
        <f>RANK(C46,B46:K46)</f>
        <v>2</v>
      </c>
      <c r="D47">
        <f>RANK(D46,B46:K46)</f>
        <v>4</v>
      </c>
      <c r="E47">
        <f>RANK(E46,B46:K46)</f>
        <v>1</v>
      </c>
      <c r="F47">
        <f>RANK(F46,B46:K46)</f>
        <v>8</v>
      </c>
      <c r="G47">
        <f>RANK(G46,B46:K46)</f>
        <v>5</v>
      </c>
      <c r="H47">
        <f>RANK(H46,B46:K46)</f>
        <v>10</v>
      </c>
      <c r="I47">
        <f>RANK(I46,B46:K46)</f>
        <v>6</v>
      </c>
      <c r="J47">
        <f>RANK(J46,B46:K46)</f>
        <v>7</v>
      </c>
      <c r="K47">
        <f>RANK(K46,B46:K46)</f>
        <v>9</v>
      </c>
      <c r="N47">
        <f>RANK(N46,N46:W46)</f>
        <v>3</v>
      </c>
      <c r="O47">
        <f>RANK(O46,N46:W46)</f>
        <v>2</v>
      </c>
      <c r="P47">
        <f>RANK(P46,N46:W46)</f>
        <v>4</v>
      </c>
      <c r="Q47">
        <f>RANK(Q46,N46:W46)</f>
        <v>1</v>
      </c>
      <c r="R47">
        <f>RANK(R46,N46:W46)</f>
        <v>5</v>
      </c>
      <c r="S47">
        <f>RANK(S46,N46:W46)</f>
        <v>6</v>
      </c>
      <c r="T47">
        <f>RANK(T46,N46:W46)</f>
        <v>9</v>
      </c>
      <c r="U47">
        <f>RANK(U46,N46:W46)</f>
        <v>8</v>
      </c>
      <c r="V47">
        <f>RANK(V46,N46:W46)</f>
        <v>7</v>
      </c>
      <c r="W47">
        <f>RANK(W46,N46:W46)</f>
        <v>10</v>
      </c>
    </row>
    <row r="48" spans="1:23" x14ac:dyDescent="0.25">
      <c r="A48" t="s">
        <v>74</v>
      </c>
      <c r="B48">
        <v>86.406017872953512</v>
      </c>
      <c r="C48">
        <v>86.406327300836708</v>
      </c>
      <c r="D48">
        <v>86.399502018817529</v>
      </c>
      <c r="E48">
        <v>86.398330873276763</v>
      </c>
      <c r="F48">
        <v>86.30636760611246</v>
      </c>
      <c r="G48">
        <v>86.390108259088322</v>
      </c>
      <c r="H48">
        <v>86.048270201719205</v>
      </c>
      <c r="I48">
        <v>86.317366089755524</v>
      </c>
      <c r="J48">
        <v>86.310717298961762</v>
      </c>
      <c r="K48">
        <v>86.106142393361679</v>
      </c>
      <c r="M48" t="s">
        <v>74</v>
      </c>
      <c r="N48">
        <v>87.05518643997884</v>
      </c>
      <c r="O48">
        <v>87.051030232085026</v>
      </c>
      <c r="P48">
        <v>87.074372657468729</v>
      </c>
      <c r="Q48">
        <v>87.056094640689182</v>
      </c>
      <c r="R48">
        <v>86.543585846814594</v>
      </c>
      <c r="S48">
        <v>87.076280674288512</v>
      </c>
      <c r="T48">
        <v>86.200342895335012</v>
      </c>
      <c r="U48">
        <v>86.844409617858432</v>
      </c>
      <c r="V48">
        <v>86.217306458211851</v>
      </c>
      <c r="W48">
        <v>86.732497434567847</v>
      </c>
    </row>
    <row r="49" spans="1:23" x14ac:dyDescent="0.25">
      <c r="B49">
        <f>RANK(B48,B48:K48)</f>
        <v>2</v>
      </c>
      <c r="C49">
        <f>RANK(C48,B48:K48)</f>
        <v>1</v>
      </c>
      <c r="D49">
        <f>RANK(D48,B48:K48)</f>
        <v>3</v>
      </c>
      <c r="E49">
        <f>RANK(E48,B48:K48)</f>
        <v>4</v>
      </c>
      <c r="F49">
        <f>RANK(F48,B48:K48)</f>
        <v>8</v>
      </c>
      <c r="G49">
        <f>RANK(G48,B48:K48)</f>
        <v>5</v>
      </c>
      <c r="H49">
        <f>RANK(H48,B48:K48)</f>
        <v>10</v>
      </c>
      <c r="I49">
        <f>RANK(I48,B48:K48)</f>
        <v>6</v>
      </c>
      <c r="J49">
        <f>RANK(J48,B48:K48)</f>
        <v>7</v>
      </c>
      <c r="K49">
        <f>RANK(K48,B48:K48)</f>
        <v>9</v>
      </c>
      <c r="N49">
        <f>RANK(N48,N48:W48)</f>
        <v>4</v>
      </c>
      <c r="O49">
        <f>RANK(O48,N48:W48)</f>
        <v>5</v>
      </c>
      <c r="P49">
        <f>RANK(P48,N48:W48)</f>
        <v>2</v>
      </c>
      <c r="Q49">
        <f>RANK(Q48,N48:W48)</f>
        <v>3</v>
      </c>
      <c r="R49">
        <f>RANK(R48,N48:W48)</f>
        <v>8</v>
      </c>
      <c r="S49">
        <f>RANK(S48,N48:W48)</f>
        <v>1</v>
      </c>
      <c r="T49">
        <f>RANK(T48,N48:W48)</f>
        <v>10</v>
      </c>
      <c r="U49">
        <f>RANK(U48,N48:W48)</f>
        <v>6</v>
      </c>
      <c r="V49">
        <f>RANK(V48,N48:W48)</f>
        <v>9</v>
      </c>
      <c r="W49">
        <f>RANK(W48,N48:W48)</f>
        <v>7</v>
      </c>
    </row>
    <row r="50" spans="1:23" x14ac:dyDescent="0.25">
      <c r="A50" t="s">
        <v>75</v>
      </c>
      <c r="B50">
        <f>AVERAGE(B40,B42,B44,B46,B48)</f>
        <v>85.960234173625068</v>
      </c>
      <c r="C50">
        <f t="shared" ref="C50:K50" si="6">AVERAGE(C40,C42,C44,C46,C48)</f>
        <v>85.96406026771686</v>
      </c>
      <c r="D50">
        <f t="shared" si="6"/>
        <v>85.962465979976955</v>
      </c>
      <c r="E50">
        <f t="shared" si="6"/>
        <v>85.968851480841664</v>
      </c>
      <c r="F50">
        <f t="shared" si="6"/>
        <v>85.821076936665463</v>
      </c>
      <c r="G50">
        <f t="shared" si="6"/>
        <v>85.96471798695022</v>
      </c>
      <c r="H50">
        <f t="shared" si="6"/>
        <v>83.792660475020284</v>
      </c>
      <c r="I50">
        <f t="shared" si="6"/>
        <v>85.890127444870217</v>
      </c>
      <c r="J50">
        <f t="shared" si="6"/>
        <v>85.818763093928141</v>
      </c>
      <c r="K50">
        <f t="shared" si="6"/>
        <v>85.6629708211143</v>
      </c>
      <c r="M50" t="s">
        <v>75</v>
      </c>
      <c r="N50">
        <f>AVERAGE(N40,N42,N44,N46,N48)</f>
        <v>86.858323133841367</v>
      </c>
      <c r="O50">
        <f t="shared" ref="O50:W50" si="7">AVERAGE(O40,O42,O44,O46,O48)</f>
        <v>86.862175083818173</v>
      </c>
      <c r="P50">
        <f t="shared" si="7"/>
        <v>86.812030114702637</v>
      </c>
      <c r="Q50">
        <f t="shared" si="7"/>
        <v>86.830520127405208</v>
      </c>
      <c r="R50">
        <f t="shared" si="7"/>
        <v>86.731679627001569</v>
      </c>
      <c r="S50">
        <f t="shared" si="7"/>
        <v>86.752461640273793</v>
      </c>
      <c r="T50">
        <f t="shared" si="7"/>
        <v>86.426721557659818</v>
      </c>
      <c r="U50">
        <f t="shared" si="7"/>
        <v>86.683127228889191</v>
      </c>
      <c r="V50">
        <f t="shared" si="7"/>
        <v>86.5226548943713</v>
      </c>
      <c r="W50">
        <f t="shared" si="7"/>
        <v>86.376003392368702</v>
      </c>
    </row>
    <row r="51" spans="1:23" x14ac:dyDescent="0.25">
      <c r="A51" t="s">
        <v>83</v>
      </c>
      <c r="B51">
        <f>RANK(B50,B50:K50)</f>
        <v>5</v>
      </c>
      <c r="C51">
        <f>RANK(C50,B50:K50)</f>
        <v>3</v>
      </c>
      <c r="D51">
        <f>RANK(D50,B50:K50)</f>
        <v>4</v>
      </c>
      <c r="E51">
        <f>RANK(E50,B50:K50)</f>
        <v>1</v>
      </c>
      <c r="F51">
        <f>RANK(F50,B50:K50)</f>
        <v>7</v>
      </c>
      <c r="G51">
        <f>RANK(G50,B50:K50)</f>
        <v>2</v>
      </c>
      <c r="H51">
        <f>RANK(H50,B50:K50)</f>
        <v>10</v>
      </c>
      <c r="I51">
        <f>RANK(I50,B50:K50)</f>
        <v>6</v>
      </c>
      <c r="J51">
        <f>RANK(J50,B50:K50)</f>
        <v>8</v>
      </c>
      <c r="K51">
        <f>RANK(K50,B50:K50)</f>
        <v>9</v>
      </c>
      <c r="M51" t="s">
        <v>83</v>
      </c>
      <c r="N51">
        <f>RANK(N50,N50:W50)</f>
        <v>2</v>
      </c>
      <c r="O51">
        <f>RANK(O50,N50:W50)</f>
        <v>1</v>
      </c>
      <c r="P51">
        <f>RANK(P50,N50:W50)</f>
        <v>4</v>
      </c>
      <c r="Q51">
        <f>RANK(Q50,N50:W50)</f>
        <v>3</v>
      </c>
      <c r="R51">
        <f>RANK(R50,N50:W50)</f>
        <v>6</v>
      </c>
      <c r="S51">
        <f>RANK(S50,N50:W50)</f>
        <v>5</v>
      </c>
      <c r="T51">
        <f>RANK(T50,N50:W50)</f>
        <v>9</v>
      </c>
      <c r="U51">
        <f>RANK(U50,N50:W50)</f>
        <v>7</v>
      </c>
      <c r="V51">
        <f>RANK(V50,N50:W50)</f>
        <v>8</v>
      </c>
      <c r="W51">
        <f>RANK(W50,N50:W50)</f>
        <v>10</v>
      </c>
    </row>
    <row r="52" spans="1:23" x14ac:dyDescent="0.25">
      <c r="A52" t="s">
        <v>82</v>
      </c>
      <c r="B52">
        <f>AVERAGE(B8,B22,B36,B50)</f>
        <v>85.524618960339424</v>
      </c>
      <c r="C52">
        <v>85.590867271613433</v>
      </c>
      <c r="D52">
        <f t="shared" ref="D52:F52" si="8">AVERAGE(D8,D22,D36,D50)</f>
        <v>85.521590468488171</v>
      </c>
      <c r="E52">
        <f t="shared" si="8"/>
        <v>85.5226039112558</v>
      </c>
      <c r="F52">
        <f t="shared" si="8"/>
        <v>85.487695376092219</v>
      </c>
      <c r="G52">
        <v>85.579760008621449</v>
      </c>
      <c r="H52">
        <f>AVERAGE(H8,H22,H36,H50)</f>
        <v>84.787734017672847</v>
      </c>
      <c r="I52">
        <v>85.53719600367404</v>
      </c>
      <c r="J52">
        <v>85.513068056104288</v>
      </c>
      <c r="K52">
        <v>85.367063556840463</v>
      </c>
      <c r="M52" t="s">
        <v>82</v>
      </c>
      <c r="N52">
        <v>86.497505584724763</v>
      </c>
      <c r="O52">
        <v>86.491829006397055</v>
      </c>
      <c r="P52">
        <v>86.483734425167555</v>
      </c>
      <c r="Q52">
        <v>86.458499521989665</v>
      </c>
      <c r="R52">
        <v>86.421275819098952</v>
      </c>
      <c r="S52">
        <v>86.441264194830168</v>
      </c>
      <c r="T52">
        <v>86.214950536167947</v>
      </c>
      <c r="U52">
        <v>86.409215840627141</v>
      </c>
      <c r="V52">
        <v>86.338933942598004</v>
      </c>
      <c r="W52">
        <v>86.140888220232142</v>
      </c>
    </row>
    <row r="53" spans="1:23" x14ac:dyDescent="0.25">
      <c r="A53" s="1" t="s">
        <v>84</v>
      </c>
      <c r="B53" s="1">
        <f>AVERAGE(B15,B27,B39,B51)</f>
        <v>4.25</v>
      </c>
      <c r="C53" s="1">
        <f t="shared" ref="C53:K53" si="9">AVERAGE(C15,C27,C39,C51)</f>
        <v>2.5</v>
      </c>
      <c r="D53" s="1">
        <f t="shared" si="9"/>
        <v>4.75</v>
      </c>
      <c r="E53" s="1">
        <f t="shared" si="9"/>
        <v>4.5</v>
      </c>
      <c r="F53" s="1">
        <f t="shared" si="9"/>
        <v>5</v>
      </c>
      <c r="G53" s="1">
        <f t="shared" si="9"/>
        <v>3.75</v>
      </c>
      <c r="H53" s="1">
        <f t="shared" si="9"/>
        <v>8.75</v>
      </c>
      <c r="I53" s="1">
        <f t="shared" si="9"/>
        <v>6</v>
      </c>
      <c r="J53" s="1">
        <f t="shared" si="9"/>
        <v>6.25</v>
      </c>
      <c r="K53" s="1">
        <f t="shared" si="9"/>
        <v>9.25</v>
      </c>
      <c r="M53" s="1" t="s">
        <v>84</v>
      </c>
      <c r="N53" s="1">
        <f>AVERAGE(N15,N27,N39,N51)</f>
        <v>2.5</v>
      </c>
      <c r="O53" s="1">
        <f>AVERAGE(O15,O27,O39,O51)</f>
        <v>2.5</v>
      </c>
      <c r="P53" s="1">
        <f t="shared" ref="P53:W53" si="10">AVERAGE(P15,P27,P39,P51)</f>
        <v>4.25</v>
      </c>
      <c r="Q53" s="1">
        <f t="shared" si="10"/>
        <v>5.5</v>
      </c>
      <c r="R53" s="1">
        <f t="shared" si="10"/>
        <v>4.75</v>
      </c>
      <c r="S53" s="1">
        <f t="shared" si="10"/>
        <v>5.5</v>
      </c>
      <c r="T53" s="1">
        <f t="shared" si="10"/>
        <v>8.5</v>
      </c>
      <c r="U53" s="1">
        <f t="shared" si="10"/>
        <v>5.75</v>
      </c>
      <c r="V53" s="1">
        <f t="shared" si="10"/>
        <v>6</v>
      </c>
      <c r="W53" s="1">
        <f t="shared" si="10"/>
        <v>9.75</v>
      </c>
    </row>
    <row r="54" spans="1:23" x14ac:dyDescent="0.25">
      <c r="M54" s="1" t="s">
        <v>83</v>
      </c>
      <c r="N54">
        <f>AVERAGE(N5,N7,N9,N11,N13,N17,N19,N21,N23,N25,N29,N31,N33,N35,N37,N41,N43,N45,N47,N49)</f>
        <v>3.45</v>
      </c>
      <c r="O54">
        <f>AVERAGE(O5,O7,O9,O11,O13,O17,O19,O21,O23,O25,O29,O31,O33,O35,O37,O41,O43,O45,O47,O49)</f>
        <v>3.35</v>
      </c>
      <c r="P54">
        <f t="shared" ref="P54:W54" si="11">AVERAGE(P5,P7,P9,P11,P13,P17,P19,P21,P23,P25,P29,P31,P33,P35,P37,P41,P43,P45,P47,P49)</f>
        <v>4.2</v>
      </c>
      <c r="Q54">
        <f t="shared" si="11"/>
        <v>4.95</v>
      </c>
      <c r="R54">
        <f t="shared" si="11"/>
        <v>4.6500000000000004</v>
      </c>
      <c r="S54">
        <f t="shared" si="11"/>
        <v>4.8499999999999996</v>
      </c>
      <c r="T54">
        <f t="shared" si="11"/>
        <v>8.15</v>
      </c>
      <c r="U54">
        <f t="shared" si="11"/>
        <v>5.9</v>
      </c>
      <c r="V54">
        <f t="shared" si="11"/>
        <v>5.9</v>
      </c>
      <c r="W54">
        <f t="shared" si="11"/>
        <v>9.6</v>
      </c>
    </row>
    <row r="55" spans="1:23" x14ac:dyDescent="0.25">
      <c r="A55" s="1" t="s">
        <v>83</v>
      </c>
      <c r="B55">
        <f>AVERAGE(B5,B7,B9,B11,B13,B17,B19,B21,B23,B25,B29,B31,B33,B35,B37,B41,B43,B45,B47,B49)</f>
        <v>3.9</v>
      </c>
      <c r="C55">
        <f>AVERAGE(C5,C7,C9,C11,C13,C17,C19,C21,C23,C25,C29,C31,C33,C35,C37,C41,C43,C45,C47,C49)</f>
        <v>2.75</v>
      </c>
      <c r="D55">
        <f t="shared" ref="D55:K55" si="12">AVERAGE(D5,D7,D9,D11,D13,D17,D19,D21,D23,D25,D29,D31,D33,D35,D37,D41,D43,D45,D47,D49)</f>
        <v>4.45</v>
      </c>
      <c r="E55">
        <f t="shared" si="12"/>
        <v>4.8</v>
      </c>
      <c r="F55">
        <f t="shared" si="12"/>
        <v>5.15</v>
      </c>
      <c r="G55">
        <f t="shared" si="12"/>
        <v>4.1500000000000004</v>
      </c>
      <c r="H55">
        <f t="shared" si="12"/>
        <v>8.4</v>
      </c>
      <c r="I55">
        <f t="shared" si="12"/>
        <v>6.1</v>
      </c>
      <c r="J55">
        <f t="shared" si="12"/>
        <v>6.05</v>
      </c>
      <c r="K55">
        <f t="shared" si="12"/>
        <v>9.25</v>
      </c>
      <c r="M55" s="1" t="s">
        <v>88</v>
      </c>
      <c r="N55">
        <f>AVERAGE(B15,N15,B27,N27,B39,N39,B51,N51)</f>
        <v>3.375</v>
      </c>
      <c r="O55">
        <f>AVERAGE(C15,O15,C27,O27,C39,O39,C51,O51)</f>
        <v>2.5</v>
      </c>
      <c r="P55">
        <f t="shared" ref="P55:W55" si="13">AVERAGE(D15,P15,D27,P27,D39,P39,D51,P51)</f>
        <v>4.5</v>
      </c>
      <c r="Q55">
        <f t="shared" si="13"/>
        <v>5</v>
      </c>
      <c r="R55">
        <f t="shared" si="13"/>
        <v>4.875</v>
      </c>
      <c r="S55">
        <f t="shared" si="13"/>
        <v>4.625</v>
      </c>
      <c r="T55">
        <f t="shared" si="13"/>
        <v>8.625</v>
      </c>
      <c r="U55">
        <f t="shared" si="13"/>
        <v>5.875</v>
      </c>
      <c r="V55">
        <f t="shared" si="13"/>
        <v>6.125</v>
      </c>
      <c r="W55">
        <f t="shared" si="13"/>
        <v>9.5</v>
      </c>
    </row>
    <row r="56" spans="1:23" x14ac:dyDescent="0.25">
      <c r="M56" s="1" t="s">
        <v>93</v>
      </c>
      <c r="N56">
        <f>AVERAGE(B5,B7,B9,B11,B13,B17,B19,B21,B23,B25,B29,B31,B33,B35,B37,B41,B43,B45,B47,B49,N5,N7,N9,N11,N13,N17,N19,N21,N23,N25,N29,N31,N33,N35,N37,N41,N43,N45,N47,N49)+AB52</f>
        <v>3.6749999999999998</v>
      </c>
      <c r="O56">
        <f>AVERAGE(C5,C7,C9,C11,C13,C17,C19,C21,C23,C25,C29,C31,C33,C35,C37,C41,C43,C45,C47,C49,O5,O7,O9,O11,O13,O17,O19,O21,O23,O25,O29,O31,O33,O35,O37,O41,O43,O45,O47,O49)+AC52</f>
        <v>3.05</v>
      </c>
      <c r="P56">
        <f>AVERAGE(D5,D7,D9,D11,D13,D17,D19,D21,D23,D25,D29,D31,D33,D35,D37,D41,D43,D45,D47,D49,P5,P7,P9,P11,P13,P17,P19,P21,P23,P25,P29,P31,P33,P35,P37,P41,P43,P45,P47,P49)+AD104</f>
        <v>4.3250000000000002</v>
      </c>
      <c r="Q56">
        <f>AVERAGE(E5,E7,E9,E11,E13,E17,E19,E21,E23,E25,E29,E31,E33,E35,E37,E41,E43,E45,E47,E49,Q5,Q7,Q9,Q11,Q13,Q17,Q19,Q21,Q23,Q25,Q29,Q31,Q33,Q35,Q37,Q41,Q43,Q45,Q47,Q49)+AE104</f>
        <v>4.875</v>
      </c>
      <c r="R56" t="e">
        <f>AVERAGE(F5,F7,F9,F11,F13,F17,F19,F21,F23,F25,F29,F31,F33,F35,F37,F41,F43,F45,F47,F49,R5,R7,R9,R11,R13,R17,R19,R21,R23,R25,R29,R31,R33,R35,R37,R41,R43,R45,R47,R49)+#REF!</f>
        <v>#REF!</v>
      </c>
      <c r="S56" t="e">
        <f>AVERAGE(G5,G7,G9,G11,G13,G17,G19,G21,G23,G25,G29,G31,G33,G35,G37,G41,G43,G45,G47,G49,S5,S7,S9,S11,S13,S17,S19,S21,S23,S25,S29,S31,S33,S35,S37,S41,S43,S45,S47,S49)+#REF!</f>
        <v>#REF!</v>
      </c>
      <c r="T56" t="e">
        <f>AVERAGE(H5,H7,H9,H11,H13,H17,H19,H21,H23,H25,H29,H31,H33,H35,H37,H41,H43,H45,H47,H49,T5,T7,T9,T11,T13,T17,T19,T21,T23,T25,T29,T31,T33,T35,T37,T41,T43,T45,T47,T49)+#REF!</f>
        <v>#REF!</v>
      </c>
      <c r="U56" t="e">
        <f>AVERAGE(I5,I7,I9,I11,I13,I17,I19,I21,I23,I25,I29,I31,I33,I35,I37,I41,I43,I45,I47,I49,U5,U7,U9,U11,U13,U17,U19,U21,U23,U25,U29,U31,U33,U35,U37,U41,U43,U45,U47,U49)+#REF!</f>
        <v>#REF!</v>
      </c>
      <c r="V56" t="e">
        <f>AVERAGE(J5,J7,J9,J11,J13,J17,J19,J21,J23,J25,J29,J31,J33,J35,J37,J41,J43,J45,J47,J49,V5,V7,V9,V11,V13,V17,V19,V21,V23,V25,V29,V31,V33,V35,V37,V41,V43,V45,V47,V49)+#REF!</f>
        <v>#REF!</v>
      </c>
      <c r="W56" t="e">
        <f>AVERAGE(K5,K7,K9,K11,K13,K17,K19,K21,K23,K25,K29,K31,K33,K35,K37,K41,K43,K45,K47,K49,W5,W7,W9,W11,W13,W17,W19,W21,W23,W25,W29,W31,W33,W35,W37,W41,W43,W45,W47,W49)+#REF!</f>
        <v>#REF!</v>
      </c>
    </row>
    <row r="60" spans="1:23" x14ac:dyDescent="0.25">
      <c r="A60" s="79" t="s">
        <v>90</v>
      </c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</row>
    <row r="61" spans="1:23" x14ac:dyDescent="0.25">
      <c r="A61" s="80" t="s">
        <v>85</v>
      </c>
      <c r="B61" s="80"/>
      <c r="C61" s="80"/>
      <c r="D61" s="80"/>
      <c r="E61" s="80"/>
      <c r="F61" s="80"/>
      <c r="G61" s="80"/>
      <c r="H61" s="80"/>
      <c r="I61" s="80"/>
      <c r="J61" s="80"/>
      <c r="K61" s="80"/>
      <c r="M61" s="80" t="s">
        <v>86</v>
      </c>
      <c r="N61" s="80"/>
      <c r="O61" s="80"/>
      <c r="P61" s="80"/>
      <c r="Q61" s="80"/>
      <c r="R61" s="80"/>
      <c r="S61" s="80"/>
      <c r="T61" s="80"/>
      <c r="U61" s="80"/>
      <c r="V61" s="80"/>
      <c r="W61" s="80"/>
    </row>
    <row r="62" spans="1:23" x14ac:dyDescent="0.25">
      <c r="A62" t="s">
        <v>76</v>
      </c>
      <c r="B62">
        <v>67.710140159915596</v>
      </c>
      <c r="C62">
        <v>67.711448126717841</v>
      </c>
      <c r="D62">
        <v>68.001323544045519</v>
      </c>
      <c r="E62">
        <v>67.921862963881694</v>
      </c>
      <c r="F62">
        <v>68.235634271418746</v>
      </c>
      <c r="G62">
        <v>66.546586457609664</v>
      </c>
      <c r="H62">
        <v>67.715639115635611</v>
      </c>
      <c r="I62">
        <v>68.541737518900518</v>
      </c>
      <c r="J62">
        <v>68.58255347967723</v>
      </c>
      <c r="K62">
        <v>68.311910666782694</v>
      </c>
      <c r="M62" t="s">
        <v>76</v>
      </c>
      <c r="N62">
        <v>67.103127714942474</v>
      </c>
      <c r="O62">
        <v>67.12000903002351</v>
      </c>
      <c r="P62">
        <v>67.130500492347565</v>
      </c>
      <c r="Q62">
        <v>65.735764547372867</v>
      </c>
      <c r="R62">
        <v>66.50831251683438</v>
      </c>
      <c r="S62">
        <v>66.281576769335402</v>
      </c>
      <c r="T62">
        <v>66.415329937538758</v>
      </c>
      <c r="U62">
        <v>66.636465817137761</v>
      </c>
      <c r="V62">
        <v>67.049296925913339</v>
      </c>
      <c r="W62">
        <v>66.314687491481067</v>
      </c>
    </row>
    <row r="63" spans="1:23" x14ac:dyDescent="0.25">
      <c r="A63" t="s">
        <v>83</v>
      </c>
      <c r="B63">
        <f>RANK(B62,B62:K62)</f>
        <v>9</v>
      </c>
      <c r="C63">
        <f>RANK(C62,B62:K62)</f>
        <v>8</v>
      </c>
      <c r="D63">
        <f>RANK(D62,B62:K62)</f>
        <v>5</v>
      </c>
      <c r="E63">
        <f>RANK(E62,B62:K62)</f>
        <v>6</v>
      </c>
      <c r="F63">
        <f>RANK(F62,B62:K62)</f>
        <v>4</v>
      </c>
      <c r="G63">
        <f>RANK(G62,B62:K62)</f>
        <v>10</v>
      </c>
      <c r="H63">
        <f>RANK(H62,B62:K62)</f>
        <v>7</v>
      </c>
      <c r="I63">
        <f>RANK(I62,B62:K62)</f>
        <v>2</v>
      </c>
      <c r="J63">
        <f>RANK(J62,B62:K62)</f>
        <v>1</v>
      </c>
      <c r="K63">
        <f>RANK(K62,B62:K62)</f>
        <v>3</v>
      </c>
      <c r="M63" t="s">
        <v>83</v>
      </c>
      <c r="N63">
        <f>RANK(N62,N62:W62)</f>
        <v>3</v>
      </c>
      <c r="O63">
        <f>RANK(O62,N62:W62)</f>
        <v>2</v>
      </c>
      <c r="P63">
        <f>RANK(P62,N62:W62)</f>
        <v>1</v>
      </c>
      <c r="Q63">
        <f>RANK(Q62,N62:W62)</f>
        <v>10</v>
      </c>
      <c r="R63">
        <f>RANK(R62,N62:W62)</f>
        <v>6</v>
      </c>
      <c r="S63">
        <f>RANK(S62,N62:W62)</f>
        <v>9</v>
      </c>
      <c r="T63">
        <f>RANK(T62,N62:W62)</f>
        <v>7</v>
      </c>
      <c r="U63">
        <f>RANK(U62,N62:W62)</f>
        <v>5</v>
      </c>
      <c r="V63">
        <f>RANK(V62,N62:W62)</f>
        <v>4</v>
      </c>
      <c r="W63">
        <f>RANK(W62,N62:W62)</f>
        <v>8</v>
      </c>
    </row>
    <row r="64" spans="1:23" x14ac:dyDescent="0.25">
      <c r="A64" t="s">
        <v>77</v>
      </c>
      <c r="B64">
        <v>84.041077652312126</v>
      </c>
      <c r="C64">
        <v>84.158975236760583</v>
      </c>
      <c r="D64">
        <v>83.828626207631075</v>
      </c>
      <c r="E64">
        <v>83.761598681517683</v>
      </c>
      <c r="F64">
        <v>86.587293239092929</v>
      </c>
      <c r="G64">
        <v>85.658935544166269</v>
      </c>
      <c r="H64">
        <v>86.611029785718145</v>
      </c>
      <c r="I64">
        <v>80.950710209185814</v>
      </c>
      <c r="J64">
        <v>86.163838236527369</v>
      </c>
      <c r="K64">
        <v>79.776274620011023</v>
      </c>
      <c r="M64" t="s">
        <v>77</v>
      </c>
      <c r="N64">
        <v>84.114118396974732</v>
      </c>
      <c r="O64">
        <v>84.195867021346245</v>
      </c>
      <c r="P64">
        <v>83.981268745880698</v>
      </c>
      <c r="Q64">
        <v>83.928009061797638</v>
      </c>
      <c r="R64">
        <v>86.517052516704069</v>
      </c>
      <c r="S64">
        <v>85.425335362503972</v>
      </c>
      <c r="T64">
        <v>87.224193147666938</v>
      </c>
      <c r="U64">
        <v>83.037312843641203</v>
      </c>
      <c r="V64">
        <v>85.813349469305706</v>
      </c>
      <c r="W64">
        <v>81.04302868580541</v>
      </c>
    </row>
    <row r="65" spans="1:23" x14ac:dyDescent="0.25">
      <c r="A65" t="s">
        <v>83</v>
      </c>
      <c r="B65">
        <f>RANK(B64,B64:K64)</f>
        <v>6</v>
      </c>
      <c r="C65">
        <f>RANK(C64,B64:K64)</f>
        <v>5</v>
      </c>
      <c r="D65">
        <f>RANK(D64,B64:K64)</f>
        <v>7</v>
      </c>
      <c r="E65">
        <f>RANK(E64,B64:K64)</f>
        <v>8</v>
      </c>
      <c r="F65">
        <f>RANK(F64,B64:K64)</f>
        <v>2</v>
      </c>
      <c r="G65">
        <f>RANK(G64,B64:K64)</f>
        <v>4</v>
      </c>
      <c r="H65">
        <f>RANK(H64,B64:K64)</f>
        <v>1</v>
      </c>
      <c r="I65">
        <f>RANK(I64,B64:K64)</f>
        <v>9</v>
      </c>
      <c r="J65">
        <f>RANK(J64,B64:K64)</f>
        <v>3</v>
      </c>
      <c r="K65">
        <f>RANK(K64,B64:K64)</f>
        <v>10</v>
      </c>
      <c r="M65" t="s">
        <v>83</v>
      </c>
      <c r="N65">
        <f>RANK(N64,N64:W64)</f>
        <v>6</v>
      </c>
      <c r="O65">
        <f>RANK(O64,N64:W64)</f>
        <v>5</v>
      </c>
      <c r="P65">
        <f>RANK(P64,N64:W64)</f>
        <v>7</v>
      </c>
      <c r="Q65">
        <f>RANK(Q64,N64:W64)</f>
        <v>8</v>
      </c>
      <c r="R65">
        <f>RANK(R64,N64:W64)</f>
        <v>2</v>
      </c>
      <c r="S65">
        <f>RANK(S64,N64:W64)</f>
        <v>4</v>
      </c>
      <c r="T65">
        <f>RANK(T64,N64:W64)</f>
        <v>1</v>
      </c>
      <c r="U65">
        <f>RANK(U64,N64:W64)</f>
        <v>9</v>
      </c>
      <c r="V65">
        <f>RANK(V64,N64:W64)</f>
        <v>3</v>
      </c>
      <c r="W65">
        <f>RANK(W64,N64:W64)</f>
        <v>10</v>
      </c>
    </row>
    <row r="66" spans="1:23" x14ac:dyDescent="0.25">
      <c r="A66" t="s">
        <v>78</v>
      </c>
      <c r="B66">
        <v>83.078617294313162</v>
      </c>
      <c r="C66">
        <v>83.36306948663993</v>
      </c>
      <c r="D66">
        <v>82.871586021182893</v>
      </c>
      <c r="E66">
        <v>83.637301359241008</v>
      </c>
      <c r="F66">
        <v>85.577824212512539</v>
      </c>
      <c r="G66">
        <v>85.127098509242643</v>
      </c>
      <c r="H66">
        <v>82.567798280010209</v>
      </c>
      <c r="I66">
        <v>80.805382907419329</v>
      </c>
      <c r="J66">
        <v>85.093394238648784</v>
      </c>
      <c r="K66">
        <v>79.750495974270052</v>
      </c>
      <c r="M66" t="s">
        <v>78</v>
      </c>
      <c r="N66">
        <v>86.12051321753421</v>
      </c>
      <c r="O66">
        <v>86.221921477145401</v>
      </c>
      <c r="P66">
        <v>86.197625823045016</v>
      </c>
      <c r="Q66">
        <v>86.560773957117405</v>
      </c>
      <c r="R66">
        <v>86.94309090662604</v>
      </c>
      <c r="S66">
        <v>86.809790167646341</v>
      </c>
      <c r="T66">
        <v>86.70859115842012</v>
      </c>
      <c r="U66">
        <v>84.848483061736488</v>
      </c>
      <c r="V66">
        <v>86.943865986264441</v>
      </c>
      <c r="W66">
        <v>84.707120559092289</v>
      </c>
    </row>
    <row r="67" spans="1:23" x14ac:dyDescent="0.25">
      <c r="A67" t="s">
        <v>83</v>
      </c>
      <c r="B67">
        <f>RANK(B66,B66:K66)</f>
        <v>6</v>
      </c>
      <c r="C67">
        <f>RANK(C66,B66:K66)</f>
        <v>5</v>
      </c>
      <c r="D67">
        <f>RANK(D66,B66:K66)</f>
        <v>7</v>
      </c>
      <c r="E67">
        <f>RANK(E66,B66:K66)</f>
        <v>4</v>
      </c>
      <c r="F67">
        <f>RANK(F66,B66:K66)</f>
        <v>1</v>
      </c>
      <c r="G67">
        <f>RANK(G66,B66:K66)</f>
        <v>2</v>
      </c>
      <c r="H67">
        <f>RANK(H66,B66:K66)</f>
        <v>8</v>
      </c>
      <c r="I67">
        <f>RANK(I66,B66:K66)</f>
        <v>9</v>
      </c>
      <c r="J67">
        <f>RANK(J66,B66:K66)</f>
        <v>3</v>
      </c>
      <c r="K67">
        <f>RANK(K66,B66:K66)</f>
        <v>10</v>
      </c>
      <c r="M67" t="s">
        <v>83</v>
      </c>
      <c r="N67">
        <f>RANK(N66,N66:W66)</f>
        <v>8</v>
      </c>
      <c r="O67">
        <f>RANK(O66,N66:W66)</f>
        <v>6</v>
      </c>
      <c r="P67">
        <f>RANK(P66,N66:W66)</f>
        <v>7</v>
      </c>
      <c r="Q67">
        <f>RANK(Q66,N66:W66)</f>
        <v>5</v>
      </c>
      <c r="R67">
        <f>RANK(R66,N66:W66)</f>
        <v>2</v>
      </c>
      <c r="S67">
        <f>RANK(S66,N66:W66)</f>
        <v>3</v>
      </c>
      <c r="T67">
        <f>RANK(T66,N66:W66)</f>
        <v>4</v>
      </c>
      <c r="U67">
        <f>RANK(U66,N66:W66)</f>
        <v>9</v>
      </c>
      <c r="V67">
        <f>RANK(V66,N66:W66)</f>
        <v>1</v>
      </c>
      <c r="W67">
        <f>RANK(W66,N66:W66)</f>
        <v>10</v>
      </c>
    </row>
    <row r="68" spans="1:23" x14ac:dyDescent="0.25">
      <c r="A68" t="s">
        <v>79</v>
      </c>
      <c r="B68">
        <v>76.862105806187458</v>
      </c>
      <c r="C68">
        <v>76.878667057817523</v>
      </c>
      <c r="D68">
        <v>76.720782874998164</v>
      </c>
      <c r="E68">
        <v>75.3671337804264</v>
      </c>
      <c r="F68">
        <v>77.084128027757842</v>
      </c>
      <c r="G68">
        <v>77.756833472508021</v>
      </c>
      <c r="H68">
        <v>65.844238904574382</v>
      </c>
      <c r="I68">
        <v>73.357570242530485</v>
      </c>
      <c r="J68">
        <v>77.265686790927347</v>
      </c>
      <c r="K68">
        <v>71.32408643686118</v>
      </c>
      <c r="M68" t="s">
        <v>79</v>
      </c>
      <c r="N68">
        <v>77.06045386187364</v>
      </c>
      <c r="O68">
        <v>77.062142479041029</v>
      </c>
      <c r="P68">
        <v>76.876102308793648</v>
      </c>
      <c r="Q68">
        <v>75.477829238780515</v>
      </c>
      <c r="R68">
        <v>77.088196303889006</v>
      </c>
      <c r="S68">
        <v>77.752444906191528</v>
      </c>
      <c r="T68">
        <v>73.684125085598453</v>
      </c>
      <c r="U68">
        <v>73.771369681584716</v>
      </c>
      <c r="V68">
        <v>77.397804200794695</v>
      </c>
      <c r="W68">
        <v>72.169558029439898</v>
      </c>
    </row>
    <row r="69" spans="1:23" x14ac:dyDescent="0.25">
      <c r="A69" t="s">
        <v>83</v>
      </c>
      <c r="B69">
        <f>RANK(B68,B68:K68)</f>
        <v>5</v>
      </c>
      <c r="C69">
        <f>RANK(C68,B68:K68)</f>
        <v>4</v>
      </c>
      <c r="D69">
        <f>RANK(D68,B68:K68)</f>
        <v>6</v>
      </c>
      <c r="E69">
        <f>RANK(E68,B68:K68)</f>
        <v>7</v>
      </c>
      <c r="F69">
        <f>RANK(F68,B68:K68)</f>
        <v>3</v>
      </c>
      <c r="G69">
        <f>RANK(G68,B68:K68)</f>
        <v>1</v>
      </c>
      <c r="H69">
        <f>RANK(H68,B68:K68)</f>
        <v>10</v>
      </c>
      <c r="I69">
        <f>RANK(I68,B68:K68)</f>
        <v>8</v>
      </c>
      <c r="J69">
        <f>RANK(J68,B68:K68)</f>
        <v>2</v>
      </c>
      <c r="K69">
        <f>RANK(K68,B68:K68)</f>
        <v>9</v>
      </c>
      <c r="M69" t="s">
        <v>83</v>
      </c>
      <c r="N69">
        <f>RANK(N68,N68:W68)</f>
        <v>5</v>
      </c>
      <c r="O69">
        <f>RANK(O68,N68:W68)</f>
        <v>4</v>
      </c>
      <c r="P69">
        <f>RANK(P68,N68:W68)</f>
        <v>6</v>
      </c>
      <c r="Q69">
        <f>RANK(Q68,N68:W68)</f>
        <v>7</v>
      </c>
      <c r="R69">
        <f>RANK(R68,N68:W68)</f>
        <v>3</v>
      </c>
      <c r="S69">
        <f>RANK(S68,N68:W68)</f>
        <v>1</v>
      </c>
      <c r="T69">
        <f>RANK(T68,N68:W68)</f>
        <v>9</v>
      </c>
      <c r="U69">
        <f>RANK(U68,N68:W68)</f>
        <v>8</v>
      </c>
      <c r="V69">
        <f>RANK(V68,N68:W68)</f>
        <v>2</v>
      </c>
      <c r="W69">
        <f>RANK(W68,N68:W68)</f>
        <v>10</v>
      </c>
    </row>
    <row r="70" spans="1:23" x14ac:dyDescent="0.25">
      <c r="A70" t="s">
        <v>80</v>
      </c>
      <c r="B70">
        <v>88.991403051826808</v>
      </c>
      <c r="C70">
        <v>89.120939862546379</v>
      </c>
      <c r="D70">
        <v>88.765881889220793</v>
      </c>
      <c r="E70">
        <v>88.893052696700096</v>
      </c>
      <c r="F70">
        <v>88.871441904854407</v>
      </c>
      <c r="G70">
        <v>89.12103924911132</v>
      </c>
      <c r="H70">
        <v>84.094431095687938</v>
      </c>
      <c r="I70">
        <v>88.49552903642919</v>
      </c>
      <c r="J70">
        <v>88.791566412493324</v>
      </c>
      <c r="K70">
        <v>88.379138756246405</v>
      </c>
      <c r="M70" t="s">
        <v>80</v>
      </c>
      <c r="N70">
        <v>90.677268444631039</v>
      </c>
      <c r="O70">
        <v>90.678631436561929</v>
      </c>
      <c r="P70">
        <v>90.464108433539408</v>
      </c>
      <c r="Q70">
        <v>90.744434664212463</v>
      </c>
      <c r="R70">
        <v>90.778239392942226</v>
      </c>
      <c r="S70">
        <v>90.510202187694034</v>
      </c>
      <c r="T70">
        <v>90.892448106559058</v>
      </c>
      <c r="U70">
        <v>89.190804546187024</v>
      </c>
      <c r="V70">
        <v>90.889135767292942</v>
      </c>
      <c r="W70">
        <v>88.823898540517376</v>
      </c>
    </row>
    <row r="71" spans="1:23" x14ac:dyDescent="0.25">
      <c r="A71" t="s">
        <v>83</v>
      </c>
      <c r="B71">
        <f>RANK(B70,B70:K70)</f>
        <v>3</v>
      </c>
      <c r="C71">
        <f>RANK(C70,B70:K70)</f>
        <v>2</v>
      </c>
      <c r="D71">
        <f>RANK(D70,B70:K70)</f>
        <v>7</v>
      </c>
      <c r="E71">
        <f>RANK(E70,B70:K70)</f>
        <v>4</v>
      </c>
      <c r="F71">
        <f>RANK(F70,B70:K70)</f>
        <v>5</v>
      </c>
      <c r="G71">
        <f>RANK(G70,B70:K70)</f>
        <v>1</v>
      </c>
      <c r="H71">
        <f>RANK(H70,B70:K70)</f>
        <v>10</v>
      </c>
      <c r="I71">
        <f>RANK(I70,B70:K70)</f>
        <v>8</v>
      </c>
      <c r="J71">
        <f>RANK(J70,B70:K70)</f>
        <v>6</v>
      </c>
      <c r="K71">
        <f>RANK(K70,B70:K70)</f>
        <v>9</v>
      </c>
      <c r="M71" t="s">
        <v>83</v>
      </c>
      <c r="N71">
        <f>RANK(N70,N70:W70)</f>
        <v>6</v>
      </c>
      <c r="O71">
        <f>RANK(O70,N70:W70)</f>
        <v>5</v>
      </c>
      <c r="P71">
        <f>RANK(P70,N70:W70)</f>
        <v>8</v>
      </c>
      <c r="Q71">
        <f>RANK(Q70,N70:W70)</f>
        <v>4</v>
      </c>
      <c r="R71">
        <f>RANK(R70,N70:W70)</f>
        <v>3</v>
      </c>
      <c r="S71">
        <f>RANK(S70,N70:W70)</f>
        <v>7</v>
      </c>
      <c r="T71">
        <f>RANK(T70,N70:W70)</f>
        <v>1</v>
      </c>
      <c r="U71">
        <f>RANK(U70,N70:W70)</f>
        <v>9</v>
      </c>
      <c r="V71">
        <f>RANK(V70,N70:W70)</f>
        <v>2</v>
      </c>
      <c r="W71">
        <f>RANK(W70,N70:W70)</f>
        <v>10</v>
      </c>
    </row>
    <row r="72" spans="1:23" x14ac:dyDescent="0.25">
      <c r="A72" t="s">
        <v>81</v>
      </c>
      <c r="B72">
        <f>AVERAGE(B62,B64,B66,B68,B70)</f>
        <v>80.136668792911024</v>
      </c>
      <c r="C72">
        <f t="shared" ref="C72:K73" si="14">AVERAGE(C62,C64,C66,C68,C70)</f>
        <v>80.246619954096445</v>
      </c>
      <c r="D72">
        <f t="shared" si="14"/>
        <v>80.037640107415683</v>
      </c>
      <c r="E72">
        <f t="shared" si="14"/>
        <v>79.916189896353373</v>
      </c>
      <c r="F72">
        <f t="shared" si="14"/>
        <v>81.271264331127298</v>
      </c>
      <c r="G72">
        <f t="shared" si="14"/>
        <v>80.842098646527589</v>
      </c>
      <c r="H72">
        <f t="shared" si="14"/>
        <v>77.36662743632526</v>
      </c>
      <c r="I72">
        <f t="shared" si="14"/>
        <v>78.430185982893065</v>
      </c>
      <c r="J72">
        <f t="shared" si="14"/>
        <v>81.179407831654814</v>
      </c>
      <c r="K72">
        <f t="shared" si="14"/>
        <v>77.508381290834265</v>
      </c>
      <c r="M72" t="s">
        <v>81</v>
      </c>
      <c r="N72">
        <f>AVERAGE(N62,N64,N66,N68,N70)</f>
        <v>81.015096327191216</v>
      </c>
      <c r="O72">
        <f t="shared" ref="O72:W73" si="15">AVERAGE(O62,O64,O66,O68,O70)</f>
        <v>81.055714288823623</v>
      </c>
      <c r="P72">
        <f t="shared" si="15"/>
        <v>80.929921160721264</v>
      </c>
      <c r="Q72">
        <f t="shared" si="15"/>
        <v>80.489362293856175</v>
      </c>
      <c r="R72">
        <f t="shared" si="15"/>
        <v>81.566978327399141</v>
      </c>
      <c r="S72">
        <f t="shared" si="15"/>
        <v>81.355869878674255</v>
      </c>
      <c r="T72">
        <f t="shared" si="15"/>
        <v>80.984937487156657</v>
      </c>
      <c r="U72">
        <f t="shared" si="15"/>
        <v>79.496887190057436</v>
      </c>
      <c r="V72">
        <f t="shared" si="15"/>
        <v>81.618690469914213</v>
      </c>
      <c r="W72">
        <f t="shared" si="15"/>
        <v>78.611658661267214</v>
      </c>
    </row>
    <row r="73" spans="1:23" x14ac:dyDescent="0.25">
      <c r="A73" t="s">
        <v>84</v>
      </c>
      <c r="B73">
        <f>AVERAGE(B63,B65,B67,B69,B71)</f>
        <v>5.8</v>
      </c>
      <c r="C73">
        <f t="shared" si="14"/>
        <v>4.8</v>
      </c>
      <c r="D73">
        <f t="shared" si="14"/>
        <v>6.4</v>
      </c>
      <c r="E73">
        <f t="shared" si="14"/>
        <v>5.8</v>
      </c>
      <c r="F73">
        <f t="shared" si="14"/>
        <v>3</v>
      </c>
      <c r="G73">
        <f t="shared" si="14"/>
        <v>3.6</v>
      </c>
      <c r="H73">
        <f t="shared" si="14"/>
        <v>7.2</v>
      </c>
      <c r="I73">
        <f t="shared" si="14"/>
        <v>7.2</v>
      </c>
      <c r="J73">
        <f t="shared" si="14"/>
        <v>3</v>
      </c>
      <c r="K73">
        <f t="shared" si="14"/>
        <v>8.1999999999999993</v>
      </c>
      <c r="M73" t="s">
        <v>84</v>
      </c>
      <c r="N73">
        <f>AVERAGE(N63,N65,N67,N69,N71)</f>
        <v>5.6</v>
      </c>
      <c r="O73">
        <f t="shared" si="15"/>
        <v>4.4000000000000004</v>
      </c>
      <c r="P73">
        <f t="shared" si="15"/>
        <v>5.8</v>
      </c>
      <c r="Q73">
        <f t="shared" si="15"/>
        <v>6.8</v>
      </c>
      <c r="R73">
        <f t="shared" si="15"/>
        <v>3.2</v>
      </c>
      <c r="S73">
        <f t="shared" si="15"/>
        <v>4.8</v>
      </c>
      <c r="T73">
        <f t="shared" si="15"/>
        <v>4.4000000000000004</v>
      </c>
      <c r="U73">
        <f t="shared" si="15"/>
        <v>8</v>
      </c>
      <c r="V73">
        <f t="shared" si="15"/>
        <v>2.4</v>
      </c>
      <c r="W73">
        <f t="shared" si="15"/>
        <v>9.6</v>
      </c>
    </row>
    <row r="75" spans="1:23" x14ac:dyDescent="0.25">
      <c r="M75" t="s">
        <v>88</v>
      </c>
      <c r="N75">
        <f t="shared" ref="N75:W75" si="16">AVERAGE(B63,B65,B67,B69,B71,N63,N65,N67,N69,N71)</f>
        <v>5.7</v>
      </c>
      <c r="O75">
        <f t="shared" si="16"/>
        <v>4.5999999999999996</v>
      </c>
      <c r="P75">
        <f t="shared" si="16"/>
        <v>6.1</v>
      </c>
      <c r="Q75">
        <f t="shared" si="16"/>
        <v>6.3</v>
      </c>
      <c r="R75">
        <f t="shared" si="16"/>
        <v>3.1</v>
      </c>
      <c r="S75">
        <f t="shared" si="16"/>
        <v>4.2</v>
      </c>
      <c r="T75">
        <f t="shared" si="16"/>
        <v>5.8</v>
      </c>
      <c r="U75">
        <f t="shared" si="16"/>
        <v>7.6</v>
      </c>
      <c r="V75">
        <f t="shared" si="16"/>
        <v>2.7</v>
      </c>
      <c r="W75">
        <f t="shared" si="16"/>
        <v>8.9</v>
      </c>
    </row>
    <row r="77" spans="1:23" x14ac:dyDescent="0.25">
      <c r="A77" t="s">
        <v>83</v>
      </c>
      <c r="B77">
        <f>AVERAGE(B5,B7,B9,B11,B13,B17,B19,B21,B23,B25,B29,B31,B33,B35,B37,B41,B43,B45,B47,B49,B63,B65,B67,B69,B71)</f>
        <v>4.28</v>
      </c>
      <c r="C77">
        <f t="shared" ref="C77:K77" si="17">AVERAGE(C5,C7,C9,C11,C13,C17,C19,C21,C23,C25,C29,C31,C33,C35,C37,C41,C43,C45,C47,C49,C63,C65,C67,C69,C71)</f>
        <v>3.16</v>
      </c>
      <c r="D77">
        <f t="shared" si="17"/>
        <v>4.84</v>
      </c>
      <c r="E77">
        <f t="shared" si="17"/>
        <v>5</v>
      </c>
      <c r="F77">
        <f t="shared" si="17"/>
        <v>4.72</v>
      </c>
      <c r="G77">
        <f t="shared" si="17"/>
        <v>4.04</v>
      </c>
      <c r="H77">
        <f t="shared" si="17"/>
        <v>8.16</v>
      </c>
      <c r="I77">
        <f t="shared" si="17"/>
        <v>6.32</v>
      </c>
      <c r="J77">
        <f t="shared" si="17"/>
        <v>5.44</v>
      </c>
      <c r="K77">
        <f t="shared" si="17"/>
        <v>9.0399999999999991</v>
      </c>
      <c r="M77" t="s">
        <v>83</v>
      </c>
      <c r="N77">
        <f>AVERAGE(N5,N7,N9,N11,N13,N17,N19,N21,N23,N25,N29,N31,N33,N35,N37,N41,N43,N45,N47,N49,N63,N65,N67,N69,N71)</f>
        <v>3.88</v>
      </c>
      <c r="O77">
        <f>AVERAGE(O5,O7,O9,O11,O13,O17,O19,O21,O23,O25,O29,O31,O33,O35,O37,O41,O43,O45,O47,O49,O63,O65,O67,O69,O71)</f>
        <v>3.56</v>
      </c>
      <c r="P77">
        <f t="shared" ref="P77:W77" si="18">AVERAGE(P5,P7,P9,P11,P13,P17,P19,P21,P23,P25,P29,P31,P33,P35,P37,P41,P43,P45,P47,P49,P63,P65,P67,P69,P71)</f>
        <v>4.5199999999999996</v>
      </c>
      <c r="Q77">
        <f t="shared" si="18"/>
        <v>5.32</v>
      </c>
      <c r="R77">
        <f t="shared" si="18"/>
        <v>4.3600000000000003</v>
      </c>
      <c r="S77">
        <f t="shared" si="18"/>
        <v>4.84</v>
      </c>
      <c r="T77">
        <f t="shared" si="18"/>
        <v>7.4</v>
      </c>
      <c r="U77">
        <f t="shared" si="18"/>
        <v>6.32</v>
      </c>
      <c r="V77">
        <f t="shared" si="18"/>
        <v>5.2</v>
      </c>
      <c r="W77">
        <f t="shared" si="18"/>
        <v>9.6</v>
      </c>
    </row>
    <row r="78" spans="1:23" x14ac:dyDescent="0.25">
      <c r="A78" t="s">
        <v>94</v>
      </c>
      <c r="B78">
        <f>AVERAGE(B15,B27,B39,B51,B63,B65,B67,B69,B71)</f>
        <v>5.1111111111111107</v>
      </c>
      <c r="C78">
        <f t="shared" ref="C78:K78" si="19">AVERAGE(C15,C27,C39,C51,C63,C65,C67,C69,C71)</f>
        <v>3.7777777777777777</v>
      </c>
      <c r="D78">
        <f t="shared" si="19"/>
        <v>5.666666666666667</v>
      </c>
      <c r="E78">
        <f t="shared" si="19"/>
        <v>5.2222222222222223</v>
      </c>
      <c r="F78">
        <f t="shared" si="19"/>
        <v>3.8888888888888888</v>
      </c>
      <c r="G78">
        <f t="shared" si="19"/>
        <v>3.6666666666666665</v>
      </c>
      <c r="H78">
        <f t="shared" si="19"/>
        <v>7.8888888888888893</v>
      </c>
      <c r="I78">
        <f t="shared" si="19"/>
        <v>6.666666666666667</v>
      </c>
      <c r="J78">
        <f t="shared" si="19"/>
        <v>4.4444444444444446</v>
      </c>
      <c r="K78">
        <f t="shared" si="19"/>
        <v>8.6666666666666661</v>
      </c>
      <c r="M78" t="s">
        <v>94</v>
      </c>
      <c r="N78">
        <f>AVERAGE(N15,N27,N39,N51,N63,N65,N67,N69,N71)</f>
        <v>4.2222222222222223</v>
      </c>
      <c r="O78">
        <f>AVERAGE(O15,O27,O39,O51,O63,O65,O67,O69,O71)</f>
        <v>3.5555555555555554</v>
      </c>
      <c r="P78">
        <f t="shared" ref="O78:W78" si="20">AVERAGE(P15,P27,P39,P51,P63,P65,P67,P69,P71)</f>
        <v>5.1111111111111107</v>
      </c>
      <c r="Q78">
        <f t="shared" si="20"/>
        <v>6.2222222222222223</v>
      </c>
      <c r="R78">
        <f t="shared" si="20"/>
        <v>3.8888888888888888</v>
      </c>
      <c r="S78">
        <f t="shared" si="20"/>
        <v>5.1111111111111107</v>
      </c>
      <c r="T78">
        <f t="shared" si="20"/>
        <v>6.2222222222222223</v>
      </c>
      <c r="U78">
        <f t="shared" si="20"/>
        <v>7</v>
      </c>
      <c r="V78">
        <f t="shared" si="20"/>
        <v>4</v>
      </c>
      <c r="W78">
        <f t="shared" si="20"/>
        <v>9.6666666666666661</v>
      </c>
    </row>
    <row r="83" spans="24:25" x14ac:dyDescent="0.25">
      <c r="Y83" s="29"/>
    </row>
    <row r="84" spans="24:25" x14ac:dyDescent="0.25">
      <c r="Y84" s="29"/>
    </row>
    <row r="85" spans="24:25" x14ac:dyDescent="0.25">
      <c r="X85" s="28"/>
      <c r="Y85" s="29"/>
    </row>
    <row r="86" spans="24:25" x14ac:dyDescent="0.25">
      <c r="X86" s="28"/>
      <c r="Y86" s="29"/>
    </row>
    <row r="87" spans="24:25" x14ac:dyDescent="0.25">
      <c r="X87" s="28"/>
      <c r="Y87" s="29"/>
    </row>
    <row r="88" spans="24:25" x14ac:dyDescent="0.25">
      <c r="X88" s="28"/>
      <c r="Y88" s="29"/>
    </row>
  </sheetData>
  <mergeCells count="6">
    <mergeCell ref="A1:W1"/>
    <mergeCell ref="A2:K2"/>
    <mergeCell ref="M2:W2"/>
    <mergeCell ref="A60:W60"/>
    <mergeCell ref="A61:K61"/>
    <mergeCell ref="M61:W6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6FA13-20BD-47DE-91F1-DBA659EB99BC}">
  <dimension ref="B1:X36"/>
  <sheetViews>
    <sheetView zoomScale="70" zoomScaleNormal="70" workbookViewId="0">
      <selection activeCell="J76" sqref="J76"/>
    </sheetView>
  </sheetViews>
  <sheetFormatPr defaultRowHeight="13.8" x14ac:dyDescent="0.25"/>
  <sheetData>
    <row r="1" spans="2:24" x14ac:dyDescent="0.25">
      <c r="B1" s="79" t="s">
        <v>87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</row>
    <row r="2" spans="2:24" x14ac:dyDescent="0.25">
      <c r="B2" s="80" t="s">
        <v>85</v>
      </c>
      <c r="C2" s="80"/>
      <c r="D2" s="80"/>
      <c r="E2" s="80"/>
      <c r="F2" s="80"/>
      <c r="G2" s="80"/>
      <c r="H2" s="80"/>
      <c r="I2" s="80"/>
      <c r="J2" s="80"/>
      <c r="K2" s="80"/>
      <c r="L2" s="80"/>
      <c r="N2" s="80" t="s">
        <v>86</v>
      </c>
      <c r="O2" s="80"/>
      <c r="P2" s="80"/>
      <c r="Q2" s="80"/>
      <c r="R2" s="80"/>
      <c r="S2" s="80"/>
      <c r="T2" s="80"/>
      <c r="U2" s="80"/>
      <c r="V2" s="80"/>
      <c r="W2" s="80"/>
      <c r="X2" s="80"/>
    </row>
    <row r="3" spans="2:24" ht="14.4" thickBot="1" x14ac:dyDescent="0.3">
      <c r="B3" s="1" t="s">
        <v>7</v>
      </c>
      <c r="C3" s="1" t="s">
        <v>45</v>
      </c>
      <c r="D3" s="1" t="s">
        <v>50</v>
      </c>
      <c r="E3" s="1" t="s">
        <v>1</v>
      </c>
      <c r="F3" s="1" t="s">
        <v>38</v>
      </c>
      <c r="G3" s="1" t="s">
        <v>40</v>
      </c>
      <c r="H3" s="1" t="s">
        <v>41</v>
      </c>
      <c r="I3" s="1" t="s">
        <v>42</v>
      </c>
      <c r="J3" s="1" t="s">
        <v>49</v>
      </c>
      <c r="K3" s="1" t="s">
        <v>43</v>
      </c>
      <c r="L3" s="1" t="s">
        <v>51</v>
      </c>
      <c r="N3" s="1" t="s">
        <v>7</v>
      </c>
      <c r="O3" s="1" t="s">
        <v>45</v>
      </c>
      <c r="P3" s="1" t="s">
        <v>50</v>
      </c>
      <c r="Q3" s="1" t="s">
        <v>1</v>
      </c>
      <c r="R3" s="1" t="s">
        <v>38</v>
      </c>
      <c r="S3" s="1" t="s">
        <v>40</v>
      </c>
      <c r="T3" s="1" t="s">
        <v>41</v>
      </c>
      <c r="U3" s="1" t="s">
        <v>42</v>
      </c>
      <c r="V3" s="1" t="s">
        <v>49</v>
      </c>
      <c r="W3" s="1" t="s">
        <v>43</v>
      </c>
      <c r="X3" s="1" t="s">
        <v>51</v>
      </c>
    </row>
    <row r="4" spans="2:24" x14ac:dyDescent="0.25">
      <c r="B4" s="1" t="s">
        <v>52</v>
      </c>
      <c r="C4" s="5">
        <v>103</v>
      </c>
      <c r="D4" s="5">
        <v>104.8</v>
      </c>
      <c r="E4" s="5">
        <v>135</v>
      </c>
      <c r="F4" s="5">
        <v>101</v>
      </c>
      <c r="G4" s="5">
        <v>415.66</v>
      </c>
      <c r="H4" s="5">
        <v>121.33</v>
      </c>
      <c r="I4" s="5">
        <v>635.5</v>
      </c>
      <c r="J4" s="5">
        <v>258.66666666666669</v>
      </c>
      <c r="K4" s="5">
        <v>329.33</v>
      </c>
      <c r="L4" s="5">
        <v>319</v>
      </c>
      <c r="N4" s="1" t="s">
        <v>52</v>
      </c>
      <c r="O4" s="5">
        <v>46.666666666666664</v>
      </c>
      <c r="P4" s="5">
        <v>49.466666666666669</v>
      </c>
      <c r="Q4" s="5">
        <v>60</v>
      </c>
      <c r="R4" s="5">
        <v>197.33333333333334</v>
      </c>
      <c r="S4" s="5">
        <v>37.666666666666664</v>
      </c>
      <c r="T4" s="5">
        <v>69</v>
      </c>
      <c r="U4" s="5">
        <v>418</v>
      </c>
      <c r="V4" s="5">
        <v>191.66666666666666</v>
      </c>
      <c r="W4" s="5">
        <v>272.66666666666669</v>
      </c>
      <c r="X4" s="5">
        <v>606.5</v>
      </c>
    </row>
    <row r="5" spans="2:24" x14ac:dyDescent="0.25">
      <c r="B5" s="1" t="s">
        <v>53</v>
      </c>
      <c r="C5" s="1">
        <v>77</v>
      </c>
      <c r="D5" s="1">
        <v>65.666666666666671</v>
      </c>
      <c r="E5" s="1">
        <v>89</v>
      </c>
      <c r="F5" s="1">
        <v>161.5</v>
      </c>
      <c r="G5" s="1">
        <v>114.66</v>
      </c>
      <c r="H5" s="1">
        <v>72.67</v>
      </c>
      <c r="I5" s="1">
        <v>509</v>
      </c>
      <c r="J5" s="1">
        <v>282</v>
      </c>
      <c r="K5" s="1">
        <v>358.66</v>
      </c>
      <c r="L5" s="1">
        <v>523</v>
      </c>
      <c r="N5" s="1" t="s">
        <v>53</v>
      </c>
      <c r="O5" s="1">
        <v>63.666666666666664</v>
      </c>
      <c r="P5" s="1">
        <v>59.066666666666677</v>
      </c>
      <c r="Q5" s="1">
        <v>72.666666666666671</v>
      </c>
      <c r="R5" s="1">
        <v>31.666666666666668</v>
      </c>
      <c r="S5" s="1">
        <v>43.666666666666664</v>
      </c>
      <c r="T5" s="1">
        <v>27</v>
      </c>
      <c r="U5" s="1">
        <v>461</v>
      </c>
      <c r="V5" s="1">
        <v>189.66666666666666</v>
      </c>
      <c r="W5" s="1">
        <v>271</v>
      </c>
      <c r="X5" s="1">
        <v>841.5</v>
      </c>
    </row>
    <row r="6" spans="2:24" x14ac:dyDescent="0.25">
      <c r="B6" s="1" t="s">
        <v>54</v>
      </c>
      <c r="C6" s="1">
        <v>235.33333333333334</v>
      </c>
      <c r="D6" s="1">
        <v>231.33333333333331</v>
      </c>
      <c r="E6" s="1">
        <v>239.33</v>
      </c>
      <c r="F6" s="1">
        <v>229.66666666666666</v>
      </c>
      <c r="G6" s="1">
        <v>279.66000000000003</v>
      </c>
      <c r="H6" s="1">
        <v>224.33</v>
      </c>
      <c r="I6" s="1">
        <v>438.5</v>
      </c>
      <c r="J6" s="1">
        <v>332.33333333333331</v>
      </c>
      <c r="K6" s="1">
        <v>448.66</v>
      </c>
      <c r="L6" s="1">
        <v>696.33</v>
      </c>
      <c r="N6" s="1" t="s">
        <v>54</v>
      </c>
      <c r="O6" s="1">
        <v>145.33333333333334</v>
      </c>
      <c r="P6" s="1">
        <v>47.333333333333336</v>
      </c>
      <c r="Q6" s="1">
        <v>167.33333333333334</v>
      </c>
      <c r="R6" s="1">
        <v>210.33333333333334</v>
      </c>
      <c r="S6" s="1">
        <v>39.666666666666664</v>
      </c>
      <c r="T6" s="1">
        <v>90.333333333333329</v>
      </c>
      <c r="U6" s="1">
        <v>421</v>
      </c>
      <c r="V6" s="1">
        <v>228.66666666666666</v>
      </c>
      <c r="W6" s="1">
        <v>283</v>
      </c>
      <c r="X6" s="1">
        <v>833.5</v>
      </c>
    </row>
    <row r="7" spans="2:24" x14ac:dyDescent="0.25">
      <c r="B7" s="1" t="s">
        <v>55</v>
      </c>
      <c r="C7" s="1">
        <v>255.33333333333334</v>
      </c>
      <c r="D7" s="1">
        <v>254.26666666666665</v>
      </c>
      <c r="E7" s="1">
        <v>280</v>
      </c>
      <c r="F7" s="1">
        <v>317.66666666666669</v>
      </c>
      <c r="G7" s="1">
        <v>200.66</v>
      </c>
      <c r="H7" s="1">
        <v>248.66</v>
      </c>
      <c r="I7" s="1">
        <v>636</v>
      </c>
      <c r="J7">
        <v>311.66666666666669</v>
      </c>
      <c r="K7" s="1">
        <v>420</v>
      </c>
      <c r="L7" s="1">
        <v>314.66000000000003</v>
      </c>
      <c r="N7" s="1" t="s">
        <v>55</v>
      </c>
      <c r="O7" s="1">
        <v>121.66666666666667</v>
      </c>
      <c r="P7" s="1">
        <v>97.8</v>
      </c>
      <c r="Q7" s="1">
        <v>130.66666666666666</v>
      </c>
      <c r="R7" s="1">
        <v>126</v>
      </c>
      <c r="S7" s="1">
        <v>169.33333333333334</v>
      </c>
      <c r="T7" s="1">
        <v>90.666666666666671</v>
      </c>
      <c r="U7" s="1">
        <v>420</v>
      </c>
      <c r="V7">
        <v>219.33333333333334</v>
      </c>
      <c r="W7" s="1">
        <v>284</v>
      </c>
      <c r="X7" s="1">
        <v>723</v>
      </c>
    </row>
    <row r="8" spans="2:24" ht="14.4" thickBot="1" x14ac:dyDescent="0.3">
      <c r="B8" s="1" t="s">
        <v>56</v>
      </c>
      <c r="C8" s="9">
        <v>118</v>
      </c>
      <c r="D8" s="9">
        <v>162.13333333333333</v>
      </c>
      <c r="E8" s="9">
        <v>119</v>
      </c>
      <c r="F8" s="9">
        <v>118.5</v>
      </c>
      <c r="G8" s="9">
        <v>176.66</v>
      </c>
      <c r="H8" s="9">
        <v>117.66</v>
      </c>
      <c r="I8" s="9" t="s">
        <v>39</v>
      </c>
      <c r="J8" s="9">
        <v>285.33333333333331</v>
      </c>
      <c r="K8" s="9">
        <v>461.33</v>
      </c>
      <c r="L8" s="9">
        <v>335.33</v>
      </c>
      <c r="N8" s="1" t="s">
        <v>56</v>
      </c>
      <c r="O8" s="9">
        <v>47.666666666666664</v>
      </c>
      <c r="P8" s="9">
        <v>46.666666666666671</v>
      </c>
      <c r="Q8" s="9">
        <v>48.666666666666664</v>
      </c>
      <c r="R8" s="9">
        <v>97</v>
      </c>
      <c r="S8" s="9">
        <v>78.666666666666671</v>
      </c>
      <c r="T8" s="9">
        <v>104.33333333333333</v>
      </c>
      <c r="U8" s="9">
        <v>445.66666666666669</v>
      </c>
      <c r="V8" s="9">
        <v>202.33333333333334</v>
      </c>
      <c r="W8" s="9">
        <v>284.66666666666669</v>
      </c>
      <c r="X8" s="9">
        <v>668.5</v>
      </c>
    </row>
    <row r="9" spans="2:24" x14ac:dyDescent="0.25">
      <c r="B9" s="1" t="s">
        <v>57</v>
      </c>
      <c r="C9" s="1">
        <f>AVERAGE(C4:C8)</f>
        <v>157.73333333333335</v>
      </c>
      <c r="D9" s="1">
        <f t="shared" ref="D9:L9" si="0">AVERAGE(D4:D8)</f>
        <v>163.63999999999999</v>
      </c>
      <c r="E9" s="1">
        <f t="shared" si="0"/>
        <v>172.46600000000001</v>
      </c>
      <c r="F9" s="1">
        <f t="shared" si="0"/>
        <v>185.66666666666666</v>
      </c>
      <c r="G9" s="1">
        <f t="shared" si="0"/>
        <v>237.45999999999998</v>
      </c>
      <c r="H9" s="1">
        <f t="shared" si="0"/>
        <v>156.93</v>
      </c>
      <c r="I9" s="1">
        <f t="shared" si="0"/>
        <v>554.75</v>
      </c>
      <c r="J9" s="1">
        <f t="shared" si="0"/>
        <v>294</v>
      </c>
      <c r="K9" s="1">
        <f t="shared" si="0"/>
        <v>403.596</v>
      </c>
      <c r="L9" s="1">
        <f t="shared" si="0"/>
        <v>437.66400000000004</v>
      </c>
      <c r="N9" s="1" t="s">
        <v>57</v>
      </c>
      <c r="O9" s="1">
        <f>AVERAGE(O4:O8)</f>
        <v>85.000000000000014</v>
      </c>
      <c r="P9" s="1">
        <f t="shared" ref="P9:X9" si="1">AVERAGE(P4:P8)</f>
        <v>60.066666666666677</v>
      </c>
      <c r="Q9" s="1">
        <f t="shared" si="1"/>
        <v>95.86666666666666</v>
      </c>
      <c r="R9" s="1">
        <f t="shared" si="1"/>
        <v>132.46666666666667</v>
      </c>
      <c r="S9" s="1">
        <f t="shared" si="1"/>
        <v>73.800000000000011</v>
      </c>
      <c r="T9" s="1">
        <f t="shared" si="1"/>
        <v>76.266666666666666</v>
      </c>
      <c r="U9" s="1">
        <f t="shared" si="1"/>
        <v>433.13333333333333</v>
      </c>
      <c r="V9" s="1">
        <f t="shared" si="1"/>
        <v>206.33333333333334</v>
      </c>
      <c r="W9" s="1">
        <f t="shared" si="1"/>
        <v>279.06666666666672</v>
      </c>
      <c r="X9" s="1">
        <f t="shared" si="1"/>
        <v>734.6</v>
      </c>
    </row>
    <row r="10" spans="2:24" ht="14.4" thickBot="1" x14ac:dyDescent="0.3">
      <c r="B10" s="1" t="s">
        <v>83</v>
      </c>
      <c r="C10" s="1">
        <f>RANK(C9,C9:L9,1)</f>
        <v>2</v>
      </c>
      <c r="D10" s="1">
        <f>RANK(D9,C9:L9,1)</f>
        <v>3</v>
      </c>
      <c r="E10" s="1">
        <f>RANK(E9,C9:L9,1)</f>
        <v>4</v>
      </c>
      <c r="F10" s="1">
        <f>RANK(F9,C9:L9,1)</f>
        <v>5</v>
      </c>
      <c r="G10" s="1">
        <f>RANK(G9,C9:L9,1)</f>
        <v>6</v>
      </c>
      <c r="H10" s="1">
        <f>RANK(H9,C9:L9,1)</f>
        <v>1</v>
      </c>
      <c r="I10" s="1">
        <f>RANK(I9,C9:L9,1)</f>
        <v>10</v>
      </c>
      <c r="J10" s="1">
        <f>RANK(J9,C9:L9,1)</f>
        <v>7</v>
      </c>
      <c r="K10" s="1">
        <f>RANK(K9,C9:L9,1)</f>
        <v>8</v>
      </c>
      <c r="L10" s="1">
        <f>RANK(L9,C9:L9,1)</f>
        <v>9</v>
      </c>
      <c r="N10" s="1" t="s">
        <v>83</v>
      </c>
      <c r="O10" s="1">
        <f>RANK(O9,O9:X9,1)</f>
        <v>4</v>
      </c>
      <c r="P10" s="1">
        <f>RANK(P9,O9:X9,1)</f>
        <v>1</v>
      </c>
      <c r="Q10" s="1">
        <f>RANK(Q9,O9:X9,1)</f>
        <v>5</v>
      </c>
      <c r="R10" s="1">
        <f>RANK(R9,O9:X9,1)</f>
        <v>6</v>
      </c>
      <c r="S10" s="1">
        <f>RANK(S9,O9:X9,1)</f>
        <v>2</v>
      </c>
      <c r="T10" s="1">
        <f>RANK(T9,O9:X9,1)</f>
        <v>3</v>
      </c>
      <c r="U10" s="1">
        <f>RANK(U9,O9:X9,1)</f>
        <v>9</v>
      </c>
      <c r="V10" s="1">
        <f>RANK(V9,O9:X9,1)</f>
        <v>7</v>
      </c>
      <c r="W10" s="1">
        <f>RANK(W9,O9:X9,1)</f>
        <v>8</v>
      </c>
      <c r="X10" s="1">
        <f>RANK(X9,O9:X9,1)</f>
        <v>10</v>
      </c>
    </row>
    <row r="11" spans="2:24" x14ac:dyDescent="0.25">
      <c r="B11" s="1" t="s">
        <v>58</v>
      </c>
      <c r="C11" s="5">
        <v>387.33333333333331</v>
      </c>
      <c r="D11" s="5">
        <v>340.6</v>
      </c>
      <c r="E11" s="5">
        <v>431.66</v>
      </c>
      <c r="F11" s="5">
        <v>422.33333333333331</v>
      </c>
      <c r="G11" s="5">
        <v>384.66</v>
      </c>
      <c r="H11" s="5">
        <v>403</v>
      </c>
      <c r="I11" s="5">
        <v>477.66</v>
      </c>
      <c r="J11" s="5">
        <v>344.66666666666669</v>
      </c>
      <c r="K11" s="5">
        <v>367.66</v>
      </c>
      <c r="L11" s="5">
        <v>613.33000000000004</v>
      </c>
      <c r="N11" s="1" t="s">
        <v>58</v>
      </c>
      <c r="O11" s="5">
        <v>387.33333333333331</v>
      </c>
      <c r="P11" s="5">
        <v>340.26666666666665</v>
      </c>
      <c r="Q11" s="5">
        <v>431.66666666666669</v>
      </c>
      <c r="R11" s="5">
        <v>422.33333333333331</v>
      </c>
      <c r="S11" s="5">
        <v>384.66666666666669</v>
      </c>
      <c r="T11" s="5">
        <v>403</v>
      </c>
      <c r="U11" s="5">
        <v>477.66666666666669</v>
      </c>
      <c r="V11" s="5">
        <v>344.66666666666669</v>
      </c>
      <c r="W11" s="5">
        <v>367.66666666666669</v>
      </c>
      <c r="X11" s="5">
        <v>630.33333333333337</v>
      </c>
    </row>
    <row r="12" spans="2:24" x14ac:dyDescent="0.25">
      <c r="B12" s="1" t="s">
        <v>59</v>
      </c>
      <c r="C12" s="1">
        <v>316.33333333333331</v>
      </c>
      <c r="D12" s="1">
        <v>283.53333333333336</v>
      </c>
      <c r="E12" s="1">
        <v>417</v>
      </c>
      <c r="F12" s="1">
        <v>358.66666666666669</v>
      </c>
      <c r="G12" s="1">
        <v>274.66000000000003</v>
      </c>
      <c r="H12" s="1">
        <v>227.33</v>
      </c>
      <c r="I12" s="1">
        <v>467.33</v>
      </c>
      <c r="J12" s="1">
        <v>318.33333333333331</v>
      </c>
      <c r="K12" s="1">
        <v>344</v>
      </c>
      <c r="L12" s="1">
        <v>636.33000000000004</v>
      </c>
      <c r="N12" s="1" t="s">
        <v>59</v>
      </c>
      <c r="O12" s="1">
        <v>316.33333333333331</v>
      </c>
      <c r="P12" s="1">
        <v>286.06666666666666</v>
      </c>
      <c r="Q12" s="1">
        <v>346</v>
      </c>
      <c r="R12" s="1">
        <v>358.66666666666669</v>
      </c>
      <c r="S12" s="1">
        <v>274.33333333333331</v>
      </c>
      <c r="T12" s="1">
        <v>227.33333333333334</v>
      </c>
      <c r="U12" s="1">
        <v>467.33333333333331</v>
      </c>
      <c r="V12" s="1">
        <v>318.33333333333331</v>
      </c>
      <c r="W12" s="1">
        <v>344</v>
      </c>
      <c r="X12" s="1">
        <v>636</v>
      </c>
    </row>
    <row r="13" spans="2:24" x14ac:dyDescent="0.25">
      <c r="B13" s="1" t="s">
        <v>60</v>
      </c>
      <c r="C13" s="1">
        <v>311</v>
      </c>
      <c r="D13" s="1">
        <v>301.5333333333333</v>
      </c>
      <c r="E13" s="1">
        <v>313.66000000000003</v>
      </c>
      <c r="F13" s="1">
        <v>316.66666666666669</v>
      </c>
      <c r="G13" s="1">
        <v>259.66000000000003</v>
      </c>
      <c r="H13" s="1">
        <v>303.66000000000003</v>
      </c>
      <c r="I13" s="1">
        <v>440.66</v>
      </c>
      <c r="J13" s="1">
        <v>328.66666666666669</v>
      </c>
      <c r="K13" s="1">
        <v>355.66</v>
      </c>
      <c r="L13" s="1">
        <v>562.33000000000004</v>
      </c>
      <c r="N13" s="1" t="s">
        <v>60</v>
      </c>
      <c r="O13" s="1">
        <v>311</v>
      </c>
      <c r="P13" s="1">
        <v>304.33333333333337</v>
      </c>
      <c r="Q13" s="1">
        <v>313.66666666666669</v>
      </c>
      <c r="R13" s="1">
        <v>316.66666666666669</v>
      </c>
      <c r="S13" s="1">
        <v>259.66666666666669</v>
      </c>
      <c r="T13" s="1">
        <v>303.66666666666669</v>
      </c>
      <c r="U13" s="1">
        <v>440.66666666666669</v>
      </c>
      <c r="V13" s="1">
        <v>328.66666666666669</v>
      </c>
      <c r="W13" s="1">
        <v>355.66666666666669</v>
      </c>
      <c r="X13" s="1">
        <v>562.66666666666663</v>
      </c>
    </row>
    <row r="14" spans="2:24" x14ac:dyDescent="0.25">
      <c r="B14" s="1" t="s">
        <v>61</v>
      </c>
      <c r="C14" s="1">
        <v>237.33333333333334</v>
      </c>
      <c r="D14" s="1">
        <v>237.13333333333335</v>
      </c>
      <c r="E14" s="1">
        <v>258</v>
      </c>
      <c r="F14" s="1">
        <v>288</v>
      </c>
      <c r="G14" s="1">
        <v>348.33</v>
      </c>
      <c r="H14" s="1">
        <v>229</v>
      </c>
      <c r="I14" s="1">
        <v>368.33</v>
      </c>
      <c r="J14">
        <v>284.66666666666669</v>
      </c>
      <c r="K14" s="1">
        <v>303</v>
      </c>
      <c r="L14" s="1">
        <v>481.66</v>
      </c>
      <c r="N14" s="1" t="s">
        <v>61</v>
      </c>
      <c r="O14" s="1">
        <v>237.33333333333334</v>
      </c>
      <c r="P14" s="1">
        <v>236.86666666666665</v>
      </c>
      <c r="Q14" s="1">
        <v>258</v>
      </c>
      <c r="R14" s="1">
        <v>288</v>
      </c>
      <c r="S14" s="1">
        <v>296.33333333333331</v>
      </c>
      <c r="T14" s="1">
        <v>229</v>
      </c>
      <c r="U14" s="1">
        <v>364.5</v>
      </c>
      <c r="V14">
        <v>284.66666666666669</v>
      </c>
      <c r="W14" s="1">
        <v>304.66666666666669</v>
      </c>
      <c r="X14" s="1">
        <v>482.33333333333331</v>
      </c>
    </row>
    <row r="15" spans="2:24" ht="14.4" thickBot="1" x14ac:dyDescent="0.3">
      <c r="B15" s="1" t="s">
        <v>62</v>
      </c>
      <c r="C15" s="9">
        <v>327</v>
      </c>
      <c r="D15" s="9">
        <v>303.66666666666663</v>
      </c>
      <c r="E15" s="9">
        <v>335.33</v>
      </c>
      <c r="F15" s="9">
        <v>319</v>
      </c>
      <c r="G15" s="9">
        <v>284</v>
      </c>
      <c r="H15" s="9">
        <v>274.66000000000003</v>
      </c>
      <c r="I15" s="9">
        <v>410</v>
      </c>
      <c r="J15" s="9">
        <v>299.66666666666669</v>
      </c>
      <c r="K15" s="9">
        <v>318</v>
      </c>
      <c r="L15" s="9">
        <v>552</v>
      </c>
      <c r="N15" s="1" t="s">
        <v>62</v>
      </c>
      <c r="O15" s="9">
        <v>327</v>
      </c>
      <c r="P15" s="9">
        <v>305</v>
      </c>
      <c r="Q15" s="9">
        <v>335.33333333333331</v>
      </c>
      <c r="R15" s="9">
        <v>319</v>
      </c>
      <c r="S15" s="9">
        <v>284</v>
      </c>
      <c r="T15" s="9">
        <v>274.33333333333331</v>
      </c>
      <c r="U15" s="9">
        <v>410.33333333333331</v>
      </c>
      <c r="V15" s="9">
        <v>299.66666666666669</v>
      </c>
      <c r="W15" s="9">
        <v>318.66666666666669</v>
      </c>
      <c r="X15" s="9">
        <v>560.33333333333337</v>
      </c>
    </row>
    <row r="16" spans="2:24" x14ac:dyDescent="0.25">
      <c r="B16" s="1" t="s">
        <v>63</v>
      </c>
      <c r="C16" s="1">
        <f>AVERAGE(C11:C15)</f>
        <v>315.8</v>
      </c>
      <c r="D16" s="1">
        <f t="shared" ref="D16:L16" si="2">AVERAGE(D11:D15)</f>
        <v>293.29333333333335</v>
      </c>
      <c r="E16" s="1">
        <f t="shared" si="2"/>
        <v>351.13</v>
      </c>
      <c r="F16" s="1">
        <f t="shared" si="2"/>
        <v>340.93333333333334</v>
      </c>
      <c r="G16" s="1">
        <f t="shared" si="2"/>
        <v>310.262</v>
      </c>
      <c r="H16" s="1">
        <f t="shared" si="2"/>
        <v>287.53000000000003</v>
      </c>
      <c r="I16" s="1">
        <f t="shared" si="2"/>
        <v>432.79599999999999</v>
      </c>
      <c r="J16" s="1">
        <f t="shared" si="2"/>
        <v>315.20000000000005</v>
      </c>
      <c r="K16" s="1">
        <f t="shared" si="2"/>
        <v>337.66400000000004</v>
      </c>
      <c r="L16" s="1">
        <f t="shared" si="2"/>
        <v>569.13</v>
      </c>
      <c r="N16" s="1" t="s">
        <v>63</v>
      </c>
      <c r="O16" s="1">
        <f>AVERAGE(O11:O15)</f>
        <v>315.8</v>
      </c>
      <c r="P16" s="1">
        <f t="shared" ref="P16:X16" si="3">AVERAGE(P11:P15)</f>
        <v>294.50666666666666</v>
      </c>
      <c r="Q16" s="1">
        <f t="shared" si="3"/>
        <v>336.93333333333334</v>
      </c>
      <c r="R16" s="1">
        <f t="shared" si="3"/>
        <v>340.93333333333334</v>
      </c>
      <c r="S16" s="1">
        <f t="shared" si="3"/>
        <v>299.8</v>
      </c>
      <c r="T16" s="1">
        <f t="shared" si="3"/>
        <v>287.46666666666664</v>
      </c>
      <c r="U16" s="1">
        <f t="shared" si="3"/>
        <v>432.1</v>
      </c>
      <c r="V16" s="1">
        <f t="shared" si="3"/>
        <v>315.20000000000005</v>
      </c>
      <c r="W16" s="1">
        <f t="shared" si="3"/>
        <v>338.13333333333338</v>
      </c>
      <c r="X16" s="1">
        <f t="shared" si="3"/>
        <v>574.33333333333337</v>
      </c>
    </row>
    <row r="17" spans="2:24" ht="14.4" thickBot="1" x14ac:dyDescent="0.3">
      <c r="B17" s="1" t="s">
        <v>83</v>
      </c>
      <c r="C17" s="1">
        <f>RANK(C16,C16:L16,1)</f>
        <v>5</v>
      </c>
      <c r="D17" s="1">
        <f>RANK(D16,C16:L16,1)</f>
        <v>2</v>
      </c>
      <c r="E17" s="1">
        <f>RANK(E16,C16:L16,1)</f>
        <v>8</v>
      </c>
      <c r="F17" s="1">
        <f>RANK(F16,C16:L16,1)</f>
        <v>7</v>
      </c>
      <c r="G17" s="1">
        <f>RANK(G16,C16:L16,1)</f>
        <v>3</v>
      </c>
      <c r="H17" s="1">
        <f>RANK(H16,C16:L16,1)</f>
        <v>1</v>
      </c>
      <c r="I17" s="1">
        <f>RANK(I16,C16:L16,1)</f>
        <v>9</v>
      </c>
      <c r="J17" s="1">
        <f>RANK(J16,C16:L16,1)</f>
        <v>4</v>
      </c>
      <c r="K17" s="1">
        <f>RANK(K16,C16:L16,1)</f>
        <v>6</v>
      </c>
      <c r="L17" s="1">
        <f>RANK(L16,C16:L16,1)</f>
        <v>10</v>
      </c>
      <c r="N17" s="1" t="s">
        <v>83</v>
      </c>
      <c r="O17" s="1">
        <f>RANK(O16,O16:X16,1)</f>
        <v>5</v>
      </c>
      <c r="P17" s="1">
        <f>RANK(P16,O16:X16,1)</f>
        <v>2</v>
      </c>
      <c r="Q17" s="1">
        <f>RANK(Q16,O16:X16,1)</f>
        <v>6</v>
      </c>
      <c r="R17" s="1">
        <f>RANK(R16,O16:X16,1)</f>
        <v>8</v>
      </c>
      <c r="S17" s="1">
        <f>RANK(S16,O16:X16,1)</f>
        <v>3</v>
      </c>
      <c r="T17" s="1">
        <f>RANK(T16,O16:X16,1)</f>
        <v>1</v>
      </c>
      <c r="U17" s="1">
        <f>RANK(U16,O16:X16,1)</f>
        <v>9</v>
      </c>
      <c r="V17" s="1">
        <f>RANK(V16,O16:X16,1)</f>
        <v>4</v>
      </c>
      <c r="W17" s="1">
        <f>RANK(W16,O16:X16,1)</f>
        <v>7</v>
      </c>
      <c r="X17" s="1">
        <f>RANK(X16,O16:X16,1)</f>
        <v>10</v>
      </c>
    </row>
    <row r="18" spans="2:24" x14ac:dyDescent="0.25">
      <c r="B18" s="1" t="s">
        <v>64</v>
      </c>
      <c r="C18" s="5">
        <v>41.75</v>
      </c>
      <c r="D18" s="5">
        <v>41</v>
      </c>
      <c r="E18" s="5">
        <v>82.5</v>
      </c>
      <c r="F18" s="5">
        <v>37.25</v>
      </c>
      <c r="G18" s="5">
        <v>75.25</v>
      </c>
      <c r="H18" s="5">
        <v>34.75</v>
      </c>
      <c r="I18" s="5">
        <v>167.75</v>
      </c>
      <c r="J18" s="5">
        <v>85.75</v>
      </c>
      <c r="K18" s="5">
        <v>101</v>
      </c>
      <c r="L18" s="5">
        <v>177.5</v>
      </c>
      <c r="N18" s="1" t="s">
        <v>64</v>
      </c>
      <c r="O18" s="5">
        <v>42</v>
      </c>
      <c r="P18" s="5">
        <v>41.55</v>
      </c>
      <c r="Q18" s="5">
        <v>45</v>
      </c>
      <c r="R18" s="5">
        <v>38.5</v>
      </c>
      <c r="S18" s="5">
        <v>64.5</v>
      </c>
      <c r="T18" s="5">
        <v>34.5</v>
      </c>
      <c r="U18" s="5">
        <v>178</v>
      </c>
      <c r="V18" s="5">
        <v>94.25</v>
      </c>
      <c r="W18" s="5">
        <v>111.25</v>
      </c>
      <c r="X18" s="5">
        <v>222</v>
      </c>
    </row>
    <row r="19" spans="2:24" x14ac:dyDescent="0.25">
      <c r="B19" s="1" t="s">
        <v>65</v>
      </c>
      <c r="C19" s="1">
        <v>43</v>
      </c>
      <c r="D19" s="1">
        <v>41.8</v>
      </c>
      <c r="E19" s="1">
        <v>45</v>
      </c>
      <c r="F19" s="1">
        <v>36.75</v>
      </c>
      <c r="G19" s="1">
        <v>61.25</v>
      </c>
      <c r="H19" s="1">
        <v>32.25</v>
      </c>
      <c r="I19" s="1">
        <v>148</v>
      </c>
      <c r="J19" s="1">
        <v>97.25</v>
      </c>
      <c r="K19" s="1">
        <v>98.5</v>
      </c>
      <c r="L19" s="1">
        <v>221</v>
      </c>
      <c r="N19" s="1" t="s">
        <v>65</v>
      </c>
      <c r="O19" s="1">
        <v>41.5</v>
      </c>
      <c r="P19" s="1">
        <v>40.6</v>
      </c>
      <c r="Q19" s="1">
        <v>43.5</v>
      </c>
      <c r="R19" s="1">
        <v>36.5</v>
      </c>
      <c r="S19" s="1">
        <v>51.5</v>
      </c>
      <c r="T19" s="1">
        <v>34.5</v>
      </c>
      <c r="U19" s="1">
        <v>192.33333333333334</v>
      </c>
      <c r="V19" s="1">
        <v>95.5</v>
      </c>
      <c r="W19" s="1">
        <v>99</v>
      </c>
      <c r="X19" s="1">
        <v>229.5</v>
      </c>
    </row>
    <row r="20" spans="2:24" x14ac:dyDescent="0.25">
      <c r="B20" s="1" t="s">
        <v>66</v>
      </c>
      <c r="C20" s="1">
        <v>41</v>
      </c>
      <c r="D20" s="1">
        <v>40.049999999999997</v>
      </c>
      <c r="E20" s="1">
        <v>42.75</v>
      </c>
      <c r="F20" s="1">
        <v>38.5</v>
      </c>
      <c r="G20" s="1">
        <v>108.75</v>
      </c>
      <c r="H20" s="1">
        <v>46</v>
      </c>
      <c r="I20" s="1">
        <v>162</v>
      </c>
      <c r="J20" s="1">
        <v>57.25</v>
      </c>
      <c r="K20" s="1">
        <v>80</v>
      </c>
      <c r="L20" s="1">
        <v>167.75</v>
      </c>
      <c r="N20" s="1" t="s">
        <v>66</v>
      </c>
      <c r="O20" s="1">
        <v>41.75</v>
      </c>
      <c r="P20" s="1">
        <v>41.35</v>
      </c>
      <c r="Q20" s="1">
        <v>42.75</v>
      </c>
      <c r="R20" s="1">
        <v>39.75</v>
      </c>
      <c r="S20" s="1">
        <v>84</v>
      </c>
      <c r="T20" s="1">
        <v>36.25</v>
      </c>
      <c r="U20" s="1">
        <v>148.66666666666666</v>
      </c>
      <c r="V20" s="1">
        <v>71.5</v>
      </c>
      <c r="W20" s="1">
        <v>89.25</v>
      </c>
      <c r="X20" s="1">
        <v>182.33333333333334</v>
      </c>
    </row>
    <row r="21" spans="2:24" x14ac:dyDescent="0.25">
      <c r="B21" s="1" t="s">
        <v>67</v>
      </c>
      <c r="C21" s="1">
        <v>41</v>
      </c>
      <c r="D21" s="1">
        <v>39.15</v>
      </c>
      <c r="E21" s="1">
        <v>42</v>
      </c>
      <c r="F21" s="1">
        <v>38.5</v>
      </c>
      <c r="G21" s="1">
        <v>75</v>
      </c>
      <c r="H21" s="1">
        <v>32</v>
      </c>
      <c r="I21" s="1">
        <v>167</v>
      </c>
      <c r="J21" s="1">
        <v>82.5</v>
      </c>
      <c r="K21" s="1">
        <v>96.75</v>
      </c>
      <c r="L21" s="1">
        <v>163.5</v>
      </c>
      <c r="N21" s="1" t="s">
        <v>67</v>
      </c>
      <c r="O21" s="1">
        <v>42.25</v>
      </c>
      <c r="P21" s="1">
        <v>41.55</v>
      </c>
      <c r="Q21" s="1">
        <v>45.25</v>
      </c>
      <c r="R21" s="1">
        <v>39</v>
      </c>
      <c r="S21" s="1">
        <v>79.25</v>
      </c>
      <c r="T21" s="1">
        <v>32</v>
      </c>
      <c r="U21" s="1">
        <v>162.66666666666666</v>
      </c>
      <c r="V21" s="1">
        <v>85</v>
      </c>
      <c r="W21" s="1">
        <v>95</v>
      </c>
      <c r="X21" s="1">
        <v>198.25</v>
      </c>
    </row>
    <row r="22" spans="2:24" ht="14.4" thickBot="1" x14ac:dyDescent="0.3">
      <c r="B22" s="1" t="s">
        <v>68</v>
      </c>
      <c r="C22" s="9">
        <v>42.75</v>
      </c>
      <c r="D22" s="9">
        <v>41.4</v>
      </c>
      <c r="E22" s="9">
        <v>44.5</v>
      </c>
      <c r="F22" s="9">
        <v>36.25</v>
      </c>
      <c r="G22" s="9">
        <v>43.75</v>
      </c>
      <c r="H22" s="9">
        <v>34.25</v>
      </c>
      <c r="I22" s="9">
        <v>168</v>
      </c>
      <c r="J22" s="9">
        <v>97.5</v>
      </c>
      <c r="K22" s="9">
        <v>116.5</v>
      </c>
      <c r="L22" s="9">
        <v>185</v>
      </c>
      <c r="N22" s="1" t="s">
        <v>68</v>
      </c>
      <c r="O22" s="9">
        <v>42.25</v>
      </c>
      <c r="P22" s="9">
        <v>40.1</v>
      </c>
      <c r="Q22" s="9">
        <v>43.25</v>
      </c>
      <c r="R22" s="9">
        <v>36</v>
      </c>
      <c r="S22" s="9">
        <v>53.5</v>
      </c>
      <c r="T22" s="9">
        <v>31.75</v>
      </c>
      <c r="U22" s="9">
        <v>178.5</v>
      </c>
      <c r="V22" s="9">
        <v>98</v>
      </c>
      <c r="W22" s="9">
        <v>112.25</v>
      </c>
      <c r="X22" s="9">
        <v>220.33333333333334</v>
      </c>
    </row>
    <row r="23" spans="2:24" x14ac:dyDescent="0.25">
      <c r="B23" s="1" t="s">
        <v>69</v>
      </c>
      <c r="C23" s="1">
        <f>AVERAGE(C18:C22)</f>
        <v>41.9</v>
      </c>
      <c r="D23" s="1">
        <f t="shared" ref="D23:L23" si="4">AVERAGE(D18:D22)</f>
        <v>40.68</v>
      </c>
      <c r="E23" s="1">
        <f t="shared" si="4"/>
        <v>51.35</v>
      </c>
      <c r="F23" s="1">
        <f t="shared" si="4"/>
        <v>37.450000000000003</v>
      </c>
      <c r="G23" s="1">
        <f t="shared" si="4"/>
        <v>72.8</v>
      </c>
      <c r="H23" s="1">
        <f t="shared" si="4"/>
        <v>35.85</v>
      </c>
      <c r="I23" s="1">
        <f t="shared" si="4"/>
        <v>162.55000000000001</v>
      </c>
      <c r="J23" s="1">
        <f t="shared" si="4"/>
        <v>84.05</v>
      </c>
      <c r="K23" s="1">
        <f t="shared" si="4"/>
        <v>98.55</v>
      </c>
      <c r="L23" s="1">
        <f t="shared" si="4"/>
        <v>182.95</v>
      </c>
      <c r="N23" s="1" t="s">
        <v>69</v>
      </c>
      <c r="O23" s="1">
        <f>AVERAGE(O18:O22)</f>
        <v>41.95</v>
      </c>
      <c r="P23" s="1">
        <f t="shared" ref="P23:X23" si="5">AVERAGE(P18:P22)</f>
        <v>41.03</v>
      </c>
      <c r="Q23" s="1">
        <f t="shared" si="5"/>
        <v>43.95</v>
      </c>
      <c r="R23" s="1">
        <f t="shared" si="5"/>
        <v>37.950000000000003</v>
      </c>
      <c r="S23" s="1">
        <f t="shared" si="5"/>
        <v>66.55</v>
      </c>
      <c r="T23" s="1">
        <f t="shared" si="5"/>
        <v>33.799999999999997</v>
      </c>
      <c r="U23" s="1">
        <f t="shared" si="5"/>
        <v>172.03333333333333</v>
      </c>
      <c r="V23" s="1">
        <f t="shared" si="5"/>
        <v>88.85</v>
      </c>
      <c r="W23" s="1">
        <f t="shared" si="5"/>
        <v>101.35</v>
      </c>
      <c r="X23" s="1">
        <f t="shared" si="5"/>
        <v>210.48333333333335</v>
      </c>
    </row>
    <row r="24" spans="2:24" ht="14.4" thickBot="1" x14ac:dyDescent="0.3">
      <c r="B24" s="1" t="s">
        <v>83</v>
      </c>
      <c r="C24" s="1">
        <f>RANK(C23,C23:L23,1)</f>
        <v>4</v>
      </c>
      <c r="D24" s="1">
        <f>RANK(D23,C23:L23,1)</f>
        <v>3</v>
      </c>
      <c r="E24" s="1">
        <f>RANK(E23,C23:L23,1)</f>
        <v>5</v>
      </c>
      <c r="F24" s="1">
        <f>RANK(F23,C23:L23,1)</f>
        <v>2</v>
      </c>
      <c r="G24" s="1">
        <f>RANK(G23,C23:L23,1)</f>
        <v>6</v>
      </c>
      <c r="H24" s="1">
        <f>RANK(H23,C23:L23,1)</f>
        <v>1</v>
      </c>
      <c r="I24" s="1">
        <f>RANK(I23,C23:L23,1)</f>
        <v>9</v>
      </c>
      <c r="J24" s="1">
        <f>RANK(J23,C23:L23,1)</f>
        <v>7</v>
      </c>
      <c r="K24" s="1">
        <f>RANK(K23,C23:L23,1)</f>
        <v>8</v>
      </c>
      <c r="L24" s="1">
        <f>RANK(L23,C23:L23,1)</f>
        <v>10</v>
      </c>
      <c r="N24" s="1" t="s">
        <v>83</v>
      </c>
      <c r="O24" s="1">
        <f>RANK(O23,O23:X23,1)</f>
        <v>4</v>
      </c>
      <c r="P24" s="1">
        <f>RANK(P23,O23:X23,1)</f>
        <v>3</v>
      </c>
      <c r="Q24" s="1">
        <f>RANK(Q23,O23:X23,1)</f>
        <v>5</v>
      </c>
      <c r="R24" s="1">
        <f>RANK(R23,O23:X23,1)</f>
        <v>2</v>
      </c>
      <c r="S24" s="1">
        <f>RANK(S23,O23:X23,1)</f>
        <v>6</v>
      </c>
      <c r="T24" s="1">
        <f>RANK(T23,O23:X23,1)</f>
        <v>1</v>
      </c>
      <c r="U24" s="1">
        <f>RANK(U23,O23:X23,1)</f>
        <v>9</v>
      </c>
      <c r="V24" s="1">
        <f>RANK(V23,O23:X23,1)</f>
        <v>7</v>
      </c>
      <c r="W24" s="1">
        <f>RANK(W23,O23:X23,1)</f>
        <v>8</v>
      </c>
      <c r="X24" s="1">
        <f>RANK(X23,O23:X23,1)</f>
        <v>10</v>
      </c>
    </row>
    <row r="25" spans="2:24" x14ac:dyDescent="0.25">
      <c r="B25" s="1" t="s">
        <v>70</v>
      </c>
      <c r="C25" s="5">
        <v>39.5</v>
      </c>
      <c r="D25" s="5">
        <v>38.85</v>
      </c>
      <c r="E25" s="5">
        <v>40.5</v>
      </c>
      <c r="F25" s="5">
        <v>38.5</v>
      </c>
      <c r="G25" s="5">
        <v>68</v>
      </c>
      <c r="H25" s="5">
        <v>35.25</v>
      </c>
      <c r="I25" s="5">
        <v>116.77</v>
      </c>
      <c r="J25" s="5">
        <v>82.25</v>
      </c>
      <c r="K25" s="5">
        <v>95</v>
      </c>
      <c r="L25" s="5">
        <v>164.75</v>
      </c>
      <c r="N25" s="1" t="s">
        <v>70</v>
      </c>
      <c r="O25" s="5">
        <v>38.75</v>
      </c>
      <c r="P25" s="5">
        <v>38</v>
      </c>
      <c r="Q25" s="5">
        <v>41.25</v>
      </c>
      <c r="R25" s="5">
        <v>37.5</v>
      </c>
      <c r="S25" s="5">
        <v>47.25</v>
      </c>
      <c r="T25" s="5">
        <v>35</v>
      </c>
      <c r="U25" s="5">
        <v>148</v>
      </c>
      <c r="V25" s="5">
        <v>88</v>
      </c>
      <c r="W25" s="5">
        <v>100.75</v>
      </c>
      <c r="X25" s="5">
        <v>228</v>
      </c>
    </row>
    <row r="26" spans="2:24" x14ac:dyDescent="0.25">
      <c r="B26" s="1" t="s">
        <v>71</v>
      </c>
      <c r="C26" s="1">
        <v>48.25</v>
      </c>
      <c r="D26" s="1">
        <v>47.35</v>
      </c>
      <c r="E26" s="1">
        <v>49.5</v>
      </c>
      <c r="F26" s="1">
        <v>43.25</v>
      </c>
      <c r="G26" s="1">
        <v>75.75</v>
      </c>
      <c r="H26" s="1">
        <v>40.75</v>
      </c>
      <c r="I26" s="1">
        <v>150.66</v>
      </c>
      <c r="J26" s="1">
        <v>88.75</v>
      </c>
      <c r="K26" s="1">
        <v>104</v>
      </c>
      <c r="L26" s="1">
        <v>128</v>
      </c>
      <c r="N26" s="1" t="s">
        <v>71</v>
      </c>
      <c r="O26" s="1">
        <v>47.25</v>
      </c>
      <c r="P26" s="1">
        <v>46.6</v>
      </c>
      <c r="Q26" s="1">
        <v>48.5</v>
      </c>
      <c r="R26" s="1">
        <v>44.25</v>
      </c>
      <c r="S26" s="1">
        <v>70.75</v>
      </c>
      <c r="T26" s="1">
        <v>41</v>
      </c>
      <c r="U26" s="1">
        <v>147.25</v>
      </c>
      <c r="V26" s="1">
        <v>92.75</v>
      </c>
      <c r="W26" s="1">
        <v>104.5</v>
      </c>
      <c r="X26" s="1">
        <v>192</v>
      </c>
    </row>
    <row r="27" spans="2:24" x14ac:dyDescent="0.25">
      <c r="B27" s="1" t="s">
        <v>72</v>
      </c>
      <c r="C27" s="1">
        <v>38.25</v>
      </c>
      <c r="D27" s="1">
        <v>35.85</v>
      </c>
      <c r="E27" s="1">
        <v>39.75</v>
      </c>
      <c r="F27" s="1">
        <v>30.5</v>
      </c>
      <c r="G27" s="1">
        <v>102</v>
      </c>
      <c r="H27" s="1">
        <v>27.25</v>
      </c>
      <c r="I27" s="1">
        <v>181</v>
      </c>
      <c r="J27" s="1">
        <v>50.666666666666664</v>
      </c>
      <c r="K27" s="1">
        <v>47.75</v>
      </c>
      <c r="L27" s="1">
        <v>97.75</v>
      </c>
      <c r="N27" s="1" t="s">
        <v>72</v>
      </c>
      <c r="O27" s="1">
        <v>39.75</v>
      </c>
      <c r="P27" s="1">
        <v>38.15</v>
      </c>
      <c r="Q27" s="1">
        <v>41.5</v>
      </c>
      <c r="R27" s="1">
        <v>31</v>
      </c>
      <c r="S27" s="1">
        <v>68.75</v>
      </c>
      <c r="T27" s="1">
        <v>31.5</v>
      </c>
      <c r="U27" s="1">
        <v>144</v>
      </c>
      <c r="V27" s="1">
        <v>77.5</v>
      </c>
      <c r="W27" s="1">
        <v>80.5</v>
      </c>
      <c r="X27" s="1">
        <v>216.5</v>
      </c>
    </row>
    <row r="28" spans="2:24" x14ac:dyDescent="0.25">
      <c r="B28" s="1" t="s">
        <v>73</v>
      </c>
      <c r="C28" s="1">
        <v>40.25</v>
      </c>
      <c r="D28" s="1">
        <v>39.549999999999997</v>
      </c>
      <c r="E28" s="1">
        <v>41.25</v>
      </c>
      <c r="F28" s="1">
        <v>37.75</v>
      </c>
      <c r="G28" s="1">
        <v>102.25</v>
      </c>
      <c r="H28" s="1">
        <v>35.25</v>
      </c>
      <c r="I28" s="1">
        <v>161.66</v>
      </c>
      <c r="J28" s="1">
        <v>80</v>
      </c>
      <c r="K28" s="1">
        <v>90.75</v>
      </c>
      <c r="L28" s="1">
        <v>188.25</v>
      </c>
      <c r="N28" s="1" t="s">
        <v>73</v>
      </c>
      <c r="O28" s="1">
        <v>38.75</v>
      </c>
      <c r="P28" s="1">
        <v>38.35</v>
      </c>
      <c r="Q28" s="1">
        <v>41.5</v>
      </c>
      <c r="R28" s="1">
        <v>36.25</v>
      </c>
      <c r="S28" s="1">
        <v>56.25</v>
      </c>
      <c r="T28" s="1">
        <v>32.5</v>
      </c>
      <c r="U28" s="1">
        <v>143.5</v>
      </c>
      <c r="V28" s="1">
        <v>85</v>
      </c>
      <c r="W28" s="1">
        <v>93.75</v>
      </c>
      <c r="X28" s="1">
        <v>198</v>
      </c>
    </row>
    <row r="29" spans="2:24" ht="14.4" thickBot="1" x14ac:dyDescent="0.3">
      <c r="B29" s="1" t="s">
        <v>74</v>
      </c>
      <c r="C29" s="9">
        <v>45</v>
      </c>
      <c r="D29" s="9">
        <v>44.6</v>
      </c>
      <c r="E29" s="9">
        <v>46.5</v>
      </c>
      <c r="F29" s="9">
        <v>40</v>
      </c>
      <c r="G29" s="9">
        <v>95.5</v>
      </c>
      <c r="H29" s="9">
        <v>35.75</v>
      </c>
      <c r="I29" s="9">
        <v>165</v>
      </c>
      <c r="J29" s="9">
        <v>87.75</v>
      </c>
      <c r="K29" s="9">
        <v>93</v>
      </c>
      <c r="L29" s="9">
        <v>160.25</v>
      </c>
      <c r="N29" s="1" t="s">
        <v>74</v>
      </c>
      <c r="O29" s="9">
        <v>45.25</v>
      </c>
      <c r="P29" s="9">
        <v>44.8</v>
      </c>
      <c r="Q29" s="9">
        <v>47.75</v>
      </c>
      <c r="R29" s="9">
        <v>40.25</v>
      </c>
      <c r="S29" s="9">
        <v>45</v>
      </c>
      <c r="T29" s="9">
        <v>36.25</v>
      </c>
      <c r="U29" s="9">
        <v>170.66666666666666</v>
      </c>
      <c r="V29" s="9">
        <v>90.25</v>
      </c>
      <c r="W29" s="9">
        <v>108.5</v>
      </c>
      <c r="X29" s="9">
        <v>217</v>
      </c>
    </row>
    <row r="30" spans="2:24" x14ac:dyDescent="0.25">
      <c r="B30" s="1" t="s">
        <v>75</v>
      </c>
      <c r="C30" s="1">
        <f>AVERAGE(C25:C29)</f>
        <v>42.25</v>
      </c>
      <c r="D30" s="1">
        <f t="shared" ref="D30:L30" si="6">AVERAGE(D25:D29)</f>
        <v>41.24</v>
      </c>
      <c r="E30" s="1">
        <f t="shared" si="6"/>
        <v>43.5</v>
      </c>
      <c r="F30" s="1">
        <f t="shared" si="6"/>
        <v>38</v>
      </c>
      <c r="G30" s="1">
        <f t="shared" si="6"/>
        <v>88.7</v>
      </c>
      <c r="H30" s="1">
        <f t="shared" si="6"/>
        <v>34.85</v>
      </c>
      <c r="I30" s="1">
        <f t="shared" si="6"/>
        <v>155.018</v>
      </c>
      <c r="J30" s="1">
        <f t="shared" si="6"/>
        <v>77.883333333333326</v>
      </c>
      <c r="K30" s="1">
        <f t="shared" si="6"/>
        <v>86.1</v>
      </c>
      <c r="L30" s="1">
        <f t="shared" si="6"/>
        <v>147.80000000000001</v>
      </c>
      <c r="N30" s="1" t="s">
        <v>75</v>
      </c>
      <c r="O30" s="1">
        <f>AVERAGE(O25:O29)</f>
        <v>41.95</v>
      </c>
      <c r="P30" s="1">
        <f t="shared" ref="P30:X30" si="7">AVERAGE(P25:P29)</f>
        <v>41.179999999999993</v>
      </c>
      <c r="Q30" s="1">
        <f t="shared" si="7"/>
        <v>44.1</v>
      </c>
      <c r="R30" s="1">
        <f t="shared" si="7"/>
        <v>37.85</v>
      </c>
      <c r="S30" s="1">
        <f t="shared" si="7"/>
        <v>57.6</v>
      </c>
      <c r="T30" s="1">
        <f t="shared" si="7"/>
        <v>35.25</v>
      </c>
      <c r="U30" s="1">
        <f t="shared" si="7"/>
        <v>150.68333333333334</v>
      </c>
      <c r="V30" s="1">
        <f t="shared" si="7"/>
        <v>86.7</v>
      </c>
      <c r="W30" s="1">
        <f t="shared" si="7"/>
        <v>97.6</v>
      </c>
      <c r="X30" s="1">
        <f t="shared" si="7"/>
        <v>210.3</v>
      </c>
    </row>
    <row r="31" spans="2:24" x14ac:dyDescent="0.25">
      <c r="B31" s="1" t="s">
        <v>83</v>
      </c>
      <c r="C31" s="1">
        <f>RANK(C30,C30:L30,1)</f>
        <v>4</v>
      </c>
      <c r="D31" s="1">
        <f>RANK(D30,C30:L30,1)</f>
        <v>3</v>
      </c>
      <c r="E31" s="1">
        <f>RANK(E30,C30:L30,1)</f>
        <v>5</v>
      </c>
      <c r="F31" s="1">
        <f>RANK(F30,C30:L30,1)</f>
        <v>2</v>
      </c>
      <c r="G31" s="1">
        <f>RANK(G30,C30:L30,1)</f>
        <v>8</v>
      </c>
      <c r="H31" s="1">
        <f>RANK(H30,C30:L30,1)</f>
        <v>1</v>
      </c>
      <c r="I31" s="1">
        <f>RANK(I30,C30:L30,1)</f>
        <v>10</v>
      </c>
      <c r="J31" s="1">
        <f>RANK(J30,C30:L30,1)</f>
        <v>6</v>
      </c>
      <c r="K31" s="1">
        <f>RANK(K30,C30:L30,1)</f>
        <v>7</v>
      </c>
      <c r="L31" s="1">
        <f>RANK(L30,C30:L30,1)</f>
        <v>9</v>
      </c>
      <c r="N31" s="1" t="s">
        <v>83</v>
      </c>
      <c r="O31" s="1">
        <f>RANK(O30,O30:X30,1)</f>
        <v>4</v>
      </c>
      <c r="P31" s="1">
        <f>RANK(P30,O30:X30,1)</f>
        <v>3</v>
      </c>
      <c r="Q31" s="1">
        <f>RANK(Q30,O30:X30,1)</f>
        <v>5</v>
      </c>
      <c r="R31" s="1">
        <f>RANK(R30,O30:X30,1)</f>
        <v>2</v>
      </c>
      <c r="S31" s="1">
        <f>RANK(S30,O30:X30,1)</f>
        <v>6</v>
      </c>
      <c r="T31" s="1">
        <f>RANK(T30,O30:X30,1)</f>
        <v>1</v>
      </c>
      <c r="U31" s="1">
        <f>RANK(U30,O30:X30,1)</f>
        <v>9</v>
      </c>
      <c r="V31" s="1">
        <f>RANK(V30,O30:X30,1)</f>
        <v>7</v>
      </c>
      <c r="W31" s="1">
        <f>RANK(W30,O30:X30,1)</f>
        <v>8</v>
      </c>
      <c r="X31" s="1">
        <f>RANK(X30,O30:X30,1)</f>
        <v>10</v>
      </c>
    </row>
    <row r="32" spans="2:24" x14ac:dyDescent="0.25">
      <c r="B32" s="1" t="s">
        <v>82</v>
      </c>
      <c r="C32" s="1">
        <f>AVERAGE(C6,C14,C22,C30)</f>
        <v>139.41666666666669</v>
      </c>
      <c r="D32" s="1">
        <f t="shared" ref="D32:L32" si="8">AVERAGE(D6,D14,D22,D30)</f>
        <v>137.77666666666667</v>
      </c>
      <c r="E32" s="1">
        <f t="shared" si="8"/>
        <v>146.33250000000001</v>
      </c>
      <c r="F32" s="1">
        <f t="shared" si="8"/>
        <v>147.97916666666666</v>
      </c>
      <c r="G32" s="1">
        <f t="shared" si="8"/>
        <v>190.11</v>
      </c>
      <c r="H32" s="1">
        <f t="shared" si="8"/>
        <v>130.60750000000002</v>
      </c>
      <c r="I32" s="1">
        <f t="shared" si="8"/>
        <v>282.46199999999999</v>
      </c>
      <c r="J32" s="1">
        <f t="shared" si="8"/>
        <v>198.09583333333333</v>
      </c>
      <c r="K32" s="1">
        <f t="shared" si="8"/>
        <v>238.56500000000003</v>
      </c>
      <c r="L32" s="1">
        <f t="shared" si="8"/>
        <v>377.69749999999999</v>
      </c>
      <c r="N32" s="1" t="s">
        <v>82</v>
      </c>
      <c r="O32" s="1">
        <f>AVERAGE(O6,O14,O22,O30)</f>
        <v>116.71666666666667</v>
      </c>
      <c r="P32" s="1">
        <f t="shared" ref="P32:X32" si="9">AVERAGE(P6,P14,P22,P30)</f>
        <v>91.37</v>
      </c>
      <c r="Q32" s="1">
        <f t="shared" si="9"/>
        <v>128.17083333333335</v>
      </c>
      <c r="R32" s="1">
        <f t="shared" si="9"/>
        <v>143.04583333333335</v>
      </c>
      <c r="S32" s="1">
        <f t="shared" si="9"/>
        <v>111.77500000000001</v>
      </c>
      <c r="T32" s="1">
        <f t="shared" si="9"/>
        <v>96.583333333333329</v>
      </c>
      <c r="U32" s="1">
        <f t="shared" si="9"/>
        <v>278.67083333333335</v>
      </c>
      <c r="V32" s="1">
        <f t="shared" si="9"/>
        <v>174.50833333333335</v>
      </c>
      <c r="W32" s="1">
        <f t="shared" si="9"/>
        <v>199.37916666666669</v>
      </c>
      <c r="X32" s="1">
        <f t="shared" si="9"/>
        <v>436.61666666666662</v>
      </c>
    </row>
    <row r="33" spans="2:24" x14ac:dyDescent="0.25">
      <c r="B33" s="1" t="s">
        <v>84</v>
      </c>
      <c r="C33" s="1">
        <f>AVERAGE(C10,C17,C24,C31)</f>
        <v>3.75</v>
      </c>
      <c r="D33" s="1">
        <f t="shared" ref="D33:L33" si="10">AVERAGE(D10,D17,D24,D31)</f>
        <v>2.75</v>
      </c>
      <c r="E33" s="1">
        <f t="shared" si="10"/>
        <v>5.5</v>
      </c>
      <c r="F33" s="1">
        <f t="shared" si="10"/>
        <v>4</v>
      </c>
      <c r="G33" s="1">
        <f t="shared" si="10"/>
        <v>5.75</v>
      </c>
      <c r="H33" s="1">
        <f t="shared" si="10"/>
        <v>1</v>
      </c>
      <c r="I33" s="1">
        <f t="shared" si="10"/>
        <v>9.5</v>
      </c>
      <c r="J33" s="1">
        <f t="shared" si="10"/>
        <v>6</v>
      </c>
      <c r="K33" s="1">
        <f t="shared" si="10"/>
        <v>7.25</v>
      </c>
      <c r="L33" s="1">
        <f t="shared" si="10"/>
        <v>9.5</v>
      </c>
      <c r="N33" s="1" t="s">
        <v>84</v>
      </c>
      <c r="O33" s="1">
        <f>AVERAGE(O10,O17,O24,O31)</f>
        <v>4.25</v>
      </c>
      <c r="P33" s="1">
        <f t="shared" ref="P33:X33" si="11">AVERAGE(P10,P17,P24,P31)</f>
        <v>2.25</v>
      </c>
      <c r="Q33" s="1">
        <f t="shared" si="11"/>
        <v>5.25</v>
      </c>
      <c r="R33" s="1">
        <f t="shared" si="11"/>
        <v>4.5</v>
      </c>
      <c r="S33" s="1">
        <f t="shared" si="11"/>
        <v>4.25</v>
      </c>
      <c r="T33" s="1">
        <f t="shared" si="11"/>
        <v>1.5</v>
      </c>
      <c r="U33" s="1">
        <f t="shared" si="11"/>
        <v>9</v>
      </c>
      <c r="V33" s="1">
        <f t="shared" si="11"/>
        <v>6.25</v>
      </c>
      <c r="W33" s="1">
        <f t="shared" si="11"/>
        <v>7.75</v>
      </c>
      <c r="X33" s="1">
        <f t="shared" si="11"/>
        <v>10</v>
      </c>
    </row>
    <row r="35" spans="2:24" x14ac:dyDescent="0.25">
      <c r="N35" s="1" t="s">
        <v>88</v>
      </c>
      <c r="O35">
        <f t="shared" ref="O35:X35" si="12">AVERAGE(C10,O10,C17,O17,C24,O24,C31,O31)</f>
        <v>4</v>
      </c>
      <c r="P35">
        <f>AVERAGE(D10,P10,D17,P17,D24,P24,D31,P31)</f>
        <v>2.5</v>
      </c>
      <c r="Q35">
        <f t="shared" si="12"/>
        <v>5.375</v>
      </c>
      <c r="R35">
        <f t="shared" si="12"/>
        <v>4.25</v>
      </c>
      <c r="S35">
        <f t="shared" si="12"/>
        <v>5</v>
      </c>
      <c r="T35">
        <f t="shared" si="12"/>
        <v>1.25</v>
      </c>
      <c r="U35">
        <f t="shared" si="12"/>
        <v>9.25</v>
      </c>
      <c r="V35">
        <f t="shared" si="12"/>
        <v>6.125</v>
      </c>
      <c r="W35">
        <f t="shared" si="12"/>
        <v>7.5</v>
      </c>
      <c r="X35">
        <f t="shared" si="12"/>
        <v>9.75</v>
      </c>
    </row>
    <row r="36" spans="2:24" x14ac:dyDescent="0.25">
      <c r="N36" s="1" t="s">
        <v>91</v>
      </c>
      <c r="O36">
        <f>AVERAGE(DD!C4,DD!C5,DD!C6,DD!C7,DD!C8,DD!C11,DD!C12,DD!C13,DD!C14,DD!C15,DD!C18,DD!C19,DD!C20,DD!C21,DD!C22,DD!C25,DD!C26,DD!C27,DD!C28,DD!C29,DD!O4,DD!O5,DD!O6,DD!O7,DD!O8,DD!O11,DD!O12,DD!O13,DD!O14,DD!O15,DD!O18,DD!O19,DD!O20,DD!O21,DD!O22,DD!O25,DD!O26,DD!O27,DD!O28,DD!O29)</f>
        <v>130.29791666666665</v>
      </c>
      <c r="P36">
        <f>AVERAGE(DD!D4,DD!D5,DD!D6,DD!D7,DD!D8,DD!D11,DD!D12,DD!D13,DD!D14,DD!D15,DD!D18,DD!D19,DD!D20,DD!D21,DD!D22,DD!D25,DD!D26,DD!D27,DD!D28,DD!D29,DD!P4,DD!P5,DD!P6,DD!P7,DD!P8,DD!P11,DD!P12,DD!P13,DD!P14,DD!P15,DD!P18,DD!P19,DD!P20,DD!P21,DD!P22,DD!P25,DD!P26,DD!P27,DD!P28,DD!P29)</f>
        <v>121.95458333333337</v>
      </c>
      <c r="Q36">
        <f>AVERAGE(DD!E4,DD!E5,DD!E6,DD!E7,DD!E8,DD!E11,DD!E12,DD!E13,DD!E14,DD!E15,DD!E18,DD!E19,DD!E20,DD!E21,DD!E22,DD!E25,DD!E26,DD!E27,DD!E28,DD!E29,DD!Q4,DD!Q5,DD!Q6,DD!Q7,DD!Q8,DD!Q11,DD!Q12,DD!Q13,DD!Q14,DD!Q15,DD!Q18,DD!Q19,DD!Q20,DD!Q21,DD!Q22,DD!Q25,DD!Q26,DD!Q27,DD!Q28,DD!Q29)</f>
        <v>142.41199999999998</v>
      </c>
      <c r="R36">
        <f>AVERAGE(DD!F4,DD!F5,DD!F6,DD!F7,DD!F8,DD!F11,DD!F12,DD!F13,DD!F14,DD!F15,DD!F18,DD!F19,DD!F20,DD!F21,DD!F22,DD!F25,DD!F26,DD!F27,DD!F28,DD!F29,DD!R4,DD!R5,DD!R6,DD!R7,DD!R8,DD!R11,DD!R12,DD!R13,DD!R14,DD!R15,DD!R18,DD!R19,DD!R20,DD!R21,DD!R22,DD!R25,DD!R26,DD!R27,DD!R28,DD!R29)</f>
        <v>143.90625000000003</v>
      </c>
      <c r="S36">
        <f>AVERAGE(DD!G4,DD!G5,DD!G6,DD!G7,DD!G8,DD!G11,DD!G12,DD!G13,DD!G14,DD!G15,DD!G18,DD!G19,DD!G20,DD!G21,DD!G22,DD!G25,DD!G26,DD!G27,DD!G28,DD!G29,DD!S4,DD!S5,DD!S6,DD!S7,DD!S8,DD!S11,DD!S12,DD!S13,DD!S14,DD!S15,DD!S18,DD!S19,DD!S20,DD!S21,DD!S22,DD!S25,DD!S26,DD!S27,DD!S28,DD!S29)</f>
        <v>150.8715</v>
      </c>
      <c r="T36">
        <f>AVERAGE(DD!H4,DD!H5,DD!H6,DD!H7,DD!H8,DD!H11,DD!H12,DD!H13,DD!H14,DD!H15,DD!H18,DD!H19,DD!H20,DD!H21,DD!H22,DD!H25,DD!H26,DD!H27,DD!H28,DD!H29,DD!T4,DD!T5,DD!T6,DD!T7,DD!T8,DD!T11,DD!T12,DD!T13,DD!T14,DD!T15,DD!T18,DD!T19,DD!T20,DD!T21,DD!T22,DD!T25,DD!T26,DD!T27,DD!T28,DD!T29)</f>
        <v>118.49291666666666</v>
      </c>
      <c r="U36">
        <f>AVERAGE(DD!I4,DD!I5,DD!I6,DD!I7,DD!I8,DD!I11,DD!I12,DD!I13,DD!I14,DD!I15,DD!I18,DD!I19,DD!I20,DD!I21,DD!I22,DD!I25,DD!I26,DD!I27,DD!I28,DD!I29,DD!U4,DD!U5,DD!U6,DD!U7,DD!U8,DD!U11,DD!U12,DD!U13,DD!U14,DD!U15,DD!U18,DD!U19,DD!U20,DD!U21,DD!U22,DD!U25,DD!U26,DD!U27,DD!U28,DD!U29)</f>
        <v>305.39923076923077</v>
      </c>
      <c r="V36">
        <f>AVERAGE(DD!J4,DD!J5,DD!J6,DD!J7,DD!J8,DD!J11,DD!J12,DD!J13,DD!J14,DD!J15,DD!J18,DD!J19,DD!J20,DD!J21,DD!J22,DD!J25,DD!J26,DD!J27,DD!J28,DD!J29,DD!V4,DD!V5,DD!V6,DD!V7,DD!V8,DD!V11,DD!V12,DD!V13,DD!V14,DD!V15,DD!V18,DD!V19,DD!V20,DD!V21,DD!V22,DD!V25,DD!V26,DD!V27,DD!V28,DD!V29)</f>
        <v>183.52708333333334</v>
      </c>
      <c r="W36">
        <f>AVERAGE(DD!K4,DD!K5,DD!K6,DD!K7,DD!K8,DD!K11,DD!K12,DD!K13,DD!K14,DD!K15,DD!K18,DD!K19,DD!K20,DD!K21,DD!K22,DD!K25,DD!K26,DD!K27,DD!K28,DD!K29,DD!W4,DD!W5,DD!W6,DD!W7,DD!W8,DD!W11,DD!W12,DD!W13,DD!W14,DD!W15,DD!W18,DD!W19,DD!W20,DD!W21,DD!W22,DD!W25,DD!W26,DD!W27,DD!W28,DD!W29)</f>
        <v>217.75750000000002</v>
      </c>
      <c r="X36">
        <f>AVERAGE(DD!L4,DD!L5,DD!L6,DD!L7,DD!L8,DD!L11,DD!L12,DD!L13,DD!L14,DD!L15,DD!L18,DD!L19,DD!L20,DD!L21,DD!L22,DD!L25,DD!L26,DD!L27,DD!L28,DD!L29,DD!X4,DD!X5,DD!X6,DD!X7,DD!X8,DD!X11,DD!X12,DD!X13,DD!X14,DD!X15,DD!X18,DD!X19,DD!X20,DD!X21,DD!X22,DD!X25,DD!X26,DD!X27,DD!X28,DD!X29)</f>
        <v>383.40758333333343</v>
      </c>
    </row>
  </sheetData>
  <mergeCells count="3">
    <mergeCell ref="B1:X1"/>
    <mergeCell ref="B2:L2"/>
    <mergeCell ref="N2:X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EE554-F9FE-4BD3-9908-B1FB8B22D256}">
  <dimension ref="B1:X37"/>
  <sheetViews>
    <sheetView zoomScale="85" zoomScaleNormal="85" workbookViewId="0">
      <selection activeCell="I65" sqref="I65"/>
    </sheetView>
  </sheetViews>
  <sheetFormatPr defaultRowHeight="13.8" x14ac:dyDescent="0.25"/>
  <sheetData>
    <row r="1" spans="2:24" x14ac:dyDescent="0.25">
      <c r="B1" s="79" t="s">
        <v>87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</row>
    <row r="2" spans="2:24" x14ac:dyDescent="0.25">
      <c r="B2" s="80" t="s">
        <v>85</v>
      </c>
      <c r="C2" s="80"/>
      <c r="D2" s="80"/>
      <c r="E2" s="80"/>
      <c r="F2" s="80"/>
      <c r="G2" s="80"/>
      <c r="H2" s="80"/>
      <c r="I2" s="80"/>
      <c r="J2" s="80"/>
      <c r="K2" s="80"/>
      <c r="L2" s="80"/>
      <c r="N2" s="80" t="s">
        <v>86</v>
      </c>
      <c r="O2" s="80"/>
      <c r="P2" s="80"/>
      <c r="Q2" s="80"/>
      <c r="R2" s="80"/>
      <c r="S2" s="80"/>
      <c r="T2" s="80"/>
      <c r="U2" s="80"/>
      <c r="V2" s="80"/>
      <c r="W2" s="80"/>
      <c r="X2" s="80"/>
    </row>
    <row r="3" spans="2:24" ht="14.4" thickBot="1" x14ac:dyDescent="0.3">
      <c r="B3" s="1" t="s">
        <v>7</v>
      </c>
      <c r="C3" s="1" t="s">
        <v>45</v>
      </c>
      <c r="D3" s="1" t="s">
        <v>50</v>
      </c>
      <c r="E3" s="1" t="s">
        <v>1</v>
      </c>
      <c r="F3" s="1" t="s">
        <v>38</v>
      </c>
      <c r="G3" s="1" t="s">
        <v>40</v>
      </c>
      <c r="H3" s="1" t="s">
        <v>41</v>
      </c>
      <c r="I3" s="1" t="s">
        <v>42</v>
      </c>
      <c r="J3" s="1" t="s">
        <v>49</v>
      </c>
      <c r="K3" s="1" t="s">
        <v>43</v>
      </c>
      <c r="L3" s="1" t="s">
        <v>51</v>
      </c>
      <c r="N3" s="1" t="s">
        <v>7</v>
      </c>
      <c r="O3" s="1" t="s">
        <v>45</v>
      </c>
      <c r="P3" s="1" t="s">
        <v>50</v>
      </c>
      <c r="Q3" s="1" t="s">
        <v>1</v>
      </c>
      <c r="R3" s="1" t="s">
        <v>38</v>
      </c>
      <c r="S3" s="1" t="s">
        <v>40</v>
      </c>
      <c r="T3" s="1" t="s">
        <v>41</v>
      </c>
      <c r="U3" s="1" t="s">
        <v>42</v>
      </c>
      <c r="V3" s="1" t="s">
        <v>49</v>
      </c>
      <c r="W3" s="1" t="s">
        <v>43</v>
      </c>
      <c r="X3" s="1" t="s">
        <v>51</v>
      </c>
    </row>
    <row r="4" spans="2:24" x14ac:dyDescent="0.25">
      <c r="B4" s="1" t="s">
        <v>52</v>
      </c>
      <c r="C4" s="25">
        <v>0.33333333333333331</v>
      </c>
      <c r="D4" s="17">
        <v>0.47368421052631582</v>
      </c>
      <c r="E4" s="17">
        <v>0.33333333333333331</v>
      </c>
      <c r="F4" s="17">
        <v>0</v>
      </c>
      <c r="G4" s="17">
        <v>0</v>
      </c>
      <c r="H4" s="17">
        <v>0</v>
      </c>
      <c r="I4" s="17">
        <v>0.5</v>
      </c>
      <c r="J4" s="17">
        <v>0.25</v>
      </c>
      <c r="K4" s="17">
        <v>0.25</v>
      </c>
      <c r="L4" s="18">
        <v>0.33333333333333331</v>
      </c>
      <c r="N4" s="1" t="s">
        <v>52</v>
      </c>
      <c r="O4" s="25">
        <v>0</v>
      </c>
      <c r="P4" s="17">
        <v>0</v>
      </c>
      <c r="Q4" s="17">
        <v>0</v>
      </c>
      <c r="R4" s="17">
        <v>0.25</v>
      </c>
      <c r="S4" s="17">
        <v>0.4</v>
      </c>
      <c r="T4" s="17">
        <v>0.4</v>
      </c>
      <c r="U4" s="17">
        <v>0</v>
      </c>
      <c r="V4" s="17">
        <v>0</v>
      </c>
      <c r="W4" s="17">
        <v>0</v>
      </c>
      <c r="X4" s="18">
        <v>0.33333333333333331</v>
      </c>
    </row>
    <row r="5" spans="2:24" x14ac:dyDescent="0.25">
      <c r="B5" s="1" t="s">
        <v>53</v>
      </c>
      <c r="C5" s="26">
        <v>0.25</v>
      </c>
      <c r="D5" s="14">
        <v>0.4</v>
      </c>
      <c r="E5" s="14">
        <v>0</v>
      </c>
      <c r="F5" s="14">
        <v>0.6</v>
      </c>
      <c r="G5" s="14">
        <v>0</v>
      </c>
      <c r="H5" s="14">
        <v>0.5</v>
      </c>
      <c r="I5" s="14">
        <v>0.5</v>
      </c>
      <c r="J5" s="14">
        <v>0.4</v>
      </c>
      <c r="K5" s="14">
        <v>0.625</v>
      </c>
      <c r="L5" s="20">
        <v>0.33333333333333331</v>
      </c>
      <c r="N5" s="1" t="s">
        <v>53</v>
      </c>
      <c r="O5" s="26">
        <v>0</v>
      </c>
      <c r="P5" s="14">
        <v>0</v>
      </c>
      <c r="Q5" s="14">
        <v>0</v>
      </c>
      <c r="R5" s="14">
        <v>0.4</v>
      </c>
      <c r="S5" s="14">
        <v>0</v>
      </c>
      <c r="T5" s="14">
        <v>0.25</v>
      </c>
      <c r="U5" s="14">
        <v>0</v>
      </c>
      <c r="V5" s="14">
        <v>0</v>
      </c>
      <c r="W5" s="14">
        <v>0</v>
      </c>
      <c r="X5" s="20">
        <v>0.33333333333333331</v>
      </c>
    </row>
    <row r="6" spans="2:24" x14ac:dyDescent="0.25">
      <c r="B6" s="1" t="s">
        <v>54</v>
      </c>
      <c r="C6" s="26">
        <v>0</v>
      </c>
      <c r="D6" s="14">
        <v>0</v>
      </c>
      <c r="E6" s="14">
        <v>0</v>
      </c>
      <c r="F6" s="14">
        <v>0</v>
      </c>
      <c r="G6" s="14">
        <v>0.25</v>
      </c>
      <c r="H6" s="14">
        <v>0.4</v>
      </c>
      <c r="I6" s="14">
        <v>0.66666666666666663</v>
      </c>
      <c r="J6" s="14">
        <v>0.25</v>
      </c>
      <c r="K6" s="14">
        <v>0.5714285714285714</v>
      </c>
      <c r="L6" s="20">
        <v>0</v>
      </c>
      <c r="N6" s="1" t="s">
        <v>54</v>
      </c>
      <c r="O6" s="26">
        <v>0</v>
      </c>
      <c r="P6" s="14">
        <v>0</v>
      </c>
      <c r="Q6" s="14">
        <v>0</v>
      </c>
      <c r="R6" s="14">
        <v>0</v>
      </c>
      <c r="S6" s="14">
        <v>0.25</v>
      </c>
      <c r="T6" s="14">
        <v>0</v>
      </c>
      <c r="U6" s="14">
        <v>0.4</v>
      </c>
      <c r="V6" s="14">
        <v>0</v>
      </c>
      <c r="W6" s="14">
        <v>0</v>
      </c>
      <c r="X6" s="20">
        <v>0.33333333333333331</v>
      </c>
    </row>
    <row r="7" spans="2:24" x14ac:dyDescent="0.25">
      <c r="B7" s="1" t="s">
        <v>55</v>
      </c>
      <c r="C7" s="26">
        <v>0</v>
      </c>
      <c r="D7" s="14">
        <v>0</v>
      </c>
      <c r="E7" s="14">
        <v>0</v>
      </c>
      <c r="F7" s="14">
        <v>0</v>
      </c>
      <c r="G7" s="14">
        <v>0.25</v>
      </c>
      <c r="H7" s="14">
        <v>0</v>
      </c>
      <c r="I7" s="14">
        <v>0</v>
      </c>
      <c r="J7" s="14">
        <v>0</v>
      </c>
      <c r="K7" s="14">
        <v>0.25</v>
      </c>
      <c r="L7" s="20">
        <v>0.33333333333333331</v>
      </c>
      <c r="N7" s="1" t="s">
        <v>55</v>
      </c>
      <c r="O7" s="26">
        <v>0</v>
      </c>
      <c r="P7" s="14">
        <v>0</v>
      </c>
      <c r="Q7" s="14">
        <v>0</v>
      </c>
      <c r="R7" s="14">
        <v>0</v>
      </c>
      <c r="S7" s="14">
        <v>0.5</v>
      </c>
      <c r="T7" s="14">
        <v>0</v>
      </c>
      <c r="U7" s="14">
        <v>0</v>
      </c>
      <c r="V7" s="14">
        <v>0</v>
      </c>
      <c r="W7" s="14">
        <v>0.25</v>
      </c>
      <c r="X7" s="20">
        <v>0.66666666666666663</v>
      </c>
    </row>
    <row r="8" spans="2:24" ht="14.4" thickBot="1" x14ac:dyDescent="0.3">
      <c r="B8" s="1" t="s">
        <v>56</v>
      </c>
      <c r="C8" s="27">
        <v>0.33333333333333331</v>
      </c>
      <c r="D8" s="23">
        <v>0</v>
      </c>
      <c r="E8" s="23">
        <v>0</v>
      </c>
      <c r="F8" s="23">
        <v>0.33333333333333331</v>
      </c>
      <c r="G8" s="23">
        <v>0</v>
      </c>
      <c r="H8" s="23">
        <v>0.4</v>
      </c>
      <c r="I8" s="23">
        <v>1</v>
      </c>
      <c r="J8" s="23">
        <v>0</v>
      </c>
      <c r="K8" s="23">
        <v>0</v>
      </c>
      <c r="L8" s="24">
        <v>0.33333333333333331</v>
      </c>
      <c r="N8" s="1" t="s">
        <v>56</v>
      </c>
      <c r="O8" s="27">
        <v>0</v>
      </c>
      <c r="P8" s="23">
        <v>0</v>
      </c>
      <c r="Q8" s="23">
        <v>0</v>
      </c>
      <c r="R8" s="23">
        <v>0</v>
      </c>
      <c r="S8" s="23">
        <v>0</v>
      </c>
      <c r="T8" s="23">
        <v>0.25</v>
      </c>
      <c r="U8" s="23">
        <v>0.25</v>
      </c>
      <c r="V8" s="23">
        <v>0</v>
      </c>
      <c r="W8" s="23">
        <v>0.25</v>
      </c>
      <c r="X8" s="24">
        <v>0.33333333333333331</v>
      </c>
    </row>
    <row r="9" spans="2:24" x14ac:dyDescent="0.25">
      <c r="B9" s="1" t="s">
        <v>57</v>
      </c>
      <c r="C9" s="1">
        <f>AVERAGE(C4:C8)</f>
        <v>0.18333333333333329</v>
      </c>
      <c r="D9" s="1">
        <f t="shared" ref="D9:L9" si="0">AVERAGE(D4:D8)</f>
        <v>0.17473684210526316</v>
      </c>
      <c r="E9" s="1">
        <f t="shared" si="0"/>
        <v>6.6666666666666666E-2</v>
      </c>
      <c r="F9" s="1">
        <f t="shared" si="0"/>
        <v>0.18666666666666668</v>
      </c>
      <c r="G9" s="1">
        <f t="shared" si="0"/>
        <v>0.1</v>
      </c>
      <c r="H9" s="1">
        <f t="shared" si="0"/>
        <v>0.26</v>
      </c>
      <c r="I9" s="1">
        <f t="shared" si="0"/>
        <v>0.53333333333333333</v>
      </c>
      <c r="J9" s="1">
        <f t="shared" si="0"/>
        <v>0.18</v>
      </c>
      <c r="K9" s="1">
        <f t="shared" si="0"/>
        <v>0.3392857142857143</v>
      </c>
      <c r="L9" s="1">
        <f t="shared" si="0"/>
        <v>0.26666666666666666</v>
      </c>
      <c r="N9" s="1" t="s">
        <v>57</v>
      </c>
      <c r="O9" s="1">
        <f>AVERAGE(O4:O8)</f>
        <v>0</v>
      </c>
      <c r="P9" s="1">
        <f t="shared" ref="P9:X9" si="1">AVERAGE(P4:P8)</f>
        <v>0</v>
      </c>
      <c r="Q9" s="1">
        <f t="shared" si="1"/>
        <v>0</v>
      </c>
      <c r="R9" s="1">
        <f t="shared" si="1"/>
        <v>0.13</v>
      </c>
      <c r="S9" s="1">
        <f t="shared" si="1"/>
        <v>0.22999999999999998</v>
      </c>
      <c r="T9" s="1">
        <f t="shared" si="1"/>
        <v>0.18</v>
      </c>
      <c r="U9" s="1">
        <f t="shared" si="1"/>
        <v>0.13</v>
      </c>
      <c r="V9" s="1">
        <f t="shared" si="1"/>
        <v>0</v>
      </c>
      <c r="W9" s="1">
        <f t="shared" si="1"/>
        <v>0.1</v>
      </c>
      <c r="X9" s="1">
        <f t="shared" si="1"/>
        <v>0.39999999999999997</v>
      </c>
    </row>
    <row r="10" spans="2:24" ht="14.4" thickBot="1" x14ac:dyDescent="0.3">
      <c r="B10" s="1" t="s">
        <v>83</v>
      </c>
      <c r="C10" s="1">
        <f>RANK(C9,C9:L9,1)</f>
        <v>5</v>
      </c>
      <c r="D10" s="1">
        <f>RANK(D9,C9:L9,1)</f>
        <v>3</v>
      </c>
      <c r="E10" s="1">
        <f>RANK(E9,C9:L9,1)</f>
        <v>1</v>
      </c>
      <c r="F10" s="1">
        <f>RANK(F9,C9:L9,1)</f>
        <v>6</v>
      </c>
      <c r="G10" s="1">
        <f>RANK(G9,C9:L9,1)</f>
        <v>2</v>
      </c>
      <c r="H10" s="1">
        <f>RANK(H9,C9:L9,1)</f>
        <v>7</v>
      </c>
      <c r="I10" s="1">
        <f>RANK(I9,C9:L9,1)</f>
        <v>10</v>
      </c>
      <c r="J10" s="1">
        <f>RANK(J9,C9:L9,1)</f>
        <v>4</v>
      </c>
      <c r="K10" s="1">
        <f>RANK(K9,C9:L9,1)</f>
        <v>9</v>
      </c>
      <c r="L10" s="1">
        <f>RANK(L9,C9:L9,1)</f>
        <v>8</v>
      </c>
      <c r="N10" s="1" t="s">
        <v>83</v>
      </c>
      <c r="O10" s="1">
        <f>RANK(O9,O9:X9,1)</f>
        <v>1</v>
      </c>
      <c r="P10" s="1">
        <f>RANK(P9,O9:X9,1)</f>
        <v>1</v>
      </c>
      <c r="Q10" s="1">
        <f>RANK(Q9,O9:X9,1)</f>
        <v>1</v>
      </c>
      <c r="R10" s="1">
        <f>RANK(R9,O9:X9,1)</f>
        <v>6</v>
      </c>
      <c r="S10" s="1">
        <f>RANK(S9,O9:X9,1)</f>
        <v>9</v>
      </c>
      <c r="T10" s="1">
        <f>RANK(T9,O9:X9,1)</f>
        <v>8</v>
      </c>
      <c r="U10" s="1">
        <f>RANK(U9,O9:X9,1)</f>
        <v>6</v>
      </c>
      <c r="V10" s="1">
        <f>RANK(V9,O9:X9,1)</f>
        <v>1</v>
      </c>
      <c r="W10" s="1">
        <f>RANK(W9,O9:X9,1)</f>
        <v>5</v>
      </c>
      <c r="X10" s="1">
        <f>RANK(X9,O9:X9,1)</f>
        <v>10</v>
      </c>
    </row>
    <row r="11" spans="2:24" x14ac:dyDescent="0.25">
      <c r="B11" s="1" t="s">
        <v>58</v>
      </c>
      <c r="C11" s="25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0.25</v>
      </c>
      <c r="J11" s="17">
        <v>0</v>
      </c>
      <c r="K11" s="17">
        <v>0</v>
      </c>
      <c r="L11" s="18">
        <v>0</v>
      </c>
      <c r="N11" s="1" t="s">
        <v>58</v>
      </c>
      <c r="O11" s="25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8">
        <v>0</v>
      </c>
    </row>
    <row r="12" spans="2:24" x14ac:dyDescent="0.25">
      <c r="B12" s="1" t="s">
        <v>59</v>
      </c>
      <c r="C12" s="26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20">
        <v>0</v>
      </c>
      <c r="N12" s="1" t="s">
        <v>59</v>
      </c>
      <c r="O12" s="26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20">
        <v>0</v>
      </c>
    </row>
    <row r="13" spans="2:24" x14ac:dyDescent="0.25">
      <c r="B13" s="1" t="s">
        <v>60</v>
      </c>
      <c r="C13" s="26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0.25</v>
      </c>
      <c r="L13" s="20">
        <v>0</v>
      </c>
      <c r="N13" s="1" t="s">
        <v>60</v>
      </c>
      <c r="O13" s="26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20">
        <v>0</v>
      </c>
    </row>
    <row r="14" spans="2:24" x14ac:dyDescent="0.25">
      <c r="B14" s="1" t="s">
        <v>61</v>
      </c>
      <c r="C14" s="26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0.25</v>
      </c>
      <c r="J14" s="14">
        <v>0</v>
      </c>
      <c r="K14" s="14">
        <v>0</v>
      </c>
      <c r="L14" s="20">
        <v>0</v>
      </c>
      <c r="N14" s="1" t="s">
        <v>61</v>
      </c>
      <c r="O14" s="26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0.33333333333333331</v>
      </c>
      <c r="V14" s="14">
        <v>0</v>
      </c>
      <c r="W14" s="14">
        <v>0</v>
      </c>
      <c r="X14" s="20">
        <v>0</v>
      </c>
    </row>
    <row r="15" spans="2:24" ht="14.4" thickBot="1" x14ac:dyDescent="0.3">
      <c r="B15" s="1" t="s">
        <v>62</v>
      </c>
      <c r="C15" s="27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4">
        <v>0</v>
      </c>
      <c r="N15" s="1" t="s">
        <v>62</v>
      </c>
      <c r="O15" s="27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4">
        <v>0</v>
      </c>
    </row>
    <row r="16" spans="2:24" x14ac:dyDescent="0.25">
      <c r="B16" s="1" t="s">
        <v>63</v>
      </c>
      <c r="C16" s="1">
        <f>AVERAGE(C11:C15)</f>
        <v>0</v>
      </c>
      <c r="D16" s="1">
        <f t="shared" ref="D16:L16" si="2">AVERAGE(D11:D15)</f>
        <v>0</v>
      </c>
      <c r="E16" s="1">
        <f t="shared" si="2"/>
        <v>0</v>
      </c>
      <c r="F16" s="1">
        <f t="shared" si="2"/>
        <v>0</v>
      </c>
      <c r="G16" s="1">
        <f t="shared" si="2"/>
        <v>0</v>
      </c>
      <c r="H16" s="1">
        <f t="shared" si="2"/>
        <v>0</v>
      </c>
      <c r="I16" s="1">
        <f t="shared" si="2"/>
        <v>0.1</v>
      </c>
      <c r="J16" s="1">
        <f t="shared" si="2"/>
        <v>0</v>
      </c>
      <c r="K16" s="1">
        <f t="shared" si="2"/>
        <v>0.05</v>
      </c>
      <c r="L16" s="1">
        <f t="shared" si="2"/>
        <v>0</v>
      </c>
      <c r="N16" s="1" t="s">
        <v>63</v>
      </c>
      <c r="O16" s="1">
        <f>AVERAGE(O11:O15)</f>
        <v>0</v>
      </c>
      <c r="P16" s="1">
        <f t="shared" ref="P16:X16" si="3">AVERAGE(P11:P15)</f>
        <v>0</v>
      </c>
      <c r="Q16" s="1">
        <f t="shared" si="3"/>
        <v>0</v>
      </c>
      <c r="R16" s="1">
        <f t="shared" si="3"/>
        <v>0</v>
      </c>
      <c r="S16" s="1">
        <f t="shared" si="3"/>
        <v>0</v>
      </c>
      <c r="T16" s="1">
        <f t="shared" si="3"/>
        <v>0</v>
      </c>
      <c r="U16" s="1">
        <f t="shared" si="3"/>
        <v>6.6666666666666666E-2</v>
      </c>
      <c r="V16" s="1">
        <f t="shared" si="3"/>
        <v>0</v>
      </c>
      <c r="W16" s="1">
        <f t="shared" si="3"/>
        <v>0</v>
      </c>
      <c r="X16" s="1">
        <f t="shared" si="3"/>
        <v>0</v>
      </c>
    </row>
    <row r="17" spans="2:24" ht="14.4" thickBot="1" x14ac:dyDescent="0.3">
      <c r="B17" s="1" t="s">
        <v>83</v>
      </c>
      <c r="C17" s="1">
        <f>RANK(C16,C16:L16,1)</f>
        <v>1</v>
      </c>
      <c r="D17" s="1">
        <f>RANK(D16,C16:L16,1)</f>
        <v>1</v>
      </c>
      <c r="E17" s="1">
        <f>RANK(E16,C16:L16,1)</f>
        <v>1</v>
      </c>
      <c r="F17" s="1">
        <f>RANK(F16,C16:L16,1)</f>
        <v>1</v>
      </c>
      <c r="G17" s="1">
        <f>RANK(G16,C16:L16,1)</f>
        <v>1</v>
      </c>
      <c r="H17" s="1">
        <f>RANK(H16,C16:L16,1)</f>
        <v>1</v>
      </c>
      <c r="I17" s="1">
        <f>RANK(I16,C16:L16,1)</f>
        <v>10</v>
      </c>
      <c r="J17" s="1">
        <f>RANK(J16,C16:L16,1)</f>
        <v>1</v>
      </c>
      <c r="K17" s="1">
        <f>RANK(K16,C16:L16,1)</f>
        <v>9</v>
      </c>
      <c r="L17" s="1">
        <f>RANK(L16,C16:L16,1)</f>
        <v>1</v>
      </c>
      <c r="N17" s="1" t="s">
        <v>83</v>
      </c>
      <c r="O17" s="1">
        <f>RANK(O16,O16:X16,1)</f>
        <v>1</v>
      </c>
      <c r="P17" s="1">
        <f>RANK(P16,O16:X16,1)</f>
        <v>1</v>
      </c>
      <c r="Q17" s="1">
        <f>RANK(Q16,O16:X16,1)</f>
        <v>1</v>
      </c>
      <c r="R17" s="1">
        <f>RANK(R16,O16:X16,1)</f>
        <v>1</v>
      </c>
      <c r="S17" s="1">
        <f>RANK(S16,O16:X16,1)</f>
        <v>1</v>
      </c>
      <c r="T17" s="1">
        <f>RANK(T16,O16:X16,1)</f>
        <v>1</v>
      </c>
      <c r="U17" s="1">
        <f>RANK(U16,O16:X16,1)</f>
        <v>10</v>
      </c>
      <c r="V17" s="1">
        <f>RANK(V16,O16:X16,1)</f>
        <v>1</v>
      </c>
      <c r="W17" s="1">
        <f>RANK(W16,O16:X16,1)</f>
        <v>1</v>
      </c>
      <c r="X17" s="1">
        <f>RANK(X16,O16:X16,1)</f>
        <v>1</v>
      </c>
    </row>
    <row r="18" spans="2:24" x14ac:dyDescent="0.25">
      <c r="B18" s="1" t="s">
        <v>64</v>
      </c>
      <c r="C18" s="25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0.33333333333333331</v>
      </c>
      <c r="I18" s="17">
        <v>0</v>
      </c>
      <c r="J18" s="17">
        <v>0</v>
      </c>
      <c r="K18" s="17">
        <v>0</v>
      </c>
      <c r="L18" s="18">
        <v>0</v>
      </c>
      <c r="N18" s="1" t="s">
        <v>64</v>
      </c>
      <c r="O18" s="25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0.2</v>
      </c>
      <c r="U18" s="17">
        <v>0</v>
      </c>
      <c r="V18" s="17">
        <v>0</v>
      </c>
      <c r="W18" s="17">
        <v>0.42857142857142855</v>
      </c>
      <c r="X18" s="18">
        <v>0.5</v>
      </c>
    </row>
    <row r="19" spans="2:24" x14ac:dyDescent="0.25">
      <c r="B19" s="1" t="s">
        <v>65</v>
      </c>
      <c r="C19" s="26">
        <v>0.2</v>
      </c>
      <c r="D19" s="14">
        <v>0.16666666666666669</v>
      </c>
      <c r="E19" s="14">
        <v>0.2</v>
      </c>
      <c r="F19" s="14">
        <v>0.2</v>
      </c>
      <c r="G19" s="14">
        <v>0</v>
      </c>
      <c r="H19" s="14">
        <v>0.33333333333333331</v>
      </c>
      <c r="I19" s="14">
        <v>0.25</v>
      </c>
      <c r="J19" s="14">
        <v>0.2</v>
      </c>
      <c r="K19" s="14">
        <v>0.42857142857142855</v>
      </c>
      <c r="L19" s="20">
        <v>0</v>
      </c>
      <c r="N19" s="1" t="s">
        <v>65</v>
      </c>
      <c r="O19" s="26">
        <v>0.2</v>
      </c>
      <c r="P19" s="14">
        <v>0.2</v>
      </c>
      <c r="Q19" s="14">
        <v>0.2</v>
      </c>
      <c r="R19" s="14">
        <v>0.6</v>
      </c>
      <c r="S19" s="14">
        <v>0.42857142857142855</v>
      </c>
      <c r="T19" s="14">
        <v>0.5</v>
      </c>
      <c r="U19" s="14">
        <v>0.25</v>
      </c>
      <c r="V19" s="14">
        <v>0.2</v>
      </c>
      <c r="W19" s="14">
        <v>0.66666666666666663</v>
      </c>
      <c r="X19" s="20">
        <v>0.5</v>
      </c>
    </row>
    <row r="20" spans="2:24" x14ac:dyDescent="0.25">
      <c r="B20" s="1" t="s">
        <v>66</v>
      </c>
      <c r="C20" s="26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0.42857142857142855</v>
      </c>
      <c r="I20" s="14">
        <v>0.2</v>
      </c>
      <c r="J20" s="14">
        <v>0</v>
      </c>
      <c r="K20" s="14">
        <v>0.33333333333333331</v>
      </c>
      <c r="L20" s="20">
        <v>0</v>
      </c>
      <c r="N20" s="1" t="s">
        <v>66</v>
      </c>
      <c r="O20" s="26">
        <v>0.33333333333333331</v>
      </c>
      <c r="P20" s="14">
        <v>0.45945945945945943</v>
      </c>
      <c r="Q20" s="14">
        <v>0</v>
      </c>
      <c r="R20" s="14">
        <v>0.2</v>
      </c>
      <c r="S20" s="14">
        <v>0.33333333333333331</v>
      </c>
      <c r="T20" s="14">
        <v>0.42857142857142855</v>
      </c>
      <c r="U20" s="14">
        <v>0.4</v>
      </c>
      <c r="V20" s="14">
        <v>0</v>
      </c>
      <c r="W20" s="14">
        <v>0.42857142857142855</v>
      </c>
      <c r="X20" s="20">
        <v>0.25</v>
      </c>
    </row>
    <row r="21" spans="2:24" x14ac:dyDescent="0.25">
      <c r="B21" s="1" t="s">
        <v>67</v>
      </c>
      <c r="C21" s="26">
        <v>0.2</v>
      </c>
      <c r="D21" s="14">
        <v>0.16666666666666669</v>
      </c>
      <c r="E21" s="14">
        <v>0</v>
      </c>
      <c r="F21" s="14">
        <v>0</v>
      </c>
      <c r="G21" s="14">
        <v>0</v>
      </c>
      <c r="H21" s="14">
        <v>0.42857142857142855</v>
      </c>
      <c r="I21" s="14">
        <v>0.5</v>
      </c>
      <c r="J21" s="14">
        <v>0</v>
      </c>
      <c r="K21" s="14">
        <v>0.33333333333333331</v>
      </c>
      <c r="L21" s="20">
        <v>0</v>
      </c>
      <c r="N21" s="1" t="s">
        <v>67</v>
      </c>
      <c r="O21" s="26">
        <v>0.2</v>
      </c>
      <c r="P21" s="14">
        <v>0.28571428571428575</v>
      </c>
      <c r="Q21" s="14">
        <v>0.2</v>
      </c>
      <c r="R21" s="14">
        <v>0.42857142857142855</v>
      </c>
      <c r="S21" s="14">
        <v>0.2</v>
      </c>
      <c r="T21" s="14">
        <v>0.5</v>
      </c>
      <c r="U21" s="14">
        <v>0.4</v>
      </c>
      <c r="V21" s="14">
        <v>0</v>
      </c>
      <c r="W21" s="14">
        <v>0.6</v>
      </c>
      <c r="X21" s="20">
        <v>0</v>
      </c>
    </row>
    <row r="22" spans="2:24" ht="14.4" thickBot="1" x14ac:dyDescent="0.3">
      <c r="B22" s="1" t="s">
        <v>68</v>
      </c>
      <c r="C22" s="27">
        <v>0</v>
      </c>
      <c r="D22" s="23">
        <v>0</v>
      </c>
      <c r="E22" s="23">
        <v>0</v>
      </c>
      <c r="F22" s="23">
        <v>0</v>
      </c>
      <c r="G22" s="23">
        <v>0.2</v>
      </c>
      <c r="H22" s="23">
        <v>0.33333333333333331</v>
      </c>
      <c r="I22" s="23">
        <v>0.75</v>
      </c>
      <c r="J22" s="23">
        <v>0</v>
      </c>
      <c r="K22" s="23">
        <v>0.5</v>
      </c>
      <c r="L22" s="24">
        <v>0</v>
      </c>
      <c r="N22" s="1" t="s">
        <v>68</v>
      </c>
      <c r="O22" s="27">
        <v>0.2</v>
      </c>
      <c r="P22" s="23">
        <v>0.2</v>
      </c>
      <c r="Q22" s="23">
        <v>0</v>
      </c>
      <c r="R22" s="23">
        <v>0.2</v>
      </c>
      <c r="S22" s="23">
        <v>0.5</v>
      </c>
      <c r="T22" s="23">
        <v>0.55555555555555558</v>
      </c>
      <c r="U22" s="23">
        <v>0.5</v>
      </c>
      <c r="V22" s="23">
        <v>0.2</v>
      </c>
      <c r="W22" s="23">
        <v>0.6</v>
      </c>
      <c r="X22" s="24">
        <v>0.25</v>
      </c>
    </row>
    <row r="23" spans="2:24" x14ac:dyDescent="0.25">
      <c r="B23" s="1" t="s">
        <v>69</v>
      </c>
      <c r="C23" s="1">
        <f>AVERAGE(C18:C22)</f>
        <v>0.08</v>
      </c>
      <c r="D23" s="1">
        <f t="shared" ref="D23:L23" si="4">AVERAGE(D18:D22)</f>
        <v>6.666666666666668E-2</v>
      </c>
      <c r="E23" s="1">
        <f t="shared" si="4"/>
        <v>0.04</v>
      </c>
      <c r="F23" s="1">
        <f t="shared" si="4"/>
        <v>0.04</v>
      </c>
      <c r="G23" s="1">
        <f t="shared" si="4"/>
        <v>0.04</v>
      </c>
      <c r="H23" s="1">
        <f t="shared" si="4"/>
        <v>0.37142857142857139</v>
      </c>
      <c r="I23" s="1">
        <f t="shared" si="4"/>
        <v>0.33999999999999997</v>
      </c>
      <c r="J23" s="1">
        <f t="shared" si="4"/>
        <v>0.04</v>
      </c>
      <c r="K23" s="1">
        <f t="shared" si="4"/>
        <v>0.31904761904761902</v>
      </c>
      <c r="L23" s="1">
        <f t="shared" si="4"/>
        <v>0</v>
      </c>
      <c r="N23" s="1" t="s">
        <v>69</v>
      </c>
      <c r="O23" s="1">
        <f>AVERAGE(O18:O22)</f>
        <v>0.18666666666666668</v>
      </c>
      <c r="P23" s="1">
        <f t="shared" ref="P23:X23" si="5">AVERAGE(P18:P22)</f>
        <v>0.22903474903474902</v>
      </c>
      <c r="Q23" s="1">
        <f t="shared" si="5"/>
        <v>0.08</v>
      </c>
      <c r="R23" s="1">
        <f t="shared" si="5"/>
        <v>0.2857142857142857</v>
      </c>
      <c r="S23" s="1">
        <f t="shared" si="5"/>
        <v>0.29238095238095235</v>
      </c>
      <c r="T23" s="1">
        <f t="shared" si="5"/>
        <v>0.43682539682539689</v>
      </c>
      <c r="U23" s="1">
        <f t="shared" si="5"/>
        <v>0.31</v>
      </c>
      <c r="V23" s="1">
        <f t="shared" si="5"/>
        <v>0.08</v>
      </c>
      <c r="W23" s="1">
        <f t="shared" si="5"/>
        <v>0.54476190476190478</v>
      </c>
      <c r="X23" s="1">
        <f t="shared" si="5"/>
        <v>0.3</v>
      </c>
    </row>
    <row r="24" spans="2:24" ht="14.4" thickBot="1" x14ac:dyDescent="0.3">
      <c r="B24" s="1" t="s">
        <v>83</v>
      </c>
      <c r="C24" s="1">
        <f>RANK(C23,C23:L23,1)</f>
        <v>7</v>
      </c>
      <c r="D24" s="1">
        <f>RANK(D23,C23:L23,1)</f>
        <v>6</v>
      </c>
      <c r="E24" s="1">
        <f>RANK(E23,C23:L23,1)</f>
        <v>2</v>
      </c>
      <c r="F24" s="1">
        <f>RANK(F23,C23:L23,1)</f>
        <v>2</v>
      </c>
      <c r="G24" s="1">
        <f>RANK(G23,C23:L23,1)</f>
        <v>2</v>
      </c>
      <c r="H24" s="1">
        <f>RANK(H23,C23:L23,1)</f>
        <v>10</v>
      </c>
      <c r="I24" s="1">
        <f>RANK(I23,C23:L23,1)</f>
        <v>9</v>
      </c>
      <c r="J24" s="1">
        <f>RANK(J23,C23:L23,1)</f>
        <v>2</v>
      </c>
      <c r="K24" s="1">
        <f>RANK(K23,C23:L23,1)</f>
        <v>8</v>
      </c>
      <c r="L24" s="1">
        <f>RANK(L23,C23:L23,1)</f>
        <v>1</v>
      </c>
      <c r="N24" s="1" t="s">
        <v>83</v>
      </c>
      <c r="O24" s="1">
        <f>RANK(O23,O23:X23,1)</f>
        <v>3</v>
      </c>
      <c r="P24" s="1">
        <f>RANK(P23,O23:X23,1)</f>
        <v>4</v>
      </c>
      <c r="Q24" s="1">
        <f>RANK(Q23,O23:X23,1)</f>
        <v>1</v>
      </c>
      <c r="R24" s="1">
        <f>RANK(R23,O23:X23,1)</f>
        <v>5</v>
      </c>
      <c r="S24" s="1">
        <f>RANK(S23,O23:X23,1)</f>
        <v>6</v>
      </c>
      <c r="T24" s="1">
        <f>RANK(T23,O23:X23,1)</f>
        <v>9</v>
      </c>
      <c r="U24" s="1">
        <f>RANK(U23,O23:X23,1)</f>
        <v>8</v>
      </c>
      <c r="V24" s="1">
        <f>RANK(V23,O23:X23,1)</f>
        <v>1</v>
      </c>
      <c r="W24" s="1">
        <f>RANK(W23,O23:X23,1)</f>
        <v>10</v>
      </c>
      <c r="X24" s="1">
        <f>RANK(X23,O23:X23,1)</f>
        <v>7</v>
      </c>
    </row>
    <row r="25" spans="2:24" x14ac:dyDescent="0.25">
      <c r="B25" s="1" t="s">
        <v>70</v>
      </c>
      <c r="C25" s="25">
        <v>0</v>
      </c>
      <c r="D25" s="17">
        <v>0</v>
      </c>
      <c r="E25" s="17">
        <v>0</v>
      </c>
      <c r="F25" s="17">
        <v>0</v>
      </c>
      <c r="G25" s="17">
        <v>0.2</v>
      </c>
      <c r="H25" s="17">
        <v>0</v>
      </c>
      <c r="I25" s="17">
        <v>0.5</v>
      </c>
      <c r="J25" s="17">
        <v>0.2</v>
      </c>
      <c r="K25" s="17">
        <v>0.33333333333333331</v>
      </c>
      <c r="L25" s="18">
        <v>0</v>
      </c>
      <c r="N25" s="1" t="s">
        <v>70</v>
      </c>
      <c r="O25" s="25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0.2</v>
      </c>
      <c r="U25" s="17">
        <v>0.25</v>
      </c>
      <c r="V25" s="17">
        <v>0</v>
      </c>
      <c r="W25" s="17">
        <v>0</v>
      </c>
      <c r="X25" s="18">
        <v>0.75</v>
      </c>
    </row>
    <row r="26" spans="2:24" x14ac:dyDescent="0.25">
      <c r="B26" s="1" t="s">
        <v>71</v>
      </c>
      <c r="C26" s="26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0.4</v>
      </c>
      <c r="J26" s="14">
        <v>0</v>
      </c>
      <c r="K26" s="14">
        <v>0.2</v>
      </c>
      <c r="L26" s="20">
        <v>0.25</v>
      </c>
      <c r="N26" s="1" t="s">
        <v>71</v>
      </c>
      <c r="O26" s="26">
        <v>0</v>
      </c>
      <c r="P26" s="14">
        <v>0</v>
      </c>
      <c r="Q26" s="14">
        <v>0</v>
      </c>
      <c r="R26" s="14">
        <v>0</v>
      </c>
      <c r="S26" s="14">
        <v>0.2</v>
      </c>
      <c r="T26" s="14">
        <v>0</v>
      </c>
      <c r="U26" s="14">
        <v>0.2</v>
      </c>
      <c r="V26" s="14">
        <v>0</v>
      </c>
      <c r="W26" s="14">
        <v>0.33333333333333331</v>
      </c>
      <c r="X26" s="20">
        <v>0.5</v>
      </c>
    </row>
    <row r="27" spans="2:24" x14ac:dyDescent="0.25">
      <c r="B27" s="1" t="s">
        <v>72</v>
      </c>
      <c r="C27" s="26">
        <v>0</v>
      </c>
      <c r="D27" s="14">
        <v>0</v>
      </c>
      <c r="E27" s="14">
        <v>0</v>
      </c>
      <c r="F27" s="14">
        <v>0</v>
      </c>
      <c r="G27" s="14">
        <v>0.2</v>
      </c>
      <c r="H27" s="14">
        <v>0</v>
      </c>
      <c r="I27" s="14">
        <v>0.75</v>
      </c>
      <c r="J27" s="14">
        <v>0.25</v>
      </c>
      <c r="K27" s="14">
        <v>0.66666666666666663</v>
      </c>
      <c r="L27" s="20">
        <v>0</v>
      </c>
      <c r="N27" s="1" t="s">
        <v>72</v>
      </c>
      <c r="O27" s="26">
        <v>0.2</v>
      </c>
      <c r="P27" s="14">
        <v>0.16666666666666669</v>
      </c>
      <c r="Q27" s="14">
        <v>0</v>
      </c>
      <c r="R27" s="14">
        <v>0</v>
      </c>
      <c r="S27" s="14">
        <v>0.2</v>
      </c>
      <c r="T27" s="14">
        <v>0</v>
      </c>
      <c r="U27" s="14">
        <v>0.63636363636363635</v>
      </c>
      <c r="V27" s="14">
        <v>0.33333333333333331</v>
      </c>
      <c r="W27" s="14">
        <v>0.55555555555555558</v>
      </c>
      <c r="X27" s="20">
        <v>0</v>
      </c>
    </row>
    <row r="28" spans="2:24" x14ac:dyDescent="0.25">
      <c r="B28" s="1" t="s">
        <v>73</v>
      </c>
      <c r="C28" s="26">
        <v>0</v>
      </c>
      <c r="D28" s="14">
        <v>0.13043478260869565</v>
      </c>
      <c r="E28" s="14">
        <v>0</v>
      </c>
      <c r="F28" s="14">
        <v>0</v>
      </c>
      <c r="G28" s="14">
        <v>0</v>
      </c>
      <c r="H28" s="14">
        <v>0</v>
      </c>
      <c r="I28" s="14">
        <v>0.4</v>
      </c>
      <c r="J28" s="14">
        <v>0</v>
      </c>
      <c r="K28" s="14">
        <v>0</v>
      </c>
      <c r="L28" s="20">
        <v>0</v>
      </c>
      <c r="N28" s="1" t="s">
        <v>73</v>
      </c>
      <c r="O28" s="26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0.2</v>
      </c>
      <c r="X28" s="20">
        <v>0.5</v>
      </c>
    </row>
    <row r="29" spans="2:24" ht="14.4" thickBot="1" x14ac:dyDescent="0.3">
      <c r="B29" s="1" t="s">
        <v>74</v>
      </c>
      <c r="C29" s="27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0.5</v>
      </c>
      <c r="J29" s="23">
        <v>0.2</v>
      </c>
      <c r="K29" s="23">
        <v>0.33333333333333331</v>
      </c>
      <c r="L29" s="24">
        <v>0.2</v>
      </c>
      <c r="N29" s="1" t="s">
        <v>74</v>
      </c>
      <c r="O29" s="27">
        <v>0</v>
      </c>
      <c r="P29" s="23">
        <v>0</v>
      </c>
      <c r="Q29" s="23">
        <v>0</v>
      </c>
      <c r="R29" s="23">
        <v>0</v>
      </c>
      <c r="S29" s="23">
        <v>0.33333333333333331</v>
      </c>
      <c r="T29" s="23">
        <v>0</v>
      </c>
      <c r="U29" s="23">
        <v>0.5</v>
      </c>
      <c r="V29" s="23">
        <v>0</v>
      </c>
      <c r="W29" s="23">
        <v>0.69230769230769229</v>
      </c>
      <c r="X29" s="24">
        <v>0.25</v>
      </c>
    </row>
    <row r="30" spans="2:24" x14ac:dyDescent="0.25">
      <c r="B30" s="1" t="s">
        <v>75</v>
      </c>
      <c r="C30" s="1">
        <f>AVERAGE(C25:C29)</f>
        <v>0</v>
      </c>
      <c r="D30" s="1">
        <f t="shared" ref="D30:L30" si="6">AVERAGE(D25:D29)</f>
        <v>2.6086956521739129E-2</v>
      </c>
      <c r="E30" s="1">
        <f t="shared" si="6"/>
        <v>0</v>
      </c>
      <c r="F30" s="1">
        <f t="shared" si="6"/>
        <v>0</v>
      </c>
      <c r="G30" s="1">
        <f t="shared" si="6"/>
        <v>0.08</v>
      </c>
      <c r="H30" s="1">
        <f t="shared" si="6"/>
        <v>0</v>
      </c>
      <c r="I30" s="1">
        <f t="shared" si="6"/>
        <v>0.51</v>
      </c>
      <c r="J30" s="1">
        <f t="shared" si="6"/>
        <v>0.13</v>
      </c>
      <c r="K30" s="1">
        <f t="shared" si="6"/>
        <v>0.30666666666666664</v>
      </c>
      <c r="L30" s="1">
        <f t="shared" si="6"/>
        <v>0.09</v>
      </c>
      <c r="N30" s="1" t="s">
        <v>75</v>
      </c>
      <c r="O30" s="1">
        <f>AVERAGE(O25:O29)</f>
        <v>0.04</v>
      </c>
      <c r="P30" s="1">
        <f t="shared" ref="P30:X30" si="7">AVERAGE(P25:P29)</f>
        <v>3.333333333333334E-2</v>
      </c>
      <c r="Q30" s="1">
        <f t="shared" si="7"/>
        <v>0</v>
      </c>
      <c r="R30" s="1">
        <f t="shared" si="7"/>
        <v>0</v>
      </c>
      <c r="S30" s="1">
        <f t="shared" si="7"/>
        <v>0.14666666666666667</v>
      </c>
      <c r="T30" s="1">
        <f t="shared" si="7"/>
        <v>0.04</v>
      </c>
      <c r="U30" s="1">
        <f t="shared" si="7"/>
        <v>0.31727272727272726</v>
      </c>
      <c r="V30" s="1">
        <f t="shared" si="7"/>
        <v>6.6666666666666666E-2</v>
      </c>
      <c r="W30" s="1">
        <f t="shared" si="7"/>
        <v>0.35623931623931621</v>
      </c>
      <c r="X30" s="1">
        <f t="shared" si="7"/>
        <v>0.4</v>
      </c>
    </row>
    <row r="31" spans="2:24" x14ac:dyDescent="0.25">
      <c r="B31" s="1" t="s">
        <v>83</v>
      </c>
      <c r="C31" s="1">
        <f>RANK(C30,C30:L30,1)</f>
        <v>1</v>
      </c>
      <c r="D31" s="1">
        <f>RANK(D30,C30:L30,1)</f>
        <v>5</v>
      </c>
      <c r="E31" s="1">
        <f>RANK(E30,C30:L30,1)</f>
        <v>1</v>
      </c>
      <c r="F31" s="1">
        <f>RANK(F30,C30:L30,1)</f>
        <v>1</v>
      </c>
      <c r="G31" s="1">
        <f>RANK(G30,C30:L30,1)</f>
        <v>6</v>
      </c>
      <c r="H31" s="1">
        <f>RANK(H30,C30:L30,1)</f>
        <v>1</v>
      </c>
      <c r="I31" s="1">
        <f>RANK(I30,C30:L30,1)</f>
        <v>10</v>
      </c>
      <c r="J31" s="1">
        <f>RANK(J30,C30:L30,1)</f>
        <v>8</v>
      </c>
      <c r="K31" s="1">
        <f>RANK(K30,C30:L30,1)</f>
        <v>9</v>
      </c>
      <c r="L31" s="1">
        <f>RANK(L30,C30:L30,1)</f>
        <v>7</v>
      </c>
      <c r="N31" s="1" t="s">
        <v>83</v>
      </c>
      <c r="O31" s="1">
        <f>RANK(O30,O30:X30,1)</f>
        <v>4</v>
      </c>
      <c r="P31" s="1">
        <f>RANK(P30,O30:X30,1)</f>
        <v>3</v>
      </c>
      <c r="Q31" s="1">
        <f>RANK(Q30,O30:X30,1)</f>
        <v>1</v>
      </c>
      <c r="R31" s="1">
        <f>RANK(R30,O30:X30,1)</f>
        <v>1</v>
      </c>
      <c r="S31" s="1">
        <f>RANK(S30,O30:X30,1)</f>
        <v>7</v>
      </c>
      <c r="T31" s="1">
        <f>RANK(T30,O30:X30,1)</f>
        <v>4</v>
      </c>
      <c r="U31" s="1">
        <f>RANK(U30,O30:X30,1)</f>
        <v>8</v>
      </c>
      <c r="V31" s="1">
        <f>RANK(V30,O30:X30,1)</f>
        <v>6</v>
      </c>
      <c r="W31" s="1">
        <f>RANK(W30,O30:X30,1)</f>
        <v>9</v>
      </c>
      <c r="X31" s="1">
        <f>RANK(X30,O30:X30,1)</f>
        <v>10</v>
      </c>
    </row>
    <row r="32" spans="2:24" x14ac:dyDescent="0.25">
      <c r="B32" s="1" t="s">
        <v>82</v>
      </c>
      <c r="C32" s="1">
        <f>AVERAGE(C9,C16,C23,C30,C14,C22,C30)</f>
        <v>3.7619047619047614E-2</v>
      </c>
      <c r="D32" s="1">
        <f t="shared" ref="D32:L32" si="8">AVERAGE(D9,D16,D23,D30,D14,D22,D30)</f>
        <v>4.1939631687915445E-2</v>
      </c>
      <c r="E32" s="1">
        <f t="shared" si="8"/>
        <v>1.5238095238095236E-2</v>
      </c>
      <c r="F32" s="1">
        <f t="shared" si="8"/>
        <v>3.2380952380952385E-2</v>
      </c>
      <c r="G32" s="1">
        <f t="shared" si="8"/>
        <v>7.1428571428571425E-2</v>
      </c>
      <c r="H32" s="1">
        <f t="shared" si="8"/>
        <v>0.13782312925170068</v>
      </c>
      <c r="I32" s="1">
        <f t="shared" si="8"/>
        <v>0.42761904761904762</v>
      </c>
      <c r="J32" s="1">
        <f t="shared" si="8"/>
        <v>6.8571428571428575E-2</v>
      </c>
      <c r="K32" s="1">
        <f t="shared" si="8"/>
        <v>0.26023809523809521</v>
      </c>
      <c r="L32" s="1">
        <f t="shared" si="8"/>
        <v>6.3809523809523802E-2</v>
      </c>
      <c r="N32" s="1" t="s">
        <v>82</v>
      </c>
      <c r="O32" s="1">
        <f>AVERAGE(O9,O16,O23,O30,O14,O22,O30)</f>
        <v>6.6666666666666666E-2</v>
      </c>
      <c r="P32" s="1">
        <f t="shared" ref="P32:X32" si="9">AVERAGE(P9,P16,P23,P30,P14,P22,P30)</f>
        <v>7.0814487957345101E-2</v>
      </c>
      <c r="Q32" s="1">
        <f t="shared" si="9"/>
        <v>1.1428571428571429E-2</v>
      </c>
      <c r="R32" s="1">
        <f t="shared" si="9"/>
        <v>8.7959183673469374E-2</v>
      </c>
      <c r="S32" s="1">
        <f t="shared" si="9"/>
        <v>0.18795918367346939</v>
      </c>
      <c r="T32" s="1">
        <f t="shared" si="9"/>
        <v>0.17891156462585037</v>
      </c>
      <c r="U32" s="1">
        <f t="shared" si="9"/>
        <v>0.28207792207792209</v>
      </c>
      <c r="V32" s="1">
        <f t="shared" si="9"/>
        <v>5.904761904761905E-2</v>
      </c>
      <c r="W32" s="1">
        <f t="shared" si="9"/>
        <v>0.27960579103436245</v>
      </c>
      <c r="X32" s="1">
        <f t="shared" si="9"/>
        <v>0.25</v>
      </c>
    </row>
    <row r="33" spans="2:24" x14ac:dyDescent="0.25">
      <c r="B33" s="1" t="s">
        <v>84</v>
      </c>
      <c r="C33" s="1">
        <f>AVERAGE(C10,C17,C24,C31)</f>
        <v>3.5</v>
      </c>
      <c r="D33" s="1">
        <f>AVERAGE(D10,D17,D24,D31)</f>
        <v>3.75</v>
      </c>
      <c r="E33" s="1">
        <f t="shared" ref="E33:L33" si="10">AVERAGE(E10,E17,E24,E31)</f>
        <v>1.25</v>
      </c>
      <c r="F33" s="1">
        <f t="shared" si="10"/>
        <v>2.5</v>
      </c>
      <c r="G33" s="1">
        <f t="shared" si="10"/>
        <v>2.75</v>
      </c>
      <c r="H33" s="1">
        <f t="shared" si="10"/>
        <v>4.75</v>
      </c>
      <c r="I33" s="1">
        <f t="shared" si="10"/>
        <v>9.75</v>
      </c>
      <c r="J33" s="1">
        <f t="shared" si="10"/>
        <v>3.75</v>
      </c>
      <c r="K33" s="1">
        <f t="shared" si="10"/>
        <v>8.75</v>
      </c>
      <c r="L33" s="1">
        <f t="shared" si="10"/>
        <v>4.25</v>
      </c>
      <c r="N33" s="1" t="s">
        <v>84</v>
      </c>
      <c r="O33" s="1">
        <f>AVERAGE(O10,O17,O24,O31)</f>
        <v>2.25</v>
      </c>
      <c r="P33" s="1">
        <f>AVERAGE(P10,P17,P24,P31)</f>
        <v>2.25</v>
      </c>
      <c r="Q33" s="1">
        <f t="shared" ref="Q33:X33" si="11">AVERAGE(Q10,Q17,Q24,Q31)</f>
        <v>1</v>
      </c>
      <c r="R33" s="1">
        <f t="shared" si="11"/>
        <v>3.25</v>
      </c>
      <c r="S33" s="1">
        <f t="shared" si="11"/>
        <v>5.75</v>
      </c>
      <c r="T33" s="1">
        <f t="shared" si="11"/>
        <v>5.5</v>
      </c>
      <c r="U33" s="1">
        <f t="shared" si="11"/>
        <v>8</v>
      </c>
      <c r="V33" s="1">
        <f t="shared" si="11"/>
        <v>2.25</v>
      </c>
      <c r="W33" s="1">
        <f t="shared" si="11"/>
        <v>6.25</v>
      </c>
      <c r="X33" s="1">
        <f t="shared" si="11"/>
        <v>7</v>
      </c>
    </row>
    <row r="35" spans="2:24" x14ac:dyDescent="0.25">
      <c r="N35" s="1" t="s">
        <v>88</v>
      </c>
      <c r="O35">
        <f t="shared" ref="O35:X35" si="12">AVERAGE(C10,O10,C17,O17,C24,O24,C31,O31)</f>
        <v>2.875</v>
      </c>
      <c r="P35">
        <f t="shared" si="12"/>
        <v>3</v>
      </c>
      <c r="Q35">
        <f t="shared" si="12"/>
        <v>1.125</v>
      </c>
      <c r="R35">
        <f t="shared" si="12"/>
        <v>2.875</v>
      </c>
      <c r="S35">
        <f t="shared" si="12"/>
        <v>4.25</v>
      </c>
      <c r="T35">
        <f t="shared" si="12"/>
        <v>5.125</v>
      </c>
      <c r="U35">
        <f t="shared" si="12"/>
        <v>8.875</v>
      </c>
      <c r="V35">
        <f t="shared" si="12"/>
        <v>3</v>
      </c>
      <c r="W35">
        <f t="shared" si="12"/>
        <v>7.5</v>
      </c>
      <c r="X35">
        <f t="shared" si="12"/>
        <v>5.625</v>
      </c>
    </row>
    <row r="36" spans="2:24" x14ac:dyDescent="0.25">
      <c r="N36" s="1" t="s">
        <v>91</v>
      </c>
      <c r="O36">
        <f t="shared" ref="O36:X36" si="13">AVERAGE(C4,C5,C6,C7,C8,C11,C12,C13,C14,C15,C18,C19,C20,C21,C22,C25,C26,C27,C28,C29,O4,O5,O6,O7,O8,O11,O12,O13,O14,O15,O18,O19,O20,O21,O22,O25,O26,O27,O28,O29)</f>
        <v>6.1250000000000006E-2</v>
      </c>
      <c r="P36">
        <f t="shared" si="13"/>
        <v>6.6232318457718917E-2</v>
      </c>
      <c r="Q36">
        <f t="shared" si="13"/>
        <v>2.3333333333333334E-2</v>
      </c>
      <c r="R36">
        <f t="shared" si="13"/>
        <v>8.0297619047619048E-2</v>
      </c>
      <c r="S36">
        <f t="shared" si="13"/>
        <v>0.11113095238095239</v>
      </c>
      <c r="T36">
        <f t="shared" si="13"/>
        <v>0.16103174603174603</v>
      </c>
      <c r="U36">
        <f t="shared" si="13"/>
        <v>0.28840909090909095</v>
      </c>
      <c r="V36">
        <f t="shared" si="13"/>
        <v>6.2083333333333338E-2</v>
      </c>
      <c r="W36">
        <f t="shared" si="13"/>
        <v>0.25200015262515263</v>
      </c>
      <c r="X36">
        <f t="shared" si="13"/>
        <v>0.18208333333333332</v>
      </c>
    </row>
    <row r="37" spans="2:24" x14ac:dyDescent="0.25"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</sheetData>
  <mergeCells count="3">
    <mergeCell ref="B1:X1"/>
    <mergeCell ref="B2:L2"/>
    <mergeCell ref="N2:X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B652-192B-4924-A680-DE34C6B3E7D3}">
  <dimension ref="A1:BB84"/>
  <sheetViews>
    <sheetView topLeftCell="A37" zoomScale="70" zoomScaleNormal="70" workbookViewId="0">
      <selection activeCell="N99" sqref="N99"/>
    </sheetView>
  </sheetViews>
  <sheetFormatPr defaultRowHeight="13.8" x14ac:dyDescent="0.25"/>
  <sheetData>
    <row r="1" spans="1:54" x14ac:dyDescent="0.25">
      <c r="A1" s="79" t="s">
        <v>87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AF1" s="79" t="s">
        <v>87</v>
      </c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</row>
    <row r="2" spans="1:54" x14ac:dyDescent="0.25">
      <c r="A2" s="80" t="s">
        <v>85</v>
      </c>
      <c r="B2" s="80"/>
      <c r="C2" s="80"/>
      <c r="D2" s="80"/>
      <c r="E2" s="80"/>
      <c r="F2" s="80"/>
      <c r="G2" s="80"/>
      <c r="H2" s="80"/>
      <c r="I2" s="80"/>
      <c r="J2" s="80"/>
      <c r="K2" s="80"/>
      <c r="M2" s="80" t="s">
        <v>86</v>
      </c>
      <c r="N2" s="80"/>
      <c r="O2" s="80"/>
      <c r="P2" s="80"/>
      <c r="Q2" s="80"/>
      <c r="R2" s="80"/>
      <c r="S2" s="80"/>
      <c r="T2" s="80"/>
      <c r="U2" s="80"/>
      <c r="V2" s="80"/>
      <c r="W2" s="80"/>
      <c r="AF2" s="80" t="s">
        <v>85</v>
      </c>
      <c r="AG2" s="80"/>
      <c r="AH2" s="80"/>
      <c r="AI2" s="80"/>
      <c r="AJ2" s="80"/>
      <c r="AK2" s="80"/>
      <c r="AL2" s="80"/>
      <c r="AM2" s="80"/>
      <c r="AN2" s="80"/>
      <c r="AO2" s="80"/>
      <c r="AP2" s="80"/>
      <c r="AR2" s="80" t="s">
        <v>86</v>
      </c>
      <c r="AS2" s="80"/>
      <c r="AT2" s="80"/>
      <c r="AU2" s="80"/>
      <c r="AV2" s="80"/>
      <c r="AW2" s="80"/>
      <c r="AX2" s="80"/>
      <c r="AY2" s="80"/>
      <c r="AZ2" s="80"/>
      <c r="BA2" s="80"/>
      <c r="BB2" s="80"/>
    </row>
    <row r="3" spans="1:54" ht="14.4" thickBot="1" x14ac:dyDescent="0.3">
      <c r="A3" s="1" t="s">
        <v>2</v>
      </c>
      <c r="B3" s="1" t="s">
        <v>45</v>
      </c>
      <c r="C3" s="1" t="s">
        <v>50</v>
      </c>
      <c r="D3" s="1" t="s">
        <v>1</v>
      </c>
      <c r="E3" s="1" t="s">
        <v>38</v>
      </c>
      <c r="F3" s="1" t="s">
        <v>40</v>
      </c>
      <c r="G3" s="1" t="s">
        <v>41</v>
      </c>
      <c r="H3" s="1" t="s">
        <v>42</v>
      </c>
      <c r="I3" s="1" t="s">
        <v>49</v>
      </c>
      <c r="J3" s="1" t="s">
        <v>43</v>
      </c>
      <c r="K3" s="1" t="s">
        <v>51</v>
      </c>
      <c r="M3" s="1" t="s">
        <v>2</v>
      </c>
      <c r="N3" s="1" t="s">
        <v>45</v>
      </c>
      <c r="O3" s="1" t="s">
        <v>50</v>
      </c>
      <c r="P3" s="1" t="s">
        <v>1</v>
      </c>
      <c r="Q3" s="1" t="s">
        <v>38</v>
      </c>
      <c r="R3" s="1" t="s">
        <v>40</v>
      </c>
      <c r="S3" s="1" t="s">
        <v>41</v>
      </c>
      <c r="T3" s="1" t="s">
        <v>42</v>
      </c>
      <c r="U3" s="1" t="s">
        <v>49</v>
      </c>
      <c r="V3" s="1" t="s">
        <v>43</v>
      </c>
      <c r="W3" s="1" t="s">
        <v>51</v>
      </c>
      <c r="AF3" s="1" t="s">
        <v>2</v>
      </c>
      <c r="AG3" s="1" t="s">
        <v>45</v>
      </c>
      <c r="AH3" s="1" t="s">
        <v>50</v>
      </c>
      <c r="AI3" s="1" t="s">
        <v>1</v>
      </c>
      <c r="AJ3" s="1" t="s">
        <v>38</v>
      </c>
      <c r="AK3" s="1" t="s">
        <v>40</v>
      </c>
      <c r="AL3" s="1" t="s">
        <v>41</v>
      </c>
      <c r="AM3" s="1" t="s">
        <v>42</v>
      </c>
      <c r="AN3" s="1" t="s">
        <v>49</v>
      </c>
      <c r="AO3" s="1" t="s">
        <v>43</v>
      </c>
      <c r="AP3" s="1" t="s">
        <v>51</v>
      </c>
      <c r="AR3" s="1" t="s">
        <v>2</v>
      </c>
      <c r="AS3" s="1" t="s">
        <v>45</v>
      </c>
      <c r="AT3" s="1" t="s">
        <v>50</v>
      </c>
      <c r="AU3" s="1" t="s">
        <v>1</v>
      </c>
      <c r="AV3" s="1" t="s">
        <v>38</v>
      </c>
      <c r="AW3" s="1" t="s">
        <v>40</v>
      </c>
      <c r="AX3" s="1" t="s">
        <v>41</v>
      </c>
      <c r="AY3" s="1" t="s">
        <v>42</v>
      </c>
      <c r="AZ3" s="1" t="s">
        <v>49</v>
      </c>
      <c r="BA3" s="1" t="s">
        <v>43</v>
      </c>
      <c r="BB3" s="1" t="s">
        <v>51</v>
      </c>
    </row>
    <row r="4" spans="1:54" x14ac:dyDescent="0.25">
      <c r="A4" s="1" t="s">
        <v>52</v>
      </c>
      <c r="B4" s="3">
        <v>9.5323837499999993</v>
      </c>
      <c r="C4" s="3">
        <v>9.6315114062500005</v>
      </c>
      <c r="D4" s="3">
        <v>8.5825704687499993</v>
      </c>
      <c r="E4" s="3">
        <v>9.2364214062500007</v>
      </c>
      <c r="F4" s="3">
        <v>9.3581065624999997</v>
      </c>
      <c r="G4" s="3">
        <v>9.5237059375000008</v>
      </c>
      <c r="H4" s="3">
        <v>9.2760821875000001</v>
      </c>
      <c r="I4" s="3">
        <v>11.15204609375</v>
      </c>
      <c r="J4" s="3">
        <v>9.6874014062500002</v>
      </c>
      <c r="K4" s="3">
        <v>9.3541801562500009</v>
      </c>
      <c r="M4" s="1" t="s">
        <v>52</v>
      </c>
      <c r="N4" s="3">
        <v>27.70595890625</v>
      </c>
      <c r="O4" s="3">
        <v>23.39846984375</v>
      </c>
      <c r="P4" s="3">
        <v>21.496846250000001</v>
      </c>
      <c r="Q4" s="3">
        <v>22.067510468750001</v>
      </c>
      <c r="R4" s="3">
        <v>22.284163906250001</v>
      </c>
      <c r="S4" s="3">
        <v>30.45705109375</v>
      </c>
      <c r="T4" s="3">
        <v>27.42417015625</v>
      </c>
      <c r="U4" s="3">
        <v>21.887524843750001</v>
      </c>
      <c r="V4" s="3">
        <v>26.607860468750001</v>
      </c>
      <c r="W4" s="3">
        <v>27.93767734375</v>
      </c>
      <c r="AF4" s="1" t="s">
        <v>52</v>
      </c>
      <c r="AG4" s="3">
        <v>9.5323837499999993</v>
      </c>
      <c r="AH4" s="3">
        <v>9.6315114062500005</v>
      </c>
      <c r="AI4" s="3">
        <v>8.5825704687499993</v>
      </c>
      <c r="AJ4" s="3">
        <v>9.2364214062500007</v>
      </c>
      <c r="AK4" s="3">
        <v>9.3581065624999997</v>
      </c>
      <c r="AL4" s="3">
        <v>9.5237059375000008</v>
      </c>
      <c r="AM4" s="3">
        <v>9.2760821875000001</v>
      </c>
      <c r="AN4" s="3">
        <v>11.15204609375</v>
      </c>
      <c r="AO4" s="3">
        <v>9.6874014062500002</v>
      </c>
      <c r="AP4" s="3">
        <v>9.3541801562500009</v>
      </c>
      <c r="AR4" s="1" t="s">
        <v>52</v>
      </c>
      <c r="AS4" s="3">
        <v>27.70595890625</v>
      </c>
      <c r="AT4" s="3">
        <v>23.39846984375</v>
      </c>
      <c r="AU4" s="3">
        <v>21.496846250000001</v>
      </c>
      <c r="AV4" s="3">
        <v>22.067510468750001</v>
      </c>
      <c r="AW4" s="3">
        <v>22.284163906250001</v>
      </c>
      <c r="AX4" s="3">
        <v>30.45705109375</v>
      </c>
      <c r="AY4" s="3">
        <v>27.42417015625</v>
      </c>
      <c r="AZ4" s="3">
        <v>21.887524843750001</v>
      </c>
      <c r="BA4" s="3">
        <v>26.607860468750001</v>
      </c>
      <c r="BB4" s="3">
        <v>27.93767734375</v>
      </c>
    </row>
    <row r="5" spans="1:54" x14ac:dyDescent="0.25">
      <c r="A5" s="1" t="s">
        <v>83</v>
      </c>
      <c r="B5" s="1">
        <f>RANK(B4,B4:K4,1)</f>
        <v>7</v>
      </c>
      <c r="C5" s="1">
        <f>RANK(C4,B4:K4,1)</f>
        <v>8</v>
      </c>
      <c r="D5" s="1">
        <f>RANK(D4,B4:K4,1)</f>
        <v>1</v>
      </c>
      <c r="E5" s="1">
        <f>RANK(E4,B4:K4,1)</f>
        <v>2</v>
      </c>
      <c r="F5" s="1">
        <f>RANK(F4,B4:K4,1)</f>
        <v>5</v>
      </c>
      <c r="G5" s="1">
        <f>RANK(G4,B4:K4,1)</f>
        <v>6</v>
      </c>
      <c r="H5" s="1">
        <f>RANK(H4,B4:K4,1)</f>
        <v>3</v>
      </c>
      <c r="I5" s="1">
        <f>RANK(I4,B4:K4,1)</f>
        <v>10</v>
      </c>
      <c r="J5" s="1">
        <f>RANK(J4,B4:K4,1)</f>
        <v>9</v>
      </c>
      <c r="K5" s="1">
        <f>RANK(K4,B4:K4,1)</f>
        <v>4</v>
      </c>
      <c r="M5" s="1" t="s">
        <v>83</v>
      </c>
      <c r="N5" s="1">
        <f>RANK(N4,N4:W4,1)</f>
        <v>8</v>
      </c>
      <c r="O5" s="1">
        <f>RANK(O4,N4:W4,1)</f>
        <v>5</v>
      </c>
      <c r="P5" s="1">
        <f>RANK(P4,N4:W4,1)</f>
        <v>1</v>
      </c>
      <c r="Q5" s="1">
        <f>RANK(Q4,N4:W4,1)</f>
        <v>3</v>
      </c>
      <c r="R5" s="1">
        <f>RANK(R4,N4:W4,1)</f>
        <v>4</v>
      </c>
      <c r="S5" s="1">
        <f>RANK(S4,N4:W4,1)</f>
        <v>10</v>
      </c>
      <c r="T5" s="1">
        <f>RANK(T4,N4:W4,1)</f>
        <v>7</v>
      </c>
      <c r="U5" s="1">
        <f>RANK(U4,N4:W4,1)</f>
        <v>2</v>
      </c>
      <c r="V5" s="1">
        <f>RANK(V4,N4:W4,1)</f>
        <v>6</v>
      </c>
      <c r="W5" s="1">
        <f>RANK(W4,N4:W4,1)</f>
        <v>9</v>
      </c>
      <c r="AF5" s="1" t="s">
        <v>53</v>
      </c>
      <c r="AG5" s="7">
        <v>9.1992859374999991</v>
      </c>
      <c r="AH5" s="7">
        <v>10.035651312500001</v>
      </c>
      <c r="AI5" s="7">
        <v>9.1692199999999993</v>
      </c>
      <c r="AJ5" s="7">
        <v>13.09477359375</v>
      </c>
      <c r="AK5" s="7">
        <v>9.5455062500000007</v>
      </c>
      <c r="AL5" s="7">
        <v>9.6089810937499998</v>
      </c>
      <c r="AM5" s="7">
        <v>9.2883893749999995</v>
      </c>
      <c r="AN5" s="7">
        <v>9.5489107812499991</v>
      </c>
      <c r="AO5" s="7">
        <v>9.7258570312499995</v>
      </c>
      <c r="AP5" s="7">
        <v>9.3094643749999992</v>
      </c>
      <c r="AR5" s="1" t="s">
        <v>53</v>
      </c>
      <c r="AS5" s="7">
        <v>21.926230781249998</v>
      </c>
      <c r="AT5" s="7">
        <v>26.237976468749999</v>
      </c>
      <c r="AU5" s="7">
        <v>21.311946562500001</v>
      </c>
      <c r="AV5" s="7">
        <v>26.28224640625</v>
      </c>
      <c r="AW5" s="7">
        <v>35.04755171875</v>
      </c>
      <c r="AX5" s="7">
        <v>29.155506562500001</v>
      </c>
      <c r="AY5" s="7">
        <v>37.558943593750001</v>
      </c>
      <c r="AZ5" s="7">
        <v>26.114793437500001</v>
      </c>
      <c r="BA5" s="7">
        <v>25.354868750000001</v>
      </c>
      <c r="BB5" s="7">
        <v>31.983944843749999</v>
      </c>
    </row>
    <row r="6" spans="1:54" x14ac:dyDescent="0.25">
      <c r="A6" s="1" t="s">
        <v>53</v>
      </c>
      <c r="B6" s="7">
        <v>9.1992859374999991</v>
      </c>
      <c r="C6" s="7">
        <v>10.035651312500001</v>
      </c>
      <c r="D6" s="7">
        <v>9.1692199999999993</v>
      </c>
      <c r="E6" s="7">
        <v>13.09477359375</v>
      </c>
      <c r="F6" s="7">
        <v>9.5455062500000007</v>
      </c>
      <c r="G6" s="7">
        <v>9.6089810937499998</v>
      </c>
      <c r="H6" s="7">
        <v>9.2883893749999995</v>
      </c>
      <c r="I6" s="7">
        <v>9.5489107812499991</v>
      </c>
      <c r="J6" s="7">
        <v>9.7258570312499995</v>
      </c>
      <c r="K6" s="7">
        <v>9.3094643749999992</v>
      </c>
      <c r="M6" s="1" t="s">
        <v>53</v>
      </c>
      <c r="N6" s="7">
        <v>21.926230781249998</v>
      </c>
      <c r="O6" s="7">
        <v>26.237976468749999</v>
      </c>
      <c r="P6" s="7">
        <v>21.311946562500001</v>
      </c>
      <c r="Q6" s="7">
        <v>26.28224640625</v>
      </c>
      <c r="R6" s="7">
        <v>35.04755171875</v>
      </c>
      <c r="S6" s="7">
        <v>29.155506562500001</v>
      </c>
      <c r="T6" s="7">
        <v>37.558943593750001</v>
      </c>
      <c r="U6" s="7">
        <v>26.114793437500001</v>
      </c>
      <c r="V6" s="7">
        <v>25.354868750000001</v>
      </c>
      <c r="W6" s="7">
        <v>31.983944843749999</v>
      </c>
      <c r="AF6" s="1" t="s">
        <v>54</v>
      </c>
      <c r="AG6" s="7">
        <v>10.463646875</v>
      </c>
      <c r="AH6" s="7">
        <v>10.189584437499999</v>
      </c>
      <c r="AI6" s="7">
        <v>9.2366360937500005</v>
      </c>
      <c r="AJ6" s="7">
        <v>13.501707968750001</v>
      </c>
      <c r="AK6" s="7">
        <v>9.2888367187499998</v>
      </c>
      <c r="AL6" s="7">
        <v>9.9503604687500005</v>
      </c>
      <c r="AM6" s="7">
        <v>9.1088082812500009</v>
      </c>
      <c r="AN6" s="7">
        <v>9.5908446875000006</v>
      </c>
      <c r="AO6" s="7">
        <v>9.7502482812500002</v>
      </c>
      <c r="AP6" s="7">
        <v>9.3863712499999998</v>
      </c>
      <c r="AR6" s="1" t="s">
        <v>54</v>
      </c>
      <c r="AS6" s="7">
        <v>22.436410312500001</v>
      </c>
      <c r="AT6" s="7">
        <v>25.150575624999998</v>
      </c>
      <c r="AU6" s="7">
        <v>21.632929062500001</v>
      </c>
      <c r="AV6" s="7">
        <v>27.693855468750002</v>
      </c>
      <c r="AW6" s="7">
        <v>34.490733749999997</v>
      </c>
      <c r="AX6" s="7">
        <v>34.1873003125</v>
      </c>
      <c r="AY6" s="7">
        <v>34.415335468750001</v>
      </c>
      <c r="AZ6" s="7">
        <v>26.551869531249999</v>
      </c>
      <c r="BA6" s="7">
        <v>30.161081249999999</v>
      </c>
      <c r="BB6" s="7">
        <v>23.328044218750001</v>
      </c>
    </row>
    <row r="7" spans="1:54" x14ac:dyDescent="0.25">
      <c r="A7" s="1" t="s">
        <v>83</v>
      </c>
      <c r="B7" s="1">
        <f>RANK(B6,B6:K6,1)</f>
        <v>2</v>
      </c>
      <c r="C7" s="1">
        <f>RANK(C6,B6:K6,1)</f>
        <v>9</v>
      </c>
      <c r="D7" s="1">
        <f>RANK(D6,B6:K6,1)</f>
        <v>1</v>
      </c>
      <c r="E7" s="1">
        <f>RANK(E6,B6:K6,1)</f>
        <v>10</v>
      </c>
      <c r="F7" s="1">
        <f>RANK(F6,B6:K6,1)</f>
        <v>5</v>
      </c>
      <c r="G7" s="1">
        <f>RANK(G6,B6:K6,1)</f>
        <v>7</v>
      </c>
      <c r="H7" s="1">
        <f>RANK(H6,B6:K6,1)</f>
        <v>3</v>
      </c>
      <c r="I7" s="1">
        <f>RANK(I6,B6:K6,1)</f>
        <v>6</v>
      </c>
      <c r="J7" s="1">
        <f>RANK(J6,B6:K6,1)</f>
        <v>8</v>
      </c>
      <c r="K7" s="1">
        <f>RANK(K6,B6:K6,1)</f>
        <v>4</v>
      </c>
      <c r="M7" s="1" t="s">
        <v>83</v>
      </c>
      <c r="N7" s="1">
        <f>RANK(N6,N6:W6,1)</f>
        <v>2</v>
      </c>
      <c r="O7" s="1">
        <f>RANK(O6,N6:W6,1)</f>
        <v>5</v>
      </c>
      <c r="P7" s="1">
        <f>RANK(P6,N6:W6,1)</f>
        <v>1</v>
      </c>
      <c r="Q7" s="1">
        <f>RANK(Q6,N6:W6,1)</f>
        <v>6</v>
      </c>
      <c r="R7" s="1">
        <f>RANK(R6,N6:W6,1)</f>
        <v>9</v>
      </c>
      <c r="S7" s="1">
        <f>RANK(S6,N6:W6,1)</f>
        <v>7</v>
      </c>
      <c r="T7" s="1">
        <f>RANK(T6,N6:W6,1)</f>
        <v>10</v>
      </c>
      <c r="U7" s="1">
        <f>RANK(U6,N6:W6,1)</f>
        <v>4</v>
      </c>
      <c r="V7" s="1">
        <f>RANK(V6,N6:W6,1)</f>
        <v>3</v>
      </c>
      <c r="W7" s="1">
        <f>RANK(W6,N6:W6,1)</f>
        <v>8</v>
      </c>
      <c r="AF7" s="1" t="s">
        <v>55</v>
      </c>
      <c r="AG7" s="7">
        <v>10.1210584375</v>
      </c>
      <c r="AH7" s="7">
        <v>10.463631906250001</v>
      </c>
      <c r="AI7" s="7">
        <v>9.1743367187500002</v>
      </c>
      <c r="AJ7" s="7">
        <v>13.129206249999999</v>
      </c>
      <c r="AK7" s="7">
        <v>9.8134342187500003</v>
      </c>
      <c r="AL7" s="7">
        <v>9.5549276562499994</v>
      </c>
      <c r="AM7" s="7">
        <v>9.2995287500000003</v>
      </c>
      <c r="AN7" s="7">
        <v>9.6243440625000005</v>
      </c>
      <c r="AO7" s="7">
        <v>9.8030231249999993</v>
      </c>
      <c r="AP7" s="7">
        <v>9.3316293750000003</v>
      </c>
      <c r="AR7" s="1" t="s">
        <v>55</v>
      </c>
      <c r="AS7" s="7">
        <v>22.507865156249999</v>
      </c>
      <c r="AT7" s="7">
        <v>25.977508687499999</v>
      </c>
      <c r="AU7" s="7">
        <v>22.080245156250001</v>
      </c>
      <c r="AV7" s="7">
        <v>30.706634218750001</v>
      </c>
      <c r="AW7" s="7">
        <v>34.088658906249997</v>
      </c>
      <c r="AX7" s="7">
        <v>28.084436406249999</v>
      </c>
      <c r="AY7" s="7">
        <v>34.960495156249998</v>
      </c>
      <c r="AZ7" s="7">
        <v>26.32379796875</v>
      </c>
      <c r="BA7" s="7">
        <v>31.70536515625</v>
      </c>
      <c r="BB7" s="7">
        <v>35.225954218749997</v>
      </c>
    </row>
    <row r="8" spans="1:54" ht="14.4" thickBot="1" x14ac:dyDescent="0.3">
      <c r="A8" s="1" t="s">
        <v>54</v>
      </c>
      <c r="B8" s="7">
        <v>10.463646875</v>
      </c>
      <c r="C8" s="7">
        <v>10.189584437499999</v>
      </c>
      <c r="D8" s="7">
        <v>9.2366360937500005</v>
      </c>
      <c r="E8" s="7">
        <v>13.501707968750001</v>
      </c>
      <c r="F8" s="7">
        <v>9.2888367187499998</v>
      </c>
      <c r="G8" s="7">
        <v>9.9503604687500005</v>
      </c>
      <c r="H8" s="7">
        <v>9.1088082812500009</v>
      </c>
      <c r="I8" s="7">
        <v>9.5908446875000006</v>
      </c>
      <c r="J8" s="7">
        <v>9.7502482812500002</v>
      </c>
      <c r="K8" s="7">
        <v>9.3863712499999998</v>
      </c>
      <c r="M8" s="1" t="s">
        <v>54</v>
      </c>
      <c r="N8" s="7">
        <v>22.436410312500001</v>
      </c>
      <c r="O8" s="7">
        <v>25.150575624999998</v>
      </c>
      <c r="P8" s="7">
        <v>21.632929062500001</v>
      </c>
      <c r="Q8" s="7">
        <v>27.693855468750002</v>
      </c>
      <c r="R8" s="7">
        <v>34.490733749999997</v>
      </c>
      <c r="S8" s="7">
        <v>34.1873003125</v>
      </c>
      <c r="T8" s="7">
        <v>34.415335468750001</v>
      </c>
      <c r="U8" s="7">
        <v>26.551869531249999</v>
      </c>
      <c r="V8" s="7">
        <v>30.161081249999999</v>
      </c>
      <c r="W8" s="7">
        <v>23.328044218750001</v>
      </c>
      <c r="AF8" s="1" t="s">
        <v>56</v>
      </c>
      <c r="AG8" s="11">
        <v>9.2244607812500004</v>
      </c>
      <c r="AH8" s="11">
        <v>10.307515406250001</v>
      </c>
      <c r="AI8" s="11">
        <v>8.7286414062500004</v>
      </c>
      <c r="AJ8" s="11">
        <v>13.4594340625</v>
      </c>
      <c r="AK8" s="11">
        <v>9.2931626562500007</v>
      </c>
      <c r="AL8" s="11">
        <v>10.0504484375</v>
      </c>
      <c r="AM8" s="11">
        <v>9.3707062499999996</v>
      </c>
      <c r="AN8" s="11">
        <v>11.335074531249999</v>
      </c>
      <c r="AO8" s="11">
        <v>9.8729973437500007</v>
      </c>
      <c r="AP8" s="11">
        <v>9.3705818749999992</v>
      </c>
      <c r="AR8" s="1" t="s">
        <v>56</v>
      </c>
      <c r="AS8" s="11">
        <v>22.319274531249999</v>
      </c>
      <c r="AT8" s="11">
        <v>25.268867281249999</v>
      </c>
      <c r="AU8" s="11">
        <v>21.350169375</v>
      </c>
      <c r="AV8" s="11">
        <v>29.525747656250001</v>
      </c>
      <c r="AW8" s="11">
        <v>36.066546250000002</v>
      </c>
      <c r="AX8" s="11">
        <v>35.094866406249999</v>
      </c>
      <c r="AY8" s="11">
        <v>34.959722656250001</v>
      </c>
      <c r="AZ8" s="11">
        <v>26.510452656249999</v>
      </c>
      <c r="BA8" s="11">
        <v>32.501665468749998</v>
      </c>
      <c r="BB8" s="11">
        <v>33.877777187500001</v>
      </c>
    </row>
    <row r="9" spans="1:54" x14ac:dyDescent="0.25">
      <c r="A9" s="1" t="s">
        <v>83</v>
      </c>
      <c r="B9" s="1">
        <f>RANK(B8,B8:K8,1)</f>
        <v>9</v>
      </c>
      <c r="C9" s="1">
        <f>RANK(C8,B8:K8,1)</f>
        <v>8</v>
      </c>
      <c r="D9" s="1">
        <f>RANK(D8,B8:K8,1)</f>
        <v>2</v>
      </c>
      <c r="E9" s="1">
        <f>RANK(E8,B8:K8,1)</f>
        <v>10</v>
      </c>
      <c r="F9" s="1">
        <f>RANK(F8,B8:K8,1)</f>
        <v>3</v>
      </c>
      <c r="G9" s="1">
        <f>RANK(G8,B8:K8,1)</f>
        <v>7</v>
      </c>
      <c r="H9" s="1">
        <f>RANK(H8,B8:K8,1)</f>
        <v>1</v>
      </c>
      <c r="I9" s="1">
        <f>RANK(I8,B8:K8,1)</f>
        <v>5</v>
      </c>
      <c r="J9" s="1">
        <f>RANK(J8,B8:K8,1)</f>
        <v>6</v>
      </c>
      <c r="K9" s="1">
        <f>RANK(K8,B8:K8,1)</f>
        <v>4</v>
      </c>
      <c r="M9" s="1" t="s">
        <v>83</v>
      </c>
      <c r="N9" s="1">
        <f>RANK(N8,N8:W8,1)</f>
        <v>2</v>
      </c>
      <c r="O9" s="1">
        <f>RANK(O8,N8:W8,1)</f>
        <v>4</v>
      </c>
      <c r="P9" s="1">
        <f>RANK(P8,N8:W8,1)</f>
        <v>1</v>
      </c>
      <c r="Q9" s="1">
        <f>RANK(Q8,N8:W8,1)</f>
        <v>6</v>
      </c>
      <c r="R9" s="1">
        <f>RANK(R8,N8:W8,1)</f>
        <v>10</v>
      </c>
      <c r="S9" s="1">
        <f>RANK(S8,N8:W8,1)</f>
        <v>8</v>
      </c>
      <c r="T9" s="1">
        <f>RANK(T8,N8:W8,1)</f>
        <v>9</v>
      </c>
      <c r="U9" s="1">
        <f>RANK(U8,N8:W8,1)</f>
        <v>5</v>
      </c>
      <c r="V9" s="1">
        <f>RANK(V8,N8:W8,1)</f>
        <v>7</v>
      </c>
      <c r="W9" s="1">
        <f>RANK(W8,N8:W8,1)</f>
        <v>3</v>
      </c>
      <c r="AF9" s="1" t="s">
        <v>57</v>
      </c>
      <c r="AG9" s="1">
        <f t="shared" ref="AG9:AP9" si="0">AVERAGE(AG4:AG8)</f>
        <v>9.7081671562499992</v>
      </c>
      <c r="AH9" s="1">
        <f t="shared" si="0"/>
        <v>10.125578893749999</v>
      </c>
      <c r="AI9" s="1">
        <f t="shared" si="0"/>
        <v>8.9782809374999992</v>
      </c>
      <c r="AJ9" s="1">
        <f t="shared" si="0"/>
        <v>12.484308656250001</v>
      </c>
      <c r="AK9" s="1">
        <f t="shared" si="0"/>
        <v>9.4598092812499992</v>
      </c>
      <c r="AL9" s="1">
        <f t="shared" si="0"/>
        <v>9.7376847187499997</v>
      </c>
      <c r="AM9" s="1">
        <f t="shared" si="0"/>
        <v>9.2687029687500004</v>
      </c>
      <c r="AN9" s="1">
        <f t="shared" si="0"/>
        <v>10.25024403125</v>
      </c>
      <c r="AO9" s="1">
        <f t="shared" si="0"/>
        <v>9.7679054374999996</v>
      </c>
      <c r="AP9" s="1">
        <f t="shared" si="0"/>
        <v>9.3504454062499995</v>
      </c>
      <c r="AR9" s="1" t="s">
        <v>57</v>
      </c>
      <c r="AS9" s="1">
        <f t="shared" ref="AS9:BB9" si="1">AVERAGE(AS4:AS8)</f>
        <v>23.379147937500001</v>
      </c>
      <c r="AT9" s="1">
        <f t="shared" si="1"/>
        <v>25.206679581249997</v>
      </c>
      <c r="AU9" s="1">
        <f t="shared" si="1"/>
        <v>21.574427281250003</v>
      </c>
      <c r="AV9" s="1">
        <f t="shared" si="1"/>
        <v>27.255198843749998</v>
      </c>
      <c r="AW9" s="1">
        <f t="shared" si="1"/>
        <v>32.395530906249995</v>
      </c>
      <c r="AX9" s="1">
        <f t="shared" si="1"/>
        <v>31.395832156249998</v>
      </c>
      <c r="AY9" s="1">
        <f t="shared" si="1"/>
        <v>33.863733406249999</v>
      </c>
      <c r="AZ9" s="1">
        <f t="shared" si="1"/>
        <v>25.477687687500001</v>
      </c>
      <c r="BA9" s="1">
        <f t="shared" si="1"/>
        <v>29.26616821875</v>
      </c>
      <c r="BB9" s="1">
        <f t="shared" si="1"/>
        <v>30.470679562500003</v>
      </c>
    </row>
    <row r="10" spans="1:54" ht="14.4" thickBot="1" x14ac:dyDescent="0.3">
      <c r="A10" s="1" t="s">
        <v>55</v>
      </c>
      <c r="B10" s="7">
        <v>10.1210584375</v>
      </c>
      <c r="C10" s="7">
        <v>10.463631906250001</v>
      </c>
      <c r="D10" s="7">
        <v>9.1743367187500002</v>
      </c>
      <c r="E10" s="7">
        <v>13.129206249999999</v>
      </c>
      <c r="F10" s="7">
        <v>9.8134342187500003</v>
      </c>
      <c r="G10" s="7">
        <v>9.5549276562499994</v>
      </c>
      <c r="H10" s="7">
        <v>9.2995287500000003</v>
      </c>
      <c r="I10" s="7">
        <v>9.6243440625000005</v>
      </c>
      <c r="J10" s="7">
        <v>9.8030231249999993</v>
      </c>
      <c r="K10" s="7">
        <v>9.3316293750000003</v>
      </c>
      <c r="M10" s="1" t="s">
        <v>55</v>
      </c>
      <c r="N10" s="7">
        <v>22.507865156249999</v>
      </c>
      <c r="O10" s="7">
        <v>25.977508687499999</v>
      </c>
      <c r="P10" s="7">
        <v>22.080245156250001</v>
      </c>
      <c r="Q10" s="7">
        <v>30.706634218750001</v>
      </c>
      <c r="R10" s="7">
        <v>34.088658906249997</v>
      </c>
      <c r="S10" s="7">
        <v>28.084436406249999</v>
      </c>
      <c r="T10" s="7">
        <v>34.960495156249998</v>
      </c>
      <c r="U10" s="7">
        <v>26.32379796875</v>
      </c>
      <c r="V10" s="7">
        <v>31.70536515625</v>
      </c>
      <c r="W10" s="7">
        <v>35.225954218749997</v>
      </c>
      <c r="AF10" s="1" t="s">
        <v>83</v>
      </c>
      <c r="AG10" s="1">
        <f>RANK(AG9,AG9:AP9,1)</f>
        <v>5</v>
      </c>
      <c r="AH10" s="1">
        <f>RANK(AH9,AG9:AP9,1)</f>
        <v>8</v>
      </c>
      <c r="AI10" s="1">
        <f>RANK(AI9,AG9:AP9,1)</f>
        <v>1</v>
      </c>
      <c r="AJ10" s="1">
        <f>RANK(AJ9,AG9:AP9,1)</f>
        <v>10</v>
      </c>
      <c r="AK10" s="1">
        <f>RANK(AK9,AG9:AP9,1)</f>
        <v>4</v>
      </c>
      <c r="AL10" s="1">
        <f>RANK(AL9,AG9:AP9,1)</f>
        <v>6</v>
      </c>
      <c r="AM10" s="1">
        <f>RANK(AM9,AG9:AP9,1)</f>
        <v>2</v>
      </c>
      <c r="AN10" s="1">
        <f>RANK(AN9,AG9:AP9,1)</f>
        <v>9</v>
      </c>
      <c r="AO10" s="1">
        <f>RANK(AO9,AG9:AP9,1)</f>
        <v>7</v>
      </c>
      <c r="AP10" s="1">
        <f>RANK(AP9,AG9:AP9,1)</f>
        <v>3</v>
      </c>
      <c r="AR10" s="1" t="s">
        <v>83</v>
      </c>
      <c r="AS10" s="1">
        <f>RANK(AS9,AS9:BB9,1)</f>
        <v>2</v>
      </c>
      <c r="AT10" s="1">
        <f>RANK(AT9,AS9:BB9,1)</f>
        <v>3</v>
      </c>
      <c r="AU10" s="1">
        <f>RANK(AU9,AS9:BB9,1)</f>
        <v>1</v>
      </c>
      <c r="AV10" s="1">
        <f>RANK(AV9,AS9:BB9,1)</f>
        <v>5</v>
      </c>
      <c r="AW10" s="1">
        <f>RANK(AW9,AS9:BB9,1)</f>
        <v>9</v>
      </c>
      <c r="AX10" s="1">
        <f>RANK(AX9,AS9:BB9,1)</f>
        <v>8</v>
      </c>
      <c r="AY10" s="1">
        <f>RANK(AY9,AS9:BB9,1)</f>
        <v>10</v>
      </c>
      <c r="AZ10" s="1">
        <f>RANK(AZ9,AS9:BB9,1)</f>
        <v>4</v>
      </c>
      <c r="BA10" s="1">
        <f>RANK(BA9,AS9:BB9,1)</f>
        <v>6</v>
      </c>
      <c r="BB10" s="1">
        <f>RANK(BB9,AS9:BB9,1)</f>
        <v>7</v>
      </c>
    </row>
    <row r="11" spans="1:54" x14ac:dyDescent="0.25">
      <c r="A11" s="1" t="s">
        <v>83</v>
      </c>
      <c r="B11" s="1">
        <f>RANK(B10,B10:K10,1)</f>
        <v>8</v>
      </c>
      <c r="C11" s="1">
        <f>RANK(C10,B10:K10,1)</f>
        <v>9</v>
      </c>
      <c r="D11" s="1">
        <f>RANK(D10,B10:K10,1)</f>
        <v>1</v>
      </c>
      <c r="E11" s="1">
        <f>RANK(E10,B10:K10,1)</f>
        <v>10</v>
      </c>
      <c r="F11" s="1">
        <f>RANK(F10,B10:K10,1)</f>
        <v>7</v>
      </c>
      <c r="G11" s="1">
        <f>RANK(G10,B10:K10,1)</f>
        <v>4</v>
      </c>
      <c r="H11" s="1">
        <f>RANK(H10,B10:K10,1)</f>
        <v>2</v>
      </c>
      <c r="I11" s="1">
        <f>RANK(I10,B10:K10,1)</f>
        <v>5</v>
      </c>
      <c r="J11" s="1">
        <f>RANK(J10,B10:K10,1)</f>
        <v>6</v>
      </c>
      <c r="K11" s="1">
        <f>RANK(K10,B10:K10,1)</f>
        <v>3</v>
      </c>
      <c r="M11" s="1" t="s">
        <v>83</v>
      </c>
      <c r="N11" s="1">
        <f>RANK(N10,N10:W10,1)</f>
        <v>2</v>
      </c>
      <c r="O11" s="1">
        <f>RANK(O10,N10:W10,1)</f>
        <v>3</v>
      </c>
      <c r="P11" s="1">
        <f>RANK(P10,N10:W10,1)</f>
        <v>1</v>
      </c>
      <c r="Q11" s="1">
        <f>RANK(Q10,N10:W10,1)</f>
        <v>6</v>
      </c>
      <c r="R11" s="1">
        <f>RANK(R10,N10:W10,1)</f>
        <v>8</v>
      </c>
      <c r="S11" s="1">
        <f>RANK(S10,N10:W10,1)</f>
        <v>5</v>
      </c>
      <c r="T11" s="1">
        <f>RANK(T10,N10:W10,1)</f>
        <v>9</v>
      </c>
      <c r="U11" s="1">
        <f>RANK(U10,N10:W10,1)</f>
        <v>4</v>
      </c>
      <c r="V11" s="1">
        <f>RANK(V10,N10:W10,1)</f>
        <v>7</v>
      </c>
      <c r="W11" s="1">
        <f>RANK(W10,N10:W10,1)</f>
        <v>10</v>
      </c>
      <c r="AF11" s="1" t="s">
        <v>58</v>
      </c>
      <c r="AG11" s="3">
        <v>25.7234315625</v>
      </c>
      <c r="AH11" s="3">
        <v>26.591978093749997</v>
      </c>
      <c r="AI11" s="3">
        <v>27.382272812499998</v>
      </c>
      <c r="AJ11" s="3">
        <v>36.6445396875</v>
      </c>
      <c r="AK11" s="3">
        <v>25.74855921875</v>
      </c>
      <c r="AL11" s="3">
        <v>26.468362187499999</v>
      </c>
      <c r="AM11" s="3">
        <v>25.66143671875</v>
      </c>
      <c r="AN11" s="3">
        <v>26.862399843750001</v>
      </c>
      <c r="AO11" s="3">
        <v>26.262168593750001</v>
      </c>
      <c r="AP11" s="3">
        <v>25.369312968749998</v>
      </c>
      <c r="AR11" s="1" t="s">
        <v>58</v>
      </c>
      <c r="AS11" s="3">
        <v>37.355044687499998</v>
      </c>
      <c r="AT11" s="3">
        <v>39.8541489375</v>
      </c>
      <c r="AU11" s="3">
        <v>36.843910781250003</v>
      </c>
      <c r="AV11" s="3">
        <v>45.889218593750002</v>
      </c>
      <c r="AW11" s="3">
        <v>51.827593437499999</v>
      </c>
      <c r="AX11" s="3">
        <v>57.146158437499999</v>
      </c>
      <c r="AY11" s="3">
        <v>51.784302968749998</v>
      </c>
      <c r="AZ11" s="3">
        <v>42.640277500000003</v>
      </c>
      <c r="BA11" s="3">
        <v>42.865876874999998</v>
      </c>
      <c r="BB11" s="3">
        <v>54.365812812500003</v>
      </c>
    </row>
    <row r="12" spans="1:54" ht="14.4" thickBot="1" x14ac:dyDescent="0.3">
      <c r="A12" s="1" t="s">
        <v>56</v>
      </c>
      <c r="B12" s="11">
        <v>9.2244607812500004</v>
      </c>
      <c r="C12" s="11">
        <v>10.307515406250001</v>
      </c>
      <c r="D12" s="11">
        <v>8.7286414062500004</v>
      </c>
      <c r="E12" s="11">
        <v>13.4594340625</v>
      </c>
      <c r="F12" s="11">
        <v>9.2931626562500007</v>
      </c>
      <c r="G12" s="11">
        <v>10.0504484375</v>
      </c>
      <c r="H12" s="11">
        <v>9.3707062499999996</v>
      </c>
      <c r="I12" s="11">
        <v>11.335074531249999</v>
      </c>
      <c r="J12" s="11">
        <v>9.8729973437500007</v>
      </c>
      <c r="K12" s="11">
        <v>9.3705818749999992</v>
      </c>
      <c r="M12" s="1" t="s">
        <v>56</v>
      </c>
      <c r="N12" s="11">
        <v>22.319274531249999</v>
      </c>
      <c r="O12" s="11">
        <v>25.268867281249999</v>
      </c>
      <c r="P12" s="11">
        <v>21.350169375</v>
      </c>
      <c r="Q12" s="11">
        <v>29.525747656250001</v>
      </c>
      <c r="R12" s="11">
        <v>36.066546250000002</v>
      </c>
      <c r="S12" s="11">
        <v>35.094866406249999</v>
      </c>
      <c r="T12" s="11">
        <v>34.959722656250001</v>
      </c>
      <c r="U12" s="11">
        <v>26.510452656249999</v>
      </c>
      <c r="V12" s="11">
        <v>32.501665468749998</v>
      </c>
      <c r="W12" s="11">
        <v>33.877777187500001</v>
      </c>
      <c r="AF12" s="1" t="s">
        <v>59</v>
      </c>
      <c r="AG12" s="7">
        <v>25.46628171875</v>
      </c>
      <c r="AH12" s="7">
        <v>26.467517687499999</v>
      </c>
      <c r="AI12" s="7">
        <v>24.523518437500002</v>
      </c>
      <c r="AJ12" s="7">
        <v>37.871870781250003</v>
      </c>
      <c r="AK12" s="7">
        <v>26.922720000000002</v>
      </c>
      <c r="AL12" s="7">
        <v>26.373085312499999</v>
      </c>
      <c r="AM12" s="7">
        <v>27.04123375</v>
      </c>
      <c r="AN12" s="7">
        <v>27.229813906250001</v>
      </c>
      <c r="AO12" s="7">
        <v>26.50200515625</v>
      </c>
      <c r="AP12" s="7">
        <v>26.077267500000001</v>
      </c>
      <c r="AR12" s="1" t="s">
        <v>59</v>
      </c>
      <c r="AS12" s="7">
        <v>37.379252812499999</v>
      </c>
      <c r="AT12" s="7">
        <v>41.278955343750006</v>
      </c>
      <c r="AU12" s="7">
        <v>36.65131796875</v>
      </c>
      <c r="AV12" s="7">
        <v>48.772549374999997</v>
      </c>
      <c r="AW12" s="7">
        <v>56.869086718749998</v>
      </c>
      <c r="AX12" s="7">
        <v>55.81305296875</v>
      </c>
      <c r="AY12" s="7">
        <v>57.923904374999999</v>
      </c>
      <c r="AZ12" s="7">
        <v>43.331660468750002</v>
      </c>
      <c r="BA12" s="7">
        <v>48.449867968749999</v>
      </c>
      <c r="BB12" s="7">
        <v>55.002968750000001</v>
      </c>
    </row>
    <row r="13" spans="1:54" x14ac:dyDescent="0.25">
      <c r="A13" s="1" t="s">
        <v>83</v>
      </c>
      <c r="B13" s="1">
        <f>RANK(B12,B12:K12,1)</f>
        <v>2</v>
      </c>
      <c r="C13" s="1">
        <f>RANK(C12,B12:K12,1)</f>
        <v>8</v>
      </c>
      <c r="D13" s="1">
        <f>RANK(D12,B12:K12,1)</f>
        <v>1</v>
      </c>
      <c r="E13" s="1">
        <f>RANK(E12,B12:K12,1)</f>
        <v>10</v>
      </c>
      <c r="F13" s="1">
        <f>RANK(F12,B12:K12,1)</f>
        <v>3</v>
      </c>
      <c r="G13" s="1">
        <f>RANK(G12,B12:K12,1)</f>
        <v>7</v>
      </c>
      <c r="H13" s="1">
        <f>RANK(H12,B12:K12,1)</f>
        <v>5</v>
      </c>
      <c r="I13" s="1">
        <f>RANK(I12,B12:K12,1)</f>
        <v>9</v>
      </c>
      <c r="J13" s="1">
        <f>RANK(J12,B12:K12,1)</f>
        <v>6</v>
      </c>
      <c r="K13" s="1">
        <f>RANK(K12,B12:K12,1)</f>
        <v>4</v>
      </c>
      <c r="M13" s="1" t="s">
        <v>83</v>
      </c>
      <c r="N13" s="1">
        <f>RANK(N12,N12:W12,1)</f>
        <v>2</v>
      </c>
      <c r="O13" s="1">
        <f>RANK(O12,N12:W12,1)</f>
        <v>3</v>
      </c>
      <c r="P13" s="1">
        <f>RANK(P12,N12:W12,1)</f>
        <v>1</v>
      </c>
      <c r="Q13" s="1">
        <f>RANK(Q12,N12:W12,1)</f>
        <v>5</v>
      </c>
      <c r="R13" s="1">
        <f>RANK(R12,N12:W12,1)</f>
        <v>10</v>
      </c>
      <c r="S13" s="1">
        <f>RANK(S12,N12:W12,1)</f>
        <v>9</v>
      </c>
      <c r="T13" s="1">
        <f>RANK(T12,N12:W12,1)</f>
        <v>8</v>
      </c>
      <c r="U13" s="1">
        <f>RANK(U12,N12:W12,1)</f>
        <v>4</v>
      </c>
      <c r="V13" s="1">
        <f>RANK(V12,N12:W12,1)</f>
        <v>6</v>
      </c>
      <c r="W13" s="1">
        <f>RANK(W12,N12:W12,1)</f>
        <v>7</v>
      </c>
      <c r="AF13" s="1" t="s">
        <v>60</v>
      </c>
      <c r="AG13" s="7">
        <v>26.88288984375</v>
      </c>
      <c r="AH13" s="7">
        <v>26.334593124999998</v>
      </c>
      <c r="AI13" s="7">
        <v>24.779672812499999</v>
      </c>
      <c r="AJ13" s="7">
        <v>39.006376250000002</v>
      </c>
      <c r="AK13" s="7">
        <v>25.583490000000001</v>
      </c>
      <c r="AL13" s="7">
        <v>26.005035312499999</v>
      </c>
      <c r="AM13" s="7">
        <v>26.11230328125</v>
      </c>
      <c r="AN13" s="7">
        <v>26.316344999999998</v>
      </c>
      <c r="AO13" s="7">
        <v>26.26536203125</v>
      </c>
      <c r="AP13" s="7">
        <v>26.190358437499999</v>
      </c>
      <c r="AR13" s="1" t="s">
        <v>60</v>
      </c>
      <c r="AS13" s="7">
        <v>37.1466446875</v>
      </c>
      <c r="AT13" s="7">
        <v>39.844573593749999</v>
      </c>
      <c r="AU13" s="7">
        <v>36.736651406249997</v>
      </c>
      <c r="AV13" s="7">
        <v>46.425963125000003</v>
      </c>
      <c r="AW13" s="7">
        <v>54.053184218749998</v>
      </c>
      <c r="AX13" s="7">
        <v>55.964689531250002</v>
      </c>
      <c r="AY13" s="7">
        <v>53.132942812499998</v>
      </c>
      <c r="AZ13" s="7">
        <v>47.554252343750001</v>
      </c>
      <c r="BA13" s="7">
        <v>50.277918593750002</v>
      </c>
      <c r="BB13" s="7">
        <v>56.515429374999997</v>
      </c>
    </row>
    <row r="14" spans="1:54" x14ac:dyDescent="0.25">
      <c r="A14" s="1" t="s">
        <v>57</v>
      </c>
      <c r="B14" s="1">
        <f t="shared" ref="B14:K14" si="2">AVERAGE(B4:B12)</f>
        <v>8.2823150868055571</v>
      </c>
      <c r="C14" s="1">
        <f t="shared" si="2"/>
        <v>9.4030993854166667</v>
      </c>
      <c r="D14" s="1">
        <f t="shared" si="2"/>
        <v>5.5434894097222225</v>
      </c>
      <c r="E14" s="1">
        <f t="shared" si="2"/>
        <v>10.491282586805555</v>
      </c>
      <c r="F14" s="1">
        <f t="shared" si="2"/>
        <v>7.4776718229166663</v>
      </c>
      <c r="G14" s="1">
        <f t="shared" si="2"/>
        <v>8.0764915104166661</v>
      </c>
      <c r="H14" s="1">
        <f t="shared" si="2"/>
        <v>6.1492794270833331</v>
      </c>
      <c r="I14" s="1">
        <f t="shared" si="2"/>
        <v>8.5834689062500011</v>
      </c>
      <c r="J14" s="1">
        <f t="shared" si="2"/>
        <v>8.6488363541666669</v>
      </c>
      <c r="K14" s="1">
        <f t="shared" si="2"/>
        <v>6.861358559027777</v>
      </c>
      <c r="M14" s="1" t="s">
        <v>57</v>
      </c>
      <c r="N14" s="1">
        <f t="shared" ref="N14:W14" si="3">AVERAGE(N4:N12)</f>
        <v>14.543971076388889</v>
      </c>
      <c r="O14" s="1">
        <f t="shared" si="3"/>
        <v>15.892599767361112</v>
      </c>
      <c r="P14" s="1">
        <f t="shared" si="3"/>
        <v>12.430237378472222</v>
      </c>
      <c r="Q14" s="1">
        <f t="shared" si="3"/>
        <v>17.47511046875</v>
      </c>
      <c r="R14" s="1">
        <f t="shared" si="3"/>
        <v>21.441961614583331</v>
      </c>
      <c r="S14" s="1">
        <f t="shared" si="3"/>
        <v>20.775462309027777</v>
      </c>
      <c r="T14" s="1">
        <f t="shared" si="3"/>
        <v>22.702074114583333</v>
      </c>
      <c r="U14" s="1">
        <f t="shared" si="3"/>
        <v>15.820937604166668</v>
      </c>
      <c r="V14" s="1">
        <f t="shared" si="3"/>
        <v>18.814537899305556</v>
      </c>
      <c r="W14" s="1">
        <f t="shared" si="3"/>
        <v>20.261488645833328</v>
      </c>
      <c r="AF14" s="1" t="s">
        <v>61</v>
      </c>
      <c r="AG14" s="7">
        <v>29.039776249999999</v>
      </c>
      <c r="AH14" s="7">
        <v>27.511460125000003</v>
      </c>
      <c r="AI14" s="7">
        <v>26.171800937499999</v>
      </c>
      <c r="AJ14" s="7">
        <v>40.0464190625</v>
      </c>
      <c r="AK14" s="7">
        <v>25.845154687499999</v>
      </c>
      <c r="AL14" s="7">
        <v>32.247052812500002</v>
      </c>
      <c r="AM14" s="7">
        <v>27.611102500000001</v>
      </c>
      <c r="AN14" s="7">
        <v>27.991831874999999</v>
      </c>
      <c r="AO14" s="7">
        <v>26.590855625</v>
      </c>
      <c r="AP14" s="7">
        <v>25.907819843750001</v>
      </c>
      <c r="AR14" s="1" t="s">
        <v>61</v>
      </c>
      <c r="AS14" s="7">
        <v>37.654065156249999</v>
      </c>
      <c r="AT14" s="7">
        <v>40.172417781249997</v>
      </c>
      <c r="AU14" s="7">
        <v>36.935091093750003</v>
      </c>
      <c r="AV14" s="7">
        <v>49.474859843749996</v>
      </c>
      <c r="AW14" s="7">
        <v>51.145368124999997</v>
      </c>
      <c r="AX14" s="7">
        <v>55.712048750000001</v>
      </c>
      <c r="AY14" s="7">
        <v>59.146982343749997</v>
      </c>
      <c r="AZ14" s="7">
        <v>42.334333593750003</v>
      </c>
      <c r="BA14" s="7">
        <v>48.285114843750002</v>
      </c>
      <c r="BB14" s="7">
        <v>54.5146090625</v>
      </c>
    </row>
    <row r="15" spans="1:54" ht="14.4" thickBot="1" x14ac:dyDescent="0.3">
      <c r="A15" s="1" t="s">
        <v>83</v>
      </c>
      <c r="B15" s="1">
        <f>RANK(B14,B14:K14,1)</f>
        <v>6</v>
      </c>
      <c r="C15" s="1">
        <f>RANK(C14,B14:K14,1)</f>
        <v>9</v>
      </c>
      <c r="D15" s="1">
        <f>RANK(D14,B14:K14,1)</f>
        <v>1</v>
      </c>
      <c r="E15" s="1">
        <f>RANK(E14,B14:K14,1)</f>
        <v>10</v>
      </c>
      <c r="F15" s="1">
        <f>RANK(F14,B14:K14,1)</f>
        <v>4</v>
      </c>
      <c r="G15" s="1">
        <f>RANK(G14,B14:K14,1)</f>
        <v>5</v>
      </c>
      <c r="H15" s="1">
        <f>RANK(H14,B14:K14,1)</f>
        <v>2</v>
      </c>
      <c r="I15" s="1">
        <f>RANK(I14,B14:K14,1)</f>
        <v>7</v>
      </c>
      <c r="J15" s="1">
        <f>RANK(J14,B14:K14,1)</f>
        <v>8</v>
      </c>
      <c r="K15" s="1">
        <f>RANK(K14,B14:K14,1)</f>
        <v>3</v>
      </c>
      <c r="M15" s="1" t="s">
        <v>83</v>
      </c>
      <c r="N15" s="1">
        <f>RANK(N14,N14:W14,1)</f>
        <v>2</v>
      </c>
      <c r="O15" s="1">
        <f>RANK(O14,N14:W14,1)</f>
        <v>4</v>
      </c>
      <c r="P15" s="1">
        <f>RANK(P14,N14:W14,1)</f>
        <v>1</v>
      </c>
      <c r="Q15" s="1">
        <f>RANK(Q14,N14:W14,1)</f>
        <v>5</v>
      </c>
      <c r="R15" s="1">
        <f>RANK(R14,N14:W14,1)</f>
        <v>9</v>
      </c>
      <c r="S15" s="1">
        <f>RANK(S14,N14:W14,1)</f>
        <v>8</v>
      </c>
      <c r="T15" s="1">
        <f>RANK(T14,N14:W14,1)</f>
        <v>10</v>
      </c>
      <c r="U15" s="1">
        <f>RANK(U14,N14:W14,1)</f>
        <v>3</v>
      </c>
      <c r="V15" s="1">
        <f>RANK(V14,N14:W14,1)</f>
        <v>6</v>
      </c>
      <c r="W15" s="1">
        <f>RANK(W14,N14:W14,1)</f>
        <v>7</v>
      </c>
      <c r="AF15" s="1" t="s">
        <v>62</v>
      </c>
      <c r="AG15" s="11">
        <v>27.011287500000002</v>
      </c>
      <c r="AH15" s="11">
        <v>29.008942749999999</v>
      </c>
      <c r="AI15" s="11">
        <v>24.621566874999999</v>
      </c>
      <c r="AJ15" s="11">
        <v>38.018933906249998</v>
      </c>
      <c r="AK15" s="11">
        <v>26.39436109375</v>
      </c>
      <c r="AL15" s="11">
        <v>26.19233796875</v>
      </c>
      <c r="AM15" s="11">
        <v>28.605612656249999</v>
      </c>
      <c r="AN15" s="11">
        <v>27.414959843750001</v>
      </c>
      <c r="AO15" s="11">
        <v>26.03042390625</v>
      </c>
      <c r="AP15" s="11">
        <v>25.69601484375</v>
      </c>
      <c r="AR15" s="1" t="s">
        <v>62</v>
      </c>
      <c r="AS15" s="11">
        <v>37.34278890625</v>
      </c>
      <c r="AT15" s="11">
        <v>40.704379531249998</v>
      </c>
      <c r="AU15" s="11">
        <v>36.288097499999999</v>
      </c>
      <c r="AV15" s="11">
        <v>48.994946562499997</v>
      </c>
      <c r="AW15" s="11">
        <v>46.485877500000001</v>
      </c>
      <c r="AX15" s="11">
        <v>53.396493906250001</v>
      </c>
      <c r="AY15" s="11">
        <v>54.618172187500001</v>
      </c>
      <c r="AZ15" s="11">
        <v>42.847481875</v>
      </c>
      <c r="BA15" s="11">
        <v>51.183685625000003</v>
      </c>
      <c r="BB15" s="11">
        <v>55.185848437499999</v>
      </c>
    </row>
    <row r="16" spans="1:54" x14ac:dyDescent="0.25">
      <c r="A16" s="1" t="s">
        <v>58</v>
      </c>
      <c r="B16" s="3">
        <v>25.7234315625</v>
      </c>
      <c r="C16" s="3">
        <v>26.591978093749997</v>
      </c>
      <c r="D16" s="3">
        <v>27.382272812499998</v>
      </c>
      <c r="E16" s="3">
        <v>36.6445396875</v>
      </c>
      <c r="F16" s="3">
        <v>25.74855921875</v>
      </c>
      <c r="G16" s="3">
        <v>26.468362187499999</v>
      </c>
      <c r="H16" s="3">
        <v>25.66143671875</v>
      </c>
      <c r="I16" s="3">
        <v>26.862399843750001</v>
      </c>
      <c r="J16" s="3">
        <v>26.262168593750001</v>
      </c>
      <c r="K16" s="3">
        <v>25.369312968749998</v>
      </c>
      <c r="M16" s="1" t="s">
        <v>58</v>
      </c>
      <c r="N16" s="3">
        <v>37.355044687499998</v>
      </c>
      <c r="O16" s="3">
        <v>39.8541489375</v>
      </c>
      <c r="P16" s="3">
        <v>36.843910781250003</v>
      </c>
      <c r="Q16" s="3">
        <v>45.889218593750002</v>
      </c>
      <c r="R16" s="3">
        <v>51.827593437499999</v>
      </c>
      <c r="S16" s="3">
        <v>57.146158437499999</v>
      </c>
      <c r="T16" s="3">
        <v>51.784302968749998</v>
      </c>
      <c r="U16" s="3">
        <v>42.640277500000003</v>
      </c>
      <c r="V16" s="3">
        <v>42.865876874999998</v>
      </c>
      <c r="W16" s="3">
        <v>54.365812812500003</v>
      </c>
      <c r="AF16" s="1" t="s">
        <v>63</v>
      </c>
      <c r="AG16" s="1">
        <f t="shared" ref="AG16:AP16" si="4">AVERAGE(AG11:AG15)</f>
        <v>26.824733375000001</v>
      </c>
      <c r="AH16" s="1">
        <f t="shared" si="4"/>
        <v>27.182898356249996</v>
      </c>
      <c r="AI16" s="1">
        <f t="shared" si="4"/>
        <v>25.495766374999999</v>
      </c>
      <c r="AJ16" s="1">
        <f t="shared" si="4"/>
        <v>38.317627937499999</v>
      </c>
      <c r="AK16" s="1">
        <f t="shared" si="4"/>
        <v>26.098856999999999</v>
      </c>
      <c r="AL16" s="1">
        <f t="shared" si="4"/>
        <v>27.457174718750004</v>
      </c>
      <c r="AM16" s="1">
        <f t="shared" si="4"/>
        <v>27.00633778125</v>
      </c>
      <c r="AN16" s="1">
        <f t="shared" si="4"/>
        <v>27.163070093750001</v>
      </c>
      <c r="AO16" s="1">
        <f t="shared" si="4"/>
        <v>26.330163062499999</v>
      </c>
      <c r="AP16" s="1">
        <f t="shared" si="4"/>
        <v>25.848154718749999</v>
      </c>
      <c r="AR16" s="1" t="s">
        <v>63</v>
      </c>
      <c r="AS16" s="1">
        <f t="shared" ref="AS16:BB16" si="5">AVERAGE(AS11:AS15)</f>
        <v>37.375559250000002</v>
      </c>
      <c r="AT16" s="1">
        <f t="shared" si="5"/>
        <v>40.370895037500006</v>
      </c>
      <c r="AU16" s="1">
        <f t="shared" si="5"/>
        <v>36.691013749999996</v>
      </c>
      <c r="AV16" s="1">
        <f t="shared" si="5"/>
        <v>47.911507499999992</v>
      </c>
      <c r="AW16" s="1">
        <f t="shared" si="5"/>
        <v>52.076221999999994</v>
      </c>
      <c r="AX16" s="1">
        <f t="shared" si="5"/>
        <v>55.606488718750008</v>
      </c>
      <c r="AY16" s="1">
        <f t="shared" si="5"/>
        <v>55.321260937500007</v>
      </c>
      <c r="AZ16" s="1">
        <f t="shared" si="5"/>
        <v>43.741601156250006</v>
      </c>
      <c r="BA16" s="1">
        <f t="shared" si="5"/>
        <v>48.212492781249999</v>
      </c>
      <c r="BB16" s="1">
        <f t="shared" si="5"/>
        <v>55.116933687500001</v>
      </c>
    </row>
    <row r="17" spans="1:54" ht="14.4" thickBot="1" x14ac:dyDescent="0.3">
      <c r="A17" s="1" t="s">
        <v>83</v>
      </c>
      <c r="B17" s="1">
        <f>RANK(B16,B16:K16,1)</f>
        <v>3</v>
      </c>
      <c r="C17" s="1">
        <f>RANK(C16,B16:K16,1)</f>
        <v>7</v>
      </c>
      <c r="D17" s="1">
        <f>RANK(D16,B16:K16,1)</f>
        <v>9</v>
      </c>
      <c r="E17" s="1">
        <f>RANK(E16,B16:K16,1)</f>
        <v>10</v>
      </c>
      <c r="F17" s="1">
        <f>RANK(F16,B16:K16,1)</f>
        <v>4</v>
      </c>
      <c r="G17" s="1">
        <f>RANK(G16,B16:K16,1)</f>
        <v>6</v>
      </c>
      <c r="H17" s="1">
        <f>RANK(H16,B16:K16,1)</f>
        <v>2</v>
      </c>
      <c r="I17" s="1">
        <f>RANK(I16,B16:K16,1)</f>
        <v>8</v>
      </c>
      <c r="J17" s="1">
        <f>RANK(J16,B16:K16,1)</f>
        <v>5</v>
      </c>
      <c r="K17" s="1">
        <f>RANK(K16,B16:K16,1)</f>
        <v>1</v>
      </c>
      <c r="M17" s="1" t="s">
        <v>83</v>
      </c>
      <c r="N17" s="1">
        <f>RANK(N16,N16:W16,1)</f>
        <v>2</v>
      </c>
      <c r="O17" s="1">
        <f>RANK(O16,N16:W16,1)</f>
        <v>3</v>
      </c>
      <c r="P17" s="1">
        <f>RANK(P16,N16:W16,1)</f>
        <v>1</v>
      </c>
      <c r="Q17" s="1">
        <f>RANK(Q16,N16:W16,1)</f>
        <v>6</v>
      </c>
      <c r="R17" s="1">
        <f>RANK(R16,N16:W16,1)</f>
        <v>8</v>
      </c>
      <c r="S17" s="1">
        <f>RANK(S16,N16:W16,1)</f>
        <v>10</v>
      </c>
      <c r="T17" s="1">
        <f>RANK(T16,N16:W16,1)</f>
        <v>7</v>
      </c>
      <c r="U17" s="1">
        <f>RANK(U16,N16:W16,1)</f>
        <v>4</v>
      </c>
      <c r="V17" s="1">
        <f>RANK(V16,N16:W16,1)</f>
        <v>5</v>
      </c>
      <c r="W17" s="1">
        <f>RANK(W16,N16:W16,1)</f>
        <v>9</v>
      </c>
      <c r="AF17" s="1" t="s">
        <v>83</v>
      </c>
      <c r="AG17" s="1">
        <f>RANK(AG16,AG16:AP16,1)</f>
        <v>5</v>
      </c>
      <c r="AH17" s="1">
        <f>RANK(AH16,AG16:AP16,1)</f>
        <v>8</v>
      </c>
      <c r="AI17" s="1">
        <f>RANK(AI16,AG16:AP16,1)</f>
        <v>1</v>
      </c>
      <c r="AJ17" s="1">
        <f>RANK(AJ16,AG16:AP16,1)</f>
        <v>10</v>
      </c>
      <c r="AK17" s="1">
        <f>RANK(AK16,AG16:AP16,1)</f>
        <v>3</v>
      </c>
      <c r="AL17" s="1">
        <f>RANK(AL16,AG16:AP16,1)</f>
        <v>9</v>
      </c>
      <c r="AM17" s="1">
        <f>RANK(AM16,AG16:AP16,1)</f>
        <v>6</v>
      </c>
      <c r="AN17" s="1">
        <f>RANK(AN16,AG16:AP16,1)</f>
        <v>7</v>
      </c>
      <c r="AO17" s="1">
        <f>RANK(AO16,AG16:AP16,1)</f>
        <v>4</v>
      </c>
      <c r="AP17" s="1">
        <f>RANK(AP16,AG16:AP16,1)</f>
        <v>2</v>
      </c>
      <c r="AR17" s="1" t="s">
        <v>83</v>
      </c>
      <c r="AS17" s="1">
        <f>RANK(AS16,AS16:BB16,1)</f>
        <v>2</v>
      </c>
      <c r="AT17" s="1">
        <f>RANK(AT16,AS16:BB16,1)</f>
        <v>3</v>
      </c>
      <c r="AU17" s="1">
        <f>RANK(AU16,AS16:BB16,1)</f>
        <v>1</v>
      </c>
      <c r="AV17" s="1">
        <f>RANK(AV16,AS16:BB16,1)</f>
        <v>5</v>
      </c>
      <c r="AW17" s="1">
        <f>RANK(AW16,AS16:BB16,1)</f>
        <v>7</v>
      </c>
      <c r="AX17" s="1">
        <f>RANK(AX16,AS16:BB16,1)</f>
        <v>10</v>
      </c>
      <c r="AY17" s="1">
        <f>RANK(AY16,AS16:BB16,1)</f>
        <v>9</v>
      </c>
      <c r="AZ17" s="1">
        <f>RANK(AZ16,AS16:BB16,1)</f>
        <v>4</v>
      </c>
      <c r="BA17" s="1">
        <f>RANK(BA16,AS16:BB16,1)</f>
        <v>6</v>
      </c>
      <c r="BB17" s="1">
        <f>RANK(BB16,AS16:BB16,1)</f>
        <v>8</v>
      </c>
    </row>
    <row r="18" spans="1:54" x14ac:dyDescent="0.25">
      <c r="A18" s="1" t="s">
        <v>59</v>
      </c>
      <c r="B18" s="7">
        <v>25.46628171875</v>
      </c>
      <c r="C18" s="7">
        <v>26.467517687499999</v>
      </c>
      <c r="D18" s="7">
        <v>24.523518437500002</v>
      </c>
      <c r="E18" s="7">
        <v>37.871870781250003</v>
      </c>
      <c r="F18" s="7">
        <v>26.922720000000002</v>
      </c>
      <c r="G18" s="7">
        <v>26.373085312499999</v>
      </c>
      <c r="H18" s="7">
        <v>27.04123375</v>
      </c>
      <c r="I18" s="7">
        <v>27.229813906250001</v>
      </c>
      <c r="J18" s="7">
        <v>26.50200515625</v>
      </c>
      <c r="K18" s="7">
        <v>26.077267500000001</v>
      </c>
      <c r="M18" s="1" t="s">
        <v>59</v>
      </c>
      <c r="N18" s="7">
        <v>37.379252812499999</v>
      </c>
      <c r="O18" s="7">
        <v>41.278955343750006</v>
      </c>
      <c r="P18" s="7">
        <v>36.65131796875</v>
      </c>
      <c r="Q18" s="7">
        <v>48.772549374999997</v>
      </c>
      <c r="R18" s="7">
        <v>56.869086718749998</v>
      </c>
      <c r="S18" s="7">
        <v>55.81305296875</v>
      </c>
      <c r="T18" s="7">
        <v>57.923904374999999</v>
      </c>
      <c r="U18" s="7">
        <v>43.331660468750002</v>
      </c>
      <c r="V18" s="7">
        <v>48.449867968749999</v>
      </c>
      <c r="W18" s="7">
        <v>55.002968750000001</v>
      </c>
      <c r="AF18" s="1" t="s">
        <v>64</v>
      </c>
      <c r="AG18" s="3">
        <v>10.03843578125</v>
      </c>
      <c r="AH18" s="3">
        <v>10.581435218749998</v>
      </c>
      <c r="AI18" s="3">
        <v>9.5589507812499992</v>
      </c>
      <c r="AJ18" s="3">
        <v>10.264882343749999</v>
      </c>
      <c r="AK18" s="3">
        <v>10.440772656249999</v>
      </c>
      <c r="AL18" s="3">
        <v>10.024299687499999</v>
      </c>
      <c r="AM18" s="3">
        <v>11.031668124999999</v>
      </c>
      <c r="AN18" s="3">
        <v>11.01885875</v>
      </c>
      <c r="AO18" s="3">
        <v>11.3877803125</v>
      </c>
      <c r="AP18" s="4">
        <v>82.918441693300466</v>
      </c>
      <c r="AR18" s="1" t="s">
        <v>64</v>
      </c>
      <c r="AS18" s="3">
        <v>24.923978281250001</v>
      </c>
      <c r="AT18" s="3">
        <v>27.861469968749997</v>
      </c>
      <c r="AU18" s="3">
        <v>25.139168281250001</v>
      </c>
      <c r="AV18" s="3">
        <v>26.21461875</v>
      </c>
      <c r="AW18" s="3">
        <v>40.1672625</v>
      </c>
      <c r="AX18" s="3">
        <v>41.967975781249997</v>
      </c>
      <c r="AY18" s="3">
        <v>39.699637031249999</v>
      </c>
      <c r="AZ18" s="3">
        <v>29.280132968749999</v>
      </c>
      <c r="BA18" s="3">
        <v>34.338028749999999</v>
      </c>
      <c r="BB18" s="3">
        <v>40.106884687499999</v>
      </c>
    </row>
    <row r="19" spans="1:54" x14ac:dyDescent="0.25">
      <c r="A19" s="1" t="s">
        <v>83</v>
      </c>
      <c r="B19" s="1">
        <f>RANK(B18,B18:K18,1)</f>
        <v>2</v>
      </c>
      <c r="C19" s="1">
        <f>RANK(C18,B18:K18,1)</f>
        <v>5</v>
      </c>
      <c r="D19" s="1">
        <f>RANK(D18,B18:K18,1)</f>
        <v>1</v>
      </c>
      <c r="E19" s="1">
        <f>RANK(E18,B18:K18,1)</f>
        <v>10</v>
      </c>
      <c r="F19" s="1">
        <f>RANK(F18,B18:K18,1)</f>
        <v>7</v>
      </c>
      <c r="G19" s="1">
        <f>RANK(G18,B18:K18,1)</f>
        <v>4</v>
      </c>
      <c r="H19" s="1">
        <f>RANK(H18,B18:K18,1)</f>
        <v>8</v>
      </c>
      <c r="I19" s="1">
        <f>RANK(I18,B18:K18,1)</f>
        <v>9</v>
      </c>
      <c r="J19" s="1">
        <f>RANK(J18,B18:K18,1)</f>
        <v>6</v>
      </c>
      <c r="K19" s="1">
        <f>RANK(K18,B18:K18,1)</f>
        <v>3</v>
      </c>
      <c r="M19" s="1" t="s">
        <v>83</v>
      </c>
      <c r="N19" s="1">
        <f>RANK(N18,N18:W18,1)</f>
        <v>2</v>
      </c>
      <c r="O19" s="1">
        <f>RANK(O18,N18:W18,1)</f>
        <v>3</v>
      </c>
      <c r="P19" s="1">
        <f>RANK(P18,N18:W18,1)</f>
        <v>1</v>
      </c>
      <c r="Q19" s="1">
        <f>RANK(Q18,N18:W18,1)</f>
        <v>6</v>
      </c>
      <c r="R19" s="1">
        <f>RANK(R18,N18:W18,1)</f>
        <v>9</v>
      </c>
      <c r="S19" s="1">
        <f>RANK(S18,N18:W18,1)</f>
        <v>8</v>
      </c>
      <c r="T19" s="1">
        <f>RANK(T18,N18:W18,1)</f>
        <v>10</v>
      </c>
      <c r="U19" s="1">
        <f>RANK(U18,N18:W18,1)</f>
        <v>4</v>
      </c>
      <c r="V19" s="1">
        <f>RANK(V18,N18:W18,1)</f>
        <v>5</v>
      </c>
      <c r="W19" s="1">
        <f>RANK(W18,N18:W18,1)</f>
        <v>7</v>
      </c>
      <c r="AF19" s="1" t="s">
        <v>65</v>
      </c>
      <c r="AG19" s="7">
        <v>11.3275221875</v>
      </c>
      <c r="AH19" s="7">
        <v>10.805404187500001</v>
      </c>
      <c r="AI19" s="7">
        <v>9.6519323437499995</v>
      </c>
      <c r="AJ19" s="7">
        <v>10.282057968749999</v>
      </c>
      <c r="AK19" s="7">
        <v>10.33752140625</v>
      </c>
      <c r="AL19" s="7">
        <v>10.105835624999999</v>
      </c>
      <c r="AM19" s="7">
        <v>10.88705421875</v>
      </c>
      <c r="AN19" s="7">
        <v>10.551754062500001</v>
      </c>
      <c r="AO19" s="7">
        <v>10.171404062500001</v>
      </c>
      <c r="AP19" s="2">
        <v>82.873233251450131</v>
      </c>
      <c r="AR19" s="1" t="s">
        <v>65</v>
      </c>
      <c r="AS19" s="7">
        <v>29.993127187500001</v>
      </c>
      <c r="AT19" s="7">
        <v>28.161164343749999</v>
      </c>
      <c r="AU19" s="7">
        <v>24.690798906249999</v>
      </c>
      <c r="AV19" s="7">
        <v>31.392469375000001</v>
      </c>
      <c r="AW19" s="7">
        <v>37.811020468750002</v>
      </c>
      <c r="AX19" s="7">
        <v>35.244886718750003</v>
      </c>
      <c r="AY19" s="7">
        <v>39.784146562499998</v>
      </c>
      <c r="AZ19" s="7">
        <v>25.455982656250001</v>
      </c>
      <c r="BA19" s="7">
        <v>32.917211875</v>
      </c>
      <c r="BB19" s="7">
        <v>39.479332968750001</v>
      </c>
    </row>
    <row r="20" spans="1:54" x14ac:dyDescent="0.25">
      <c r="A20" s="1" t="s">
        <v>60</v>
      </c>
      <c r="B20" s="7">
        <v>26.88288984375</v>
      </c>
      <c r="C20" s="7">
        <v>26.334593124999998</v>
      </c>
      <c r="D20" s="7">
        <v>24.779672812499999</v>
      </c>
      <c r="E20" s="7">
        <v>39.006376250000002</v>
      </c>
      <c r="F20" s="7">
        <v>25.583490000000001</v>
      </c>
      <c r="G20" s="7">
        <v>26.005035312499999</v>
      </c>
      <c r="H20" s="7">
        <v>26.11230328125</v>
      </c>
      <c r="I20" s="7">
        <v>26.316344999999998</v>
      </c>
      <c r="J20" s="7">
        <v>26.26536203125</v>
      </c>
      <c r="K20" s="7">
        <v>26.190358437499999</v>
      </c>
      <c r="M20" s="1" t="s">
        <v>60</v>
      </c>
      <c r="N20" s="7">
        <v>37.1466446875</v>
      </c>
      <c r="O20" s="7">
        <v>39.844573593749999</v>
      </c>
      <c r="P20" s="7">
        <v>36.736651406249997</v>
      </c>
      <c r="Q20" s="7">
        <v>46.425963125000003</v>
      </c>
      <c r="R20" s="7">
        <v>54.053184218749998</v>
      </c>
      <c r="S20" s="7">
        <v>55.964689531250002</v>
      </c>
      <c r="T20" s="7">
        <v>53.132942812499998</v>
      </c>
      <c r="U20" s="7">
        <v>47.554252343750001</v>
      </c>
      <c r="V20" s="7">
        <v>50.277918593750002</v>
      </c>
      <c r="W20" s="7">
        <v>56.515429374999997</v>
      </c>
      <c r="AF20" s="1" t="s">
        <v>66</v>
      </c>
      <c r="AG20" s="7">
        <v>11.314596874999999</v>
      </c>
      <c r="AH20" s="7">
        <v>10.79328471875</v>
      </c>
      <c r="AI20" s="7">
        <v>10.00160265625</v>
      </c>
      <c r="AJ20" s="7">
        <v>10.058599062500001</v>
      </c>
      <c r="AK20" s="7">
        <v>10.6602934375</v>
      </c>
      <c r="AL20" s="7">
        <v>10.0069</v>
      </c>
      <c r="AM20" s="7">
        <v>11.269244531249999</v>
      </c>
      <c r="AN20" s="7">
        <v>10.91790328125</v>
      </c>
      <c r="AO20" s="7">
        <v>10.296123906249999</v>
      </c>
      <c r="AP20" s="2">
        <v>83.22165259188246</v>
      </c>
      <c r="AR20" s="1" t="s">
        <v>66</v>
      </c>
      <c r="AS20" s="7">
        <v>23.57549640625</v>
      </c>
      <c r="AT20" s="7">
        <v>24.856144468749996</v>
      </c>
      <c r="AU20" s="7">
        <v>24.658024062500001</v>
      </c>
      <c r="AV20" s="7">
        <v>32.715722968750001</v>
      </c>
      <c r="AW20" s="7">
        <v>36.273125624999999</v>
      </c>
      <c r="AX20" s="7">
        <v>36.432604687500003</v>
      </c>
      <c r="AY20" s="7">
        <v>40.136945781249999</v>
      </c>
      <c r="AZ20" s="7">
        <v>27.2020528125</v>
      </c>
      <c r="BA20" s="7">
        <v>35.052784375000002</v>
      </c>
      <c r="BB20" s="7">
        <v>38.853786562499998</v>
      </c>
    </row>
    <row r="21" spans="1:54" x14ac:dyDescent="0.25">
      <c r="A21" s="1" t="s">
        <v>83</v>
      </c>
      <c r="B21" s="1">
        <f>RANK(B20,B20:K20,1)</f>
        <v>9</v>
      </c>
      <c r="C21" s="1">
        <f>RANK(C20,B20:K20,1)</f>
        <v>8</v>
      </c>
      <c r="D21" s="1">
        <f>RANK(D20,B20:K20,1)</f>
        <v>1</v>
      </c>
      <c r="E21" s="1">
        <f>RANK(E20,B20:K20,1)</f>
        <v>10</v>
      </c>
      <c r="F21" s="1">
        <f>RANK(F20,B20:K20,1)</f>
        <v>2</v>
      </c>
      <c r="G21" s="1">
        <f>RANK(G20,B20:K20,1)</f>
        <v>3</v>
      </c>
      <c r="H21" s="1">
        <f>RANK(H20,B20:K20,1)</f>
        <v>4</v>
      </c>
      <c r="I21" s="1">
        <f>RANK(I20,B20:K20,1)</f>
        <v>7</v>
      </c>
      <c r="J21" s="1">
        <f>RANK(J20,B20:K20,1)</f>
        <v>6</v>
      </c>
      <c r="K21" s="1">
        <f>RANK(K20,B20:K20,1)</f>
        <v>5</v>
      </c>
      <c r="M21" s="1" t="s">
        <v>83</v>
      </c>
      <c r="N21" s="1">
        <f>RANK(N20,N20:W20,1)</f>
        <v>2</v>
      </c>
      <c r="O21" s="1">
        <f>RANK(O20,N20:W20,1)</f>
        <v>3</v>
      </c>
      <c r="P21" s="1">
        <f>RANK(P20,N20:W20,1)</f>
        <v>1</v>
      </c>
      <c r="Q21" s="1">
        <f>RANK(Q20,N20:W20,1)</f>
        <v>4</v>
      </c>
      <c r="R21" s="1">
        <f>RANK(R20,N20:W20,1)</f>
        <v>8</v>
      </c>
      <c r="S21" s="1">
        <f>RANK(S20,N20:W20,1)</f>
        <v>9</v>
      </c>
      <c r="T21" s="1">
        <f>RANK(T20,N20:W20,1)</f>
        <v>7</v>
      </c>
      <c r="U21" s="1">
        <f>RANK(U20,N20:W20,1)</f>
        <v>5</v>
      </c>
      <c r="V21" s="1">
        <f>RANK(V20,N20:W20,1)</f>
        <v>6</v>
      </c>
      <c r="W21" s="1">
        <f>RANK(W20,N20:W20,1)</f>
        <v>10</v>
      </c>
      <c r="AF21" s="1" t="s">
        <v>67</v>
      </c>
      <c r="AG21" s="7">
        <v>11.39746109375</v>
      </c>
      <c r="AH21" s="7">
        <v>10.50706959375</v>
      </c>
      <c r="AI21" s="7">
        <v>10.694839218749999</v>
      </c>
      <c r="AJ21" s="7">
        <v>10.077540781250001</v>
      </c>
      <c r="AK21" s="7">
        <v>10.3120340625</v>
      </c>
      <c r="AL21" s="7">
        <v>9.6834314062499995</v>
      </c>
      <c r="AM21" s="7">
        <v>11.44977171875</v>
      </c>
      <c r="AN21" s="7">
        <v>11.193027499999999</v>
      </c>
      <c r="AO21" s="7">
        <v>10.172814375</v>
      </c>
      <c r="AP21" s="2">
        <v>83.067619800105774</v>
      </c>
      <c r="AR21" s="1" t="s">
        <v>67</v>
      </c>
      <c r="AS21" s="7">
        <v>25.047550000000001</v>
      </c>
      <c r="AT21" s="7">
        <v>26.403040937499998</v>
      </c>
      <c r="AU21" s="7">
        <v>24.40540015625</v>
      </c>
      <c r="AV21" s="7">
        <v>31.13495140625</v>
      </c>
      <c r="AW21" s="7">
        <v>39.133263906250001</v>
      </c>
      <c r="AX21" s="7">
        <v>37.452298749999997</v>
      </c>
      <c r="AY21" s="7">
        <v>36.443286718750002</v>
      </c>
      <c r="AZ21" s="7">
        <v>30.284321406250001</v>
      </c>
      <c r="BA21" s="7">
        <v>32.342664843750001</v>
      </c>
      <c r="BB21" s="7">
        <v>38.153079218750001</v>
      </c>
    </row>
    <row r="22" spans="1:54" ht="14.4" thickBot="1" x14ac:dyDescent="0.3">
      <c r="A22" s="1" t="s">
        <v>61</v>
      </c>
      <c r="B22" s="7">
        <v>29.039776249999999</v>
      </c>
      <c r="C22" s="7">
        <v>27.511460125000003</v>
      </c>
      <c r="D22" s="7">
        <v>26.171800937499999</v>
      </c>
      <c r="E22" s="7">
        <v>40.0464190625</v>
      </c>
      <c r="F22" s="7">
        <v>25.845154687499999</v>
      </c>
      <c r="G22" s="7">
        <v>32.247052812500002</v>
      </c>
      <c r="H22" s="7">
        <v>27.611102500000001</v>
      </c>
      <c r="I22" s="7">
        <v>27.991831874999999</v>
      </c>
      <c r="J22" s="7">
        <v>26.590855625</v>
      </c>
      <c r="K22" s="7">
        <v>25.907819843750001</v>
      </c>
      <c r="M22" s="1" t="s">
        <v>61</v>
      </c>
      <c r="N22" s="7">
        <v>37.654065156249999</v>
      </c>
      <c r="O22" s="7">
        <v>40.172417781249997</v>
      </c>
      <c r="P22" s="7">
        <v>36.935091093750003</v>
      </c>
      <c r="Q22" s="7">
        <v>49.474859843749996</v>
      </c>
      <c r="R22" s="7">
        <v>51.145368124999997</v>
      </c>
      <c r="S22" s="7">
        <v>55.712048750000001</v>
      </c>
      <c r="T22" s="7">
        <v>59.146982343749997</v>
      </c>
      <c r="U22" s="7">
        <v>42.334333593750003</v>
      </c>
      <c r="V22" s="7">
        <v>48.285114843750002</v>
      </c>
      <c r="W22" s="7">
        <v>54.5146090625</v>
      </c>
      <c r="AF22" s="1" t="s">
        <v>68</v>
      </c>
      <c r="AG22" s="11">
        <v>11.269884062499999</v>
      </c>
      <c r="AH22" s="11">
        <v>10.43136271875</v>
      </c>
      <c r="AI22" s="11">
        <v>9.5443504687500003</v>
      </c>
      <c r="AJ22" s="11">
        <v>10.34434328125</v>
      </c>
      <c r="AK22" s="11">
        <v>10.381894375</v>
      </c>
      <c r="AL22" s="11">
        <v>10.087449843750001</v>
      </c>
      <c r="AM22" s="11">
        <v>12.068248125</v>
      </c>
      <c r="AN22" s="11">
        <v>10.84443890625</v>
      </c>
      <c r="AO22" s="11">
        <v>10.5494746875</v>
      </c>
      <c r="AP22" s="12">
        <v>82.976127429227219</v>
      </c>
      <c r="AR22" s="1" t="s">
        <v>68</v>
      </c>
      <c r="AS22" s="11">
        <v>24.262007812499998</v>
      </c>
      <c r="AT22" s="11">
        <v>26.608938187499994</v>
      </c>
      <c r="AU22" s="11">
        <v>25.643900468750001</v>
      </c>
      <c r="AV22" s="11">
        <v>30.59330109375</v>
      </c>
      <c r="AW22" s="11">
        <v>35.99876890625</v>
      </c>
      <c r="AX22" s="11">
        <v>33.119444062500001</v>
      </c>
      <c r="AY22" s="11">
        <v>43.365690624999999</v>
      </c>
      <c r="AZ22" s="11">
        <v>27.454213906250001</v>
      </c>
      <c r="BA22" s="11">
        <v>33.352780781249997</v>
      </c>
      <c r="BB22" s="11">
        <v>38.657223593749997</v>
      </c>
    </row>
    <row r="23" spans="1:54" x14ac:dyDescent="0.25">
      <c r="A23" s="1" t="s">
        <v>83</v>
      </c>
      <c r="B23" s="1">
        <f>RANK(B22,B22:K22,1)</f>
        <v>8</v>
      </c>
      <c r="C23" s="1">
        <f>RANK(C22,B22:K22,1)</f>
        <v>5</v>
      </c>
      <c r="D23" s="1">
        <f>RANK(D22,B22:K22,1)</f>
        <v>3</v>
      </c>
      <c r="E23" s="1">
        <f>RANK(E22,B22:K22,1)</f>
        <v>10</v>
      </c>
      <c r="F23" s="1">
        <f>RANK(F22,B22:K22,1)</f>
        <v>1</v>
      </c>
      <c r="G23" s="1">
        <f>RANK(G22,B22:K22,1)</f>
        <v>9</v>
      </c>
      <c r="H23" s="1">
        <f>RANK(H22,B22:K22,1)</f>
        <v>6</v>
      </c>
      <c r="I23" s="1">
        <f>RANK(I22,B22:K22,1)</f>
        <v>7</v>
      </c>
      <c r="J23" s="1">
        <f>RANK(J22,B22:K22,1)</f>
        <v>4</v>
      </c>
      <c r="K23" s="1">
        <f>RANK(K22,B22:K22,1)</f>
        <v>2</v>
      </c>
      <c r="M23" s="1" t="s">
        <v>83</v>
      </c>
      <c r="N23" s="1">
        <f>RANK(N22,N22:W22,1)</f>
        <v>2</v>
      </c>
      <c r="O23" s="1">
        <f>RANK(O22,N22:W22,1)</f>
        <v>3</v>
      </c>
      <c r="P23" s="1">
        <f>RANK(P22,N22:W22,1)</f>
        <v>1</v>
      </c>
      <c r="Q23" s="1">
        <f>RANK(Q22,N22:W22,1)</f>
        <v>6</v>
      </c>
      <c r="R23" s="1">
        <f>RANK(R22,N22:W22,1)</f>
        <v>7</v>
      </c>
      <c r="S23" s="1">
        <f>RANK(S22,N22:W22,1)</f>
        <v>9</v>
      </c>
      <c r="T23" s="1">
        <f>RANK(T22,N22:W22,1)</f>
        <v>10</v>
      </c>
      <c r="U23" s="1">
        <f>RANK(U22,N22:W22,1)</f>
        <v>4</v>
      </c>
      <c r="V23" s="1">
        <f>RANK(V22,N22:W22,1)</f>
        <v>5</v>
      </c>
      <c r="W23" s="1">
        <f>RANK(W22,N22:W22,1)</f>
        <v>8</v>
      </c>
      <c r="AF23" s="1" t="s">
        <v>69</v>
      </c>
      <c r="AG23" s="1">
        <f t="shared" ref="AG23:AP23" si="6">AVERAGE(AG18:AG22)</f>
        <v>11.069579999999998</v>
      </c>
      <c r="AH23" s="1">
        <f t="shared" si="6"/>
        <v>10.623711287499999</v>
      </c>
      <c r="AI23" s="1">
        <f t="shared" si="6"/>
        <v>9.8903350937500001</v>
      </c>
      <c r="AJ23" s="1">
        <f t="shared" si="6"/>
        <v>10.2054846875</v>
      </c>
      <c r="AK23" s="1">
        <f t="shared" si="6"/>
        <v>10.4265031875</v>
      </c>
      <c r="AL23" s="1">
        <f t="shared" si="6"/>
        <v>9.9815833124999997</v>
      </c>
      <c r="AM23" s="1">
        <f t="shared" si="6"/>
        <v>11.34119734375</v>
      </c>
      <c r="AN23" s="1">
        <f t="shared" si="6"/>
        <v>10.905196499999999</v>
      </c>
      <c r="AO23" s="1">
        <f t="shared" si="6"/>
        <v>10.51551946875</v>
      </c>
      <c r="AP23" s="1">
        <f t="shared" si="6"/>
        <v>83.01141495319321</v>
      </c>
      <c r="AR23" s="1" t="s">
        <v>69</v>
      </c>
      <c r="AS23" s="1">
        <f t="shared" ref="AS23:BB23" si="7">AVERAGE(AS18:AS22)</f>
        <v>25.560431937500002</v>
      </c>
      <c r="AT23" s="1">
        <f t="shared" si="7"/>
        <v>26.778151581249993</v>
      </c>
      <c r="AU23" s="1">
        <f t="shared" si="7"/>
        <v>24.907458375000001</v>
      </c>
      <c r="AV23" s="1">
        <f t="shared" si="7"/>
        <v>30.41021271875</v>
      </c>
      <c r="AW23" s="1">
        <f t="shared" si="7"/>
        <v>37.876688281249997</v>
      </c>
      <c r="AX23" s="1">
        <f t="shared" si="7"/>
        <v>36.843442000000003</v>
      </c>
      <c r="AY23" s="1">
        <f t="shared" si="7"/>
        <v>39.885941343750005</v>
      </c>
      <c r="AZ23" s="1">
        <f t="shared" si="7"/>
        <v>27.935340750000002</v>
      </c>
      <c r="BA23" s="1">
        <f t="shared" si="7"/>
        <v>33.600694125000004</v>
      </c>
      <c r="BB23" s="1">
        <f t="shared" si="7"/>
        <v>39.050061406250002</v>
      </c>
    </row>
    <row r="24" spans="1:54" ht="14.4" thickBot="1" x14ac:dyDescent="0.3">
      <c r="A24" s="1" t="s">
        <v>62</v>
      </c>
      <c r="B24" s="11">
        <v>27.011287500000002</v>
      </c>
      <c r="C24" s="11">
        <v>29.008942749999999</v>
      </c>
      <c r="D24" s="11">
        <v>24.621566874999999</v>
      </c>
      <c r="E24" s="11">
        <v>38.018933906249998</v>
      </c>
      <c r="F24" s="11">
        <v>26.39436109375</v>
      </c>
      <c r="G24" s="11">
        <v>26.19233796875</v>
      </c>
      <c r="H24" s="11">
        <v>28.605612656249999</v>
      </c>
      <c r="I24" s="11">
        <v>27.414959843750001</v>
      </c>
      <c r="J24" s="11">
        <v>26.03042390625</v>
      </c>
      <c r="K24" s="11">
        <v>25.69601484375</v>
      </c>
      <c r="M24" s="1" t="s">
        <v>62</v>
      </c>
      <c r="N24" s="11">
        <v>37.34278890625</v>
      </c>
      <c r="O24" s="11">
        <v>40.704379531249998</v>
      </c>
      <c r="P24" s="11">
        <v>36.288097499999999</v>
      </c>
      <c r="Q24" s="11">
        <v>48.994946562499997</v>
      </c>
      <c r="R24" s="11">
        <v>46.485877500000001</v>
      </c>
      <c r="S24" s="11">
        <v>53.396493906250001</v>
      </c>
      <c r="T24" s="11">
        <v>54.618172187500001</v>
      </c>
      <c r="U24" s="11">
        <v>42.847481875</v>
      </c>
      <c r="V24" s="11">
        <v>51.183685625000003</v>
      </c>
      <c r="W24" s="11">
        <v>55.185848437499999</v>
      </c>
      <c r="AF24" s="1" t="s">
        <v>83</v>
      </c>
      <c r="AG24" s="1">
        <f>RANK(AG23,AG23:AP23,1)</f>
        <v>8</v>
      </c>
      <c r="AH24" s="1">
        <f>RANK(AH23,AG23:AP23,1)</f>
        <v>6</v>
      </c>
      <c r="AI24" s="1">
        <f>RANK(AI23,AG23:AP23,1)</f>
        <v>1</v>
      </c>
      <c r="AJ24" s="1">
        <f>RANK(AJ23,AG23:AP23,1)</f>
        <v>3</v>
      </c>
      <c r="AK24" s="1">
        <f>RANK(AK23,AG23:AP23,1)</f>
        <v>4</v>
      </c>
      <c r="AL24" s="1">
        <f>RANK(AL23,AG23:AP23,1)</f>
        <v>2</v>
      </c>
      <c r="AM24" s="1">
        <f>RANK(AM23,AG23:AP23,1)</f>
        <v>9</v>
      </c>
      <c r="AN24" s="1">
        <f>RANK(AN23,AG23:AP23,1)</f>
        <v>7</v>
      </c>
      <c r="AO24" s="1">
        <f>RANK(AO23,AG23:AP23,1)</f>
        <v>5</v>
      </c>
      <c r="AP24" s="1">
        <f>RANK(AP23,AG23:AP23,1)</f>
        <v>10</v>
      </c>
      <c r="AR24" s="1" t="s">
        <v>83</v>
      </c>
      <c r="AS24" s="1">
        <f>RANK(AS23,AS23:BB23,1)</f>
        <v>2</v>
      </c>
      <c r="AT24" s="1">
        <f>RANK(AT23,AS23:BB23,1)</f>
        <v>3</v>
      </c>
      <c r="AU24" s="1">
        <f>RANK(AU23,AS23:BB23,1)</f>
        <v>1</v>
      </c>
      <c r="AV24" s="1">
        <f>RANK(AV23,AS23:BB23,1)</f>
        <v>5</v>
      </c>
      <c r="AW24" s="1">
        <f>RANK(AW23,AS23:BB23,1)</f>
        <v>8</v>
      </c>
      <c r="AX24" s="1">
        <f>RANK(AX23,AS23:BB23,1)</f>
        <v>7</v>
      </c>
      <c r="AY24" s="1">
        <f>RANK(AY23,AS23:BB23,1)</f>
        <v>10</v>
      </c>
      <c r="AZ24" s="1">
        <f>RANK(AZ23,AS23:BB23,1)</f>
        <v>4</v>
      </c>
      <c r="BA24" s="1">
        <f>RANK(BA23,AS23:BB23,1)</f>
        <v>6</v>
      </c>
      <c r="BB24" s="1">
        <f>RANK(BB23,AS23:BB23,1)</f>
        <v>9</v>
      </c>
    </row>
    <row r="25" spans="1:54" x14ac:dyDescent="0.25">
      <c r="A25" s="1" t="s">
        <v>83</v>
      </c>
      <c r="B25" s="1">
        <f>RANK(B24,B24:K24,1)</f>
        <v>6</v>
      </c>
      <c r="C25" s="1">
        <f>RANK(C24,B24:K24,1)</f>
        <v>9</v>
      </c>
      <c r="D25" s="1">
        <f>RANK(D24,B24:K24,1)</f>
        <v>1</v>
      </c>
      <c r="E25" s="1">
        <f>RANK(E24,B24:K24,1)</f>
        <v>10</v>
      </c>
      <c r="F25" s="1">
        <f>RANK(F24,B24:K24,1)</f>
        <v>5</v>
      </c>
      <c r="G25" s="1">
        <f>RANK(G24,B24:K24,1)</f>
        <v>4</v>
      </c>
      <c r="H25" s="1">
        <f>RANK(H24,B24:K24,1)</f>
        <v>8</v>
      </c>
      <c r="I25" s="1">
        <f>RANK(I24,B24:K24,1)</f>
        <v>7</v>
      </c>
      <c r="J25" s="1">
        <f>RANK(J24,B24:K24,1)</f>
        <v>3</v>
      </c>
      <c r="K25" s="1">
        <f>RANK(K24,B24:K24,1)</f>
        <v>2</v>
      </c>
      <c r="M25" s="1" t="s">
        <v>83</v>
      </c>
      <c r="N25" s="1">
        <f>RANK(N24,N24:W24,1)</f>
        <v>2</v>
      </c>
      <c r="O25" s="1">
        <f>RANK(O24,N24:W24,1)</f>
        <v>3</v>
      </c>
      <c r="P25" s="1">
        <f>RANK(P24,N24:W24,1)</f>
        <v>1</v>
      </c>
      <c r="Q25" s="1">
        <f>RANK(Q24,N24:W24,1)</f>
        <v>6</v>
      </c>
      <c r="R25" s="1">
        <f>RANK(R24,N24:W24,1)</f>
        <v>5</v>
      </c>
      <c r="S25" s="1">
        <f>RANK(S24,N24:W24,1)</f>
        <v>8</v>
      </c>
      <c r="T25" s="1">
        <f>RANK(T24,N24:W24,1)</f>
        <v>9</v>
      </c>
      <c r="U25" s="1">
        <f>RANK(U24,N24:W24,1)</f>
        <v>4</v>
      </c>
      <c r="V25" s="1">
        <f>RANK(V24,N24:W24,1)</f>
        <v>7</v>
      </c>
      <c r="W25" s="1">
        <f>RANK(W24,N24:W24,1)</f>
        <v>10</v>
      </c>
      <c r="AF25" s="1" t="s">
        <v>70</v>
      </c>
      <c r="AG25" s="3">
        <v>9.0745042187500005</v>
      </c>
      <c r="AH25" s="3">
        <v>9.8823816562500006</v>
      </c>
      <c r="AI25" s="3">
        <v>8.7468798437499995</v>
      </c>
      <c r="AJ25" s="3">
        <v>13.034223125</v>
      </c>
      <c r="AK25" s="3">
        <v>9.3859032812500001</v>
      </c>
      <c r="AL25" s="3">
        <v>10.041057500000001</v>
      </c>
      <c r="AM25" s="3">
        <v>9.2969620312500005</v>
      </c>
      <c r="AN25" s="3">
        <v>10.399813125</v>
      </c>
      <c r="AO25" s="3">
        <v>9.7958109375000006</v>
      </c>
      <c r="AP25" s="3">
        <v>9.4672048437500003</v>
      </c>
      <c r="AR25" s="1" t="s">
        <v>70</v>
      </c>
      <c r="AS25" s="3">
        <v>23.159452343750001</v>
      </c>
      <c r="AT25" s="3">
        <v>25.6423305625</v>
      </c>
      <c r="AU25" s="3">
        <v>25.334791406250002</v>
      </c>
      <c r="AV25" s="3">
        <v>30.281587187500001</v>
      </c>
      <c r="AW25" s="3">
        <v>35.695854687500002</v>
      </c>
      <c r="AX25" s="3">
        <v>35.0659615625</v>
      </c>
      <c r="AY25" s="3">
        <v>39.920930312499998</v>
      </c>
      <c r="AZ25" s="3">
        <v>30.950119531249999</v>
      </c>
      <c r="BA25" s="3">
        <v>33.2848240625</v>
      </c>
      <c r="BB25" s="3">
        <v>36.310434687499999</v>
      </c>
    </row>
    <row r="26" spans="1:54" x14ac:dyDescent="0.25">
      <c r="A26" s="1" t="s">
        <v>63</v>
      </c>
      <c r="B26" s="1">
        <f t="shared" ref="B26:K26" si="8">AVERAGE(B16:B24)</f>
        <v>17.347074097222222</v>
      </c>
      <c r="C26" s="1">
        <f t="shared" si="8"/>
        <v>17.879387975694446</v>
      </c>
      <c r="D26" s="1">
        <f t="shared" si="8"/>
        <v>15.719870208333333</v>
      </c>
      <c r="E26" s="1">
        <f t="shared" si="8"/>
        <v>25.732015520833336</v>
      </c>
      <c r="F26" s="1">
        <f t="shared" si="8"/>
        <v>16.054920555555555</v>
      </c>
      <c r="G26" s="1">
        <f t="shared" si="8"/>
        <v>17.698430399305558</v>
      </c>
      <c r="H26" s="1">
        <f t="shared" si="8"/>
        <v>17.225743211805554</v>
      </c>
      <c r="I26" s="1">
        <f t="shared" si="8"/>
        <v>18.535038940972225</v>
      </c>
      <c r="J26" s="1">
        <f t="shared" si="8"/>
        <v>16.961201701388887</v>
      </c>
      <c r="K26" s="1">
        <f t="shared" si="8"/>
        <v>15.582308177083332</v>
      </c>
      <c r="M26" s="1" t="s">
        <v>63</v>
      </c>
      <c r="N26" s="1">
        <f t="shared" ref="N26:W26" si="9">AVERAGE(N16:N24)</f>
        <v>21.653088472222223</v>
      </c>
      <c r="O26" s="1">
        <f t="shared" si="9"/>
        <v>23.761608354166668</v>
      </c>
      <c r="P26" s="1">
        <f t="shared" si="9"/>
        <v>20.828340972222222</v>
      </c>
      <c r="Q26" s="1">
        <f t="shared" si="9"/>
        <v>29.061948611111106</v>
      </c>
      <c r="R26" s="1">
        <f t="shared" si="9"/>
        <v>32.486789999999999</v>
      </c>
      <c r="S26" s="1">
        <f t="shared" si="9"/>
        <v>34.892493732638883</v>
      </c>
      <c r="T26" s="1">
        <f t="shared" si="9"/>
        <v>34.511811631944447</v>
      </c>
      <c r="U26" s="1">
        <f t="shared" si="9"/>
        <v>26.189778420138893</v>
      </c>
      <c r="V26" s="1">
        <f t="shared" si="9"/>
        <v>29.11805154513889</v>
      </c>
      <c r="W26" s="1">
        <f t="shared" si="9"/>
        <v>34.398296493055554</v>
      </c>
      <c r="AF26" s="1" t="s">
        <v>71</v>
      </c>
      <c r="AG26" s="7">
        <v>10.142459687500001</v>
      </c>
      <c r="AH26" s="7">
        <v>10.0432665</v>
      </c>
      <c r="AI26" s="7">
        <v>9.9377346875000008</v>
      </c>
      <c r="AJ26" s="7">
        <v>14.1098078125</v>
      </c>
      <c r="AK26" s="7">
        <v>9.3135200000000005</v>
      </c>
      <c r="AL26" s="7">
        <v>9.6597301562499993</v>
      </c>
      <c r="AM26" s="7">
        <v>8.9820100000000007</v>
      </c>
      <c r="AN26" s="7">
        <v>10.273791718749999</v>
      </c>
      <c r="AO26" s="7">
        <v>9.7908790625000002</v>
      </c>
      <c r="AP26" s="7">
        <v>9.4357175000000009</v>
      </c>
      <c r="AR26" s="1" t="s">
        <v>71</v>
      </c>
      <c r="AS26" s="7">
        <v>23.832399531250001</v>
      </c>
      <c r="AT26" s="7">
        <v>25.616437281250001</v>
      </c>
      <c r="AU26" s="7">
        <v>23.119789531249999</v>
      </c>
      <c r="AV26" s="7">
        <v>32.844006406250003</v>
      </c>
      <c r="AW26" s="7">
        <v>36.701930781249999</v>
      </c>
      <c r="AX26" s="7">
        <v>36.63245921875</v>
      </c>
      <c r="AY26" s="7">
        <v>40.456387656250001</v>
      </c>
      <c r="AZ26" s="7">
        <v>28.022295312499999</v>
      </c>
      <c r="BA26" s="7">
        <v>33.303352435225648</v>
      </c>
      <c r="BB26" s="7">
        <v>34.833544375000002</v>
      </c>
    </row>
    <row r="27" spans="1:54" ht="14.4" thickBot="1" x14ac:dyDescent="0.3">
      <c r="A27" s="1" t="s">
        <v>83</v>
      </c>
      <c r="B27" s="1">
        <f>RANK(B26,B26:K26,1)</f>
        <v>6</v>
      </c>
      <c r="C27" s="1">
        <f>RANK(C26,B26:K26,1)</f>
        <v>8</v>
      </c>
      <c r="D27" s="1">
        <f>RANK(D26,B26:K26,1)</f>
        <v>2</v>
      </c>
      <c r="E27" s="1">
        <f>RANK(E26,B26:K26,1)</f>
        <v>10</v>
      </c>
      <c r="F27" s="1">
        <f>RANK(F26,B26:K26,1)</f>
        <v>3</v>
      </c>
      <c r="G27" s="1">
        <f>RANK(G26,B26:K26,1)</f>
        <v>7</v>
      </c>
      <c r="H27" s="1">
        <f>RANK(H26,B26:K26,1)</f>
        <v>5</v>
      </c>
      <c r="I27" s="1">
        <f>RANK(I26,B26:K26,1)</f>
        <v>9</v>
      </c>
      <c r="J27" s="1">
        <f>RANK(J26,B26:K26,1)</f>
        <v>4</v>
      </c>
      <c r="K27" s="1">
        <f>RANK(K26,B26:K26,1)</f>
        <v>1</v>
      </c>
      <c r="M27" s="1" t="s">
        <v>83</v>
      </c>
      <c r="N27" s="1">
        <f>RANK(N26,N26:W26,1)</f>
        <v>2</v>
      </c>
      <c r="O27" s="1">
        <f>RANK(O26,N26:W26,1)</f>
        <v>3</v>
      </c>
      <c r="P27" s="1">
        <f>RANK(P26,N26:W26,1)</f>
        <v>1</v>
      </c>
      <c r="Q27" s="1">
        <f>RANK(Q26,N26:W26,1)</f>
        <v>5</v>
      </c>
      <c r="R27" s="1">
        <f>RANK(R26,N26:W26,1)</f>
        <v>7</v>
      </c>
      <c r="S27" s="1">
        <f>RANK(S26,N26:W26,1)</f>
        <v>10</v>
      </c>
      <c r="T27" s="1">
        <f>RANK(T26,N26:W26,1)</f>
        <v>9</v>
      </c>
      <c r="U27" s="1">
        <f>RANK(U26,N26:W26,1)</f>
        <v>4</v>
      </c>
      <c r="V27" s="1">
        <f>RANK(V26,N26:W26,1)</f>
        <v>6</v>
      </c>
      <c r="W27" s="1">
        <f>RANK(W26,N26:W26,1)</f>
        <v>8</v>
      </c>
      <c r="AF27" s="1" t="s">
        <v>72</v>
      </c>
      <c r="AG27" s="7">
        <v>9.1355050000000002</v>
      </c>
      <c r="AH27" s="7">
        <v>9.5414676874999991</v>
      </c>
      <c r="AI27" s="7">
        <v>8.7255001562499999</v>
      </c>
      <c r="AJ27" s="7">
        <v>10.078936875</v>
      </c>
      <c r="AK27" s="7">
        <v>11.3199509375</v>
      </c>
      <c r="AL27" s="7">
        <v>9.4985265625000004</v>
      </c>
      <c r="AM27" s="7">
        <v>9.6155170312500005</v>
      </c>
      <c r="AN27" s="7">
        <v>11.371273125</v>
      </c>
      <c r="AO27" s="7">
        <v>9.9163739062499996</v>
      </c>
      <c r="AP27" s="7">
        <v>9.8163357812500003</v>
      </c>
      <c r="AR27" s="1" t="s">
        <v>72</v>
      </c>
      <c r="AS27" s="7">
        <v>22.064279687500001</v>
      </c>
      <c r="AT27" s="7">
        <v>24.464546062499998</v>
      </c>
      <c r="AU27" s="7">
        <v>22.19477921875</v>
      </c>
      <c r="AV27" s="7">
        <v>29.78836328125</v>
      </c>
      <c r="AW27" s="7">
        <v>34.50298734375</v>
      </c>
      <c r="AX27" s="7">
        <v>36.951913437499996</v>
      </c>
      <c r="AY27" s="7">
        <v>37.856689218749999</v>
      </c>
      <c r="AZ27" s="7">
        <v>25.588236406250001</v>
      </c>
      <c r="BA27" s="7">
        <v>31.727257343750001</v>
      </c>
      <c r="BB27" s="7">
        <v>34.241972500000003</v>
      </c>
    </row>
    <row r="28" spans="1:54" x14ac:dyDescent="0.25">
      <c r="A28" s="1" t="s">
        <v>64</v>
      </c>
      <c r="B28" s="3">
        <v>10.03843578125</v>
      </c>
      <c r="C28" s="3">
        <v>10.581435218749998</v>
      </c>
      <c r="D28" s="3">
        <v>9.5589507812499992</v>
      </c>
      <c r="E28" s="3">
        <v>10.264882343749999</v>
      </c>
      <c r="F28" s="3">
        <v>10.440772656249999</v>
      </c>
      <c r="G28" s="3">
        <v>10.024299687499999</v>
      </c>
      <c r="H28" s="3">
        <v>11.031668124999999</v>
      </c>
      <c r="I28" s="3">
        <v>11.01885875</v>
      </c>
      <c r="J28" s="3">
        <v>11.3877803125</v>
      </c>
      <c r="K28" s="4">
        <v>82.918441693300466</v>
      </c>
      <c r="M28" s="1" t="s">
        <v>64</v>
      </c>
      <c r="N28" s="3">
        <v>24.923978281250001</v>
      </c>
      <c r="O28" s="3">
        <v>27.861469968749997</v>
      </c>
      <c r="P28" s="3">
        <v>25.139168281250001</v>
      </c>
      <c r="Q28" s="3">
        <v>26.21461875</v>
      </c>
      <c r="R28" s="3">
        <v>40.1672625</v>
      </c>
      <c r="S28" s="3">
        <v>41.967975781249997</v>
      </c>
      <c r="T28" s="3">
        <v>39.699637031249999</v>
      </c>
      <c r="U28" s="3">
        <v>29.280132968749999</v>
      </c>
      <c r="V28" s="3">
        <v>34.338028749999999</v>
      </c>
      <c r="W28" s="3">
        <v>40.106884687499999</v>
      </c>
      <c r="AF28" s="1" t="s">
        <v>73</v>
      </c>
      <c r="AG28" s="7">
        <v>10.36243546875</v>
      </c>
      <c r="AH28" s="7">
        <v>9.9727176562500013</v>
      </c>
      <c r="AI28" s="7">
        <v>8.7626256250000001</v>
      </c>
      <c r="AJ28" s="7">
        <v>14.161994375000001</v>
      </c>
      <c r="AK28" s="7">
        <v>9.2584892187500003</v>
      </c>
      <c r="AL28" s="7">
        <v>9.5669295312500005</v>
      </c>
      <c r="AM28" s="7">
        <v>9.5800203125000003</v>
      </c>
      <c r="AN28" s="7">
        <v>10.46221375</v>
      </c>
      <c r="AO28" s="7">
        <v>9.7092776562500003</v>
      </c>
      <c r="AP28" s="7">
        <v>9.261959375</v>
      </c>
      <c r="AR28" s="1" t="s">
        <v>73</v>
      </c>
      <c r="AS28" s="7">
        <v>22.466317656249998</v>
      </c>
      <c r="AT28" s="7">
        <v>25.838703718750004</v>
      </c>
      <c r="AU28" s="7">
        <v>26.086043281249999</v>
      </c>
      <c r="AV28" s="7">
        <v>28.621650781250001</v>
      </c>
      <c r="AW28" s="7">
        <v>35.776846093750002</v>
      </c>
      <c r="AX28" s="7">
        <v>36.955807656250002</v>
      </c>
      <c r="AY28" s="7">
        <v>37.548384218750002</v>
      </c>
      <c r="AZ28" s="7">
        <v>27.100312656250001</v>
      </c>
      <c r="BA28" s="7">
        <v>33.263567187500001</v>
      </c>
      <c r="BB28" s="7">
        <v>35.477325156249996</v>
      </c>
    </row>
    <row r="29" spans="1:54" ht="14.4" thickBot="1" x14ac:dyDescent="0.3">
      <c r="A29" s="1" t="s">
        <v>83</v>
      </c>
      <c r="B29" s="1">
        <f>RANK(B28,B28:K28,1)</f>
        <v>3</v>
      </c>
      <c r="C29" s="1">
        <f>RANK(C28,B28:K28,1)</f>
        <v>6</v>
      </c>
      <c r="D29" s="1">
        <f>RANK(D28,B28:K28,1)</f>
        <v>1</v>
      </c>
      <c r="E29" s="1">
        <f>RANK(E28,B28:K28,1)</f>
        <v>4</v>
      </c>
      <c r="F29" s="1">
        <f>RANK(F28,B28:K28,1)</f>
        <v>5</v>
      </c>
      <c r="G29" s="1">
        <f>RANK(G28,B28:K28,1)</f>
        <v>2</v>
      </c>
      <c r="H29" s="1">
        <f>RANK(H28,B28:K28,1)</f>
        <v>8</v>
      </c>
      <c r="I29" s="1">
        <f>RANK(I28,B28:K28,1)</f>
        <v>7</v>
      </c>
      <c r="J29" s="1">
        <f>RANK(J28,B28:K28,1)</f>
        <v>9</v>
      </c>
      <c r="K29" s="1">
        <f>RANK(K28,B28:K28,1)</f>
        <v>10</v>
      </c>
      <c r="M29" s="1" t="s">
        <v>83</v>
      </c>
      <c r="N29" s="1">
        <f>RANK(N28,N28:W28,1)</f>
        <v>1</v>
      </c>
      <c r="O29" s="1">
        <f>RANK(O28,N28:W28,1)</f>
        <v>4</v>
      </c>
      <c r="P29" s="1">
        <f>RANK(P28,N28:W28,1)</f>
        <v>2</v>
      </c>
      <c r="Q29" s="1">
        <f>RANK(Q28,N28:W28,1)</f>
        <v>3</v>
      </c>
      <c r="R29" s="1">
        <f>RANK(R28,N28:W28,1)</f>
        <v>9</v>
      </c>
      <c r="S29" s="1">
        <f>RANK(S28,N28:W28,1)</f>
        <v>10</v>
      </c>
      <c r="T29" s="1">
        <f>RANK(T28,N28:W28,1)</f>
        <v>7</v>
      </c>
      <c r="U29" s="1">
        <f>RANK(U28,N28:W28,1)</f>
        <v>5</v>
      </c>
      <c r="V29" s="1">
        <f>RANK(V28,N28:W28,1)</f>
        <v>6</v>
      </c>
      <c r="W29" s="1">
        <f>RANK(W28,N28:W28,1)</f>
        <v>8</v>
      </c>
      <c r="AF29" s="1" t="s">
        <v>74</v>
      </c>
      <c r="AG29" s="11">
        <v>10.762421406250001</v>
      </c>
      <c r="AH29" s="11">
        <v>10.50592846875</v>
      </c>
      <c r="AI29" s="11">
        <v>8.7149142187499997</v>
      </c>
      <c r="AJ29" s="11">
        <v>13.10282953125</v>
      </c>
      <c r="AK29" s="11">
        <v>9.4620521874999994</v>
      </c>
      <c r="AL29" s="11">
        <v>9.5725518750000003</v>
      </c>
      <c r="AM29" s="11">
        <v>9.0567314062499999</v>
      </c>
      <c r="AN29" s="11">
        <v>11.392097343750001</v>
      </c>
      <c r="AO29" s="11">
        <v>10.07231265625</v>
      </c>
      <c r="AP29" s="11">
        <v>9.3486590624999995</v>
      </c>
      <c r="AR29" s="1" t="s">
        <v>74</v>
      </c>
      <c r="AS29" s="11">
        <v>22.6996634375</v>
      </c>
      <c r="AT29" s="11">
        <v>24.850873312499996</v>
      </c>
      <c r="AU29" s="11">
        <v>22.301504062500001</v>
      </c>
      <c r="AV29" s="11">
        <v>29.237940312500001</v>
      </c>
      <c r="AW29" s="11">
        <v>34.163820000000001</v>
      </c>
      <c r="AX29" s="11">
        <v>36.260624999999997</v>
      </c>
      <c r="AY29" s="11">
        <v>36.631788593750002</v>
      </c>
      <c r="AZ29" s="11">
        <v>28.500775937499998</v>
      </c>
      <c r="BA29" s="11">
        <v>28.770144531250001</v>
      </c>
      <c r="BB29" s="11">
        <v>34.323639687499998</v>
      </c>
    </row>
    <row r="30" spans="1:54" x14ac:dyDescent="0.25">
      <c r="A30" s="1" t="s">
        <v>65</v>
      </c>
      <c r="B30" s="7">
        <v>11.3275221875</v>
      </c>
      <c r="C30" s="7">
        <v>10.805404187500001</v>
      </c>
      <c r="D30" s="7">
        <v>9.6519323437499995</v>
      </c>
      <c r="E30" s="7">
        <v>10.282057968749999</v>
      </c>
      <c r="F30" s="7">
        <v>10.33752140625</v>
      </c>
      <c r="G30" s="7">
        <v>10.105835624999999</v>
      </c>
      <c r="H30" s="7">
        <v>10.88705421875</v>
      </c>
      <c r="I30" s="7">
        <v>10.551754062500001</v>
      </c>
      <c r="J30" s="7">
        <v>10.171404062500001</v>
      </c>
      <c r="K30" s="2">
        <v>82.873233251450131</v>
      </c>
      <c r="M30" s="1" t="s">
        <v>65</v>
      </c>
      <c r="N30" s="7">
        <v>29.993127187500001</v>
      </c>
      <c r="O30" s="7">
        <v>28.161164343749999</v>
      </c>
      <c r="P30" s="7">
        <v>24.690798906249999</v>
      </c>
      <c r="Q30" s="7">
        <v>31.392469375000001</v>
      </c>
      <c r="R30" s="7">
        <v>37.811020468750002</v>
      </c>
      <c r="S30" s="7">
        <v>35.244886718750003</v>
      </c>
      <c r="T30" s="7">
        <v>39.784146562499998</v>
      </c>
      <c r="U30" s="7">
        <v>25.455982656250001</v>
      </c>
      <c r="V30" s="7">
        <v>32.917211875</v>
      </c>
      <c r="W30" s="7">
        <v>39.479332968750001</v>
      </c>
      <c r="AF30" s="1" t="s">
        <v>75</v>
      </c>
      <c r="AG30" s="1">
        <f t="shared" ref="AG30:AP30" si="10">AVERAGE(AG25:AG29)</f>
        <v>9.8954651562500011</v>
      </c>
      <c r="AH30" s="1">
        <f t="shared" si="10"/>
        <v>9.9891523937500004</v>
      </c>
      <c r="AI30" s="1">
        <f t="shared" si="10"/>
        <v>8.9775309062499993</v>
      </c>
      <c r="AJ30" s="1">
        <f t="shared" si="10"/>
        <v>12.897558343750001</v>
      </c>
      <c r="AK30" s="1">
        <f t="shared" si="10"/>
        <v>9.7479831250000011</v>
      </c>
      <c r="AL30" s="1">
        <f t="shared" si="10"/>
        <v>9.6677591249999999</v>
      </c>
      <c r="AM30" s="1">
        <f t="shared" si="10"/>
        <v>9.3062481562499997</v>
      </c>
      <c r="AN30" s="1">
        <f t="shared" si="10"/>
        <v>10.779837812500002</v>
      </c>
      <c r="AO30" s="1">
        <f t="shared" si="10"/>
        <v>9.8569308437499998</v>
      </c>
      <c r="AP30" s="1">
        <f t="shared" si="10"/>
        <v>9.4659753124999995</v>
      </c>
      <c r="AR30" s="1" t="s">
        <v>75</v>
      </c>
      <c r="AS30" s="1">
        <f t="shared" ref="AS30:BB30" si="11">AVERAGE(AS25:AS29)</f>
        <v>22.84442253125</v>
      </c>
      <c r="AT30" s="1">
        <f t="shared" si="11"/>
        <v>25.2825781875</v>
      </c>
      <c r="AU30" s="1">
        <f t="shared" si="11"/>
        <v>23.807381499999998</v>
      </c>
      <c r="AV30" s="1">
        <f t="shared" si="11"/>
        <v>30.154709593749999</v>
      </c>
      <c r="AW30" s="1">
        <f t="shared" si="11"/>
        <v>35.368287781250004</v>
      </c>
      <c r="AX30" s="1">
        <f t="shared" si="11"/>
        <v>36.373353375000001</v>
      </c>
      <c r="AY30" s="1">
        <f t="shared" si="11"/>
        <v>38.482835999999999</v>
      </c>
      <c r="AZ30" s="1">
        <f t="shared" si="11"/>
        <v>28.032347968750003</v>
      </c>
      <c r="BA30" s="1">
        <f t="shared" si="11"/>
        <v>32.069829112045127</v>
      </c>
      <c r="BB30" s="1">
        <f t="shared" si="11"/>
        <v>35.037383281250001</v>
      </c>
    </row>
    <row r="31" spans="1:54" x14ac:dyDescent="0.25">
      <c r="A31" s="1" t="s">
        <v>83</v>
      </c>
      <c r="B31" s="1">
        <f>RANK(B30,B30:K30,1)</f>
        <v>9</v>
      </c>
      <c r="C31" s="1">
        <f>RANK(C30,B30:K30,1)</f>
        <v>7</v>
      </c>
      <c r="D31" s="1">
        <f>RANK(D30,B30:K30,1)</f>
        <v>1</v>
      </c>
      <c r="E31" s="1">
        <f>RANK(E30,B30:K30,1)</f>
        <v>4</v>
      </c>
      <c r="F31" s="1">
        <f>RANK(F30,B30:K30,1)</f>
        <v>5</v>
      </c>
      <c r="G31" s="1">
        <f>RANK(G30,B30:K30,1)</f>
        <v>2</v>
      </c>
      <c r="H31" s="1">
        <f>RANK(H30,B30:K30,1)</f>
        <v>8</v>
      </c>
      <c r="I31" s="1">
        <f>RANK(I30,B30:K30,1)</f>
        <v>6</v>
      </c>
      <c r="J31" s="1">
        <f>RANK(J30,B30:K30,1)</f>
        <v>3</v>
      </c>
      <c r="K31" s="1">
        <f>RANK(K30,B30:K30,1)</f>
        <v>10</v>
      </c>
      <c r="M31" s="1" t="s">
        <v>83</v>
      </c>
      <c r="N31" s="1">
        <f>RANK(N30,N30:W30,1)</f>
        <v>4</v>
      </c>
      <c r="O31" s="1">
        <f>RANK(O30,N30:W30,1)</f>
        <v>3</v>
      </c>
      <c r="P31" s="1">
        <f>RANK(P30,N30:W30,1)</f>
        <v>1</v>
      </c>
      <c r="Q31" s="1">
        <f>RANK(Q30,N30:W30,1)</f>
        <v>5</v>
      </c>
      <c r="R31" s="1">
        <f>RANK(R30,N30:W30,1)</f>
        <v>8</v>
      </c>
      <c r="S31" s="1">
        <f>RANK(S30,N30:W30,1)</f>
        <v>7</v>
      </c>
      <c r="T31" s="1">
        <f>RANK(T30,N30:W30,1)</f>
        <v>10</v>
      </c>
      <c r="U31" s="1">
        <f>RANK(U30,N30:W30,1)</f>
        <v>2</v>
      </c>
      <c r="V31" s="1">
        <f>RANK(V30,N30:W30,1)</f>
        <v>6</v>
      </c>
      <c r="W31" s="1">
        <f>RANK(W30,N30:W30,1)</f>
        <v>9</v>
      </c>
      <c r="AF31" s="1" t="s">
        <v>83</v>
      </c>
      <c r="AG31" s="1">
        <f>RANK(AG30,AG30:AP30,1)</f>
        <v>7</v>
      </c>
      <c r="AH31" s="1">
        <f>RANK(AH30,AG30:AP30,1)</f>
        <v>8</v>
      </c>
      <c r="AI31" s="1">
        <f>RANK(AI30,AG30:AP30,1)</f>
        <v>1</v>
      </c>
      <c r="AJ31" s="1">
        <f>RANK(AJ30,AG30:AP30,1)</f>
        <v>10</v>
      </c>
      <c r="AK31" s="1">
        <f>RANK(AK30,AG30:AP30,1)</f>
        <v>5</v>
      </c>
      <c r="AL31" s="1">
        <f>RANK(AL30,AG30:AP30,1)</f>
        <v>4</v>
      </c>
      <c r="AM31" s="1">
        <f>RANK(AM30,AG30:AP30,1)</f>
        <v>2</v>
      </c>
      <c r="AN31" s="1">
        <f>RANK(AN30,AG30:AP30,1)</f>
        <v>9</v>
      </c>
      <c r="AO31" s="1">
        <f>RANK(AO30,AG30:AP30,1)</f>
        <v>6</v>
      </c>
      <c r="AP31" s="1">
        <f>RANK(AP30,AG30:AP30,1)</f>
        <v>3</v>
      </c>
      <c r="AR31" s="1" t="s">
        <v>83</v>
      </c>
      <c r="AS31" s="1">
        <f>RANK(AS30,AS30:BB30,1)</f>
        <v>1</v>
      </c>
      <c r="AT31" s="1">
        <f>RANK(AT30,AS30:BB30,1)</f>
        <v>3</v>
      </c>
      <c r="AU31" s="1">
        <f>RANK(AU30,AS30:BB30,1)</f>
        <v>2</v>
      </c>
      <c r="AV31" s="1">
        <f>RANK(AV30,AS30:BB30,1)</f>
        <v>5</v>
      </c>
      <c r="AW31" s="1">
        <f>RANK(AW30,AS30:BB30,1)</f>
        <v>8</v>
      </c>
      <c r="AX31" s="1">
        <f>RANK(AX30,AS30:BB30,1)</f>
        <v>9</v>
      </c>
      <c r="AY31" s="1">
        <f>RANK(AY30,AS30:BB30,1)</f>
        <v>10</v>
      </c>
      <c r="AZ31" s="1">
        <f>RANK(AZ30,AS30:BB30,1)</f>
        <v>4</v>
      </c>
      <c r="BA31" s="1">
        <f>RANK(BA30,AS30:BB30,1)</f>
        <v>6</v>
      </c>
      <c r="BB31" s="1">
        <f>RANK(BB30,AS30:BB30,1)</f>
        <v>7</v>
      </c>
    </row>
    <row r="32" spans="1:54" x14ac:dyDescent="0.25">
      <c r="A32" s="1" t="s">
        <v>66</v>
      </c>
      <c r="B32" s="7">
        <v>11.314596874999999</v>
      </c>
      <c r="C32" s="7">
        <v>10.79328471875</v>
      </c>
      <c r="D32" s="7">
        <v>10.00160265625</v>
      </c>
      <c r="E32" s="7">
        <v>10.058599062500001</v>
      </c>
      <c r="F32" s="7">
        <v>10.6602934375</v>
      </c>
      <c r="G32" s="7">
        <v>10.0069</v>
      </c>
      <c r="H32" s="7">
        <v>11.269244531249999</v>
      </c>
      <c r="I32" s="7">
        <v>10.91790328125</v>
      </c>
      <c r="J32" s="7">
        <v>10.296123906249999</v>
      </c>
      <c r="K32" s="2">
        <v>83.22165259188246</v>
      </c>
      <c r="M32" s="1" t="s">
        <v>66</v>
      </c>
      <c r="N32" s="7">
        <v>23.57549640625</v>
      </c>
      <c r="O32" s="7">
        <v>24.856144468749996</v>
      </c>
      <c r="P32" s="7">
        <v>24.658024062500001</v>
      </c>
      <c r="Q32" s="7">
        <v>32.715722968750001</v>
      </c>
      <c r="R32" s="7">
        <v>36.273125624999999</v>
      </c>
      <c r="S32" s="7">
        <v>36.432604687500003</v>
      </c>
      <c r="T32" s="7">
        <v>40.136945781249999</v>
      </c>
      <c r="U32" s="7">
        <v>27.2020528125</v>
      </c>
      <c r="V32" s="7">
        <v>35.052784375000002</v>
      </c>
      <c r="W32" s="7">
        <v>38.853786562499998</v>
      </c>
      <c r="AF32" s="1" t="s">
        <v>82</v>
      </c>
      <c r="AG32" s="1">
        <f>AVERAGE(AG6,AG14,AG22,AG30)</f>
        <v>15.167193085937498</v>
      </c>
      <c r="AH32" s="1">
        <f t="shared" ref="AH32:AP32" si="12">AVERAGE(AH6,AH14,AH22,AH30)</f>
        <v>14.53038991875</v>
      </c>
      <c r="AI32" s="1">
        <f t="shared" si="12"/>
        <v>13.482579601562499</v>
      </c>
      <c r="AJ32" s="1">
        <f t="shared" si="12"/>
        <v>19.1975071640625</v>
      </c>
      <c r="AK32" s="1">
        <f t="shared" si="12"/>
        <v>13.815967226562499</v>
      </c>
      <c r="AL32" s="1">
        <f t="shared" si="12"/>
        <v>15.488155562500001</v>
      </c>
      <c r="AM32" s="1">
        <f t="shared" si="12"/>
        <v>14.523601765625001</v>
      </c>
      <c r="AN32" s="1">
        <f t="shared" si="12"/>
        <v>14.801738320312499</v>
      </c>
      <c r="AO32" s="1">
        <f t="shared" si="12"/>
        <v>14.186877359375</v>
      </c>
      <c r="AP32" s="1">
        <f t="shared" si="12"/>
        <v>31.934073458869307</v>
      </c>
      <c r="AR32" s="1" t="s">
        <v>82</v>
      </c>
      <c r="AS32" s="1">
        <f>AVERAGE(AS6,AS14,AS22,AS30)</f>
        <v>26.799226453125002</v>
      </c>
      <c r="AT32" s="1">
        <f t="shared" ref="AT32:BB32" si="13">AVERAGE(AT6,AT14,AT22,AT30)</f>
        <v>29.3036274453125</v>
      </c>
      <c r="AU32" s="1">
        <f t="shared" si="13"/>
        <v>27.004825531249999</v>
      </c>
      <c r="AV32" s="1">
        <f t="shared" si="13"/>
        <v>34.479181499999996</v>
      </c>
      <c r="AW32" s="1">
        <f t="shared" si="13"/>
        <v>39.250789640625001</v>
      </c>
      <c r="AX32" s="1">
        <f t="shared" si="13"/>
        <v>39.848036624999999</v>
      </c>
      <c r="AY32" s="1">
        <f t="shared" si="13"/>
        <v>43.852711109375001</v>
      </c>
      <c r="AZ32" s="1">
        <f t="shared" si="13"/>
        <v>31.093191250000004</v>
      </c>
      <c r="BA32" s="1">
        <f t="shared" si="13"/>
        <v>35.967201496761277</v>
      </c>
      <c r="BB32" s="1">
        <f t="shared" si="13"/>
        <v>37.8843150390625</v>
      </c>
    </row>
    <row r="33" spans="1:54" x14ac:dyDescent="0.25">
      <c r="A33" s="1" t="s">
        <v>83</v>
      </c>
      <c r="B33" s="1">
        <f>RANK(B32,B32:K32,1)</f>
        <v>9</v>
      </c>
      <c r="C33" s="1">
        <f>RANK(C32,B32:K32,1)</f>
        <v>6</v>
      </c>
      <c r="D33" s="1">
        <f>RANK(D32,B32:K32,1)</f>
        <v>1</v>
      </c>
      <c r="E33" s="1">
        <f>RANK(E32,B32:K32,1)</f>
        <v>3</v>
      </c>
      <c r="F33" s="1">
        <f>RANK(F32,B32:K32,1)</f>
        <v>5</v>
      </c>
      <c r="G33" s="1">
        <f>RANK(G32,B32:K32,1)</f>
        <v>2</v>
      </c>
      <c r="H33" s="1">
        <f>RANK(H32,B32:K32,1)</f>
        <v>8</v>
      </c>
      <c r="I33" s="1">
        <f>RANK(I32,B32:K32,1)</f>
        <v>7</v>
      </c>
      <c r="J33" s="1">
        <f>RANK(J32,B32:K32,1)</f>
        <v>4</v>
      </c>
      <c r="K33" s="1">
        <f>RANK(K32,B32:K32,1)</f>
        <v>10</v>
      </c>
      <c r="M33" s="1" t="s">
        <v>83</v>
      </c>
      <c r="N33" s="1">
        <f>RANK(N32,N32:W32,1)</f>
        <v>1</v>
      </c>
      <c r="O33" s="1">
        <f>RANK(O32,N32:W32,1)</f>
        <v>3</v>
      </c>
      <c r="P33" s="1">
        <f>RANK(P32,N32:W32,1)</f>
        <v>2</v>
      </c>
      <c r="Q33" s="1">
        <f>RANK(Q32,N32:W32,1)</f>
        <v>5</v>
      </c>
      <c r="R33" s="1">
        <f>RANK(R32,N32:W32,1)</f>
        <v>7</v>
      </c>
      <c r="S33" s="1">
        <f>RANK(S32,N32:W32,1)</f>
        <v>8</v>
      </c>
      <c r="T33" s="1">
        <f>RANK(T32,N32:W32,1)</f>
        <v>10</v>
      </c>
      <c r="U33" s="1">
        <f>RANK(U32,N32:W32,1)</f>
        <v>4</v>
      </c>
      <c r="V33" s="1">
        <f>RANK(V32,N32:W32,1)</f>
        <v>6</v>
      </c>
      <c r="W33" s="1">
        <f>RANK(W32,N32:W32,1)</f>
        <v>9</v>
      </c>
      <c r="AF33" s="1" t="s">
        <v>84</v>
      </c>
      <c r="AG33" s="1">
        <f>AVERAGE(AG10,AG17,AG24,AG31)</f>
        <v>6.25</v>
      </c>
      <c r="AH33" s="1">
        <f t="shared" ref="AH33:AP33" si="14">AVERAGE(AH10,AH17,AH24,AH31)</f>
        <v>7.5</v>
      </c>
      <c r="AI33" s="1">
        <f t="shared" si="14"/>
        <v>1</v>
      </c>
      <c r="AJ33" s="1">
        <f t="shared" si="14"/>
        <v>8.25</v>
      </c>
      <c r="AK33" s="1">
        <f t="shared" si="14"/>
        <v>4</v>
      </c>
      <c r="AL33" s="1">
        <f t="shared" si="14"/>
        <v>5.25</v>
      </c>
      <c r="AM33" s="1">
        <f t="shared" si="14"/>
        <v>4.75</v>
      </c>
      <c r="AN33" s="1">
        <f t="shared" si="14"/>
        <v>8</v>
      </c>
      <c r="AO33" s="1">
        <f t="shared" si="14"/>
        <v>5.5</v>
      </c>
      <c r="AP33" s="1">
        <f t="shared" si="14"/>
        <v>4.5</v>
      </c>
      <c r="AR33" s="1" t="s">
        <v>84</v>
      </c>
      <c r="AS33" s="1">
        <f>AVERAGE(AS10,AS17,AS24,AS31)</f>
        <v>1.75</v>
      </c>
      <c r="AT33" s="1">
        <f t="shared" ref="AT33:BB33" si="15">AVERAGE(AT10,AT17,AT24,AT31)</f>
        <v>3</v>
      </c>
      <c r="AU33" s="1">
        <f t="shared" si="15"/>
        <v>1.25</v>
      </c>
      <c r="AV33" s="1">
        <f t="shared" si="15"/>
        <v>5</v>
      </c>
      <c r="AW33" s="1">
        <f t="shared" si="15"/>
        <v>8</v>
      </c>
      <c r="AX33" s="1">
        <f t="shared" si="15"/>
        <v>8.5</v>
      </c>
      <c r="AY33" s="1">
        <f t="shared" si="15"/>
        <v>9.75</v>
      </c>
      <c r="AZ33" s="1">
        <f t="shared" si="15"/>
        <v>4</v>
      </c>
      <c r="BA33" s="1">
        <f t="shared" si="15"/>
        <v>6</v>
      </c>
      <c r="BB33" s="1">
        <f t="shared" si="15"/>
        <v>7.75</v>
      </c>
    </row>
    <row r="34" spans="1:54" x14ac:dyDescent="0.25">
      <c r="A34" s="1" t="s">
        <v>67</v>
      </c>
      <c r="B34" s="7">
        <v>11.39746109375</v>
      </c>
      <c r="C34" s="7">
        <v>10.50706959375</v>
      </c>
      <c r="D34" s="7">
        <v>10.694839218749999</v>
      </c>
      <c r="E34" s="7">
        <v>10.077540781250001</v>
      </c>
      <c r="F34" s="7">
        <v>10.3120340625</v>
      </c>
      <c r="G34" s="7">
        <v>9.6834314062499995</v>
      </c>
      <c r="H34" s="7">
        <v>11.44977171875</v>
      </c>
      <c r="I34" s="7">
        <v>11.193027499999999</v>
      </c>
      <c r="J34" s="7">
        <v>10.172814375</v>
      </c>
      <c r="K34" s="2">
        <v>83.067619800105774</v>
      </c>
      <c r="M34" s="1" t="s">
        <v>67</v>
      </c>
      <c r="N34" s="7">
        <v>25.047550000000001</v>
      </c>
      <c r="O34" s="7">
        <v>26.403040937499998</v>
      </c>
      <c r="P34" s="7">
        <v>24.40540015625</v>
      </c>
      <c r="Q34" s="7">
        <v>31.13495140625</v>
      </c>
      <c r="R34" s="7">
        <v>39.133263906250001</v>
      </c>
      <c r="S34" s="7">
        <v>37.452298749999997</v>
      </c>
      <c r="T34" s="7">
        <v>36.443286718750002</v>
      </c>
      <c r="U34" s="7">
        <v>30.284321406250001</v>
      </c>
      <c r="V34" s="7">
        <v>32.342664843750001</v>
      </c>
      <c r="W34" s="7">
        <v>38.153079218750001</v>
      </c>
    </row>
    <row r="35" spans="1:54" x14ac:dyDescent="0.25">
      <c r="A35" s="1" t="s">
        <v>83</v>
      </c>
      <c r="B35" s="1">
        <f>RANK(B34,B34:K34,1)</f>
        <v>8</v>
      </c>
      <c r="C35" s="1">
        <f>RANK(C34,B34:K34,1)</f>
        <v>5</v>
      </c>
      <c r="D35" s="1">
        <f>RANK(D34,B34:K34,1)</f>
        <v>6</v>
      </c>
      <c r="E35" s="1">
        <f>RANK(E34,B34:K34,1)</f>
        <v>2</v>
      </c>
      <c r="F35" s="1">
        <f>RANK(F34,B34:K34,1)</f>
        <v>4</v>
      </c>
      <c r="G35" s="1">
        <f>RANK(G34,B34:K34,1)</f>
        <v>1</v>
      </c>
      <c r="H35" s="1">
        <f>RANK(H34,B34:K34,1)</f>
        <v>9</v>
      </c>
      <c r="I35" s="1">
        <f>RANK(I34,B34:K34,1)</f>
        <v>7</v>
      </c>
      <c r="J35" s="1">
        <f>RANK(J34,B34:K34,1)</f>
        <v>3</v>
      </c>
      <c r="K35" s="1">
        <f>RANK(K34,B34:K34,1)</f>
        <v>10</v>
      </c>
      <c r="M35" s="1" t="s">
        <v>83</v>
      </c>
      <c r="N35" s="1">
        <f>RANK(N34,N34:W34,1)</f>
        <v>2</v>
      </c>
      <c r="O35" s="1">
        <f>RANK(O34,N34:W34,1)</f>
        <v>3</v>
      </c>
      <c r="P35" s="1">
        <f>RANK(P34,N34:W34,1)</f>
        <v>1</v>
      </c>
      <c r="Q35" s="1">
        <f>RANK(Q34,N34:W34,1)</f>
        <v>5</v>
      </c>
      <c r="R35" s="1">
        <f>RANK(R34,N34:W34,1)</f>
        <v>10</v>
      </c>
      <c r="S35" s="1">
        <f>RANK(S34,N34:W34,1)</f>
        <v>8</v>
      </c>
      <c r="T35" s="1">
        <f>RANK(T34,N34:W34,1)</f>
        <v>7</v>
      </c>
      <c r="U35" s="1">
        <f>RANK(U34,N34:W34,1)</f>
        <v>4</v>
      </c>
      <c r="V35" s="1">
        <f>RANK(V34,N34:W34,1)</f>
        <v>6</v>
      </c>
      <c r="W35" s="1">
        <f>RANK(W34,N34:W34,1)</f>
        <v>9</v>
      </c>
      <c r="AR35" s="1" t="s">
        <v>88</v>
      </c>
      <c r="AS35">
        <f t="shared" ref="AS35:BB35" si="16">AVERAGE(AG10,AS10,AG17,AS17,AG24,AS24,AG31,AS31)</f>
        <v>4</v>
      </c>
      <c r="AT35">
        <f t="shared" si="16"/>
        <v>5.25</v>
      </c>
      <c r="AU35">
        <f t="shared" si="16"/>
        <v>1.125</v>
      </c>
      <c r="AV35">
        <f t="shared" si="16"/>
        <v>6.625</v>
      </c>
      <c r="AW35">
        <f t="shared" si="16"/>
        <v>6</v>
      </c>
      <c r="AX35">
        <f t="shared" si="16"/>
        <v>6.875</v>
      </c>
      <c r="AY35">
        <f t="shared" si="16"/>
        <v>7.25</v>
      </c>
      <c r="AZ35">
        <f t="shared" si="16"/>
        <v>6</v>
      </c>
      <c r="BA35">
        <f t="shared" si="16"/>
        <v>5.75</v>
      </c>
      <c r="BB35">
        <f t="shared" si="16"/>
        <v>6.125</v>
      </c>
    </row>
    <row r="36" spans="1:54" ht="14.4" thickBot="1" x14ac:dyDescent="0.3">
      <c r="A36" s="1" t="s">
        <v>68</v>
      </c>
      <c r="B36" s="11">
        <v>11.269884062499999</v>
      </c>
      <c r="C36" s="11">
        <v>10.43136271875</v>
      </c>
      <c r="D36" s="11">
        <v>9.5443504687500003</v>
      </c>
      <c r="E36" s="11">
        <v>10.34434328125</v>
      </c>
      <c r="F36" s="11">
        <v>10.381894375</v>
      </c>
      <c r="G36" s="11">
        <v>10.087449843750001</v>
      </c>
      <c r="H36" s="11">
        <v>12.068248125</v>
      </c>
      <c r="I36" s="11">
        <v>10.84443890625</v>
      </c>
      <c r="J36" s="11">
        <v>10.5494746875</v>
      </c>
      <c r="K36" s="12">
        <v>82.976127429227219</v>
      </c>
      <c r="M36" s="1" t="s">
        <v>68</v>
      </c>
      <c r="N36" s="11">
        <v>24.262007812499998</v>
      </c>
      <c r="O36" s="11">
        <v>26.608938187499994</v>
      </c>
      <c r="P36" s="11">
        <v>25.643900468750001</v>
      </c>
      <c r="Q36" s="11">
        <v>30.59330109375</v>
      </c>
      <c r="R36" s="11">
        <v>35.99876890625</v>
      </c>
      <c r="S36" s="11">
        <v>33.119444062500001</v>
      </c>
      <c r="T36" s="11">
        <v>43.365690624999999</v>
      </c>
      <c r="U36" s="11">
        <v>27.454213906250001</v>
      </c>
      <c r="V36" s="11">
        <v>33.352780781249997</v>
      </c>
      <c r="W36" s="11">
        <v>38.657223593749997</v>
      </c>
      <c r="AR36" s="1" t="s">
        <v>92</v>
      </c>
      <c r="AS36">
        <f t="shared" ref="AS36:BB36" si="17">AVERAGE(AG9,AG16,AG23,AG30,AS9,AS16,AS23,AS30)</f>
        <v>20.832188417968748</v>
      </c>
      <c r="AT36">
        <f t="shared" si="17"/>
        <v>21.94495566484375</v>
      </c>
      <c r="AU36">
        <f t="shared" si="17"/>
        <v>20.040274277343748</v>
      </c>
      <c r="AV36">
        <f t="shared" si="17"/>
        <v>26.204576035156247</v>
      </c>
      <c r="AW36">
        <f t="shared" si="17"/>
        <v>26.681235195312496</v>
      </c>
      <c r="AX36">
        <f t="shared" si="17"/>
        <v>27.132914765624999</v>
      </c>
      <c r="AY36">
        <f t="shared" si="17"/>
        <v>28.059532242187501</v>
      </c>
      <c r="AZ36">
        <f t="shared" si="17"/>
        <v>23.03566575</v>
      </c>
      <c r="BA36">
        <f t="shared" si="17"/>
        <v>24.952462881193142</v>
      </c>
      <c r="BB36">
        <f t="shared" si="17"/>
        <v>35.91888104102415</v>
      </c>
    </row>
    <row r="37" spans="1:54" x14ac:dyDescent="0.25">
      <c r="A37" s="1" t="s">
        <v>83</v>
      </c>
      <c r="B37" s="1">
        <f>RANK(B36,B36:K36,1)</f>
        <v>8</v>
      </c>
      <c r="C37" s="1">
        <f>RANK(C36,B36:K36,1)</f>
        <v>5</v>
      </c>
      <c r="D37" s="1">
        <f>RANK(D36,B36:K36,1)</f>
        <v>1</v>
      </c>
      <c r="E37" s="1">
        <f>RANK(E36,B36:K36,1)</f>
        <v>3</v>
      </c>
      <c r="F37" s="1">
        <f>RANK(F36,B36:K36,1)</f>
        <v>4</v>
      </c>
      <c r="G37" s="1">
        <f>RANK(G36,B36:K36,1)</f>
        <v>2</v>
      </c>
      <c r="H37" s="1">
        <f>RANK(H36,B36:K36,1)</f>
        <v>9</v>
      </c>
      <c r="I37" s="1">
        <f>RANK(I36,B36:K36,1)</f>
        <v>7</v>
      </c>
      <c r="J37" s="1">
        <f>RANK(J36,B36:K36,1)</f>
        <v>6</v>
      </c>
      <c r="K37" s="1">
        <f>RANK(K36,B36:K36,1)</f>
        <v>10</v>
      </c>
      <c r="M37" s="1" t="s">
        <v>83</v>
      </c>
      <c r="N37" s="1">
        <f>RANK(N36,N36:W36,1)</f>
        <v>1</v>
      </c>
      <c r="O37" s="1">
        <f>RANK(O36,N36:W36,1)</f>
        <v>3</v>
      </c>
      <c r="P37" s="1">
        <f>RANK(P36,N36:W36,1)</f>
        <v>2</v>
      </c>
      <c r="Q37" s="1">
        <f>RANK(Q36,N36:W36,1)</f>
        <v>5</v>
      </c>
      <c r="R37" s="1">
        <f>RANK(R36,N36:W36,1)</f>
        <v>8</v>
      </c>
      <c r="S37" s="1">
        <f>RANK(S36,N36:W36,1)</f>
        <v>6</v>
      </c>
      <c r="T37" s="1">
        <f>RANK(T36,N36:W36,1)</f>
        <v>10</v>
      </c>
      <c r="U37" s="1">
        <f>RANK(U36,N36:W36,1)</f>
        <v>4</v>
      </c>
      <c r="V37" s="1">
        <f>RANK(V36,N36:W36,1)</f>
        <v>7</v>
      </c>
      <c r="W37" s="1">
        <f>RANK(W36,N36:W36,1)</f>
        <v>9</v>
      </c>
    </row>
    <row r="38" spans="1:54" x14ac:dyDescent="0.25">
      <c r="A38" s="1" t="s">
        <v>69</v>
      </c>
      <c r="B38" s="1">
        <f t="shared" ref="B38:K38" si="18">AVERAGE(B28:B36)</f>
        <v>9.3719888888888878</v>
      </c>
      <c r="C38" s="1">
        <f t="shared" si="18"/>
        <v>8.5687284930555538</v>
      </c>
      <c r="D38" s="1">
        <f t="shared" si="18"/>
        <v>6.4946306076388884</v>
      </c>
      <c r="E38" s="1">
        <f t="shared" si="18"/>
        <v>7.1141581597222228</v>
      </c>
      <c r="F38" s="1">
        <f t="shared" si="18"/>
        <v>7.9036128819444444</v>
      </c>
      <c r="G38" s="1">
        <f t="shared" si="18"/>
        <v>6.3231018402777774</v>
      </c>
      <c r="H38" s="1">
        <f t="shared" si="18"/>
        <v>9.9673318576388894</v>
      </c>
      <c r="I38" s="1">
        <f t="shared" si="18"/>
        <v>9.0584425000000017</v>
      </c>
      <c r="J38" s="1">
        <f t="shared" si="18"/>
        <v>7.9530663715277781</v>
      </c>
      <c r="K38" s="1">
        <f t="shared" si="18"/>
        <v>50.561897196218446</v>
      </c>
      <c r="M38" s="1" t="s">
        <v>69</v>
      </c>
      <c r="N38" s="1">
        <f t="shared" ref="N38:W38" si="19">AVERAGE(N28:N36)</f>
        <v>15.089128854166667</v>
      </c>
      <c r="O38" s="1">
        <f t="shared" si="19"/>
        <v>16.321195322916665</v>
      </c>
      <c r="P38" s="1">
        <f t="shared" si="19"/>
        <v>14.504143541666666</v>
      </c>
      <c r="Q38" s="1">
        <f t="shared" si="19"/>
        <v>18.894562621527779</v>
      </c>
      <c r="R38" s="1">
        <f t="shared" si="19"/>
        <v>24.820382378472221</v>
      </c>
      <c r="S38" s="1">
        <f t="shared" si="19"/>
        <v>24.135245555555557</v>
      </c>
      <c r="T38" s="1">
        <f t="shared" si="19"/>
        <v>25.936634079861115</v>
      </c>
      <c r="U38" s="1">
        <f t="shared" si="19"/>
        <v>17.186300416666668</v>
      </c>
      <c r="V38" s="1">
        <f t="shared" si="19"/>
        <v>21.333718958333336</v>
      </c>
      <c r="W38" s="1">
        <f t="shared" si="19"/>
        <v>25.583367447916668</v>
      </c>
    </row>
    <row r="39" spans="1:54" ht="14.4" thickBot="1" x14ac:dyDescent="0.3">
      <c r="A39" s="1" t="s">
        <v>83</v>
      </c>
      <c r="B39" s="1">
        <f>RANK(B38,B38:K38,1)</f>
        <v>8</v>
      </c>
      <c r="C39" s="1">
        <f>RANK(C38,B38:K38,1)</f>
        <v>6</v>
      </c>
      <c r="D39" s="1">
        <f>RANK(D38,B38:K38,1)</f>
        <v>2</v>
      </c>
      <c r="E39" s="1">
        <f>RANK(E38,B38:K38,1)</f>
        <v>3</v>
      </c>
      <c r="F39" s="1">
        <f>RANK(F38,B38:K38,1)</f>
        <v>4</v>
      </c>
      <c r="G39" s="1">
        <f>RANK(G38,B38:K38,1)</f>
        <v>1</v>
      </c>
      <c r="H39" s="1">
        <f>RANK(H38,B38:K38,1)</f>
        <v>9</v>
      </c>
      <c r="I39" s="1">
        <f>RANK(I38,B38:K38,1)</f>
        <v>7</v>
      </c>
      <c r="J39" s="1">
        <f>RANK(J38,B38:K38,1)</f>
        <v>5</v>
      </c>
      <c r="K39" s="1">
        <f>RANK(K38,B38:K38,1)</f>
        <v>10</v>
      </c>
      <c r="M39" s="1" t="s">
        <v>83</v>
      </c>
      <c r="N39" s="1">
        <f>RANK(N38,N38:W38,1)</f>
        <v>2</v>
      </c>
      <c r="O39" s="1">
        <f>RANK(O38,N38:W38,1)</f>
        <v>3</v>
      </c>
      <c r="P39" s="1">
        <f>RANK(P38,N38:W38,1)</f>
        <v>1</v>
      </c>
      <c r="Q39" s="1">
        <f>RANK(Q38,N38:W38,1)</f>
        <v>5</v>
      </c>
      <c r="R39" s="1">
        <f>RANK(R38,N38:W38,1)</f>
        <v>8</v>
      </c>
      <c r="S39" s="1">
        <f>RANK(S38,N38:W38,1)</f>
        <v>7</v>
      </c>
      <c r="T39" s="1">
        <f>RANK(T38,N38:W38,1)</f>
        <v>10</v>
      </c>
      <c r="U39" s="1">
        <f>RANK(U38,N38:W38,1)</f>
        <v>4</v>
      </c>
      <c r="V39" s="1">
        <f>RANK(V38,N38:W38,1)</f>
        <v>6</v>
      </c>
      <c r="W39" s="1">
        <f>RANK(W38,N38:W38,1)</f>
        <v>9</v>
      </c>
    </row>
    <row r="40" spans="1:54" x14ac:dyDescent="0.25">
      <c r="A40" s="1" t="s">
        <v>70</v>
      </c>
      <c r="B40" s="3">
        <v>9.0745042187500005</v>
      </c>
      <c r="C40" s="3">
        <v>9.8823816562500006</v>
      </c>
      <c r="D40" s="3">
        <v>8.7468798437499995</v>
      </c>
      <c r="E40" s="3">
        <v>13.034223125</v>
      </c>
      <c r="F40" s="3">
        <v>9.3859032812500001</v>
      </c>
      <c r="G40" s="3">
        <v>10.041057500000001</v>
      </c>
      <c r="H40" s="3">
        <v>9.2969620312500005</v>
      </c>
      <c r="I40" s="3">
        <v>10.399813125</v>
      </c>
      <c r="J40" s="3">
        <v>9.7958109375000006</v>
      </c>
      <c r="K40" s="3">
        <v>9.4672048437500003</v>
      </c>
      <c r="M40" s="1" t="s">
        <v>70</v>
      </c>
      <c r="N40" s="3">
        <v>23.159452343750001</v>
      </c>
      <c r="O40" s="3">
        <v>25.6423305625</v>
      </c>
      <c r="P40" s="3">
        <v>25.334791406250002</v>
      </c>
      <c r="Q40" s="3">
        <v>30.281587187500001</v>
      </c>
      <c r="R40" s="3">
        <v>35.695854687500002</v>
      </c>
      <c r="S40" s="3">
        <v>35.0659615625</v>
      </c>
      <c r="T40" s="3">
        <v>39.920930312499998</v>
      </c>
      <c r="U40" s="3">
        <v>30.950119531249999</v>
      </c>
      <c r="V40" s="3">
        <v>33.2848240625</v>
      </c>
      <c r="W40" s="3">
        <v>36.310434687499999</v>
      </c>
      <c r="AF40" s="79" t="s">
        <v>90</v>
      </c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</row>
    <row r="41" spans="1:54" ht="14.4" thickBot="1" x14ac:dyDescent="0.3">
      <c r="A41" s="1" t="s">
        <v>83</v>
      </c>
      <c r="B41" s="1">
        <f>RANK(B40,B40:K40,1)</f>
        <v>2</v>
      </c>
      <c r="C41" s="1">
        <f>RANK(C40,B40:K40,1)</f>
        <v>7</v>
      </c>
      <c r="D41" s="1">
        <f>RANK(D40,B40:K40,1)</f>
        <v>1</v>
      </c>
      <c r="E41" s="1">
        <f>RANK(E40,B40:K40,1)</f>
        <v>10</v>
      </c>
      <c r="F41" s="1">
        <f>RANK(F40,B40:K40,1)</f>
        <v>4</v>
      </c>
      <c r="G41" s="1">
        <f>RANK(G40,B40:K40,1)</f>
        <v>8</v>
      </c>
      <c r="H41" s="1">
        <f>RANK(H40,B40:K40,1)</f>
        <v>3</v>
      </c>
      <c r="I41" s="1">
        <f>RANK(I40,B40:K40,1)</f>
        <v>9</v>
      </c>
      <c r="J41" s="1">
        <f>RANK(J40,B40:K40,1)</f>
        <v>6</v>
      </c>
      <c r="K41" s="1">
        <f>RANK(K40,B40:K40,1)</f>
        <v>5</v>
      </c>
      <c r="M41" s="1" t="s">
        <v>83</v>
      </c>
      <c r="N41" s="1">
        <f>RANK(N40,N40:W40,1)</f>
        <v>1</v>
      </c>
      <c r="O41" s="1">
        <f>RANK(O40,N40:W40,1)</f>
        <v>3</v>
      </c>
      <c r="P41" s="1">
        <f>RANK(P40,N40:W40,1)</f>
        <v>2</v>
      </c>
      <c r="Q41" s="1">
        <f>RANK(Q40,N40:W40,1)</f>
        <v>4</v>
      </c>
      <c r="R41" s="1">
        <f>RANK(R40,N40:W40,1)</f>
        <v>8</v>
      </c>
      <c r="S41" s="1">
        <f>RANK(S40,N40:W40,1)</f>
        <v>7</v>
      </c>
      <c r="T41" s="1">
        <f>RANK(T40,N40:W40,1)</f>
        <v>10</v>
      </c>
      <c r="U41" s="1">
        <f>RANK(U40,N40:W40,1)</f>
        <v>5</v>
      </c>
      <c r="V41" s="1">
        <f>RANK(V40,N40:W40,1)</f>
        <v>6</v>
      </c>
      <c r="W41" s="1">
        <f>RANK(W40,N40:W40,1)</f>
        <v>9</v>
      </c>
      <c r="AF41" s="80" t="s">
        <v>85</v>
      </c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R41" s="80" t="s">
        <v>86</v>
      </c>
      <c r="AS41" s="80"/>
      <c r="AT41" s="80"/>
      <c r="AU41" s="80"/>
      <c r="AV41" s="80"/>
      <c r="AW41" s="80"/>
      <c r="AX41" s="80"/>
      <c r="AY41" s="80"/>
      <c r="AZ41" s="80"/>
      <c r="BA41" s="80"/>
      <c r="BB41" s="80"/>
    </row>
    <row r="42" spans="1:54" x14ac:dyDescent="0.25">
      <c r="A42" s="1" t="s">
        <v>71</v>
      </c>
      <c r="B42" s="7">
        <v>10.142459687500001</v>
      </c>
      <c r="C42" s="7">
        <v>10.0432665</v>
      </c>
      <c r="D42" s="7">
        <v>9.9377346875000008</v>
      </c>
      <c r="E42" s="7">
        <v>14.1098078125</v>
      </c>
      <c r="F42" s="7">
        <v>9.3135200000000005</v>
      </c>
      <c r="G42" s="7">
        <v>9.6597301562499993</v>
      </c>
      <c r="H42" s="7">
        <v>8.9820100000000007</v>
      </c>
      <c r="I42" s="7">
        <v>10.273791718749999</v>
      </c>
      <c r="J42" s="7">
        <v>9.7908790625000002</v>
      </c>
      <c r="K42" s="7">
        <v>9.4357175000000009</v>
      </c>
      <c r="M42" s="1" t="s">
        <v>71</v>
      </c>
      <c r="N42" s="7">
        <v>23.832399531250001</v>
      </c>
      <c r="O42" s="7">
        <v>25.616437281250001</v>
      </c>
      <c r="P42" s="7">
        <v>23.119789531249999</v>
      </c>
      <c r="Q42" s="7">
        <v>32.844006406250003</v>
      </c>
      <c r="R42" s="7">
        <v>36.701930781249999</v>
      </c>
      <c r="S42" s="7">
        <v>36.63245921875</v>
      </c>
      <c r="T42" s="7">
        <v>40.456387656250001</v>
      </c>
      <c r="U42" s="7">
        <v>28.022295312499999</v>
      </c>
      <c r="V42" s="7">
        <v>33.303352435225648</v>
      </c>
      <c r="W42" s="7">
        <v>34.833544375000002</v>
      </c>
      <c r="AF42" s="1" t="s">
        <v>76</v>
      </c>
      <c r="AG42" s="3">
        <v>2.9697870318872823</v>
      </c>
      <c r="AH42" s="3">
        <v>2.9517067575083424</v>
      </c>
      <c r="AI42" s="3">
        <v>2.8305930200222469</v>
      </c>
      <c r="AJ42" s="3">
        <v>3.0644408138672601</v>
      </c>
      <c r="AK42" s="3">
        <v>2.878447117167223</v>
      </c>
      <c r="AL42" s="3">
        <v>3.0071723210975159</v>
      </c>
      <c r="AM42" s="3">
        <v>2.9360342510196515</v>
      </c>
      <c r="AN42" s="3">
        <v>3.13331942899518</v>
      </c>
      <c r="AO42" s="3">
        <v>2.8930698461253246</v>
      </c>
      <c r="AP42" s="3">
        <v>2.8550994160177976</v>
      </c>
      <c r="AR42" s="1" t="s">
        <v>76</v>
      </c>
      <c r="AS42" s="3">
        <v>8.602480765665554</v>
      </c>
      <c r="AT42" s="3">
        <v>9.1624107804968489</v>
      </c>
      <c r="AU42" s="3">
        <v>11.909494345569151</v>
      </c>
      <c r="AV42" s="3">
        <v>122.82360609010011</v>
      </c>
      <c r="AW42" s="3">
        <v>31.744727938450129</v>
      </c>
      <c r="AX42" s="3">
        <v>7.4353680014831296</v>
      </c>
      <c r="AY42" s="3">
        <v>172.87683653133112</v>
      </c>
      <c r="AZ42" s="3">
        <v>47.174470476455319</v>
      </c>
      <c r="BA42" s="3">
        <v>34.33636332035595</v>
      </c>
      <c r="BB42" s="3">
        <v>90.583310159436408</v>
      </c>
    </row>
    <row r="43" spans="1:54" x14ac:dyDescent="0.25">
      <c r="A43" s="1" t="s">
        <v>83</v>
      </c>
      <c r="B43" s="1">
        <f>RANK(B42,B42:K42,1)</f>
        <v>8</v>
      </c>
      <c r="C43" s="1">
        <f>RANK(C42,B42:K42,1)</f>
        <v>7</v>
      </c>
      <c r="D43" s="1">
        <f>RANK(D42,B42:K42,1)</f>
        <v>6</v>
      </c>
      <c r="E43" s="1">
        <f>RANK(E42,B42:K42,1)</f>
        <v>10</v>
      </c>
      <c r="F43" s="1">
        <f>RANK(F42,B42:K42,1)</f>
        <v>2</v>
      </c>
      <c r="G43" s="1">
        <f>RANK(G42,B42:K42,1)</f>
        <v>4</v>
      </c>
      <c r="H43" s="1">
        <f>RANK(H42,B42:K42,1)</f>
        <v>1</v>
      </c>
      <c r="I43" s="1">
        <f>RANK(I42,B42:K42,1)</f>
        <v>9</v>
      </c>
      <c r="J43" s="1">
        <f>RANK(J42,B42:K42,1)</f>
        <v>5</v>
      </c>
      <c r="K43" s="1">
        <f>RANK(K42,B42:K42,1)</f>
        <v>3</v>
      </c>
      <c r="M43" s="1" t="s">
        <v>83</v>
      </c>
      <c r="N43" s="1">
        <f>RANK(N42,N42:W42,1)</f>
        <v>2</v>
      </c>
      <c r="O43" s="1">
        <f>RANK(O42,N42:W42,1)</f>
        <v>3</v>
      </c>
      <c r="P43" s="1">
        <f>RANK(P42,N42:W42,1)</f>
        <v>1</v>
      </c>
      <c r="Q43" s="1">
        <f>RANK(Q42,N42:W42,1)</f>
        <v>5</v>
      </c>
      <c r="R43" s="1">
        <f>RANK(R42,N42:W42,1)</f>
        <v>9</v>
      </c>
      <c r="S43" s="1">
        <f>RANK(S42,N42:W42,1)</f>
        <v>8</v>
      </c>
      <c r="T43" s="1">
        <f>RANK(T42,N42:W42,1)</f>
        <v>10</v>
      </c>
      <c r="U43" s="1">
        <f>RANK(U42,N42:W42,1)</f>
        <v>4</v>
      </c>
      <c r="V43" s="1">
        <f>RANK(V42,N42:W42,1)</f>
        <v>6</v>
      </c>
      <c r="W43" s="1">
        <f>RANK(W42,N42:W42,1)</f>
        <v>7</v>
      </c>
      <c r="AF43" s="1" t="s">
        <v>83</v>
      </c>
      <c r="AG43" s="1">
        <f>RANK(AG42,AG42:AP42,1)</f>
        <v>7</v>
      </c>
      <c r="AH43" s="1">
        <f>RANK(AH42,AG42:AP42,1)</f>
        <v>6</v>
      </c>
      <c r="AI43" s="1">
        <f>RANK(AI42,AG42:AP42,1)</f>
        <v>1</v>
      </c>
      <c r="AJ43" s="1">
        <f>RANK(AJ42,AG42:AP42,1)</f>
        <v>9</v>
      </c>
      <c r="AK43" s="1">
        <f>RANK(AK42,AG42:AP42,1)</f>
        <v>3</v>
      </c>
      <c r="AL43" s="1">
        <f>RANK(AL42,AG42:AP42,1)</f>
        <v>8</v>
      </c>
      <c r="AM43" s="1">
        <f>RANK(AM42,AG42:AP42,1)</f>
        <v>5</v>
      </c>
      <c r="AN43" s="1">
        <f>RANK(AN42,AG42:AP42,1)</f>
        <v>10</v>
      </c>
      <c r="AO43" s="1">
        <f>RANK(AO42,AG42:AP42,1)</f>
        <v>4</v>
      </c>
      <c r="AP43" s="1">
        <f>RANK(AP42,AG42:AP42,1)</f>
        <v>2</v>
      </c>
      <c r="AR43" s="1" t="s">
        <v>83</v>
      </c>
      <c r="AS43" s="1">
        <f>RANK(AS42,AS42:BB42,1)</f>
        <v>2</v>
      </c>
      <c r="AT43" s="1">
        <f>RANK(AT42,AS42:BB42,1)</f>
        <v>3</v>
      </c>
      <c r="AU43" s="1">
        <f>RANK(AU42,AS42:BB42,1)</f>
        <v>4</v>
      </c>
      <c r="AV43" s="1">
        <f>RANK(AV42,AS42:BB42,1)</f>
        <v>9</v>
      </c>
      <c r="AW43" s="1">
        <f>RANK(AW42,AS42:BB42,1)</f>
        <v>5</v>
      </c>
      <c r="AX43" s="1">
        <f>RANK(AX42,AS42:BB42,1)</f>
        <v>1</v>
      </c>
      <c r="AY43" s="1">
        <f>RANK(AY42,AS42:BB42,1)</f>
        <v>10</v>
      </c>
      <c r="AZ43" s="1">
        <f>RANK(AZ42,AS42:BB42,1)</f>
        <v>7</v>
      </c>
      <c r="BA43" s="1">
        <f>RANK(BA42,AS42:BB42,1)</f>
        <v>6</v>
      </c>
      <c r="BB43" s="1">
        <f>RANK(BB42,AS42:BB42,1)</f>
        <v>8</v>
      </c>
    </row>
    <row r="44" spans="1:54" x14ac:dyDescent="0.25">
      <c r="A44" s="1" t="s">
        <v>72</v>
      </c>
      <c r="B44" s="7">
        <v>9.1355050000000002</v>
      </c>
      <c r="C44" s="7">
        <v>9.5414676874999991</v>
      </c>
      <c r="D44" s="7">
        <v>8.7255001562499999</v>
      </c>
      <c r="E44" s="7">
        <v>10.078936875</v>
      </c>
      <c r="F44" s="7">
        <v>11.3199509375</v>
      </c>
      <c r="G44" s="7">
        <v>9.4985265625000004</v>
      </c>
      <c r="H44" s="7">
        <v>9.6155170312500005</v>
      </c>
      <c r="I44" s="7">
        <v>11.371273125</v>
      </c>
      <c r="J44" s="7">
        <v>9.9163739062499996</v>
      </c>
      <c r="K44" s="7">
        <v>9.8163357812500003</v>
      </c>
      <c r="M44" s="1" t="s">
        <v>72</v>
      </c>
      <c r="N44" s="7">
        <v>22.064279687500001</v>
      </c>
      <c r="O44" s="7">
        <v>24.464546062499998</v>
      </c>
      <c r="P44" s="7">
        <v>22.19477921875</v>
      </c>
      <c r="Q44" s="7">
        <v>29.78836328125</v>
      </c>
      <c r="R44" s="7">
        <v>34.50298734375</v>
      </c>
      <c r="S44" s="7">
        <v>36.951913437499996</v>
      </c>
      <c r="T44" s="7">
        <v>37.856689218749999</v>
      </c>
      <c r="U44" s="7">
        <v>25.588236406250001</v>
      </c>
      <c r="V44" s="7">
        <v>31.727257343750001</v>
      </c>
      <c r="W44" s="7">
        <v>34.241972500000003</v>
      </c>
      <c r="AF44" s="1" t="s">
        <v>77</v>
      </c>
      <c r="AG44" s="7">
        <v>5.8987224707501724</v>
      </c>
      <c r="AH44" s="7">
        <v>5.7371203974535439</v>
      </c>
      <c r="AI44" s="7">
        <v>5.4129763850653818</v>
      </c>
      <c r="AJ44" s="7">
        <v>6.474013893668273</v>
      </c>
      <c r="AK44" s="7">
        <v>5.2954393926359256</v>
      </c>
      <c r="AL44" s="7">
        <v>5.2324554800412937</v>
      </c>
      <c r="AM44" s="7">
        <v>5.2904389624913968</v>
      </c>
      <c r="AN44" s="7">
        <v>6.5270184532002755</v>
      </c>
      <c r="AO44" s="7">
        <v>5.2144270474879564</v>
      </c>
      <c r="AP44" s="7">
        <v>5.5352718513420509</v>
      </c>
      <c r="AR44" s="1" t="s">
        <v>77</v>
      </c>
      <c r="AS44" s="7">
        <v>8.6526367859600821</v>
      </c>
      <c r="AT44" s="7">
        <v>9.4847277185134207</v>
      </c>
      <c r="AU44" s="7">
        <v>8.1816930488644193</v>
      </c>
      <c r="AV44" s="7">
        <v>9.470884592222987</v>
      </c>
      <c r="AW44" s="7">
        <v>14.245956641431521</v>
      </c>
      <c r="AX44" s="7">
        <v>9.8665476600137652</v>
      </c>
      <c r="AY44" s="7">
        <v>16.818586545079146</v>
      </c>
      <c r="AZ44" s="7">
        <v>9.6492440209910537</v>
      </c>
      <c r="BA44" s="7">
        <v>12.026824888162423</v>
      </c>
      <c r="BB44" s="7">
        <v>14.225433370612526</v>
      </c>
    </row>
    <row r="45" spans="1:54" x14ac:dyDescent="0.25">
      <c r="A45" s="1" t="s">
        <v>83</v>
      </c>
      <c r="B45" s="1">
        <f>RANK(B44,B44:K44,1)</f>
        <v>2</v>
      </c>
      <c r="C45" s="1">
        <f>RANK(C44,B44:K44,1)</f>
        <v>4</v>
      </c>
      <c r="D45" s="1">
        <f>RANK(D44,B44:K44,1)</f>
        <v>1</v>
      </c>
      <c r="E45" s="1">
        <f>RANK(E44,B44:K44,1)</f>
        <v>8</v>
      </c>
      <c r="F45" s="1">
        <f>RANK(F44,B44:K44,1)</f>
        <v>9</v>
      </c>
      <c r="G45" s="1">
        <f>RANK(G44,B44:K44,1)</f>
        <v>3</v>
      </c>
      <c r="H45" s="1">
        <f>RANK(H44,B44:K44,1)</f>
        <v>5</v>
      </c>
      <c r="I45" s="1">
        <f>RANK(I44,B44:K44,1)</f>
        <v>10</v>
      </c>
      <c r="J45" s="1">
        <f>RANK(J44,B44:K44,1)</f>
        <v>7</v>
      </c>
      <c r="K45" s="1">
        <f>RANK(K44,B44:K44,1)</f>
        <v>6</v>
      </c>
      <c r="M45" s="1" t="s">
        <v>83</v>
      </c>
      <c r="N45" s="1">
        <f>RANK(N44,N44:W44,1)</f>
        <v>1</v>
      </c>
      <c r="O45" s="1">
        <f>RANK(O44,N44:W44,1)</f>
        <v>3</v>
      </c>
      <c r="P45" s="1">
        <f>RANK(P44,N44:W44,1)</f>
        <v>2</v>
      </c>
      <c r="Q45" s="1">
        <f>RANK(Q44,N44:W44,1)</f>
        <v>5</v>
      </c>
      <c r="R45" s="1">
        <f>RANK(R44,N44:W44,1)</f>
        <v>8</v>
      </c>
      <c r="S45" s="1">
        <f>RANK(S44,N44:W44,1)</f>
        <v>9</v>
      </c>
      <c r="T45" s="1">
        <f>RANK(T44,N44:W44,1)</f>
        <v>10</v>
      </c>
      <c r="U45" s="1">
        <f>RANK(U44,N44:W44,1)</f>
        <v>4</v>
      </c>
      <c r="V45" s="1">
        <f>RANK(V44,N44:W44,1)</f>
        <v>6</v>
      </c>
      <c r="W45" s="1">
        <f>RANK(W44,N44:W44,1)</f>
        <v>7</v>
      </c>
      <c r="AF45" s="1" t="s">
        <v>83</v>
      </c>
      <c r="AG45" s="1">
        <f>RANK(AG44,AG44:AP44,1)</f>
        <v>8</v>
      </c>
      <c r="AH45" s="1">
        <f>RANK(AH44,AG44:AP44,1)</f>
        <v>7</v>
      </c>
      <c r="AI45" s="1">
        <f>RANK(AI44,AG44:AP44,1)</f>
        <v>5</v>
      </c>
      <c r="AJ45" s="1">
        <f>RANK(AJ44,AG44:AP44,1)</f>
        <v>9</v>
      </c>
      <c r="AK45" s="1">
        <f>RANK(AK44,AG44:AP44,1)</f>
        <v>4</v>
      </c>
      <c r="AL45" s="1">
        <f>RANK(AL44,AG44:AP44,1)</f>
        <v>2</v>
      </c>
      <c r="AM45" s="1">
        <f>RANK(AM44,AG44:AP44,1)</f>
        <v>3</v>
      </c>
      <c r="AN45" s="1">
        <f>RANK(AN44,AG44:AP44,1)</f>
        <v>10</v>
      </c>
      <c r="AO45" s="1">
        <f>RANK(AO44,AG44:AP44,1)</f>
        <v>1</v>
      </c>
      <c r="AP45" s="1">
        <f>RANK(AP44,AG44:AP44,1)</f>
        <v>6</v>
      </c>
      <c r="AR45" s="1" t="s">
        <v>83</v>
      </c>
      <c r="AS45" s="1">
        <f>RANK(AS44,AS44:BB44,1)</f>
        <v>2</v>
      </c>
      <c r="AT45" s="1">
        <f>RANK(AT44,AS44:BB44,1)</f>
        <v>4</v>
      </c>
      <c r="AU45" s="1">
        <f>RANK(AU44,AS44:BB44,1)</f>
        <v>1</v>
      </c>
      <c r="AV45" s="1">
        <f>RANK(AV44,AS44:BB44,1)</f>
        <v>3</v>
      </c>
      <c r="AW45" s="1">
        <f>RANK(AW44,AS44:BB44,1)</f>
        <v>9</v>
      </c>
      <c r="AX45" s="1">
        <f>RANK(AX44,AS44:BB44,1)</f>
        <v>6</v>
      </c>
      <c r="AY45" s="1">
        <f>RANK(AY44,AS44:BB44,1)</f>
        <v>10</v>
      </c>
      <c r="AZ45" s="1">
        <f>RANK(AZ44,AS44:BB44,1)</f>
        <v>5</v>
      </c>
      <c r="BA45" s="1">
        <f>RANK(BA44,AS44:BB44,1)</f>
        <v>7</v>
      </c>
      <c r="BB45" s="1">
        <f>RANK(BB44,AS44:BB44,1)</f>
        <v>8</v>
      </c>
    </row>
    <row r="46" spans="1:54" x14ac:dyDescent="0.25">
      <c r="A46" s="1" t="s">
        <v>73</v>
      </c>
      <c r="B46" s="7">
        <v>10.36243546875</v>
      </c>
      <c r="C46" s="7">
        <v>9.9727176562500013</v>
      </c>
      <c r="D46" s="7">
        <v>8.7626256250000001</v>
      </c>
      <c r="E46" s="7">
        <v>14.161994375000001</v>
      </c>
      <c r="F46" s="7">
        <v>9.2584892187500003</v>
      </c>
      <c r="G46" s="7">
        <v>9.5669295312500005</v>
      </c>
      <c r="H46" s="7">
        <v>9.5800203125000003</v>
      </c>
      <c r="I46" s="7">
        <v>10.46221375</v>
      </c>
      <c r="J46" s="7">
        <v>9.7092776562500003</v>
      </c>
      <c r="K46" s="7">
        <v>9.261959375</v>
      </c>
      <c r="M46" s="1" t="s">
        <v>73</v>
      </c>
      <c r="N46" s="7">
        <v>22.466317656249998</v>
      </c>
      <c r="O46" s="7">
        <v>25.838703718750004</v>
      </c>
      <c r="P46" s="7">
        <v>26.086043281249999</v>
      </c>
      <c r="Q46" s="7">
        <v>28.621650781250001</v>
      </c>
      <c r="R46" s="7">
        <v>35.776846093750002</v>
      </c>
      <c r="S46" s="7">
        <v>36.955807656250002</v>
      </c>
      <c r="T46" s="7">
        <v>37.548384218750002</v>
      </c>
      <c r="U46" s="7">
        <v>27.100312656250001</v>
      </c>
      <c r="V46" s="7">
        <v>33.263567187500001</v>
      </c>
      <c r="W46" s="7">
        <v>35.477325156249996</v>
      </c>
      <c r="AF46" s="1" t="s">
        <v>78</v>
      </c>
      <c r="AG46" s="7">
        <v>0.28407213656387664</v>
      </c>
      <c r="AH46" s="7">
        <v>0.29827918502202644</v>
      </c>
      <c r="AI46" s="7">
        <v>0.28641244493392071</v>
      </c>
      <c r="AJ46" s="7">
        <v>0.2937775330396476</v>
      </c>
      <c r="AK46" s="7">
        <v>0.31153634361233479</v>
      </c>
      <c r="AL46" s="7">
        <v>0.30733755506607929</v>
      </c>
      <c r="AM46" s="7">
        <v>0.29460352422907488</v>
      </c>
      <c r="AN46" s="7">
        <v>0.27553689427312777</v>
      </c>
      <c r="AO46" s="7">
        <v>0.32234306167400884</v>
      </c>
      <c r="AP46" s="7">
        <v>0.28937224669603523</v>
      </c>
      <c r="AR46" s="1" t="s">
        <v>78</v>
      </c>
      <c r="AS46" s="7">
        <v>0.57523403083700442</v>
      </c>
      <c r="AT46" s="7">
        <v>0.59596640969162995</v>
      </c>
      <c r="AU46" s="7">
        <v>0.52856552863436124</v>
      </c>
      <c r="AV46" s="7">
        <v>0.60001376651982374</v>
      </c>
      <c r="AW46" s="7">
        <v>0.77003028634361237</v>
      </c>
      <c r="AX46" s="7">
        <v>0.62555066079295152</v>
      </c>
      <c r="AY46" s="7">
        <v>0.92517896475770922</v>
      </c>
      <c r="AZ46" s="7">
        <v>0.56890143171806162</v>
      </c>
      <c r="BA46" s="7">
        <v>0.77168226872246692</v>
      </c>
      <c r="BB46" s="7">
        <v>0.70835627753303965</v>
      </c>
    </row>
    <row r="47" spans="1:54" x14ac:dyDescent="0.25">
      <c r="A47" s="1" t="s">
        <v>83</v>
      </c>
      <c r="B47" s="1">
        <f>RANK(B46,B46:K46,1)</f>
        <v>8</v>
      </c>
      <c r="C47" s="1">
        <f>RANK(C46,B46:K46,1)</f>
        <v>7</v>
      </c>
      <c r="D47" s="1">
        <f>RANK(D46,B46:K46,1)</f>
        <v>1</v>
      </c>
      <c r="E47" s="1">
        <f>RANK(E46,B46:K46,1)</f>
        <v>10</v>
      </c>
      <c r="F47" s="1">
        <f>RANK(F46,B46:K46,1)</f>
        <v>2</v>
      </c>
      <c r="G47" s="1">
        <f>RANK(G46,B46:K46,1)</f>
        <v>4</v>
      </c>
      <c r="H47" s="1">
        <f>RANK(H46,B46:K46,1)</f>
        <v>5</v>
      </c>
      <c r="I47" s="1">
        <f>RANK(I46,B46:K46,1)</f>
        <v>9</v>
      </c>
      <c r="J47" s="1">
        <f>RANK(J46,B46:K46,1)</f>
        <v>6</v>
      </c>
      <c r="K47" s="1">
        <f>RANK(K46,B46:K46,1)</f>
        <v>3</v>
      </c>
      <c r="M47" s="1" t="s">
        <v>83</v>
      </c>
      <c r="N47" s="1">
        <f>RANK(N46,N46:W46,1)</f>
        <v>1</v>
      </c>
      <c r="O47" s="1">
        <f>RANK(O46,N46:W46,1)</f>
        <v>2</v>
      </c>
      <c r="P47" s="1">
        <f>RANK(P46,N46:W46,1)</f>
        <v>3</v>
      </c>
      <c r="Q47" s="1">
        <f>RANK(Q46,N46:W46,1)</f>
        <v>5</v>
      </c>
      <c r="R47" s="1">
        <f>RANK(R46,N46:W46,1)</f>
        <v>8</v>
      </c>
      <c r="S47" s="1">
        <f>RANK(S46,N46:W46,1)</f>
        <v>9</v>
      </c>
      <c r="T47" s="1">
        <f>RANK(T46,N46:W46,1)</f>
        <v>10</v>
      </c>
      <c r="U47" s="1">
        <f>RANK(U46,N46:W46,1)</f>
        <v>4</v>
      </c>
      <c r="V47" s="1">
        <f>RANK(V46,N46:W46,1)</f>
        <v>6</v>
      </c>
      <c r="W47" s="1">
        <f>RANK(W46,N46:W46,1)</f>
        <v>7</v>
      </c>
      <c r="AF47" s="1" t="s">
        <v>83</v>
      </c>
      <c r="AG47" s="1">
        <f>RANK(AG46,AG46:AP46,1)</f>
        <v>2</v>
      </c>
      <c r="AH47" s="1">
        <f>RANK(AH46,AG46:AP46,1)</f>
        <v>7</v>
      </c>
      <c r="AI47" s="1">
        <f>RANK(AI46,AG46:AP46,1)</f>
        <v>3</v>
      </c>
      <c r="AJ47" s="1">
        <f>RANK(AJ46,AG46:AP46,1)</f>
        <v>5</v>
      </c>
      <c r="AK47" s="1">
        <f>RANK(AK46,AG46:AP46,1)</f>
        <v>9</v>
      </c>
      <c r="AL47" s="1">
        <f>RANK(AL46,AG46:AP46,1)</f>
        <v>8</v>
      </c>
      <c r="AM47" s="1">
        <f>RANK(AM46,AG46:AP46,1)</f>
        <v>6</v>
      </c>
      <c r="AN47" s="1">
        <f>RANK(AN46,AG46:AP46,1)</f>
        <v>1</v>
      </c>
      <c r="AO47" s="1">
        <f>RANK(AO46,AG46:AP46,1)</f>
        <v>10</v>
      </c>
      <c r="AP47" s="1">
        <f>RANK(AP46,AG46:AP46,1)</f>
        <v>4</v>
      </c>
      <c r="AR47" s="1" t="s">
        <v>83</v>
      </c>
      <c r="AS47" s="1">
        <f>RANK(AS46,AS46:BB46,1)</f>
        <v>3</v>
      </c>
      <c r="AT47" s="1">
        <f>RANK(AT46,AS46:BB46,1)</f>
        <v>4</v>
      </c>
      <c r="AU47" s="1">
        <f>RANK(AU46,AS46:BB46,1)</f>
        <v>1</v>
      </c>
      <c r="AV47" s="1">
        <f>RANK(AV46,AS46:BB46,1)</f>
        <v>5</v>
      </c>
      <c r="AW47" s="1">
        <f>RANK(AW46,AS46:BB46,1)</f>
        <v>8</v>
      </c>
      <c r="AX47" s="1">
        <f>RANK(AX46,AS46:BB46,1)</f>
        <v>6</v>
      </c>
      <c r="AY47" s="1">
        <f>RANK(AY46,AS46:BB46,1)</f>
        <v>10</v>
      </c>
      <c r="AZ47" s="1">
        <f>RANK(AZ46,AS46:BB46,1)</f>
        <v>2</v>
      </c>
      <c r="BA47" s="1">
        <f>RANK(BA46,AS46:BB46,1)</f>
        <v>9</v>
      </c>
      <c r="BB47" s="1">
        <f>RANK(BB46,AS46:BB46,1)</f>
        <v>7</v>
      </c>
    </row>
    <row r="48" spans="1:54" ht="14.4" thickBot="1" x14ac:dyDescent="0.3">
      <c r="A48" s="1" t="s">
        <v>74</v>
      </c>
      <c r="B48" s="11">
        <v>10.762421406250001</v>
      </c>
      <c r="C48" s="11">
        <v>10.50592846875</v>
      </c>
      <c r="D48" s="11">
        <v>8.7149142187499997</v>
      </c>
      <c r="E48" s="11">
        <v>13.10282953125</v>
      </c>
      <c r="F48" s="11">
        <v>9.4620521874999994</v>
      </c>
      <c r="G48" s="11">
        <v>9.5725518750000003</v>
      </c>
      <c r="H48" s="11">
        <v>9.0567314062499999</v>
      </c>
      <c r="I48" s="11">
        <v>11.392097343750001</v>
      </c>
      <c r="J48" s="11">
        <v>10.07231265625</v>
      </c>
      <c r="K48" s="11">
        <v>9.3486590624999995</v>
      </c>
      <c r="M48" s="1" t="s">
        <v>74</v>
      </c>
      <c r="N48" s="11">
        <v>22.6996634375</v>
      </c>
      <c r="O48" s="11">
        <v>24.850873312499996</v>
      </c>
      <c r="P48" s="11">
        <v>22.301504062500001</v>
      </c>
      <c r="Q48" s="11">
        <v>29.237940312500001</v>
      </c>
      <c r="R48" s="11">
        <v>34.163820000000001</v>
      </c>
      <c r="S48" s="11">
        <v>36.260624999999997</v>
      </c>
      <c r="T48" s="11">
        <v>36.631788593750002</v>
      </c>
      <c r="U48" s="11">
        <v>28.500775937499998</v>
      </c>
      <c r="V48" s="11">
        <v>28.770144531250001</v>
      </c>
      <c r="W48" s="11">
        <v>34.323639687499998</v>
      </c>
      <c r="AF48" s="1" t="s">
        <v>79</v>
      </c>
      <c r="AG48" s="7">
        <v>2.1468041656619241</v>
      </c>
      <c r="AH48" s="7">
        <v>2.3223693332529538</v>
      </c>
      <c r="AI48" s="7">
        <v>2.1305047323366288</v>
      </c>
      <c r="AJ48" s="7">
        <v>2.312040330359296</v>
      </c>
      <c r="AK48" s="7">
        <v>2.2511341029659997</v>
      </c>
      <c r="AL48" s="7">
        <v>2.2542990414757655</v>
      </c>
      <c r="AM48" s="7">
        <v>3.2567292621171933</v>
      </c>
      <c r="AN48" s="7">
        <v>2.4519381480588378</v>
      </c>
      <c r="AO48" s="7">
        <v>2.2400379792621172</v>
      </c>
      <c r="AP48" s="7">
        <v>2.1819387509042683</v>
      </c>
      <c r="AR48" s="1" t="s">
        <v>79</v>
      </c>
      <c r="AS48" s="7">
        <v>3.7976926091150229</v>
      </c>
      <c r="AT48" s="82">
        <v>3.6034075837955144</v>
      </c>
      <c r="AU48" s="7">
        <v>3.5356997528333736</v>
      </c>
      <c r="AV48" s="7">
        <v>3.766845761996624</v>
      </c>
      <c r="AW48" s="7">
        <v>5.394746955630576</v>
      </c>
      <c r="AX48" s="7">
        <v>4.2876326259946946</v>
      </c>
      <c r="AY48" s="7">
        <v>8.2037391487822529</v>
      </c>
      <c r="AZ48" s="7">
        <v>3.5632723957077403</v>
      </c>
      <c r="BA48" s="7">
        <v>5.5017407161803717</v>
      </c>
      <c r="BB48" s="7">
        <v>4.3909075837955145</v>
      </c>
    </row>
    <row r="49" spans="1:54" x14ac:dyDescent="0.25">
      <c r="A49" s="1" t="s">
        <v>83</v>
      </c>
      <c r="B49" s="1">
        <f>RANK(B48,B48:K48,1)</f>
        <v>8</v>
      </c>
      <c r="C49" s="1">
        <f>RANK(C48,B48:K48,1)</f>
        <v>7</v>
      </c>
      <c r="D49" s="1">
        <f>RANK(D48,B48:K48,1)</f>
        <v>1</v>
      </c>
      <c r="E49" s="1">
        <f>RANK(E48,B48:K48,1)</f>
        <v>10</v>
      </c>
      <c r="F49" s="1">
        <f>RANK(F48,B48:K48,1)</f>
        <v>4</v>
      </c>
      <c r="G49" s="1">
        <f>RANK(G48,B48:K48,1)</f>
        <v>5</v>
      </c>
      <c r="H49" s="1">
        <f>RANK(H48,B48:K48,1)</f>
        <v>2</v>
      </c>
      <c r="I49" s="1">
        <f>RANK(I48,B48:K48,1)</f>
        <v>9</v>
      </c>
      <c r="J49" s="1">
        <f>RANK(J48,B48:K48,1)</f>
        <v>6</v>
      </c>
      <c r="K49" s="1">
        <f>RANK(K48,B48:K48,1)</f>
        <v>3</v>
      </c>
      <c r="M49" s="1" t="s">
        <v>83</v>
      </c>
      <c r="N49" s="1">
        <f>RANK(N48,N48:W48,1)</f>
        <v>2</v>
      </c>
      <c r="O49" s="1">
        <f>RANK(O48,N48:W48,1)</f>
        <v>3</v>
      </c>
      <c r="P49" s="1">
        <f>RANK(P48,N48:W48,1)</f>
        <v>1</v>
      </c>
      <c r="Q49" s="1">
        <f>RANK(Q48,N48:W48,1)</f>
        <v>6</v>
      </c>
      <c r="R49" s="1">
        <f>RANK(R48,N48:W48,1)</f>
        <v>7</v>
      </c>
      <c r="S49" s="1">
        <f>RANK(S48,N48:W48,1)</f>
        <v>9</v>
      </c>
      <c r="T49" s="1">
        <f>RANK(T48,N48:W48,1)</f>
        <v>10</v>
      </c>
      <c r="U49" s="1">
        <f>RANK(U48,N48:W48,1)</f>
        <v>4</v>
      </c>
      <c r="V49" s="1">
        <f>RANK(V48,N48:W48,1)</f>
        <v>5</v>
      </c>
      <c r="W49" s="1">
        <f>RANK(W48,N48:W48,1)</f>
        <v>8</v>
      </c>
      <c r="AF49" s="1" t="s">
        <v>83</v>
      </c>
      <c r="AG49" s="1">
        <f>RANK(AG48,AG48:AP48,1)</f>
        <v>2</v>
      </c>
      <c r="AH49" s="1">
        <f>RANK(AH48,AG48:AP48,1)</f>
        <v>8</v>
      </c>
      <c r="AI49" s="1">
        <f>RANK(AI48,AG48:AP48,1)</f>
        <v>1</v>
      </c>
      <c r="AJ49" s="1">
        <f>RANK(AJ48,AG48:AP48,1)</f>
        <v>7</v>
      </c>
      <c r="AK49" s="1">
        <f>RANK(AK48,AG48:AP48,1)</f>
        <v>5</v>
      </c>
      <c r="AL49" s="1">
        <f>RANK(AL48,AG48:AP48,1)</f>
        <v>6</v>
      </c>
      <c r="AM49" s="1">
        <f>RANK(AM48,AG48:AP48,1)</f>
        <v>10</v>
      </c>
      <c r="AN49" s="1">
        <f>RANK(AN48,AG48:AP48,1)</f>
        <v>9</v>
      </c>
      <c r="AO49" s="1">
        <f>RANK(AO48,AG48:AP48,1)</f>
        <v>4</v>
      </c>
      <c r="AP49" s="1">
        <f>RANK(AP48,AG48:AP48,1)</f>
        <v>3</v>
      </c>
      <c r="AR49" s="1" t="s">
        <v>83</v>
      </c>
      <c r="AS49" s="1">
        <f>RANK(AS48,AS48:BB48,1)</f>
        <v>5</v>
      </c>
      <c r="AT49" s="1">
        <f>RANK(AT48,AS48:BB48,1)</f>
        <v>3</v>
      </c>
      <c r="AU49" s="1">
        <f>RANK(AU48,AS48:BB48,1)</f>
        <v>1</v>
      </c>
      <c r="AV49" s="1">
        <f>RANK(AV48,AS48:BB48,1)</f>
        <v>4</v>
      </c>
      <c r="AW49" s="1">
        <f>RANK(AW48,AS48:BB48,1)</f>
        <v>8</v>
      </c>
      <c r="AX49" s="1">
        <f>RANK(AX48,AS48:BB48,1)</f>
        <v>6</v>
      </c>
      <c r="AY49" s="1">
        <f>RANK(AY48,AS48:BB48,1)</f>
        <v>10</v>
      </c>
      <c r="AZ49" s="1">
        <f>RANK(AZ48,AS48:BB48,1)</f>
        <v>2</v>
      </c>
      <c r="BA49" s="1">
        <f>RANK(BA48,AS48:BB48,1)</f>
        <v>9</v>
      </c>
      <c r="BB49" s="1">
        <f>RANK(BB48,AS48:BB48,1)</f>
        <v>7</v>
      </c>
    </row>
    <row r="50" spans="1:54" ht="14.4" thickBot="1" x14ac:dyDescent="0.3">
      <c r="A50" s="1" t="s">
        <v>75</v>
      </c>
      <c r="B50" s="1">
        <f t="shared" ref="B50:K50" si="20">AVERAGE(B40:B48)</f>
        <v>7.7197028645833337</v>
      </c>
      <c r="C50" s="1">
        <f t="shared" si="20"/>
        <v>8.3273068854166663</v>
      </c>
      <c r="D50" s="1">
        <f t="shared" si="20"/>
        <v>5.9875171701388883</v>
      </c>
      <c r="E50" s="1">
        <f t="shared" si="20"/>
        <v>11.387532413194444</v>
      </c>
      <c r="F50" s="1">
        <f t="shared" si="20"/>
        <v>7.3044350694444455</v>
      </c>
      <c r="G50" s="1">
        <f t="shared" si="20"/>
        <v>7.4820884027777783</v>
      </c>
      <c r="H50" s="1">
        <f t="shared" si="20"/>
        <v>6.7256934201388887</v>
      </c>
      <c r="I50" s="1">
        <f t="shared" si="20"/>
        <v>10.099909895833333</v>
      </c>
      <c r="J50" s="1">
        <f t="shared" si="20"/>
        <v>8.1427393576388898</v>
      </c>
      <c r="K50" s="1">
        <f t="shared" si="20"/>
        <v>7.1477640625000003</v>
      </c>
      <c r="M50" s="1" t="s">
        <v>75</v>
      </c>
      <c r="N50" s="1">
        <f t="shared" ref="N50:W50" si="21">AVERAGE(N40:N48)</f>
        <v>13.24690140625</v>
      </c>
      <c r="O50" s="1">
        <f t="shared" si="21"/>
        <v>15.268098993055556</v>
      </c>
      <c r="P50" s="1">
        <f t="shared" si="21"/>
        <v>14.115211944444445</v>
      </c>
      <c r="Q50" s="1">
        <f t="shared" si="21"/>
        <v>18.863727552083336</v>
      </c>
      <c r="R50" s="1">
        <f t="shared" si="21"/>
        <v>23.31571543402778</v>
      </c>
      <c r="S50" s="1">
        <f t="shared" si="21"/>
        <v>23.874085208333334</v>
      </c>
      <c r="T50" s="1">
        <f t="shared" si="21"/>
        <v>25.823797777777777</v>
      </c>
      <c r="U50" s="1">
        <f t="shared" si="21"/>
        <v>17.462415538194445</v>
      </c>
      <c r="V50" s="1">
        <f t="shared" si="21"/>
        <v>20.483238395580628</v>
      </c>
      <c r="W50" s="1">
        <f t="shared" si="21"/>
        <v>22.798546267361111</v>
      </c>
      <c r="AF50" s="1" t="s">
        <v>80</v>
      </c>
      <c r="AG50" s="11">
        <v>0.94581117021276595</v>
      </c>
      <c r="AH50" s="11">
        <v>1.0740026595744681</v>
      </c>
      <c r="AI50" s="11">
        <v>0.88264627659574468</v>
      </c>
      <c r="AJ50" s="11">
        <v>0.99301861702127658</v>
      </c>
      <c r="AK50" s="11">
        <v>0.90026595744680848</v>
      </c>
      <c r="AL50" s="11">
        <v>0.94980053191489366</v>
      </c>
      <c r="AM50" s="11">
        <v>0.9228723404255319</v>
      </c>
      <c r="AN50" s="11">
        <v>0.94448138297872342</v>
      </c>
      <c r="AO50" s="11">
        <v>0.99168882978723405</v>
      </c>
      <c r="AP50" s="11">
        <v>1.0069813829787233</v>
      </c>
      <c r="AR50" s="1" t="s">
        <v>80</v>
      </c>
      <c r="AS50" s="11">
        <v>1.4720744680851063</v>
      </c>
      <c r="AT50" s="81">
        <v>1.4741356382978723</v>
      </c>
      <c r="AU50" s="11">
        <v>1.4827127659574468</v>
      </c>
      <c r="AV50" s="11">
        <v>1.5927526595744681</v>
      </c>
      <c r="AW50" s="11">
        <v>1.6722074468085106</v>
      </c>
      <c r="AX50" s="11">
        <v>1.7253989361702127</v>
      </c>
      <c r="AY50" s="11">
        <v>2.1688829787234041</v>
      </c>
      <c r="AZ50" s="11">
        <v>1.6585771276595744</v>
      </c>
      <c r="BA50" s="11">
        <v>1.9348404255319149</v>
      </c>
      <c r="BB50" s="11">
        <v>1.6489361702127661</v>
      </c>
    </row>
    <row r="51" spans="1:54" x14ac:dyDescent="0.25">
      <c r="A51" s="1" t="s">
        <v>83</v>
      </c>
      <c r="B51" s="1">
        <f>RANK(B50,B50:K50,1)</f>
        <v>6</v>
      </c>
      <c r="C51" s="1">
        <f>RANK(C50,B50:K50,1)</f>
        <v>8</v>
      </c>
      <c r="D51" s="1">
        <f>RANK(D50,B50:K50,1)</f>
        <v>1</v>
      </c>
      <c r="E51" s="1">
        <f>RANK(E50,B50:K50,1)</f>
        <v>10</v>
      </c>
      <c r="F51" s="1">
        <f>RANK(F50,B50:K50,1)</f>
        <v>4</v>
      </c>
      <c r="G51" s="1">
        <f>RANK(G50,B50:K50,1)</f>
        <v>5</v>
      </c>
      <c r="H51" s="1">
        <f>RANK(H50,B50:K50,1)</f>
        <v>2</v>
      </c>
      <c r="I51" s="1">
        <f>RANK(I50,B50:K50,1)</f>
        <v>9</v>
      </c>
      <c r="J51" s="1">
        <f>RANK(J50,B50:K50,1)</f>
        <v>7</v>
      </c>
      <c r="K51" s="1">
        <f>RANK(K50,B50:K50,1)</f>
        <v>3</v>
      </c>
      <c r="M51" s="1" t="s">
        <v>83</v>
      </c>
      <c r="N51" s="1">
        <f>RANK(N50,N50:W50,1)</f>
        <v>1</v>
      </c>
      <c r="O51" s="1">
        <f>RANK(O50,N50:W50,1)</f>
        <v>3</v>
      </c>
      <c r="P51" s="1">
        <f>RANK(P50,N50:W50,1)</f>
        <v>2</v>
      </c>
      <c r="Q51" s="1">
        <f>RANK(Q50,N50:W50,1)</f>
        <v>5</v>
      </c>
      <c r="R51" s="1">
        <f>RANK(R50,N50:W50,1)</f>
        <v>8</v>
      </c>
      <c r="S51" s="1">
        <f>RANK(S50,N50:W50,1)</f>
        <v>9</v>
      </c>
      <c r="T51" s="1">
        <f>RANK(T50,N50:W50,1)</f>
        <v>10</v>
      </c>
      <c r="U51" s="1">
        <f>RANK(U50,N50:W50,1)</f>
        <v>4</v>
      </c>
      <c r="V51" s="1">
        <f>RANK(V50,N50:W50,1)</f>
        <v>6</v>
      </c>
      <c r="W51" s="1">
        <f>RANK(W50,N50:W50,1)</f>
        <v>7</v>
      </c>
      <c r="AF51" s="1" t="s">
        <v>83</v>
      </c>
      <c r="AG51" s="1">
        <f>RANK(AG50,AG50:AP50,1)</f>
        <v>5</v>
      </c>
      <c r="AH51" s="1">
        <f>RANK(AH50,AG50:AP50,1)</f>
        <v>10</v>
      </c>
      <c r="AI51" s="1">
        <f>RANK(AI50,AG50:AP50,1)</f>
        <v>1</v>
      </c>
      <c r="AJ51" s="1">
        <f>RANK(AJ50,AG50:AP50,1)</f>
        <v>8</v>
      </c>
      <c r="AK51" s="1">
        <f>RANK(AK50,AG50:AP50,1)</f>
        <v>2</v>
      </c>
      <c r="AL51" s="1">
        <f>RANK(AL50,AG50:AP50,1)</f>
        <v>6</v>
      </c>
      <c r="AM51" s="1">
        <f>RANK(AM50,AG50:AP50,1)</f>
        <v>3</v>
      </c>
      <c r="AN51" s="1">
        <f>RANK(AN50,AG50:AP50,1)</f>
        <v>4</v>
      </c>
      <c r="AO51" s="1">
        <f>RANK(AO50,AG50:AP50,1)</f>
        <v>7</v>
      </c>
      <c r="AP51" s="1">
        <f>RANK(AP50,AG50:AP50,1)</f>
        <v>9</v>
      </c>
      <c r="AR51" s="1" t="s">
        <v>83</v>
      </c>
      <c r="AS51" s="1">
        <f>RANK(AS50,AS50:BB50,1)</f>
        <v>1</v>
      </c>
      <c r="AT51" s="1">
        <f>RANK(AT50,AS50:BB50,1)</f>
        <v>2</v>
      </c>
      <c r="AU51" s="1">
        <f>RANK(AU50,AS50:BB50,1)</f>
        <v>3</v>
      </c>
      <c r="AV51" s="1">
        <f>RANK(AV50,AS50:BB50,1)</f>
        <v>4</v>
      </c>
      <c r="AW51" s="1">
        <f>RANK(AW50,AS50:BB50,1)</f>
        <v>7</v>
      </c>
      <c r="AX51" s="1">
        <f>RANK(AX50,AS50:BB50,1)</f>
        <v>8</v>
      </c>
      <c r="AY51" s="1">
        <f>RANK(AY50,AS50:BB50,1)</f>
        <v>10</v>
      </c>
      <c r="AZ51" s="1">
        <f>RANK(AZ50,AS50:BB50,1)</f>
        <v>6</v>
      </c>
      <c r="BA51" s="1">
        <f>RANK(BA50,AS50:BB50,1)</f>
        <v>9</v>
      </c>
      <c r="BB51" s="1">
        <f>RANK(BB50,AS50:BB50,1)</f>
        <v>5</v>
      </c>
    </row>
    <row r="52" spans="1:54" x14ac:dyDescent="0.25">
      <c r="A52" s="1" t="s">
        <v>82</v>
      </c>
      <c r="B52" s="1">
        <f>AVERAGE(B8,B22,B36,B50)</f>
        <v>14.623252513020832</v>
      </c>
      <c r="C52" s="1">
        <f t="shared" ref="C52:K52" si="22">AVERAGE(C8,C22,C36,C50)</f>
        <v>14.114928541666668</v>
      </c>
      <c r="D52" s="1">
        <f t="shared" si="22"/>
        <v>12.735076167534721</v>
      </c>
      <c r="E52" s="1">
        <f t="shared" si="22"/>
        <v>18.820000681423611</v>
      </c>
      <c r="F52" s="1">
        <f t="shared" si="22"/>
        <v>13.205080212673611</v>
      </c>
      <c r="G52" s="1">
        <f t="shared" si="22"/>
        <v>14.941737881944444</v>
      </c>
      <c r="H52" s="1">
        <f t="shared" si="22"/>
        <v>13.878463081597223</v>
      </c>
      <c r="I52" s="1">
        <f t="shared" si="22"/>
        <v>14.631756341145833</v>
      </c>
      <c r="J52" s="1">
        <f t="shared" si="22"/>
        <v>13.758329487847222</v>
      </c>
      <c r="K52" s="1">
        <f t="shared" si="22"/>
        <v>31.354520646369306</v>
      </c>
      <c r="M52" s="1" t="s">
        <v>82</v>
      </c>
      <c r="N52" s="1">
        <f>AVERAGE(N8,N22,N36,N50)</f>
        <v>24.399846171875001</v>
      </c>
      <c r="O52" s="1">
        <f t="shared" ref="O52:W52" si="23">AVERAGE(O8,O22,O36,O50)</f>
        <v>26.800007646701388</v>
      </c>
      <c r="P52" s="1">
        <f t="shared" si="23"/>
        <v>24.581783142361111</v>
      </c>
      <c r="Q52" s="1">
        <f t="shared" si="23"/>
        <v>31.656435989583333</v>
      </c>
      <c r="R52" s="1">
        <f t="shared" si="23"/>
        <v>36.237646553819445</v>
      </c>
      <c r="S52" s="1">
        <f t="shared" si="23"/>
        <v>36.723219583333332</v>
      </c>
      <c r="T52" s="1">
        <f t="shared" si="23"/>
        <v>40.687951553819445</v>
      </c>
      <c r="U52" s="1">
        <f t="shared" si="23"/>
        <v>28.450708142361115</v>
      </c>
      <c r="V52" s="1">
        <f t="shared" si="23"/>
        <v>33.070553817645155</v>
      </c>
      <c r="W52" s="1">
        <f t="shared" si="23"/>
        <v>34.824605785590272</v>
      </c>
      <c r="AF52" s="1" t="s">
        <v>81</v>
      </c>
      <c r="AG52" s="1">
        <f>AVERAGE(AG42,AG44,AG46,AG48,AG50)</f>
        <v>2.4490393950152045</v>
      </c>
      <c r="AH52" s="1">
        <f t="shared" ref="AH52:AP52" si="24">AVERAGE(AH42,AH44,AH46,AH48,AH50)</f>
        <v>2.476695666562267</v>
      </c>
      <c r="AI52" s="1">
        <f t="shared" si="24"/>
        <v>2.3086265717907848</v>
      </c>
      <c r="AJ52" s="1">
        <f t="shared" si="24"/>
        <v>2.6274582375911502</v>
      </c>
      <c r="AK52" s="1">
        <f t="shared" si="24"/>
        <v>2.3273645827656586</v>
      </c>
      <c r="AL52" s="1">
        <f t="shared" si="24"/>
        <v>2.3502129859191099</v>
      </c>
      <c r="AM52" s="1">
        <f t="shared" si="24"/>
        <v>2.5401356680565699</v>
      </c>
      <c r="AN52" s="1">
        <f t="shared" si="24"/>
        <v>2.666458861501229</v>
      </c>
      <c r="AO52" s="1">
        <f t="shared" si="24"/>
        <v>2.3323133528673283</v>
      </c>
      <c r="AP52" s="1">
        <f t="shared" si="24"/>
        <v>2.373732729587775</v>
      </c>
      <c r="AR52" s="1" t="s">
        <v>81</v>
      </c>
      <c r="AS52" s="1">
        <f>AVERAGE(AS42,AS44,AS46,AS48,AS50)</f>
        <v>4.6200237319325543</v>
      </c>
      <c r="AT52" s="1">
        <f t="shared" ref="AT52:BB52" si="25">AVERAGE(AT42,AT44,AT46,AT48,AT50)</f>
        <v>4.8641296261590572</v>
      </c>
      <c r="AU52" s="1">
        <f t="shared" si="25"/>
        <v>5.1276330883717502</v>
      </c>
      <c r="AV52" s="1">
        <f t="shared" si="25"/>
        <v>27.650820574082804</v>
      </c>
      <c r="AW52" s="1">
        <f t="shared" si="25"/>
        <v>10.765533853732871</v>
      </c>
      <c r="AX52" s="1">
        <f t="shared" si="25"/>
        <v>4.7880995768909509</v>
      </c>
      <c r="AY52" s="1">
        <f t="shared" si="25"/>
        <v>40.198644833734733</v>
      </c>
      <c r="AZ52" s="1">
        <f t="shared" si="25"/>
        <v>12.522893090506351</v>
      </c>
      <c r="BA52" s="1">
        <f t="shared" si="25"/>
        <v>10.914290323790626</v>
      </c>
      <c r="BB52" s="1">
        <f t="shared" si="25"/>
        <v>22.311388712318049</v>
      </c>
    </row>
    <row r="53" spans="1:54" x14ac:dyDescent="0.25">
      <c r="A53" s="1" t="s">
        <v>84</v>
      </c>
      <c r="B53" s="1">
        <f>AVERAGE(B15,B27,B39,B51)</f>
        <v>6.5</v>
      </c>
      <c r="C53" s="1">
        <f t="shared" ref="C53:K53" si="26">AVERAGE(C15,C27,C39,C51)</f>
        <v>7.75</v>
      </c>
      <c r="D53" s="1">
        <f t="shared" si="26"/>
        <v>1.5</v>
      </c>
      <c r="E53" s="1">
        <f t="shared" si="26"/>
        <v>8.25</v>
      </c>
      <c r="F53" s="1">
        <f t="shared" si="26"/>
        <v>3.75</v>
      </c>
      <c r="G53" s="1">
        <f t="shared" si="26"/>
        <v>4.5</v>
      </c>
      <c r="H53" s="1">
        <f t="shared" si="26"/>
        <v>4.5</v>
      </c>
      <c r="I53" s="1">
        <f t="shared" si="26"/>
        <v>8</v>
      </c>
      <c r="J53" s="1">
        <f t="shared" si="26"/>
        <v>6</v>
      </c>
      <c r="K53" s="1">
        <f t="shared" si="26"/>
        <v>4.25</v>
      </c>
      <c r="M53" s="1" t="s">
        <v>84</v>
      </c>
      <c r="N53" s="1">
        <f>AVERAGE(N15,N27,N39,N51)</f>
        <v>1.75</v>
      </c>
      <c r="O53" s="1">
        <f t="shared" ref="O53:W53" si="27">AVERAGE(O15,O27,O39,O51)</f>
        <v>3.25</v>
      </c>
      <c r="P53" s="1">
        <f t="shared" si="27"/>
        <v>1.25</v>
      </c>
      <c r="Q53" s="1">
        <f t="shared" si="27"/>
        <v>5</v>
      </c>
      <c r="R53" s="1">
        <f t="shared" si="27"/>
        <v>8</v>
      </c>
      <c r="S53" s="1">
        <f t="shared" si="27"/>
        <v>8.5</v>
      </c>
      <c r="T53" s="1">
        <f t="shared" si="27"/>
        <v>9.75</v>
      </c>
      <c r="U53" s="1">
        <f t="shared" si="27"/>
        <v>3.75</v>
      </c>
      <c r="V53" s="1">
        <f t="shared" si="27"/>
        <v>6</v>
      </c>
      <c r="W53" s="1">
        <f t="shared" si="27"/>
        <v>7.75</v>
      </c>
      <c r="AF53" s="1" t="s">
        <v>84</v>
      </c>
      <c r="AG53">
        <f>AVERAGE(AG43,AG45,AG47,AG49,AG51)</f>
        <v>4.8</v>
      </c>
      <c r="AH53">
        <f t="shared" ref="AH53:AP53" si="28">AVERAGE(AH43,AH45,AH47,AH49,AH51)</f>
        <v>7.6</v>
      </c>
      <c r="AI53">
        <f t="shared" si="28"/>
        <v>2.2000000000000002</v>
      </c>
      <c r="AJ53">
        <f t="shared" si="28"/>
        <v>7.6</v>
      </c>
      <c r="AK53">
        <f t="shared" si="28"/>
        <v>4.5999999999999996</v>
      </c>
      <c r="AL53">
        <f t="shared" si="28"/>
        <v>6</v>
      </c>
      <c r="AM53">
        <f t="shared" si="28"/>
        <v>5.4</v>
      </c>
      <c r="AN53">
        <f t="shared" si="28"/>
        <v>6.8</v>
      </c>
      <c r="AO53">
        <f t="shared" si="28"/>
        <v>5.2</v>
      </c>
      <c r="AP53">
        <f t="shared" si="28"/>
        <v>4.8</v>
      </c>
      <c r="AR53" s="1" t="s">
        <v>84</v>
      </c>
      <c r="AS53">
        <f>AVERAGE(AS43,AS45,AS47,AS49,AS51)</f>
        <v>2.6</v>
      </c>
      <c r="AT53">
        <f t="shared" ref="AT53:BB53" si="29">AVERAGE(AT43,AT45,AT47,AT49,AT51)</f>
        <v>3.2</v>
      </c>
      <c r="AU53">
        <f t="shared" si="29"/>
        <v>2</v>
      </c>
      <c r="AV53">
        <f t="shared" si="29"/>
        <v>5</v>
      </c>
      <c r="AW53">
        <f t="shared" si="29"/>
        <v>7.4</v>
      </c>
      <c r="AX53">
        <f t="shared" si="29"/>
        <v>5.4</v>
      </c>
      <c r="AY53">
        <f t="shared" si="29"/>
        <v>10</v>
      </c>
      <c r="AZ53">
        <f t="shared" si="29"/>
        <v>4.4000000000000004</v>
      </c>
      <c r="BA53">
        <f t="shared" si="29"/>
        <v>8</v>
      </c>
      <c r="BB53">
        <f t="shared" si="29"/>
        <v>7</v>
      </c>
    </row>
    <row r="55" spans="1:54" x14ac:dyDescent="0.25">
      <c r="M55" s="1" t="s">
        <v>88</v>
      </c>
      <c r="N55">
        <f t="shared" ref="N55:W55" si="30">AVERAGE(B15,N15,B27,N27,B39,N39,B51,N51)</f>
        <v>4.125</v>
      </c>
      <c r="O55">
        <f t="shared" si="30"/>
        <v>5.5</v>
      </c>
      <c r="P55">
        <f t="shared" si="30"/>
        <v>1.375</v>
      </c>
      <c r="Q55">
        <f t="shared" si="30"/>
        <v>6.625</v>
      </c>
      <c r="R55">
        <f t="shared" si="30"/>
        <v>5.875</v>
      </c>
      <c r="S55">
        <f t="shared" si="30"/>
        <v>6.5</v>
      </c>
      <c r="T55">
        <f t="shared" si="30"/>
        <v>7.125</v>
      </c>
      <c r="U55">
        <f t="shared" si="30"/>
        <v>5.875</v>
      </c>
      <c r="V55">
        <f t="shared" si="30"/>
        <v>6</v>
      </c>
      <c r="W55">
        <f t="shared" si="30"/>
        <v>6</v>
      </c>
      <c r="AR55" s="1" t="s">
        <v>88</v>
      </c>
      <c r="AS55">
        <f t="shared" ref="AS55:BB55" si="31">AVERAGE(AG43,AG45,AG47,AG49,AG51,AS43,AS45,AS47,AS49,AS51)</f>
        <v>3.7</v>
      </c>
      <c r="AT55">
        <f t="shared" si="31"/>
        <v>5.4</v>
      </c>
      <c r="AU55">
        <f t="shared" si="31"/>
        <v>2.1</v>
      </c>
      <c r="AV55">
        <f t="shared" si="31"/>
        <v>6.3</v>
      </c>
      <c r="AW55">
        <f t="shared" si="31"/>
        <v>6</v>
      </c>
      <c r="AX55">
        <f t="shared" si="31"/>
        <v>5.7</v>
      </c>
      <c r="AY55">
        <f t="shared" si="31"/>
        <v>7.7</v>
      </c>
      <c r="AZ55">
        <f t="shared" si="31"/>
        <v>5.6</v>
      </c>
      <c r="BA55">
        <f t="shared" si="31"/>
        <v>6.6</v>
      </c>
      <c r="BB55">
        <f t="shared" si="31"/>
        <v>5.9</v>
      </c>
    </row>
    <row r="56" spans="1:54" x14ac:dyDescent="0.25">
      <c r="M56" s="1" t="s">
        <v>92</v>
      </c>
      <c r="N56">
        <f t="shared" ref="N56:W56" si="32">AVERAGE(B14,B26,B38,B50,N14,N26,N38,N50)</f>
        <v>13.406771343315974</v>
      </c>
      <c r="O56">
        <f t="shared" si="32"/>
        <v>14.427753147135418</v>
      </c>
      <c r="P56">
        <f t="shared" si="32"/>
        <v>11.95293015407986</v>
      </c>
      <c r="Q56">
        <f t="shared" si="32"/>
        <v>17.377542241753474</v>
      </c>
      <c r="R56">
        <f t="shared" si="32"/>
        <v>17.600686219618055</v>
      </c>
      <c r="S56">
        <f t="shared" si="32"/>
        <v>17.907174869791668</v>
      </c>
      <c r="T56">
        <f t="shared" si="32"/>
        <v>18.630295690104166</v>
      </c>
      <c r="U56">
        <f t="shared" si="32"/>
        <v>15.367036527777779</v>
      </c>
      <c r="V56">
        <f t="shared" si="32"/>
        <v>16.431923822885079</v>
      </c>
      <c r="W56">
        <f t="shared" si="32"/>
        <v>22.899378356124526</v>
      </c>
    </row>
    <row r="57" spans="1:54" x14ac:dyDescent="0.25">
      <c r="AR57" s="1" t="s">
        <v>89</v>
      </c>
      <c r="AS57">
        <f t="shared" ref="AS57:BB57" si="33">AVERAGE(AG10,AG17,AG24,AG31,AS10,AS17,AS24,AS31,AG43,AG45,AG47,AG49,AG51,AS43,AS45,AS47,AS49,AS51)</f>
        <v>3.8333333333333335</v>
      </c>
      <c r="AT57">
        <f t="shared" si="33"/>
        <v>5.333333333333333</v>
      </c>
      <c r="AU57">
        <f t="shared" si="33"/>
        <v>1.6666666666666667</v>
      </c>
      <c r="AV57">
        <f t="shared" si="33"/>
        <v>6.4444444444444446</v>
      </c>
      <c r="AW57">
        <f t="shared" si="33"/>
        <v>6</v>
      </c>
      <c r="AX57">
        <f t="shared" si="33"/>
        <v>6.2222222222222223</v>
      </c>
      <c r="AY57">
        <f t="shared" si="33"/>
        <v>7.5</v>
      </c>
      <c r="AZ57">
        <f t="shared" si="33"/>
        <v>5.7777777777777777</v>
      </c>
      <c r="BA57">
        <f t="shared" si="33"/>
        <v>6.2222222222222223</v>
      </c>
      <c r="BB57">
        <f t="shared" si="33"/>
        <v>6</v>
      </c>
    </row>
    <row r="58" spans="1:54" x14ac:dyDescent="0.25">
      <c r="AR58" s="1" t="s">
        <v>89</v>
      </c>
      <c r="AS58">
        <f t="shared" ref="AS58:BB58" si="34">AVERAGE(AG33,AS33,AG53,AS53)</f>
        <v>3.85</v>
      </c>
      <c r="AT58">
        <f t="shared" si="34"/>
        <v>5.3250000000000002</v>
      </c>
      <c r="AU58">
        <f t="shared" si="34"/>
        <v>1.6125</v>
      </c>
      <c r="AV58">
        <f t="shared" si="34"/>
        <v>6.4625000000000004</v>
      </c>
      <c r="AW58">
        <f t="shared" si="34"/>
        <v>6</v>
      </c>
      <c r="AX58">
        <f t="shared" si="34"/>
        <v>6.2874999999999996</v>
      </c>
      <c r="AY58">
        <f t="shared" si="34"/>
        <v>7.4749999999999996</v>
      </c>
      <c r="AZ58">
        <f t="shared" si="34"/>
        <v>5.8000000000000007</v>
      </c>
      <c r="BA58">
        <f t="shared" si="34"/>
        <v>6.1749999999999998</v>
      </c>
      <c r="BB58">
        <f t="shared" si="34"/>
        <v>6.0125000000000002</v>
      </c>
    </row>
    <row r="59" spans="1:54" x14ac:dyDescent="0.25">
      <c r="AR59" s="1" t="s">
        <v>92</v>
      </c>
      <c r="AS59">
        <f t="shared" ref="AS59:BB59" si="35">AVERAGE(AG9,AG16,AG23,AG30,AS9,AS16,AS23,AS30,AG42,AG44,AG46,AG48,AG50,AS42,AS44,AS46,AS48,AS50)</f>
        <v>11.22237905436049</v>
      </c>
      <c r="AT59">
        <f t="shared" si="35"/>
        <v>11.79243176568648</v>
      </c>
      <c r="AU59">
        <f t="shared" si="35"/>
        <v>10.972416251086814</v>
      </c>
      <c r="AV59">
        <f t="shared" si="35"/>
        <v>20.057111241089991</v>
      </c>
      <c r="AW59">
        <f t="shared" si="35"/>
        <v>15.495242985832924</v>
      </c>
      <c r="AX59">
        <f t="shared" si="35"/>
        <v>14.041937829947241</v>
      </c>
      <c r="AY59">
        <f t="shared" si="35"/>
        <v>24.342786691469804</v>
      </c>
      <c r="AZ59">
        <f t="shared" si="35"/>
        <v>14.457338097779882</v>
      </c>
      <c r="BA59">
        <f t="shared" si="35"/>
        <v>14.769595635157495</v>
      </c>
      <c r="BB59">
        <f t="shared" si="35"/>
        <v>22.82092530765124</v>
      </c>
    </row>
    <row r="60" spans="1:54" x14ac:dyDescent="0.25">
      <c r="A60" s="79" t="s">
        <v>90</v>
      </c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</row>
    <row r="61" spans="1:54" ht="14.4" thickBot="1" x14ac:dyDescent="0.3">
      <c r="A61" s="80" t="s">
        <v>85</v>
      </c>
      <c r="B61" s="80"/>
      <c r="C61" s="80"/>
      <c r="D61" s="80"/>
      <c r="E61" s="80"/>
      <c r="F61" s="80"/>
      <c r="G61" s="80"/>
      <c r="H61" s="80"/>
      <c r="I61" s="80"/>
      <c r="J61" s="80"/>
      <c r="K61" s="80"/>
      <c r="M61" s="80" t="s">
        <v>86</v>
      </c>
      <c r="N61" s="80"/>
      <c r="O61" s="80"/>
      <c r="P61" s="80"/>
      <c r="Q61" s="80"/>
      <c r="R61" s="80"/>
      <c r="S61" s="80"/>
      <c r="T61" s="80"/>
      <c r="U61" s="80"/>
      <c r="V61" s="80"/>
      <c r="W61" s="80"/>
    </row>
    <row r="62" spans="1:54" x14ac:dyDescent="0.25">
      <c r="A62" s="1" t="s">
        <v>76</v>
      </c>
      <c r="B62" s="3">
        <v>2.9697870318872823</v>
      </c>
      <c r="C62" s="3">
        <v>2.9517067575083424</v>
      </c>
      <c r="D62" s="3">
        <v>2.8305930200222469</v>
      </c>
      <c r="E62" s="3">
        <v>3.0644408138672601</v>
      </c>
      <c r="F62" s="3">
        <v>2.878447117167223</v>
      </c>
      <c r="G62" s="3">
        <v>3.0071723210975159</v>
      </c>
      <c r="H62" s="3">
        <v>2.9360342510196515</v>
      </c>
      <c r="I62" s="3">
        <v>3.13331942899518</v>
      </c>
      <c r="J62" s="3">
        <v>2.8930698461253246</v>
      </c>
      <c r="K62" s="3">
        <v>2.8550994160177976</v>
      </c>
      <c r="M62" s="1" t="s">
        <v>76</v>
      </c>
      <c r="N62" s="3">
        <v>8.602480765665554</v>
      </c>
      <c r="O62" s="3">
        <v>9.1624107804968489</v>
      </c>
      <c r="P62" s="3">
        <v>11.909494345569151</v>
      </c>
      <c r="Q62" s="3">
        <v>122.82360609010011</v>
      </c>
      <c r="R62" s="3">
        <v>31.744727938450129</v>
      </c>
      <c r="S62" s="3">
        <v>7.4353680014831296</v>
      </c>
      <c r="T62" s="3">
        <v>172.87683653133112</v>
      </c>
      <c r="U62" s="3">
        <v>47.174470476455319</v>
      </c>
      <c r="V62" s="3">
        <v>34.33636332035595</v>
      </c>
      <c r="W62" s="3">
        <v>90.583310159436408</v>
      </c>
    </row>
    <row r="63" spans="1:54" x14ac:dyDescent="0.25">
      <c r="A63" s="1" t="s">
        <v>83</v>
      </c>
      <c r="B63" s="1">
        <f>RANK(B62,B62:K62,1)</f>
        <v>7</v>
      </c>
      <c r="C63" s="1">
        <f>RANK(C62,B62:K62,1)</f>
        <v>6</v>
      </c>
      <c r="D63" s="1">
        <f>RANK(D62,B62:K62,1)</f>
        <v>1</v>
      </c>
      <c r="E63" s="1">
        <f>RANK(E62,B62:K62,1)</f>
        <v>9</v>
      </c>
      <c r="F63" s="1">
        <f>RANK(F62,B62:K62,1)</f>
        <v>3</v>
      </c>
      <c r="G63" s="1">
        <f>RANK(G62,B62:K62,1)</f>
        <v>8</v>
      </c>
      <c r="H63" s="1">
        <f>RANK(H62,B62:K62,1)</f>
        <v>5</v>
      </c>
      <c r="I63" s="1">
        <f>RANK(I62,B62:K62,1)</f>
        <v>10</v>
      </c>
      <c r="J63" s="1">
        <f>RANK(J62,B62:K62,1)</f>
        <v>4</v>
      </c>
      <c r="K63" s="1">
        <f>RANK(K62,B62:K62,1)</f>
        <v>2</v>
      </c>
      <c r="M63" s="1" t="s">
        <v>83</v>
      </c>
      <c r="N63" s="1">
        <f>RANK(N62,N62:W62,1)</f>
        <v>2</v>
      </c>
      <c r="O63" s="1">
        <f>RANK(O62,N62:W62,1)</f>
        <v>3</v>
      </c>
      <c r="P63" s="1">
        <f>RANK(P62,N62:W62,1)</f>
        <v>4</v>
      </c>
      <c r="Q63" s="1">
        <f>RANK(Q62,N62:W62,1)</f>
        <v>9</v>
      </c>
      <c r="R63" s="1">
        <f>RANK(R62,N62:W62,1)</f>
        <v>5</v>
      </c>
      <c r="S63" s="1">
        <f>RANK(S62,N62:W62,1)</f>
        <v>1</v>
      </c>
      <c r="T63" s="1">
        <f>RANK(T62,N62:W62,1)</f>
        <v>10</v>
      </c>
      <c r="U63" s="1">
        <f>RANK(U62,N62:W62,1)</f>
        <v>7</v>
      </c>
      <c r="V63" s="1">
        <f>RANK(V62,N62:W62,1)</f>
        <v>6</v>
      </c>
      <c r="W63" s="1">
        <f>RANK(W62,N62:W62,1)</f>
        <v>8</v>
      </c>
    </row>
    <row r="64" spans="1:54" x14ac:dyDescent="0.25">
      <c r="A64" s="1" t="s">
        <v>77</v>
      </c>
      <c r="B64" s="7">
        <v>5.8987224707501724</v>
      </c>
      <c r="C64" s="7">
        <v>5.7371203974535439</v>
      </c>
      <c r="D64" s="7">
        <v>5.4129763850653818</v>
      </c>
      <c r="E64" s="7">
        <v>6.474013893668273</v>
      </c>
      <c r="F64" s="7">
        <v>5.2954393926359256</v>
      </c>
      <c r="G64" s="7">
        <v>5.2324554800412937</v>
      </c>
      <c r="H64" s="7">
        <v>5.2904389624913968</v>
      </c>
      <c r="I64" s="7">
        <v>6.5270184532002755</v>
      </c>
      <c r="J64" s="7">
        <v>5.2144270474879564</v>
      </c>
      <c r="K64" s="7">
        <v>5.5352718513420509</v>
      </c>
      <c r="M64" s="1" t="s">
        <v>77</v>
      </c>
      <c r="N64" s="7">
        <v>8.6526367859600821</v>
      </c>
      <c r="O64" s="7">
        <v>9.4847277185134207</v>
      </c>
      <c r="P64" s="7">
        <v>8.1816930488644193</v>
      </c>
      <c r="Q64" s="7">
        <v>9.470884592222987</v>
      </c>
      <c r="R64" s="7">
        <v>14.245956641431521</v>
      </c>
      <c r="S64" s="7">
        <v>9.8665476600137652</v>
      </c>
      <c r="T64" s="7">
        <v>16.818586545079146</v>
      </c>
      <c r="U64" s="7">
        <v>9.6492440209910537</v>
      </c>
      <c r="V64" s="7">
        <v>12.026824888162423</v>
      </c>
      <c r="W64" s="7">
        <v>14.225433370612526</v>
      </c>
    </row>
    <row r="65" spans="1:23" x14ac:dyDescent="0.25">
      <c r="A65" s="1" t="s">
        <v>83</v>
      </c>
      <c r="B65" s="1">
        <f>RANK(B64,B64:K64,1)</f>
        <v>8</v>
      </c>
      <c r="C65" s="1">
        <f>RANK(C64,B64:K64,1)</f>
        <v>7</v>
      </c>
      <c r="D65" s="1">
        <f>RANK(D64,B64:K64,1)</f>
        <v>5</v>
      </c>
      <c r="E65" s="1">
        <f>RANK(E64,B64:K64,1)</f>
        <v>9</v>
      </c>
      <c r="F65" s="1">
        <f>RANK(F64,B64:K64,1)</f>
        <v>4</v>
      </c>
      <c r="G65" s="1">
        <f>RANK(G64,B64:K64,1)</f>
        <v>2</v>
      </c>
      <c r="H65" s="1">
        <f>RANK(H64,B64:K64,1)</f>
        <v>3</v>
      </c>
      <c r="I65" s="1">
        <f>RANK(I64,B64:K64,1)</f>
        <v>10</v>
      </c>
      <c r="J65" s="1">
        <f>RANK(J64,B64:K64,1)</f>
        <v>1</v>
      </c>
      <c r="K65" s="1">
        <f>RANK(K64,B64:K64,1)</f>
        <v>6</v>
      </c>
      <c r="M65" s="1" t="s">
        <v>83</v>
      </c>
      <c r="N65" s="1">
        <f>RANK(N64,N64:W64,1)</f>
        <v>2</v>
      </c>
      <c r="O65" s="1">
        <f>RANK(O64,N64:W64,1)</f>
        <v>4</v>
      </c>
      <c r="P65" s="1">
        <f>RANK(P64,N64:W64,1)</f>
        <v>1</v>
      </c>
      <c r="Q65" s="1">
        <f>RANK(Q64,N64:W64,1)</f>
        <v>3</v>
      </c>
      <c r="R65" s="1">
        <f>RANK(R64,N64:W64,1)</f>
        <v>9</v>
      </c>
      <c r="S65" s="1">
        <f>RANK(S64,N64:W64,1)</f>
        <v>6</v>
      </c>
      <c r="T65" s="1">
        <f>RANK(T64,N64:W64,1)</f>
        <v>10</v>
      </c>
      <c r="U65" s="1">
        <f>RANK(U64,N64:W64,1)</f>
        <v>5</v>
      </c>
      <c r="V65" s="1">
        <f>RANK(V64,N64:W64,1)</f>
        <v>7</v>
      </c>
      <c r="W65" s="1">
        <f>RANK(W64,N64:W64,1)</f>
        <v>8</v>
      </c>
    </row>
    <row r="66" spans="1:23" x14ac:dyDescent="0.25">
      <c r="A66" s="1" t="s">
        <v>78</v>
      </c>
      <c r="B66" s="7">
        <v>0.28407213656387664</v>
      </c>
      <c r="C66" s="7">
        <v>0.29827918502202644</v>
      </c>
      <c r="D66" s="7">
        <v>0.28641244493392071</v>
      </c>
      <c r="E66" s="7">
        <v>0.2937775330396476</v>
      </c>
      <c r="F66" s="7">
        <v>0.31153634361233479</v>
      </c>
      <c r="G66" s="7">
        <v>0.30733755506607929</v>
      </c>
      <c r="H66" s="7">
        <v>0.29460352422907488</v>
      </c>
      <c r="I66" s="7">
        <v>0.27553689427312777</v>
      </c>
      <c r="J66" s="7">
        <v>0.32234306167400884</v>
      </c>
      <c r="K66" s="7">
        <v>0.28937224669603523</v>
      </c>
      <c r="M66" s="1" t="s">
        <v>78</v>
      </c>
      <c r="N66" s="7">
        <v>0.57523403083700442</v>
      </c>
      <c r="O66" s="7">
        <v>0.59596640969162995</v>
      </c>
      <c r="P66" s="7">
        <v>0.52856552863436124</v>
      </c>
      <c r="Q66" s="7">
        <v>0.60001376651982374</v>
      </c>
      <c r="R66" s="7">
        <v>0.77003028634361237</v>
      </c>
      <c r="S66" s="7">
        <v>0.62555066079295152</v>
      </c>
      <c r="T66" s="7">
        <v>0.92517896475770922</v>
      </c>
      <c r="U66" s="7">
        <v>0.56890143171806162</v>
      </c>
      <c r="V66" s="7">
        <v>0.77168226872246692</v>
      </c>
      <c r="W66" s="7">
        <v>0.70835627753303965</v>
      </c>
    </row>
    <row r="67" spans="1:23" x14ac:dyDescent="0.25">
      <c r="A67" s="1" t="s">
        <v>83</v>
      </c>
      <c r="B67" s="1">
        <f>RANK(B66,B66:K66,1)</f>
        <v>2</v>
      </c>
      <c r="C67" s="1">
        <f>RANK(C66,B66:K66,1)</f>
        <v>7</v>
      </c>
      <c r="D67" s="1">
        <f>RANK(D66,B66:K66,1)</f>
        <v>3</v>
      </c>
      <c r="E67" s="1">
        <f>RANK(E66,B66:K66,1)</f>
        <v>5</v>
      </c>
      <c r="F67" s="1">
        <f>RANK(F66,B66:K66,1)</f>
        <v>9</v>
      </c>
      <c r="G67" s="1">
        <f>RANK(G66,B66:K66,1)</f>
        <v>8</v>
      </c>
      <c r="H67" s="1">
        <f>RANK(H66,B66:K66,1)</f>
        <v>6</v>
      </c>
      <c r="I67" s="1">
        <f>RANK(I66,B66:K66,1)</f>
        <v>1</v>
      </c>
      <c r="J67" s="1">
        <f>RANK(J66,B66:K66,1)</f>
        <v>10</v>
      </c>
      <c r="K67" s="1">
        <f>RANK(K66,B66:K66,1)</f>
        <v>4</v>
      </c>
      <c r="M67" s="1" t="s">
        <v>83</v>
      </c>
      <c r="N67" s="1">
        <f>RANK(N66,N66:W66,1)</f>
        <v>3</v>
      </c>
      <c r="O67" s="1">
        <f>RANK(O66,N66:W66,1)</f>
        <v>4</v>
      </c>
      <c r="P67" s="1">
        <f>RANK(P66,N66:W66,1)</f>
        <v>1</v>
      </c>
      <c r="Q67" s="1">
        <f>RANK(Q66,N66:W66,1)</f>
        <v>5</v>
      </c>
      <c r="R67" s="1">
        <f>RANK(R66,N66:W66,1)</f>
        <v>8</v>
      </c>
      <c r="S67" s="1">
        <f>RANK(S66,N66:W66,1)</f>
        <v>6</v>
      </c>
      <c r="T67" s="1">
        <f>RANK(T66,N66:W66,1)</f>
        <v>10</v>
      </c>
      <c r="U67" s="1">
        <f>RANK(U66,N66:W66,1)</f>
        <v>2</v>
      </c>
      <c r="V67" s="1">
        <f>RANK(V66,N66:W66,1)</f>
        <v>9</v>
      </c>
      <c r="W67" s="1">
        <f>RANK(W66,N66:W66,1)</f>
        <v>7</v>
      </c>
    </row>
    <row r="68" spans="1:23" x14ac:dyDescent="0.25">
      <c r="A68" s="1" t="s">
        <v>79</v>
      </c>
      <c r="B68" s="7">
        <v>2.1468041656619241</v>
      </c>
      <c r="C68" s="7">
        <v>2.3223693332529538</v>
      </c>
      <c r="D68" s="7">
        <v>2.1305047323366288</v>
      </c>
      <c r="E68" s="7">
        <v>2.312040330359296</v>
      </c>
      <c r="F68" s="7">
        <v>2.2511341029659997</v>
      </c>
      <c r="G68" s="7">
        <v>2.2542990414757655</v>
      </c>
      <c r="H68" s="7">
        <v>3.2567292621171933</v>
      </c>
      <c r="I68" s="7">
        <v>2.4519381480588378</v>
      </c>
      <c r="J68" s="7">
        <v>2.2400379792621172</v>
      </c>
      <c r="K68" s="7">
        <v>2.1819387509042683</v>
      </c>
      <c r="M68" s="1" t="s">
        <v>79</v>
      </c>
      <c r="N68" s="7">
        <v>3.7976926091150229</v>
      </c>
      <c r="O68" s="7">
        <v>3.6034075837955144</v>
      </c>
      <c r="P68" s="7">
        <v>3.5356997528333736</v>
      </c>
      <c r="Q68" s="7">
        <v>3.766845761996624</v>
      </c>
      <c r="R68" s="7">
        <v>5.394746955630576</v>
      </c>
      <c r="S68" s="7">
        <v>4.2876326259946946</v>
      </c>
      <c r="T68" s="7">
        <v>8.2037391487822529</v>
      </c>
      <c r="U68" s="7">
        <v>3.5632723957077403</v>
      </c>
      <c r="V68" s="7">
        <v>5.5017407161803717</v>
      </c>
      <c r="W68" s="7">
        <v>4.3909075837955145</v>
      </c>
    </row>
    <row r="69" spans="1:23" x14ac:dyDescent="0.25">
      <c r="A69" s="1" t="s">
        <v>83</v>
      </c>
      <c r="B69" s="1">
        <f>RANK(B68,B68:K68,1)</f>
        <v>2</v>
      </c>
      <c r="C69" s="1">
        <f>RANK(C68,B68:K68,1)</f>
        <v>8</v>
      </c>
      <c r="D69" s="1">
        <f>RANK(D68,B68:K68,1)</f>
        <v>1</v>
      </c>
      <c r="E69" s="1">
        <f>RANK(E68,B68:K68,1)</f>
        <v>7</v>
      </c>
      <c r="F69" s="1">
        <f>RANK(F68,B68:K68,1)</f>
        <v>5</v>
      </c>
      <c r="G69" s="1">
        <f>RANK(G68,B68:K68,1)</f>
        <v>6</v>
      </c>
      <c r="H69" s="1">
        <f>RANK(H68,B68:K68,1)</f>
        <v>10</v>
      </c>
      <c r="I69" s="1">
        <f>RANK(I68,B68:K68,1)</f>
        <v>9</v>
      </c>
      <c r="J69" s="1">
        <f>RANK(J68,B68:K68,1)</f>
        <v>4</v>
      </c>
      <c r="K69" s="1">
        <f>RANK(K68,B68:K68,1)</f>
        <v>3</v>
      </c>
      <c r="M69" s="1" t="s">
        <v>83</v>
      </c>
      <c r="N69" s="1">
        <f>RANK(N68,N68:W68,1)</f>
        <v>5</v>
      </c>
      <c r="O69" s="83">
        <f>RANK(O68,N68:W68,1)</f>
        <v>3</v>
      </c>
      <c r="P69" s="1">
        <f>RANK(P68,N68:W68,1)</f>
        <v>1</v>
      </c>
      <c r="Q69" s="1">
        <f>RANK(Q68,N68:W68,1)</f>
        <v>4</v>
      </c>
      <c r="R69" s="1">
        <f>RANK(R68,N68:W68,1)</f>
        <v>8</v>
      </c>
      <c r="S69" s="1">
        <f>RANK(S68,N68:W68,1)</f>
        <v>6</v>
      </c>
      <c r="T69" s="1">
        <f>RANK(T68,N68:W68,1)</f>
        <v>10</v>
      </c>
      <c r="U69" s="1">
        <f>RANK(U68,N68:W68,1)</f>
        <v>2</v>
      </c>
      <c r="V69" s="1">
        <f>RANK(V68,N68:W68,1)</f>
        <v>9</v>
      </c>
      <c r="W69" s="1">
        <f>RANK(W68,N68:W68,1)</f>
        <v>7</v>
      </c>
    </row>
    <row r="70" spans="1:23" ht="14.4" thickBot="1" x14ac:dyDescent="0.3">
      <c r="A70" s="1" t="s">
        <v>80</v>
      </c>
      <c r="B70" s="11">
        <v>0.94581117021276595</v>
      </c>
      <c r="C70" s="11">
        <v>1.0740026595744681</v>
      </c>
      <c r="D70" s="11">
        <v>0.88264627659574468</v>
      </c>
      <c r="E70" s="11">
        <v>0.99301861702127658</v>
      </c>
      <c r="F70" s="11">
        <v>0.90026595744680848</v>
      </c>
      <c r="G70" s="11">
        <v>0.94980053191489366</v>
      </c>
      <c r="H70" s="11">
        <v>0.9228723404255319</v>
      </c>
      <c r="I70" s="11">
        <v>0.94448138297872342</v>
      </c>
      <c r="J70" s="11">
        <v>0.99168882978723405</v>
      </c>
      <c r="K70" s="11">
        <v>1.0069813829787233</v>
      </c>
      <c r="M70" s="1" t="s">
        <v>80</v>
      </c>
      <c r="N70" s="11">
        <v>1.4720744680851063</v>
      </c>
      <c r="O70" s="7">
        <v>1.4741356382978723</v>
      </c>
      <c r="P70" s="11">
        <v>1.4827127659574468</v>
      </c>
      <c r="Q70" s="11">
        <v>1.5927526595744681</v>
      </c>
      <c r="R70" s="11">
        <v>1.6722074468085106</v>
      </c>
      <c r="S70" s="11">
        <v>1.7253989361702127</v>
      </c>
      <c r="T70" s="11">
        <v>2.1688829787234041</v>
      </c>
      <c r="U70" s="11">
        <v>1.6585771276595744</v>
      </c>
      <c r="V70" s="11">
        <v>1.9348404255319149</v>
      </c>
      <c r="W70" s="11">
        <v>1.6489361702127661</v>
      </c>
    </row>
    <row r="71" spans="1:23" x14ac:dyDescent="0.25">
      <c r="A71" s="1" t="s">
        <v>83</v>
      </c>
      <c r="B71" s="1">
        <f>RANK(B70,B70:K70,1)</f>
        <v>5</v>
      </c>
      <c r="C71" s="1">
        <f>RANK(C70,B70:K70,1)</f>
        <v>10</v>
      </c>
      <c r="D71" s="1">
        <f>RANK(D70,B70:K70,1)</f>
        <v>1</v>
      </c>
      <c r="E71" s="1">
        <f>RANK(E70,B70:K70,1)</f>
        <v>8</v>
      </c>
      <c r="F71" s="1">
        <f>RANK(F70,B70:K70,1)</f>
        <v>2</v>
      </c>
      <c r="G71" s="1">
        <f>RANK(G70,B70:K70,1)</f>
        <v>6</v>
      </c>
      <c r="H71" s="1">
        <f>RANK(H70,B70:K70,1)</f>
        <v>3</v>
      </c>
      <c r="I71" s="1">
        <f>RANK(I70,B70:K70,1)</f>
        <v>4</v>
      </c>
      <c r="J71" s="1">
        <f>RANK(J70,B70:K70,1)</f>
        <v>7</v>
      </c>
      <c r="K71" s="1">
        <f>RANK(K70,B70:K70,1)</f>
        <v>9</v>
      </c>
      <c r="M71" s="1" t="s">
        <v>83</v>
      </c>
      <c r="N71" s="1">
        <f>RANK(N70,N70:W70,1)</f>
        <v>1</v>
      </c>
      <c r="O71" s="1">
        <f>RANK(O70,N70:W70,1)</f>
        <v>2</v>
      </c>
      <c r="P71" s="1">
        <f>RANK(P70,N70:W70,1)</f>
        <v>3</v>
      </c>
      <c r="Q71" s="1">
        <f>RANK(Q70,N70:W70,1)</f>
        <v>4</v>
      </c>
      <c r="R71" s="1">
        <f>RANK(R70,N70:W70,1)</f>
        <v>7</v>
      </c>
      <c r="S71" s="1">
        <f>RANK(S70,N70:W70,1)</f>
        <v>8</v>
      </c>
      <c r="T71" s="1">
        <f>RANK(T70,N70:W70,1)</f>
        <v>10</v>
      </c>
      <c r="U71" s="1">
        <f>RANK(U70,N70:W70,1)</f>
        <v>6</v>
      </c>
      <c r="V71" s="1">
        <f>RANK(V70,N70:W70,1)</f>
        <v>9</v>
      </c>
      <c r="W71" s="1">
        <f>RANK(W70,N70:W70,1)</f>
        <v>5</v>
      </c>
    </row>
    <row r="72" spans="1:23" x14ac:dyDescent="0.25">
      <c r="A72" s="1" t="s">
        <v>81</v>
      </c>
      <c r="B72" s="1">
        <f>AVERAGE(B62,B64,B66,B68,B70)</f>
        <v>2.4490393950152045</v>
      </c>
      <c r="C72" s="1">
        <f t="shared" ref="C72:K72" si="36">AVERAGE(C62,C64,C66,C68,C70)</f>
        <v>2.476695666562267</v>
      </c>
      <c r="D72" s="1">
        <f t="shared" si="36"/>
        <v>2.3086265717907848</v>
      </c>
      <c r="E72" s="1">
        <f t="shared" si="36"/>
        <v>2.6274582375911502</v>
      </c>
      <c r="F72" s="1">
        <f t="shared" si="36"/>
        <v>2.3273645827656586</v>
      </c>
      <c r="G72" s="1">
        <f t="shared" si="36"/>
        <v>2.3502129859191099</v>
      </c>
      <c r="H72" s="1">
        <f t="shared" si="36"/>
        <v>2.5401356680565699</v>
      </c>
      <c r="I72" s="1">
        <f t="shared" si="36"/>
        <v>2.666458861501229</v>
      </c>
      <c r="J72" s="1">
        <f t="shared" si="36"/>
        <v>2.3323133528673283</v>
      </c>
      <c r="K72" s="1">
        <f t="shared" si="36"/>
        <v>2.373732729587775</v>
      </c>
      <c r="M72" s="1" t="s">
        <v>81</v>
      </c>
      <c r="N72" s="1">
        <f>AVERAGE(N62,N64,N66,N68,N70)</f>
        <v>4.6200237319325543</v>
      </c>
      <c r="O72" s="1">
        <f t="shared" ref="O72:W72" si="37">AVERAGE(O62,O64,O66,O68,O70)</f>
        <v>4.8641296261590572</v>
      </c>
      <c r="P72" s="1">
        <f t="shared" si="37"/>
        <v>5.1276330883717502</v>
      </c>
      <c r="Q72" s="1">
        <f t="shared" si="37"/>
        <v>27.650820574082804</v>
      </c>
      <c r="R72" s="1">
        <f t="shared" si="37"/>
        <v>10.765533853732871</v>
      </c>
      <c r="S72" s="1">
        <f t="shared" si="37"/>
        <v>4.7880995768909509</v>
      </c>
      <c r="T72" s="1">
        <f t="shared" si="37"/>
        <v>40.198644833734733</v>
      </c>
      <c r="U72" s="1">
        <f t="shared" si="37"/>
        <v>12.522893090506351</v>
      </c>
      <c r="V72" s="1">
        <f t="shared" si="37"/>
        <v>10.914290323790626</v>
      </c>
      <c r="W72" s="1">
        <f t="shared" si="37"/>
        <v>22.311388712318049</v>
      </c>
    </row>
    <row r="73" spans="1:23" x14ac:dyDescent="0.25">
      <c r="A73" s="1" t="s">
        <v>84</v>
      </c>
      <c r="B73">
        <f>AVERAGE(B63,B65,B67,B69,B71)</f>
        <v>4.8</v>
      </c>
      <c r="C73">
        <f t="shared" ref="C73:K73" si="38">AVERAGE(C63,C65,C67,C69,C71)</f>
        <v>7.6</v>
      </c>
      <c r="D73">
        <f t="shared" si="38"/>
        <v>2.2000000000000002</v>
      </c>
      <c r="E73">
        <f t="shared" si="38"/>
        <v>7.6</v>
      </c>
      <c r="F73">
        <f t="shared" si="38"/>
        <v>4.5999999999999996</v>
      </c>
      <c r="G73">
        <f t="shared" si="38"/>
        <v>6</v>
      </c>
      <c r="H73">
        <f t="shared" si="38"/>
        <v>5.4</v>
      </c>
      <c r="I73">
        <f t="shared" si="38"/>
        <v>6.8</v>
      </c>
      <c r="J73">
        <f t="shared" si="38"/>
        <v>5.2</v>
      </c>
      <c r="K73">
        <f t="shared" si="38"/>
        <v>4.8</v>
      </c>
      <c r="M73" s="1" t="s">
        <v>84</v>
      </c>
      <c r="N73">
        <f>AVERAGE(N63,N65,N67,N69,N71)</f>
        <v>2.6</v>
      </c>
      <c r="O73">
        <f t="shared" ref="O73:W73" si="39">AVERAGE(O63,O65,O67,O69,O71)</f>
        <v>3.2</v>
      </c>
      <c r="P73">
        <f t="shared" si="39"/>
        <v>2</v>
      </c>
      <c r="Q73">
        <f t="shared" si="39"/>
        <v>5</v>
      </c>
      <c r="R73">
        <f t="shared" si="39"/>
        <v>7.4</v>
      </c>
      <c r="S73">
        <f t="shared" si="39"/>
        <v>5.4</v>
      </c>
      <c r="T73">
        <f t="shared" si="39"/>
        <v>10</v>
      </c>
      <c r="U73">
        <f t="shared" si="39"/>
        <v>4.4000000000000004</v>
      </c>
      <c r="V73">
        <f t="shared" si="39"/>
        <v>8</v>
      </c>
      <c r="W73">
        <f t="shared" si="39"/>
        <v>7</v>
      </c>
    </row>
    <row r="75" spans="1:23" x14ac:dyDescent="0.25">
      <c r="M75" s="1" t="s">
        <v>88</v>
      </c>
      <c r="N75">
        <f t="shared" ref="N75:W75" si="40">AVERAGE(B63,B65,B67,B69,B71,N63,N65,N67,N69,N71)</f>
        <v>3.7</v>
      </c>
      <c r="O75">
        <f t="shared" si="40"/>
        <v>5.4</v>
      </c>
      <c r="P75">
        <f t="shared" si="40"/>
        <v>2.1</v>
      </c>
      <c r="Q75">
        <f t="shared" si="40"/>
        <v>6.3</v>
      </c>
      <c r="R75">
        <f t="shared" si="40"/>
        <v>6</v>
      </c>
      <c r="S75">
        <f t="shared" si="40"/>
        <v>5.7</v>
      </c>
      <c r="T75">
        <f t="shared" si="40"/>
        <v>7.7</v>
      </c>
      <c r="U75">
        <f t="shared" si="40"/>
        <v>5.6</v>
      </c>
      <c r="V75">
        <f t="shared" si="40"/>
        <v>6.6</v>
      </c>
      <c r="W75">
        <f t="shared" si="40"/>
        <v>5.9</v>
      </c>
    </row>
    <row r="77" spans="1:23" x14ac:dyDescent="0.25">
      <c r="M77" s="1" t="s">
        <v>89</v>
      </c>
      <c r="N77">
        <f t="shared" ref="N77:W77" si="41">AVERAGE(B15,B27,B39,B51,N15,N27,N39,N51,B63,B65,B67,B69,B71,N63,N65,N67,N69,N71)</f>
        <v>3.8888888888888888</v>
      </c>
      <c r="O77">
        <f t="shared" si="41"/>
        <v>5.4444444444444446</v>
      </c>
      <c r="P77">
        <f t="shared" si="41"/>
        <v>1.7777777777777777</v>
      </c>
      <c r="Q77">
        <f t="shared" si="41"/>
        <v>6.4444444444444446</v>
      </c>
      <c r="R77">
        <f t="shared" si="41"/>
        <v>5.9444444444444446</v>
      </c>
      <c r="S77">
        <f t="shared" si="41"/>
        <v>6.0555555555555554</v>
      </c>
      <c r="T77">
        <f t="shared" si="41"/>
        <v>7.4444444444444446</v>
      </c>
      <c r="U77">
        <f t="shared" si="41"/>
        <v>5.7222222222222223</v>
      </c>
      <c r="V77">
        <f t="shared" si="41"/>
        <v>6.333333333333333</v>
      </c>
      <c r="W77">
        <f t="shared" si="41"/>
        <v>5.9444444444444446</v>
      </c>
    </row>
    <row r="78" spans="1:23" x14ac:dyDescent="0.25">
      <c r="M78" s="1" t="s">
        <v>89</v>
      </c>
      <c r="N78">
        <f t="shared" ref="N78:W78" si="42">AVERAGE(B53,N53,B73,N73)</f>
        <v>3.9125000000000001</v>
      </c>
      <c r="O78">
        <f t="shared" si="42"/>
        <v>5.45</v>
      </c>
      <c r="P78">
        <f t="shared" si="42"/>
        <v>1.7375</v>
      </c>
      <c r="Q78">
        <f t="shared" si="42"/>
        <v>6.4625000000000004</v>
      </c>
      <c r="R78">
        <f t="shared" si="42"/>
        <v>5.9375</v>
      </c>
      <c r="S78">
        <f t="shared" si="42"/>
        <v>6.1</v>
      </c>
      <c r="T78">
        <f t="shared" si="42"/>
        <v>7.4124999999999996</v>
      </c>
      <c r="U78">
        <f t="shared" si="42"/>
        <v>5.7375000000000007</v>
      </c>
      <c r="V78">
        <f t="shared" si="42"/>
        <v>6.3</v>
      </c>
      <c r="W78">
        <f t="shared" si="42"/>
        <v>5.95</v>
      </c>
    </row>
    <row r="79" spans="1:23" x14ac:dyDescent="0.25">
      <c r="A79" t="s">
        <v>92</v>
      </c>
      <c r="B79">
        <f>AVERAGE(B4,B6,B8,B10,B12,B16,B18,B20,B22,B24,B28,B30,B32,B34,B36,B40,B42,B44,B46,B48,B62,B64,B66,B68,B70)</f>
        <v>11.989397016503039</v>
      </c>
      <c r="C79">
        <f t="shared" ref="C79:K79" si="43">AVERAGE(C4,C6,C8,C10,C12,C16,C18,C20,C22,C24,C28,C30,C32,C34,C36,C40,C42,C44,C46,C48,C62,C64,C66,C68,C70)</f>
        <v>12.07960731956245</v>
      </c>
      <c r="D79">
        <f t="shared" si="43"/>
        <v>11.130107976858159</v>
      </c>
      <c r="E79">
        <f t="shared" si="43"/>
        <v>15.306487572518229</v>
      </c>
      <c r="F79">
        <f t="shared" si="43"/>
        <v>11.612103435303132</v>
      </c>
      <c r="G79">
        <f t="shared" si="43"/>
        <v>11.83888297218382</v>
      </c>
      <c r="H79">
        <f t="shared" si="43"/>
        <v>11.892524383611315</v>
      </c>
      <c r="I79">
        <f t="shared" si="43"/>
        <v>12.352961459800246</v>
      </c>
      <c r="J79">
        <f t="shared" si="43"/>
        <v>11.760566433073466</v>
      </c>
      <c r="K79">
        <f t="shared" si="43"/>
        <v>26.009944624056192</v>
      </c>
      <c r="M79" s="1" t="s">
        <v>92</v>
      </c>
      <c r="N79">
        <f t="shared" ref="N79:W79" si="44">AVERAGE(B14,B26,B38,B50,N14,N26,N38,N50,B62,B64,B66,B68,B70,N62,N64,N66,N68,N70)</f>
        <v>7.9221936878481438</v>
      </c>
      <c r="O79">
        <f t="shared" si="44"/>
        <v>8.4514528689272197</v>
      </c>
      <c r="P79">
        <f t="shared" si="44"/>
        <v>7.3780410851917519</v>
      </c>
      <c r="Q79">
        <f t="shared" si="44"/>
        <v>16.133985110688755</v>
      </c>
      <c r="R79">
        <f t="shared" si="44"/>
        <v>11.459443441079838</v>
      </c>
      <c r="S79">
        <f t="shared" si="44"/>
        <v>9.9416089873546483</v>
      </c>
      <c r="T79">
        <f t="shared" si="44"/>
        <v>20.152014890543878</v>
      </c>
      <c r="U79">
        <f t="shared" si="44"/>
        <v>11.049058443458899</v>
      </c>
      <c r="V79">
        <f t="shared" si="44"/>
        <v>10.982689387020578</v>
      </c>
      <c r="W79">
        <f t="shared" si="44"/>
        <v>17.034479669918074</v>
      </c>
    </row>
    <row r="80" spans="1:23" x14ac:dyDescent="0.25">
      <c r="A80" t="s">
        <v>83</v>
      </c>
      <c r="B80">
        <f>AVERAGE(B5,B7,B9,B11,B13,B17,B19,B21,B23,B25,B29,B31,B33,B35,B37,B41,B43,B45,B47,B49,B63,B65,B67,B69,B71)</f>
        <v>5.8</v>
      </c>
      <c r="C80">
        <f t="shared" ref="C80:K80" si="45">AVERAGE(C5,C7,C9,C11,C13,C17,C19,C21,C23,C25,C29,C31,C33,C35,C37,C41,C43,C45,C47,C49,C63,C65,C67,C69,C71)</f>
        <v>7</v>
      </c>
      <c r="D80">
        <f t="shared" si="45"/>
        <v>2.08</v>
      </c>
      <c r="E80">
        <f t="shared" si="45"/>
        <v>7.76</v>
      </c>
      <c r="F80">
        <f t="shared" si="45"/>
        <v>4.3600000000000003</v>
      </c>
      <c r="G80">
        <f t="shared" si="45"/>
        <v>4.8</v>
      </c>
      <c r="H80">
        <f t="shared" si="45"/>
        <v>5.08</v>
      </c>
      <c r="I80">
        <f t="shared" si="45"/>
        <v>7.48</v>
      </c>
      <c r="J80">
        <f t="shared" si="45"/>
        <v>5.6</v>
      </c>
      <c r="K80">
        <f t="shared" si="45"/>
        <v>5.04</v>
      </c>
    </row>
    <row r="81" spans="13:23" x14ac:dyDescent="0.25">
      <c r="M81" s="1" t="s">
        <v>92</v>
      </c>
      <c r="N81">
        <f>AVERAGE(N4,N6,N8,N10,N12,N16,N18,N20,N22,N24,N28,N30,N32,N34,N36,N40,N42,N44,N46,N48,N62,N64,N66,N68,N70)</f>
        <v>22.755917077636518</v>
      </c>
      <c r="O81">
        <f t="shared" ref="O81:W81" si="46">AVERAGE(O4,O6,O8,O10,O12,O16,O18,O20,O22,O24,O28,O30,O32,O34,O36,O40,O42,O44,O46,O48,O62,O64,O66,O68,O70)</f>
        <v>24.500486802731807</v>
      </c>
      <c r="P81">
        <f t="shared" si="46"/>
        <v>22.421582798924348</v>
      </c>
      <c r="Q81">
        <f t="shared" si="46"/>
        <v>32.676489846066559</v>
      </c>
      <c r="R81">
        <f t="shared" si="46"/>
        <v>33.696452564496582</v>
      </c>
      <c r="S81">
        <f t="shared" si="46"/>
        <v>33.001443165378184</v>
      </c>
      <c r="T81">
        <f t="shared" si="46"/>
        <v>41.550483304246939</v>
      </c>
      <c r="U81">
        <f t="shared" si="46"/>
        <v>27.541974130601265</v>
      </c>
      <c r="V81">
        <f t="shared" si="46"/>
        <v>30.812694912167153</v>
      </c>
      <c r="W81">
        <f t="shared" si="46"/>
        <v>36.397289329963613</v>
      </c>
    </row>
    <row r="82" spans="13:23" x14ac:dyDescent="0.25">
      <c r="M82" s="1" t="s">
        <v>83</v>
      </c>
      <c r="N82">
        <f>AVERAGE(N5,N7,N9,N11,N13,N17,N19,N21,N23,N25,N29,N31,N33,N35,N37,N41,N43,N45,N47,N49,N63,N65,N67,N69,N71)</f>
        <v>2.2000000000000002</v>
      </c>
      <c r="O82">
        <f t="shared" ref="O82:W82" si="47">AVERAGE(O5,O7,O9,O11,O13,O17,O19,O21,O23,O25,O29,O31,O33,O35,O37,O41,O43,O45,O47,O49,O63,O65,O67,O69,O71)</f>
        <v>3.24</v>
      </c>
      <c r="P82">
        <f t="shared" si="47"/>
        <v>1.48</v>
      </c>
      <c r="Q82">
        <f t="shared" si="47"/>
        <v>5.08</v>
      </c>
      <c r="R82">
        <f t="shared" si="47"/>
        <v>7.88</v>
      </c>
      <c r="S82">
        <f t="shared" si="47"/>
        <v>7.64</v>
      </c>
      <c r="T82">
        <f t="shared" si="47"/>
        <v>9.1999999999999993</v>
      </c>
      <c r="U82">
        <f t="shared" si="47"/>
        <v>4.08</v>
      </c>
      <c r="V82">
        <f t="shared" si="47"/>
        <v>6.28</v>
      </c>
      <c r="W82">
        <f t="shared" si="47"/>
        <v>7.92</v>
      </c>
    </row>
    <row r="83" spans="13:23" x14ac:dyDescent="0.25">
      <c r="M83" s="1" t="s">
        <v>95</v>
      </c>
      <c r="N83">
        <f>AVERAGE(B4,B6,B8,B10,B12,B16,B18,B20,B22,B24,B28,B30,B32,B34,B36,B40,B42,B44,B46,B48,B62,B64,B66,B68,B70,N4,N6,N8,N10,N12,N16,N18,N20,N22,N24,N28,N30,N32,N34,N36,N40,N42,N44,N46,N48,B62,B64,B66,B68,B70,N62,N64,N66,N68,N70)</f>
        <v>16.015964533246631</v>
      </c>
      <c r="O83">
        <f t="shared" ref="O83:W83" si="48">AVERAGE(C4,C6,C8,C10,C12,C16,C18,C20,C22,C24,C28,C30,C32,C34,C36,C40,C42,C44,C46,C48,C62,C64,C66,C68,C70,O4,O6,O8,O10,O12,O16,O18,O20,O22,O24,O28,O30,O32,O34,O36,O40,O42,O44,O46,O48,C62,C64,C66,C68,C70,O62,O64,O66,O68,O70)</f>
        <v>16.852469661639415</v>
      </c>
      <c r="P83">
        <f t="shared" si="48"/>
        <v>15.460643677336668</v>
      </c>
      <c r="Q83">
        <f t="shared" si="48"/>
        <v>22.049304120955924</v>
      </c>
      <c r="R83">
        <f t="shared" si="48"/>
        <v>20.806376780160381</v>
      </c>
      <c r="S83">
        <f t="shared" si="48"/>
        <v>20.595622152157194</v>
      </c>
      <c r="T83">
        <f t="shared" si="48"/>
        <v>24.523197646122529</v>
      </c>
      <c r="U83">
        <f t="shared" si="48"/>
        <v>18.376466983046253</v>
      </c>
      <c r="V83">
        <f t="shared" si="48"/>
        <v>19.563510916279128</v>
      </c>
      <c r="W83">
        <f t="shared" si="48"/>
        <v>28.582718409062434</v>
      </c>
    </row>
    <row r="84" spans="13:23" x14ac:dyDescent="0.25">
      <c r="M84" s="1"/>
    </row>
  </sheetData>
  <mergeCells count="12">
    <mergeCell ref="A1:W1"/>
    <mergeCell ref="A2:K2"/>
    <mergeCell ref="M2:W2"/>
    <mergeCell ref="A60:W60"/>
    <mergeCell ref="A61:K61"/>
    <mergeCell ref="M61:W61"/>
    <mergeCell ref="AF1:BB1"/>
    <mergeCell ref="AF2:AP2"/>
    <mergeCell ref="AR2:BB2"/>
    <mergeCell ref="AF40:BB40"/>
    <mergeCell ref="AF41:AP41"/>
    <mergeCell ref="AR41:BB4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KDDM2</vt:lpstr>
      <vt:lpstr>NB-sum</vt:lpstr>
      <vt:lpstr>HT-sum</vt:lpstr>
      <vt:lpstr>ACC </vt:lpstr>
      <vt:lpstr>DD</vt:lpstr>
      <vt:lpstr>FPR</vt:lpstr>
      <vt:lpstr>Runtime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mfx98</dc:creator>
  <cp:lastModifiedBy>mfx98@foxmail.com</cp:lastModifiedBy>
  <dcterms:created xsi:type="dcterms:W3CDTF">2015-06-05T18:19:34Z</dcterms:created>
  <dcterms:modified xsi:type="dcterms:W3CDTF">2023-12-06T09:34:54Z</dcterms:modified>
</cp:coreProperties>
</file>