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rinterSettings/printerSettings1.bin" ContentType="application/vnd.openxmlformats-officedocument.spreadsheetml.printerSettings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rinterSettings/printerSettings2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c78c3df4ad22d95/Desktop/"/>
    </mc:Choice>
  </mc:AlternateContent>
  <xr:revisionPtr revIDLastSave="9" documentId="13_ncr:1_{455D5FB2-1640-4B66-9220-60D34F9CBB27}" xr6:coauthVersionLast="47" xr6:coauthVersionMax="47" xr10:uidLastSave="{B3942F54-2BF8-4DAD-8CAD-C5EBA40F3F0D}"/>
  <bookViews>
    <workbookView xWindow="-108" yWindow="-108" windowWidth="23256" windowHeight="12456" firstSheet="8" activeTab="13" xr2:uid="{00000000-000D-0000-FFFF-FFFF00000000}"/>
  </bookViews>
  <sheets>
    <sheet name="Calibration" sheetId="1" r:id="rId1"/>
    <sheet name="Forecast" sheetId="2" r:id="rId2"/>
    <sheet name="Generation" sheetId="4" r:id="rId3"/>
    <sheet name="Attraction" sheetId="5" r:id="rId4"/>
    <sheet name="CALIBRATIONN" sheetId="6" r:id="rId5"/>
    <sheet name="FORECASTT" sheetId="7" r:id="rId6"/>
    <sheet name="Gravity Model" sheetId="8" r:id="rId7"/>
    <sheet name="Furness Method" sheetId="9" r:id="rId8"/>
    <sheet name="Regression (2)" sheetId="10" r:id="rId9"/>
    <sheet name="Max Likelihood" sheetId="11" r:id="rId10"/>
    <sheet name="assignment" sheetId="12" r:id="rId11"/>
    <sheet name="cost1" sheetId="14" r:id="rId12"/>
    <sheet name="costdouble" sheetId="13" r:id="rId13"/>
    <sheet name="1" sheetId="15" r:id="rId14"/>
    <sheet name="2" sheetId="16" r:id="rId15"/>
    <sheet name="3" sheetId="17" r:id="rId16"/>
  </sheets>
  <definedNames>
    <definedName name="solver_adj" localSheetId="13" hidden="1">'1'!#REF!</definedName>
    <definedName name="solver_adj" localSheetId="9" hidden="1">'Max Likelihood'!$X$3:$Y$3</definedName>
    <definedName name="solver_cvg" localSheetId="13" hidden="1">0.0001</definedName>
    <definedName name="solver_cvg" localSheetId="9" hidden="1">0.0001</definedName>
    <definedName name="solver_drv" localSheetId="13" hidden="1">1</definedName>
    <definedName name="solver_drv" localSheetId="9" hidden="1">1</definedName>
    <definedName name="solver_eng" localSheetId="13" hidden="1">1</definedName>
    <definedName name="solver_eng" localSheetId="9" hidden="1">1</definedName>
    <definedName name="solver_est" localSheetId="13" hidden="1">1</definedName>
    <definedName name="solver_est" localSheetId="9" hidden="1">1</definedName>
    <definedName name="solver_itr" localSheetId="13" hidden="1">2147483647</definedName>
    <definedName name="solver_itr" localSheetId="9" hidden="1">2147483647</definedName>
    <definedName name="solver_mip" localSheetId="13" hidden="1">2147483647</definedName>
    <definedName name="solver_mip" localSheetId="9" hidden="1">2147483647</definedName>
    <definedName name="solver_mni" localSheetId="13" hidden="1">30</definedName>
    <definedName name="solver_mni" localSheetId="9" hidden="1">30</definedName>
    <definedName name="solver_mrt" localSheetId="13" hidden="1">0.075</definedName>
    <definedName name="solver_mrt" localSheetId="9" hidden="1">0.075</definedName>
    <definedName name="solver_msl" localSheetId="13" hidden="1">2</definedName>
    <definedName name="solver_msl" localSheetId="9" hidden="1">2</definedName>
    <definedName name="solver_neg" localSheetId="13" hidden="1">1</definedName>
    <definedName name="solver_neg" localSheetId="9" hidden="1">2</definedName>
    <definedName name="solver_nod" localSheetId="13" hidden="1">2147483647</definedName>
    <definedName name="solver_nod" localSheetId="9" hidden="1">2147483647</definedName>
    <definedName name="solver_num" localSheetId="13" hidden="1">0</definedName>
    <definedName name="solver_num" localSheetId="9" hidden="1">0</definedName>
    <definedName name="solver_nwt" localSheetId="13" hidden="1">1</definedName>
    <definedName name="solver_nwt" localSheetId="9" hidden="1">1</definedName>
    <definedName name="solver_opt" localSheetId="13" hidden="1">'1'!#REF!</definedName>
    <definedName name="solver_opt" localSheetId="9" hidden="1">'Max Likelihood'!$Y$5</definedName>
    <definedName name="solver_pre" localSheetId="13" hidden="1">0.000001</definedName>
    <definedName name="solver_pre" localSheetId="9" hidden="1">0.000001</definedName>
    <definedName name="solver_rbv" localSheetId="13" hidden="1">1</definedName>
    <definedName name="solver_rbv" localSheetId="9" hidden="1">1</definedName>
    <definedName name="solver_rlx" localSheetId="13" hidden="1">2</definedName>
    <definedName name="solver_rlx" localSheetId="9" hidden="1">2</definedName>
    <definedName name="solver_rsd" localSheetId="13" hidden="1">0</definedName>
    <definedName name="solver_rsd" localSheetId="9" hidden="1">0</definedName>
    <definedName name="solver_scl" localSheetId="13" hidden="1">1</definedName>
    <definedName name="solver_scl" localSheetId="9" hidden="1">1</definedName>
    <definedName name="solver_sho" localSheetId="13" hidden="1">2</definedName>
    <definedName name="solver_sho" localSheetId="9" hidden="1">2</definedName>
    <definedName name="solver_ssz" localSheetId="13" hidden="1">100</definedName>
    <definedName name="solver_ssz" localSheetId="9" hidden="1">100</definedName>
    <definedName name="solver_tim" localSheetId="13" hidden="1">2147483647</definedName>
    <definedName name="solver_tim" localSheetId="9" hidden="1">2147483647</definedName>
    <definedName name="solver_tol" localSheetId="13" hidden="1">0.01</definedName>
    <definedName name="solver_tol" localSheetId="9" hidden="1">0.01</definedName>
    <definedName name="solver_typ" localSheetId="13" hidden="1">1</definedName>
    <definedName name="solver_typ" localSheetId="9" hidden="1">1</definedName>
    <definedName name="solver_val" localSheetId="13" hidden="1">0</definedName>
    <definedName name="solver_val" localSheetId="9" hidden="1">0</definedName>
    <definedName name="solver_ver" localSheetId="13" hidden="1">3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7" l="1"/>
  <c r="G6" i="17"/>
  <c r="H6" i="17" s="1"/>
  <c r="I6" i="17" s="1"/>
  <c r="J6" i="17" s="1"/>
  <c r="F6" i="17"/>
  <c r="G5" i="17"/>
  <c r="H5" i="17" s="1"/>
  <c r="I5" i="17" s="1"/>
  <c r="J5" i="17" s="1"/>
  <c r="F5" i="17"/>
  <c r="G4" i="17"/>
  <c r="H4" i="17" s="1"/>
  <c r="I4" i="17" s="1"/>
  <c r="J4" i="17" s="1"/>
  <c r="F4" i="17"/>
  <c r="G3" i="17"/>
  <c r="H3" i="17" s="1"/>
  <c r="I3" i="17" s="1"/>
  <c r="F3" i="17"/>
  <c r="B7" i="16"/>
  <c r="G6" i="16"/>
  <c r="H6" i="16" s="1"/>
  <c r="I6" i="16" s="1"/>
  <c r="J6" i="16" s="1"/>
  <c r="F6" i="16"/>
  <c r="G5" i="16"/>
  <c r="H5" i="16" s="1"/>
  <c r="I5" i="16" s="1"/>
  <c r="J5" i="16" s="1"/>
  <c r="F5" i="16"/>
  <c r="G4" i="16"/>
  <c r="H4" i="16" s="1"/>
  <c r="I4" i="16" s="1"/>
  <c r="J4" i="16" s="1"/>
  <c r="F4" i="16"/>
  <c r="G3" i="16"/>
  <c r="H3" i="16" s="1"/>
  <c r="I3" i="16" s="1"/>
  <c r="F3" i="16"/>
  <c r="B8" i="15"/>
  <c r="G7" i="15"/>
  <c r="F7" i="15"/>
  <c r="G6" i="15"/>
  <c r="F6" i="15"/>
  <c r="G5" i="15"/>
  <c r="F5" i="15"/>
  <c r="G4" i="15"/>
  <c r="F4" i="15"/>
  <c r="H3" i="13"/>
  <c r="I3" i="13" s="1"/>
  <c r="J3" i="13" s="1"/>
  <c r="H4" i="13"/>
  <c r="H5" i="13"/>
  <c r="H2" i="13"/>
  <c r="I2" i="13" s="1"/>
  <c r="J2" i="13" s="1"/>
  <c r="G3" i="13"/>
  <c r="G4" i="13"/>
  <c r="G5" i="13"/>
  <c r="G2" i="13"/>
  <c r="D5" i="13"/>
  <c r="D4" i="13"/>
  <c r="D3" i="13"/>
  <c r="D2" i="13"/>
  <c r="J5" i="14"/>
  <c r="K5" i="14" s="1"/>
  <c r="J4" i="14"/>
  <c r="K4" i="14" s="1"/>
  <c r="J3" i="14"/>
  <c r="K3" i="14" s="1"/>
  <c r="J2" i="14"/>
  <c r="K2" i="14" s="1"/>
  <c r="I4" i="13"/>
  <c r="J4" i="13" s="1"/>
  <c r="I5" i="13"/>
  <c r="J5" i="13" s="1"/>
  <c r="H3" i="12"/>
  <c r="H4" i="12"/>
  <c r="H5" i="12"/>
  <c r="H2" i="12"/>
  <c r="G3" i="12"/>
  <c r="G4" i="12"/>
  <c r="G5" i="12"/>
  <c r="G2" i="12"/>
  <c r="D3" i="12"/>
  <c r="D4" i="12"/>
  <c r="D5" i="12"/>
  <c r="D2" i="12"/>
  <c r="I7" i="17" l="1"/>
  <c r="I8" i="17" s="1"/>
  <c r="J3" i="17"/>
  <c r="J7" i="17" s="1"/>
  <c r="I7" i="16"/>
  <c r="I8" i="16" s="1"/>
  <c r="J3" i="16"/>
  <c r="J7" i="16" s="1"/>
  <c r="H4" i="15"/>
  <c r="I4" i="15"/>
  <c r="J4" i="15" s="1"/>
  <c r="H5" i="15"/>
  <c r="I5" i="15" s="1"/>
  <c r="J5" i="15" s="1"/>
  <c r="H6" i="15"/>
  <c r="I6" i="15" s="1"/>
  <c r="J6" i="15" s="1"/>
  <c r="H7" i="15"/>
  <c r="I7" i="15" s="1"/>
  <c r="J7" i="15" s="1"/>
  <c r="J8" i="15" l="1"/>
  <c r="I8" i="15"/>
  <c r="I9" i="15" s="1"/>
  <c r="U2" i="11" l="1"/>
  <c r="S2" i="11"/>
  <c r="O5" i="10"/>
  <c r="O4" i="10"/>
  <c r="Q2" i="11"/>
  <c r="B12" i="11"/>
  <c r="B13" i="11"/>
  <c r="B14" i="11"/>
  <c r="B15" i="11"/>
  <c r="B11" i="11"/>
  <c r="L8" i="11"/>
  <c r="O8" i="11"/>
  <c r="Q8" i="11" s="1"/>
  <c r="P8" i="11"/>
  <c r="R8" i="11" s="1"/>
  <c r="L9" i="11"/>
  <c r="O9" i="11"/>
  <c r="Q9" i="11" s="1"/>
  <c r="P9" i="11"/>
  <c r="R9" i="11" s="1"/>
  <c r="L10" i="11"/>
  <c r="O10" i="11"/>
  <c r="Q10" i="11" s="1"/>
  <c r="P10" i="11"/>
  <c r="R10" i="11" s="1"/>
  <c r="L11" i="11"/>
  <c r="O11" i="11"/>
  <c r="Q11" i="11" s="1"/>
  <c r="P11" i="11"/>
  <c r="R11" i="11"/>
  <c r="P51" i="11"/>
  <c r="R51" i="11" s="1"/>
  <c r="O51" i="11"/>
  <c r="Q51" i="11" s="1"/>
  <c r="L51" i="11"/>
  <c r="P50" i="11"/>
  <c r="R50" i="11" s="1"/>
  <c r="O50" i="11"/>
  <c r="Q50" i="11" s="1"/>
  <c r="L50" i="11"/>
  <c r="P49" i="11"/>
  <c r="R49" i="11" s="1"/>
  <c r="O49" i="11"/>
  <c r="Q49" i="11" s="1"/>
  <c r="L49" i="11"/>
  <c r="P48" i="11"/>
  <c r="R48" i="11" s="1"/>
  <c r="O48" i="11"/>
  <c r="Q48" i="11" s="1"/>
  <c r="L48" i="11"/>
  <c r="P47" i="11"/>
  <c r="R47" i="11" s="1"/>
  <c r="O47" i="11"/>
  <c r="Q47" i="11" s="1"/>
  <c r="L47" i="11"/>
  <c r="P46" i="11"/>
  <c r="R46" i="11" s="1"/>
  <c r="O46" i="11"/>
  <c r="Q46" i="11" s="1"/>
  <c r="L46" i="11"/>
  <c r="P45" i="11"/>
  <c r="R45" i="11" s="1"/>
  <c r="O45" i="11"/>
  <c r="Q45" i="11" s="1"/>
  <c r="L45" i="11"/>
  <c r="P44" i="11"/>
  <c r="R44" i="11" s="1"/>
  <c r="O44" i="11"/>
  <c r="Q44" i="11" s="1"/>
  <c r="L44" i="11"/>
  <c r="P43" i="11"/>
  <c r="R43" i="11" s="1"/>
  <c r="O43" i="11"/>
  <c r="Q43" i="11" s="1"/>
  <c r="L43" i="11"/>
  <c r="P42" i="11"/>
  <c r="R42" i="11" s="1"/>
  <c r="O42" i="11"/>
  <c r="Q42" i="11" s="1"/>
  <c r="L42" i="11"/>
  <c r="P41" i="11"/>
  <c r="R41" i="11" s="1"/>
  <c r="O41" i="11"/>
  <c r="Q41" i="11" s="1"/>
  <c r="L41" i="11"/>
  <c r="P40" i="11"/>
  <c r="R40" i="11" s="1"/>
  <c r="O40" i="11"/>
  <c r="Q40" i="11" s="1"/>
  <c r="L40" i="11"/>
  <c r="P39" i="11"/>
  <c r="R39" i="11" s="1"/>
  <c r="O39" i="11"/>
  <c r="Q39" i="11" s="1"/>
  <c r="P38" i="11"/>
  <c r="R38" i="11" s="1"/>
  <c r="O38" i="11"/>
  <c r="Q38" i="11" s="1"/>
  <c r="L38" i="11"/>
  <c r="P37" i="11"/>
  <c r="R37" i="11" s="1"/>
  <c r="O37" i="11"/>
  <c r="Q37" i="11" s="1"/>
  <c r="L37" i="11"/>
  <c r="P36" i="11"/>
  <c r="R36" i="11" s="1"/>
  <c r="O36" i="11"/>
  <c r="Q36" i="11" s="1"/>
  <c r="L36" i="11"/>
  <c r="P35" i="11"/>
  <c r="R35" i="11" s="1"/>
  <c r="O35" i="11"/>
  <c r="Q35" i="11" s="1"/>
  <c r="L35" i="11"/>
  <c r="P34" i="11"/>
  <c r="R34" i="11" s="1"/>
  <c r="O34" i="11"/>
  <c r="Q34" i="11" s="1"/>
  <c r="L34" i="11"/>
  <c r="P33" i="11"/>
  <c r="R33" i="11" s="1"/>
  <c r="O33" i="11"/>
  <c r="Q33" i="11" s="1"/>
  <c r="L33" i="11"/>
  <c r="P32" i="11"/>
  <c r="R32" i="11" s="1"/>
  <c r="O32" i="11"/>
  <c r="Q32" i="11" s="1"/>
  <c r="L32" i="11"/>
  <c r="P31" i="11"/>
  <c r="R31" i="11" s="1"/>
  <c r="O31" i="11"/>
  <c r="Q31" i="11" s="1"/>
  <c r="L31" i="11"/>
  <c r="P30" i="11"/>
  <c r="R30" i="11" s="1"/>
  <c r="O30" i="11"/>
  <c r="Q30" i="11" s="1"/>
  <c r="L30" i="11"/>
  <c r="P29" i="11"/>
  <c r="R29" i="11" s="1"/>
  <c r="O29" i="11"/>
  <c r="Q29" i="11" s="1"/>
  <c r="L29" i="11"/>
  <c r="P28" i="11"/>
  <c r="R28" i="11" s="1"/>
  <c r="O28" i="11"/>
  <c r="Q28" i="11" s="1"/>
  <c r="L28" i="11"/>
  <c r="P27" i="11"/>
  <c r="R27" i="11" s="1"/>
  <c r="O27" i="11"/>
  <c r="Q27" i="11" s="1"/>
  <c r="L27" i="11"/>
  <c r="P26" i="11"/>
  <c r="R26" i="11" s="1"/>
  <c r="O26" i="11"/>
  <c r="Q26" i="11" s="1"/>
  <c r="L26" i="11"/>
  <c r="P25" i="11"/>
  <c r="R25" i="11" s="1"/>
  <c r="O25" i="11"/>
  <c r="Q25" i="11" s="1"/>
  <c r="L25" i="11"/>
  <c r="P24" i="11"/>
  <c r="R24" i="11" s="1"/>
  <c r="O24" i="11"/>
  <c r="Q24" i="11" s="1"/>
  <c r="L24" i="11"/>
  <c r="P23" i="11"/>
  <c r="R23" i="11" s="1"/>
  <c r="O23" i="11"/>
  <c r="Q23" i="11" s="1"/>
  <c r="L23" i="11"/>
  <c r="P22" i="11"/>
  <c r="R22" i="11" s="1"/>
  <c r="O22" i="11"/>
  <c r="Q22" i="11" s="1"/>
  <c r="L22" i="11"/>
  <c r="P21" i="11"/>
  <c r="R21" i="11" s="1"/>
  <c r="O21" i="11"/>
  <c r="Q21" i="11" s="1"/>
  <c r="L21" i="11"/>
  <c r="P20" i="11"/>
  <c r="R20" i="11" s="1"/>
  <c r="O20" i="11"/>
  <c r="Q20" i="11" s="1"/>
  <c r="L20" i="11"/>
  <c r="P19" i="11"/>
  <c r="R19" i="11" s="1"/>
  <c r="O19" i="11"/>
  <c r="Q19" i="11" s="1"/>
  <c r="L19" i="11"/>
  <c r="P18" i="11"/>
  <c r="R18" i="11" s="1"/>
  <c r="O18" i="11"/>
  <c r="Q18" i="11" s="1"/>
  <c r="L18" i="11"/>
  <c r="P17" i="11"/>
  <c r="R17" i="11" s="1"/>
  <c r="O17" i="11"/>
  <c r="Q17" i="11" s="1"/>
  <c r="L17" i="11"/>
  <c r="P16" i="11"/>
  <c r="R16" i="11" s="1"/>
  <c r="O16" i="11"/>
  <c r="Q16" i="11" s="1"/>
  <c r="L16" i="11"/>
  <c r="P15" i="11"/>
  <c r="R15" i="11" s="1"/>
  <c r="O15" i="11"/>
  <c r="Q15" i="11" s="1"/>
  <c r="L15" i="11"/>
  <c r="P14" i="11"/>
  <c r="R14" i="11" s="1"/>
  <c r="O14" i="11"/>
  <c r="Q14" i="11" s="1"/>
  <c r="L14" i="11"/>
  <c r="P13" i="11"/>
  <c r="R13" i="11" s="1"/>
  <c r="O13" i="11"/>
  <c r="Q13" i="11" s="1"/>
  <c r="L13" i="11"/>
  <c r="P12" i="11"/>
  <c r="R12" i="11" s="1"/>
  <c r="O12" i="11"/>
  <c r="Q12" i="11" s="1"/>
  <c r="L12" i="11"/>
  <c r="P7" i="11"/>
  <c r="R7" i="11" s="1"/>
  <c r="O7" i="11"/>
  <c r="Q7" i="11" s="1"/>
  <c r="L7" i="11"/>
  <c r="P6" i="11"/>
  <c r="R6" i="11" s="1"/>
  <c r="O6" i="11"/>
  <c r="Q6" i="11" s="1"/>
  <c r="L6" i="11"/>
  <c r="P5" i="11"/>
  <c r="R5" i="11" s="1"/>
  <c r="O5" i="11"/>
  <c r="Q5" i="11" s="1"/>
  <c r="L5" i="11"/>
  <c r="P4" i="11"/>
  <c r="R4" i="11" s="1"/>
  <c r="O4" i="11"/>
  <c r="Q4" i="11" s="1"/>
  <c r="S4" i="11" s="1"/>
  <c r="L4" i="11"/>
  <c r="P3" i="11"/>
  <c r="R3" i="11" s="1"/>
  <c r="O3" i="11"/>
  <c r="Q3" i="11" s="1"/>
  <c r="L3" i="11"/>
  <c r="P2" i="11"/>
  <c r="R2" i="11" s="1"/>
  <c r="O2" i="11"/>
  <c r="L2" i="11"/>
  <c r="P61" i="10" a="1"/>
  <c r="P61" i="10" s="1"/>
  <c r="J3" i="10"/>
  <c r="O3" i="10"/>
  <c r="K3" i="10"/>
  <c r="P3" i="10" s="1"/>
  <c r="L3" i="10"/>
  <c r="M3" i="10"/>
  <c r="Q3" i="10" s="1"/>
  <c r="N3" i="10"/>
  <c r="J4" i="10"/>
  <c r="K4" i="10"/>
  <c r="L4" i="10"/>
  <c r="P4" i="10" s="1"/>
  <c r="M4" i="10"/>
  <c r="N4" i="10"/>
  <c r="J5" i="10"/>
  <c r="K5" i="10"/>
  <c r="L5" i="10"/>
  <c r="M5" i="10"/>
  <c r="N5" i="10"/>
  <c r="P5" i="10"/>
  <c r="J6" i="10"/>
  <c r="O6" i="10" s="1"/>
  <c r="K6" i="10"/>
  <c r="P6" i="10" s="1"/>
  <c r="L6" i="10"/>
  <c r="M6" i="10"/>
  <c r="N6" i="10"/>
  <c r="J7" i="10"/>
  <c r="O7" i="10" s="1"/>
  <c r="K7" i="10"/>
  <c r="P7" i="10" s="1"/>
  <c r="L7" i="10"/>
  <c r="M7" i="10"/>
  <c r="N7" i="10"/>
  <c r="S10" i="11" l="1"/>
  <c r="T10" i="11" s="1"/>
  <c r="U10" i="11" s="1"/>
  <c r="V10" i="11" s="1"/>
  <c r="S40" i="11"/>
  <c r="T40" i="11" s="1"/>
  <c r="U40" i="11" s="1"/>
  <c r="V40" i="11" s="1"/>
  <c r="S34" i="11"/>
  <c r="T34" i="11" s="1"/>
  <c r="S39" i="11"/>
  <c r="T39" i="11" s="1"/>
  <c r="U39" i="11" s="1"/>
  <c r="V39" i="11" s="1"/>
  <c r="S31" i="11"/>
  <c r="T31" i="11" s="1"/>
  <c r="U31" i="11" s="1"/>
  <c r="V31" i="11" s="1"/>
  <c r="S9" i="11"/>
  <c r="T9" i="11" s="1"/>
  <c r="U9" i="11" s="1"/>
  <c r="V9" i="11" s="1"/>
  <c r="S15" i="11"/>
  <c r="T15" i="11" s="1"/>
  <c r="S35" i="11"/>
  <c r="T35" i="11" s="1"/>
  <c r="S24" i="11"/>
  <c r="U24" i="11" s="1"/>
  <c r="V24" i="11" s="1"/>
  <c r="S22" i="11"/>
  <c r="U22" i="11" s="1"/>
  <c r="V22" i="11" s="1"/>
  <c r="S23" i="11"/>
  <c r="T23" i="11" s="1"/>
  <c r="S46" i="11"/>
  <c r="U46" i="11" s="1"/>
  <c r="V46" i="11" s="1"/>
  <c r="S30" i="11"/>
  <c r="T30" i="11" s="1"/>
  <c r="U30" i="11" s="1"/>
  <c r="V30" i="11" s="1"/>
  <c r="S37" i="11"/>
  <c r="T37" i="11" s="1"/>
  <c r="U37" i="11" s="1"/>
  <c r="V37" i="11" s="1"/>
  <c r="S6" i="11"/>
  <c r="U6" i="11" s="1"/>
  <c r="V6" i="11" s="1"/>
  <c r="S33" i="11"/>
  <c r="U33" i="11" s="1"/>
  <c r="V33" i="11" s="1"/>
  <c r="S45" i="11"/>
  <c r="T45" i="11" s="1"/>
  <c r="S47" i="11"/>
  <c r="T47" i="11" s="1"/>
  <c r="S49" i="11"/>
  <c r="T49" i="11" s="1"/>
  <c r="U49" i="11" s="1"/>
  <c r="V49" i="11" s="1"/>
  <c r="S11" i="11"/>
  <c r="T11" i="11" s="1"/>
  <c r="U11" i="11" s="1"/>
  <c r="V11" i="11" s="1"/>
  <c r="S29" i="11"/>
  <c r="T29" i="11" s="1"/>
  <c r="S14" i="11"/>
  <c r="U14" i="11" s="1"/>
  <c r="V14" i="11" s="1"/>
  <c r="S18" i="11"/>
  <c r="U18" i="11" s="1"/>
  <c r="V18" i="11" s="1"/>
  <c r="S41" i="11"/>
  <c r="T41" i="11" s="1"/>
  <c r="U41" i="11" s="1"/>
  <c r="V41" i="11" s="1"/>
  <c r="S8" i="11"/>
  <c r="T8" i="11" s="1"/>
  <c r="U8" i="11" s="1"/>
  <c r="V8" i="11" s="1"/>
  <c r="S13" i="11"/>
  <c r="S38" i="11"/>
  <c r="T38" i="11" s="1"/>
  <c r="U38" i="11" s="1"/>
  <c r="V38" i="11" s="1"/>
  <c r="S21" i="11"/>
  <c r="T21" i="11" s="1"/>
  <c r="U21" i="11" s="1"/>
  <c r="V21" i="11" s="1"/>
  <c r="S17" i="11"/>
  <c r="U17" i="11" s="1"/>
  <c r="V17" i="11" s="1"/>
  <c r="S25" i="11"/>
  <c r="U25" i="11" s="1"/>
  <c r="V25" i="11" s="1"/>
  <c r="S7" i="11"/>
  <c r="T7" i="11" s="1"/>
  <c r="U7" i="11" s="1"/>
  <c r="V7" i="11" s="1"/>
  <c r="S20" i="11"/>
  <c r="T20" i="11" s="1"/>
  <c r="U20" i="11" s="1"/>
  <c r="V20" i="11" s="1"/>
  <c r="S28" i="11"/>
  <c r="T28" i="11" s="1"/>
  <c r="S36" i="11"/>
  <c r="T36" i="11" s="1"/>
  <c r="U36" i="11" s="1"/>
  <c r="V36" i="11" s="1"/>
  <c r="S44" i="11"/>
  <c r="U44" i="11" s="1"/>
  <c r="V44" i="11" s="1"/>
  <c r="S48" i="11"/>
  <c r="T48" i="11" s="1"/>
  <c r="U48" i="11" s="1"/>
  <c r="V48" i="11" s="1"/>
  <c r="S32" i="11"/>
  <c r="U32" i="11" s="1"/>
  <c r="V32" i="11" s="1"/>
  <c r="S12" i="11"/>
  <c r="U12" i="11" s="1"/>
  <c r="V12" i="11" s="1"/>
  <c r="S5" i="11"/>
  <c r="U5" i="11" s="1"/>
  <c r="V5" i="11" s="1"/>
  <c r="S19" i="11"/>
  <c r="T19" i="11" s="1"/>
  <c r="U19" i="11" s="1"/>
  <c r="V19" i="11" s="1"/>
  <c r="S27" i="11"/>
  <c r="U27" i="11" s="1"/>
  <c r="V27" i="11" s="1"/>
  <c r="S3" i="11"/>
  <c r="S26" i="11"/>
  <c r="U15" i="11"/>
  <c r="V15" i="11" s="1"/>
  <c r="S42" i="11"/>
  <c r="U4" i="11"/>
  <c r="V4" i="11" s="1"/>
  <c r="T4" i="11"/>
  <c r="S50" i="11"/>
  <c r="T50" i="11" s="1"/>
  <c r="U50" i="11" s="1"/>
  <c r="V50" i="11" s="1"/>
  <c r="U34" i="11"/>
  <c r="V34" i="11" s="1"/>
  <c r="S16" i="11"/>
  <c r="S43" i="11"/>
  <c r="U47" i="11"/>
  <c r="V47" i="11" s="1"/>
  <c r="S51" i="11"/>
  <c r="T51" i="11" s="1"/>
  <c r="U51" i="11" s="1"/>
  <c r="V51" i="11" s="1"/>
  <c r="Q7" i="10"/>
  <c r="Q6" i="10"/>
  <c r="Q5" i="10"/>
  <c r="Q4" i="10"/>
  <c r="V2" i="11" l="1"/>
  <c r="Y5" i="11" s="1"/>
  <c r="AB11" i="11"/>
  <c r="T6" i="11"/>
  <c r="T2" i="11"/>
  <c r="T22" i="11"/>
  <c r="U28" i="11"/>
  <c r="V28" i="11" s="1"/>
  <c r="T5" i="11"/>
  <c r="T24" i="11"/>
  <c r="T33" i="11"/>
  <c r="U35" i="11"/>
  <c r="V35" i="11" s="1"/>
  <c r="U45" i="11"/>
  <c r="V45" i="11" s="1"/>
  <c r="T25" i="11"/>
  <c r="T46" i="11"/>
  <c r="T44" i="11"/>
  <c r="U23" i="11"/>
  <c r="V23" i="11" s="1"/>
  <c r="T14" i="11"/>
  <c r="U29" i="11"/>
  <c r="V29" i="11" s="1"/>
  <c r="T18" i="11"/>
  <c r="T27" i="11"/>
  <c r="T12" i="11"/>
  <c r="T17" i="11"/>
  <c r="T32" i="11"/>
  <c r="T13" i="11"/>
  <c r="U13" i="11"/>
  <c r="V13" i="11" s="1"/>
  <c r="U3" i="11"/>
  <c r="V3" i="11" s="1"/>
  <c r="T3" i="11"/>
  <c r="U43" i="11"/>
  <c r="V43" i="11" s="1"/>
  <c r="T43" i="11"/>
  <c r="U16" i="11"/>
  <c r="V16" i="11" s="1"/>
  <c r="T16" i="11"/>
  <c r="U26" i="11"/>
  <c r="V26" i="11" s="1"/>
  <c r="T26" i="11"/>
  <c r="U42" i="11"/>
  <c r="V42" i="11" s="1"/>
  <c r="T42" i="11"/>
  <c r="P15" i="10" a="1"/>
  <c r="P15" i="10" s="1"/>
  <c r="AA3" i="11" s="1"/>
  <c r="Q33" i="10" l="1"/>
  <c r="R33" i="10" s="1"/>
  <c r="Q42" i="10"/>
  <c r="R42" i="10" s="1"/>
  <c r="Q45" i="10"/>
  <c r="R45" i="10" s="1"/>
  <c r="Q44" i="10"/>
  <c r="R44" i="10" s="1"/>
  <c r="Q43" i="10"/>
  <c r="R43" i="10" s="1"/>
  <c r="Q41" i="10"/>
  <c r="R41" i="10" s="1"/>
  <c r="Q39" i="10"/>
  <c r="R39" i="10" s="1"/>
  <c r="Q37" i="10"/>
  <c r="R37" i="10" s="1"/>
  <c r="Q35" i="10"/>
  <c r="R35" i="10" s="1"/>
  <c r="Q34" i="10"/>
  <c r="R34" i="10" s="1"/>
  <c r="Q40" i="10"/>
  <c r="R40" i="10" s="1"/>
  <c r="Q38" i="10"/>
  <c r="R38" i="10" s="1"/>
  <c r="Q36" i="10"/>
  <c r="R36" i="10" s="1"/>
  <c r="AH112" i="9" l="1"/>
  <c r="AI112" i="9"/>
  <c r="AJ112" i="9"/>
  <c r="AK112" i="9"/>
  <c r="AL112" i="9"/>
  <c r="AH113" i="9"/>
  <c r="AI113" i="9"/>
  <c r="AJ113" i="9"/>
  <c r="AK113" i="9"/>
  <c r="AL113" i="9"/>
  <c r="AH114" i="9"/>
  <c r="AI114" i="9"/>
  <c r="AJ114" i="9"/>
  <c r="AK114" i="9"/>
  <c r="AL114" i="9"/>
  <c r="AH115" i="9"/>
  <c r="AI115" i="9"/>
  <c r="AJ115" i="9"/>
  <c r="AK115" i="9"/>
  <c r="AL115" i="9"/>
  <c r="AM111" i="9"/>
  <c r="AL111" i="9"/>
  <c r="AK111" i="9"/>
  <c r="AJ111" i="9"/>
  <c r="AI111" i="9"/>
  <c r="AH111" i="9"/>
  <c r="AH100" i="9"/>
  <c r="AI100" i="9"/>
  <c r="AJ100" i="9"/>
  <c r="AK100" i="9"/>
  <c r="AL100" i="9"/>
  <c r="AH101" i="9"/>
  <c r="AI101" i="9"/>
  <c r="AJ101" i="9"/>
  <c r="AK101" i="9"/>
  <c r="AL101" i="9"/>
  <c r="AH102" i="9"/>
  <c r="AI102" i="9"/>
  <c r="AJ102" i="9"/>
  <c r="AK102" i="9"/>
  <c r="AL102" i="9"/>
  <c r="AH103" i="9"/>
  <c r="AI103" i="9"/>
  <c r="AJ103" i="9"/>
  <c r="AK103" i="9"/>
  <c r="AL103" i="9"/>
  <c r="AL99" i="9"/>
  <c r="AK99" i="9"/>
  <c r="AJ99" i="9"/>
  <c r="AI99" i="9"/>
  <c r="AH99" i="9"/>
  <c r="AH88" i="9"/>
  <c r="AI88" i="9"/>
  <c r="AJ88" i="9"/>
  <c r="AK88" i="9"/>
  <c r="AL88" i="9"/>
  <c r="AH89" i="9"/>
  <c r="AI89" i="9"/>
  <c r="AJ89" i="9"/>
  <c r="AK89" i="9"/>
  <c r="AL89" i="9"/>
  <c r="AH90" i="9"/>
  <c r="AI90" i="9"/>
  <c r="AJ90" i="9"/>
  <c r="AK90" i="9"/>
  <c r="AL90" i="9"/>
  <c r="AH91" i="9"/>
  <c r="AI91" i="9"/>
  <c r="AJ91" i="9"/>
  <c r="AK91" i="9"/>
  <c r="AL91" i="9"/>
  <c r="AL87" i="9"/>
  <c r="AK87" i="9"/>
  <c r="AJ87" i="9"/>
  <c r="AI87" i="9"/>
  <c r="AH87" i="9"/>
  <c r="N115" i="9"/>
  <c r="N114" i="9"/>
  <c r="N113" i="9"/>
  <c r="N112" i="9"/>
  <c r="N111" i="9"/>
  <c r="N103" i="9"/>
  <c r="N102" i="9"/>
  <c r="N101" i="9"/>
  <c r="AB100" i="9"/>
  <c r="AB112" i="9" s="1"/>
  <c r="AA100" i="9"/>
  <c r="AA112" i="9" s="1"/>
  <c r="N100" i="9"/>
  <c r="N99" i="9"/>
  <c r="F92" i="9"/>
  <c r="E92" i="9"/>
  <c r="N91" i="9"/>
  <c r="G91" i="9"/>
  <c r="F91" i="9"/>
  <c r="E91" i="9"/>
  <c r="D91" i="9"/>
  <c r="C91" i="9"/>
  <c r="N90" i="9"/>
  <c r="O90" i="9" s="1"/>
  <c r="M90" i="9"/>
  <c r="H90" i="9"/>
  <c r="G90" i="9"/>
  <c r="F90" i="9"/>
  <c r="V90" i="9" s="1"/>
  <c r="E90" i="9"/>
  <c r="D90" i="9"/>
  <c r="T90" i="9" s="1"/>
  <c r="C90" i="9"/>
  <c r="N89" i="9"/>
  <c r="G89" i="9"/>
  <c r="F89" i="9"/>
  <c r="F101" i="9" s="1"/>
  <c r="E89" i="9"/>
  <c r="D89" i="9"/>
  <c r="D101" i="9" s="1"/>
  <c r="C89" i="9"/>
  <c r="H89" i="9" s="1"/>
  <c r="M89" i="9" s="1"/>
  <c r="O89" i="9" s="1"/>
  <c r="AE88" i="9"/>
  <c r="AE100" i="9" s="1"/>
  <c r="AD88" i="9"/>
  <c r="AD100" i="9" s="1"/>
  <c r="AC88" i="9"/>
  <c r="AC100" i="9" s="1"/>
  <c r="AB88" i="9"/>
  <c r="AA88" i="9"/>
  <c r="N88" i="9"/>
  <c r="G88" i="9"/>
  <c r="F88" i="9"/>
  <c r="E88" i="9"/>
  <c r="D88" i="9"/>
  <c r="D92" i="9" s="1"/>
  <c r="C88" i="9"/>
  <c r="N87" i="9"/>
  <c r="G87" i="9"/>
  <c r="F87" i="9"/>
  <c r="E87" i="9"/>
  <c r="D87" i="9"/>
  <c r="C87" i="9"/>
  <c r="C92" i="9" s="1"/>
  <c r="AH76" i="9"/>
  <c r="AI76" i="9"/>
  <c r="AJ76" i="9"/>
  <c r="AK76" i="9"/>
  <c r="AL76" i="9"/>
  <c r="AH77" i="9"/>
  <c r="AI77" i="9"/>
  <c r="AJ77" i="9"/>
  <c r="AK77" i="9"/>
  <c r="AL77" i="9"/>
  <c r="AH78" i="9"/>
  <c r="AI78" i="9"/>
  <c r="AJ78" i="9"/>
  <c r="AK78" i="9"/>
  <c r="AL78" i="9"/>
  <c r="AH79" i="9"/>
  <c r="AI79" i="9"/>
  <c r="AJ79" i="9"/>
  <c r="AK79" i="9"/>
  <c r="AL79" i="9"/>
  <c r="AL75" i="9"/>
  <c r="AK75" i="9"/>
  <c r="AJ75" i="9"/>
  <c r="AI75" i="9"/>
  <c r="AH75" i="9"/>
  <c r="C80" i="9"/>
  <c r="N79" i="9"/>
  <c r="G79" i="9"/>
  <c r="F79" i="9"/>
  <c r="E79" i="9"/>
  <c r="D79" i="9"/>
  <c r="C79" i="9"/>
  <c r="H79" i="9" s="1"/>
  <c r="M79" i="9" s="1"/>
  <c r="O79" i="9" s="1"/>
  <c r="N78" i="9"/>
  <c r="G78" i="9"/>
  <c r="F78" i="9"/>
  <c r="E78" i="9"/>
  <c r="D78" i="9"/>
  <c r="C78" i="9"/>
  <c r="N77" i="9"/>
  <c r="O77" i="9" s="1"/>
  <c r="H77" i="9"/>
  <c r="M77" i="9" s="1"/>
  <c r="G77" i="9"/>
  <c r="W77" i="9" s="1"/>
  <c r="F77" i="9"/>
  <c r="E77" i="9"/>
  <c r="D77" i="9"/>
  <c r="C77" i="9"/>
  <c r="AE76" i="9"/>
  <c r="AD76" i="9"/>
  <c r="AC76" i="9"/>
  <c r="AB76" i="9"/>
  <c r="AA76" i="9"/>
  <c r="N76" i="9"/>
  <c r="G76" i="9"/>
  <c r="F76" i="9"/>
  <c r="E76" i="9"/>
  <c r="D76" i="9"/>
  <c r="C76" i="9"/>
  <c r="N75" i="9"/>
  <c r="H75" i="9"/>
  <c r="G75" i="9"/>
  <c r="G80" i="9" s="1"/>
  <c r="F75" i="9"/>
  <c r="E75" i="9"/>
  <c r="D75" i="9"/>
  <c r="D80" i="9" s="1"/>
  <c r="C75" i="9"/>
  <c r="AH64" i="9"/>
  <c r="AI64" i="9"/>
  <c r="AJ64" i="9"/>
  <c r="AK64" i="9"/>
  <c r="AL64" i="9"/>
  <c r="AH65" i="9"/>
  <c r="AI65" i="9"/>
  <c r="AJ65" i="9"/>
  <c r="AK65" i="9"/>
  <c r="AL65" i="9"/>
  <c r="AH66" i="9"/>
  <c r="AI66" i="9"/>
  <c r="AJ66" i="9"/>
  <c r="AK66" i="9"/>
  <c r="AL66" i="9"/>
  <c r="AH67" i="9"/>
  <c r="AI67" i="9"/>
  <c r="AJ67" i="9"/>
  <c r="AK67" i="9"/>
  <c r="AL67" i="9"/>
  <c r="AL63" i="9"/>
  <c r="AK63" i="9"/>
  <c r="AJ63" i="9"/>
  <c r="AI63" i="9"/>
  <c r="AH63" i="9"/>
  <c r="C68" i="9"/>
  <c r="N67" i="9"/>
  <c r="G67" i="9"/>
  <c r="F67" i="9"/>
  <c r="E67" i="9"/>
  <c r="D67" i="9"/>
  <c r="T67" i="9" s="1"/>
  <c r="C67" i="9"/>
  <c r="H67" i="9" s="1"/>
  <c r="M67" i="9" s="1"/>
  <c r="O67" i="9" s="1"/>
  <c r="N66" i="9"/>
  <c r="G66" i="9"/>
  <c r="F66" i="9"/>
  <c r="E66" i="9"/>
  <c r="D66" i="9"/>
  <c r="C66" i="9"/>
  <c r="N65" i="9"/>
  <c r="O65" i="9" s="1"/>
  <c r="H65" i="9"/>
  <c r="M65" i="9" s="1"/>
  <c r="G65" i="9"/>
  <c r="W65" i="9" s="1"/>
  <c r="F65" i="9"/>
  <c r="E65" i="9"/>
  <c r="D65" i="9"/>
  <c r="C65" i="9"/>
  <c r="AE64" i="9"/>
  <c r="AD64" i="9"/>
  <c r="AC64" i="9"/>
  <c r="AB64" i="9"/>
  <c r="AA64" i="9"/>
  <c r="N64" i="9"/>
  <c r="G64" i="9"/>
  <c r="F64" i="9"/>
  <c r="E64" i="9"/>
  <c r="D64" i="9"/>
  <c r="C64" i="9"/>
  <c r="N63" i="9"/>
  <c r="H63" i="9"/>
  <c r="G63" i="9"/>
  <c r="G68" i="9" s="1"/>
  <c r="F63" i="9"/>
  <c r="E63" i="9"/>
  <c r="D63" i="9"/>
  <c r="D68" i="9" s="1"/>
  <c r="C63" i="9"/>
  <c r="AH52" i="9"/>
  <c r="AI52" i="9"/>
  <c r="AJ52" i="9"/>
  <c r="AK52" i="9"/>
  <c r="AL52" i="9"/>
  <c r="AH53" i="9"/>
  <c r="AI53" i="9"/>
  <c r="AJ53" i="9"/>
  <c r="AK53" i="9"/>
  <c r="AL53" i="9"/>
  <c r="AH54" i="9"/>
  <c r="AI54" i="9"/>
  <c r="AJ54" i="9"/>
  <c r="AK54" i="9"/>
  <c r="AL54" i="9"/>
  <c r="AH55" i="9"/>
  <c r="AI55" i="9"/>
  <c r="AJ55" i="9"/>
  <c r="AK55" i="9"/>
  <c r="AL55" i="9"/>
  <c r="AL51" i="9"/>
  <c r="AK51" i="9"/>
  <c r="AJ51" i="9"/>
  <c r="AI51" i="9"/>
  <c r="AH51" i="9"/>
  <c r="C54" i="9"/>
  <c r="C53" i="9"/>
  <c r="C52" i="9"/>
  <c r="C51" i="9"/>
  <c r="C56" i="9"/>
  <c r="N55" i="9"/>
  <c r="O55" i="9" s="1"/>
  <c r="M55" i="9"/>
  <c r="H55" i="9"/>
  <c r="G55" i="9"/>
  <c r="F55" i="9"/>
  <c r="E55" i="9"/>
  <c r="D55" i="9"/>
  <c r="C55" i="9"/>
  <c r="N54" i="9"/>
  <c r="G54" i="9"/>
  <c r="F54" i="9"/>
  <c r="E54" i="9"/>
  <c r="D54" i="9"/>
  <c r="N53" i="9"/>
  <c r="G53" i="9"/>
  <c r="F53" i="9"/>
  <c r="E53" i="9"/>
  <c r="D53" i="9"/>
  <c r="H53" i="9"/>
  <c r="M53" i="9" s="1"/>
  <c r="AE52" i="9"/>
  <c r="AD52" i="9"/>
  <c r="AC52" i="9"/>
  <c r="AB52" i="9"/>
  <c r="AA52" i="9"/>
  <c r="N52" i="9"/>
  <c r="G52" i="9"/>
  <c r="F52" i="9"/>
  <c r="E52" i="9"/>
  <c r="D52" i="9"/>
  <c r="H52" i="9"/>
  <c r="M52" i="9" s="1"/>
  <c r="N51" i="9"/>
  <c r="H51" i="9"/>
  <c r="G51" i="9"/>
  <c r="G56" i="9" s="1"/>
  <c r="F51" i="9"/>
  <c r="F56" i="9" s="1"/>
  <c r="E51" i="9"/>
  <c r="D51" i="9"/>
  <c r="D56" i="9" s="1"/>
  <c r="AH40" i="9"/>
  <c r="AI40" i="9"/>
  <c r="AJ40" i="9"/>
  <c r="AK40" i="9"/>
  <c r="AL40" i="9"/>
  <c r="AH41" i="9"/>
  <c r="AI41" i="9"/>
  <c r="AJ41" i="9"/>
  <c r="AK41" i="9"/>
  <c r="AL41" i="9"/>
  <c r="AH42" i="9"/>
  <c r="AI42" i="9"/>
  <c r="AJ42" i="9"/>
  <c r="AK42" i="9"/>
  <c r="AL42" i="9"/>
  <c r="AH43" i="9"/>
  <c r="AI43" i="9"/>
  <c r="AJ43" i="9"/>
  <c r="AK43" i="9"/>
  <c r="AL43" i="9"/>
  <c r="AL39" i="9"/>
  <c r="AK39" i="9"/>
  <c r="AH39" i="9"/>
  <c r="C39" i="9"/>
  <c r="D39" i="9"/>
  <c r="H39" i="9" s="1"/>
  <c r="E39" i="9"/>
  <c r="F39" i="9"/>
  <c r="G39" i="9"/>
  <c r="N39" i="9"/>
  <c r="C40" i="9"/>
  <c r="D40" i="9"/>
  <c r="E40" i="9"/>
  <c r="H40" i="9" s="1"/>
  <c r="M40" i="9" s="1"/>
  <c r="F40" i="9"/>
  <c r="G40" i="9"/>
  <c r="N40" i="9"/>
  <c r="AA40" i="9"/>
  <c r="AB40" i="9"/>
  <c r="AC40" i="9"/>
  <c r="AD40" i="9"/>
  <c r="AE40" i="9"/>
  <c r="C41" i="9"/>
  <c r="D41" i="9"/>
  <c r="E41" i="9"/>
  <c r="F41" i="9"/>
  <c r="F44" i="9" s="1"/>
  <c r="G41" i="9"/>
  <c r="N41" i="9"/>
  <c r="C42" i="9"/>
  <c r="D42" i="9"/>
  <c r="E42" i="9"/>
  <c r="F42" i="9"/>
  <c r="G42" i="9"/>
  <c r="N42" i="9"/>
  <c r="C43" i="9"/>
  <c r="D43" i="9"/>
  <c r="E43" i="9"/>
  <c r="F43" i="9"/>
  <c r="G43" i="9"/>
  <c r="N43" i="9"/>
  <c r="E44" i="9"/>
  <c r="N27" i="9"/>
  <c r="N28" i="9"/>
  <c r="N29" i="9"/>
  <c r="N30" i="9"/>
  <c r="N31" i="9"/>
  <c r="AE16" i="9"/>
  <c r="AE28" i="9" s="1"/>
  <c r="AD16" i="9"/>
  <c r="AD28" i="9" s="1"/>
  <c r="AC16" i="9"/>
  <c r="AC28" i="9" s="1"/>
  <c r="AB16" i="9"/>
  <c r="AB28" i="9" s="1"/>
  <c r="AA16" i="9"/>
  <c r="AA28" i="9" s="1"/>
  <c r="H8" i="9"/>
  <c r="S4" i="9"/>
  <c r="N19" i="9"/>
  <c r="N18" i="9"/>
  <c r="N17" i="9"/>
  <c r="N16" i="9"/>
  <c r="N15" i="9"/>
  <c r="V4" i="9"/>
  <c r="V5" i="9"/>
  <c r="V6" i="9"/>
  <c r="V7" i="9"/>
  <c r="V8" i="9"/>
  <c r="U8" i="9"/>
  <c r="U7" i="9"/>
  <c r="U6" i="9"/>
  <c r="U5" i="9"/>
  <c r="U4" i="9"/>
  <c r="T8" i="9"/>
  <c r="S8" i="9"/>
  <c r="R8" i="9"/>
  <c r="T7" i="9"/>
  <c r="S7" i="9"/>
  <c r="R7" i="9"/>
  <c r="T6" i="9"/>
  <c r="S6" i="9"/>
  <c r="R6" i="9"/>
  <c r="T5" i="9"/>
  <c r="S5" i="9"/>
  <c r="R5" i="9"/>
  <c r="T4" i="9"/>
  <c r="R4" i="9"/>
  <c r="E101" i="9" l="1"/>
  <c r="W89" i="9"/>
  <c r="G103" i="9"/>
  <c r="AC112" i="9"/>
  <c r="W90" i="9"/>
  <c r="G102" i="9"/>
  <c r="U90" i="9"/>
  <c r="S90" i="9"/>
  <c r="AD112" i="9"/>
  <c r="AE112" i="9"/>
  <c r="G101" i="9"/>
  <c r="V89" i="9"/>
  <c r="S89" i="9"/>
  <c r="E102" i="9"/>
  <c r="T89" i="9"/>
  <c r="U89" i="9"/>
  <c r="D102" i="9"/>
  <c r="G92" i="9"/>
  <c r="H88" i="9"/>
  <c r="M88" i="9" s="1"/>
  <c r="O88" i="9" s="1"/>
  <c r="F102" i="9"/>
  <c r="H91" i="9"/>
  <c r="M91" i="9" s="1"/>
  <c r="O91" i="9" s="1"/>
  <c r="H87" i="9"/>
  <c r="U79" i="9"/>
  <c r="V77" i="9"/>
  <c r="U77" i="9"/>
  <c r="S77" i="9"/>
  <c r="X77" i="9" s="1"/>
  <c r="T79" i="9"/>
  <c r="T78" i="9"/>
  <c r="V79" i="9"/>
  <c r="O78" i="9"/>
  <c r="AM78" i="9" s="1"/>
  <c r="AN78" i="9" s="1"/>
  <c r="U78" i="9"/>
  <c r="W79" i="9"/>
  <c r="M75" i="9"/>
  <c r="O75" i="9" s="1"/>
  <c r="H78" i="9"/>
  <c r="M78" i="9" s="1"/>
  <c r="W78" i="9"/>
  <c r="E80" i="9"/>
  <c r="H76" i="9"/>
  <c r="M76" i="9" s="1"/>
  <c r="O76" i="9" s="1"/>
  <c r="T77" i="9"/>
  <c r="S79" i="9"/>
  <c r="F80" i="9"/>
  <c r="U67" i="9"/>
  <c r="V65" i="9"/>
  <c r="S65" i="9"/>
  <c r="V67" i="9"/>
  <c r="T65" i="9"/>
  <c r="W67" i="9"/>
  <c r="U65" i="9"/>
  <c r="M63" i="9"/>
  <c r="O63" i="9" s="1"/>
  <c r="H66" i="9"/>
  <c r="M66" i="9" s="1"/>
  <c r="O66" i="9" s="1"/>
  <c r="W66" i="9"/>
  <c r="E68" i="9"/>
  <c r="H64" i="9"/>
  <c r="M64" i="9" s="1"/>
  <c r="O64" i="9" s="1"/>
  <c r="S67" i="9"/>
  <c r="F68" i="9"/>
  <c r="O51" i="9"/>
  <c r="U51" i="9" s="1"/>
  <c r="S55" i="9"/>
  <c r="O53" i="9"/>
  <c r="T55" i="9"/>
  <c r="V55" i="9"/>
  <c r="W55" i="9"/>
  <c r="U55" i="9"/>
  <c r="O52" i="9"/>
  <c r="U53" i="9"/>
  <c r="M51" i="9"/>
  <c r="H54" i="9"/>
  <c r="M54" i="9" s="1"/>
  <c r="O54" i="9" s="1"/>
  <c r="AM55" i="9"/>
  <c r="AN55" i="9" s="1"/>
  <c r="E56" i="9"/>
  <c r="W52" i="9"/>
  <c r="T53" i="9"/>
  <c r="M39" i="9"/>
  <c r="O39" i="9"/>
  <c r="U39" i="9" s="1"/>
  <c r="O40" i="9"/>
  <c r="W40" i="9"/>
  <c r="D44" i="9"/>
  <c r="H42" i="9"/>
  <c r="M42" i="9" s="1"/>
  <c r="O42" i="9" s="1"/>
  <c r="C44" i="9"/>
  <c r="H43" i="9"/>
  <c r="M43" i="9" s="1"/>
  <c r="O43" i="9" s="1"/>
  <c r="H41" i="9"/>
  <c r="M41" i="9" s="1"/>
  <c r="O41" i="9" s="1"/>
  <c r="G44" i="9"/>
  <c r="C15" i="9"/>
  <c r="E18" i="9"/>
  <c r="F19" i="9"/>
  <c r="E16" i="9"/>
  <c r="D17" i="9"/>
  <c r="C16" i="9"/>
  <c r="G15" i="9"/>
  <c r="C17" i="9"/>
  <c r="F18" i="9"/>
  <c r="E17" i="9"/>
  <c r="C19" i="9"/>
  <c r="D15" i="9"/>
  <c r="C18" i="9"/>
  <c r="D19" i="9"/>
  <c r="G18" i="9"/>
  <c r="G19" i="9"/>
  <c r="E15" i="9"/>
  <c r="D18" i="9"/>
  <c r="E19" i="9"/>
  <c r="G17" i="9"/>
  <c r="F15" i="9"/>
  <c r="D16" i="9"/>
  <c r="F16" i="9"/>
  <c r="G16" i="9"/>
  <c r="F17" i="9"/>
  <c r="U88" i="9" l="1"/>
  <c r="D100" i="9"/>
  <c r="S88" i="9"/>
  <c r="V88" i="9"/>
  <c r="W88" i="9"/>
  <c r="F100" i="9"/>
  <c r="T88" i="9"/>
  <c r="E100" i="9"/>
  <c r="G100" i="9"/>
  <c r="E103" i="9"/>
  <c r="D103" i="9"/>
  <c r="W91" i="9"/>
  <c r="U91" i="9"/>
  <c r="AM89" i="9"/>
  <c r="AN89" i="9" s="1"/>
  <c r="C101" i="9"/>
  <c r="X90" i="9"/>
  <c r="M87" i="9"/>
  <c r="O87" i="9" s="1"/>
  <c r="H92" i="9"/>
  <c r="C102" i="9"/>
  <c r="AM90" i="9"/>
  <c r="AN90" i="9" s="1"/>
  <c r="S91" i="9"/>
  <c r="F103" i="9"/>
  <c r="T91" i="9"/>
  <c r="V91" i="9"/>
  <c r="X89" i="9"/>
  <c r="T75" i="9"/>
  <c r="T80" i="9" s="1"/>
  <c r="AB75" i="9" s="1"/>
  <c r="AB77" i="9" s="1"/>
  <c r="W75" i="9"/>
  <c r="W80" i="9" s="1"/>
  <c r="AE75" i="9" s="1"/>
  <c r="AE77" i="9" s="1"/>
  <c r="U75" i="9"/>
  <c r="AL80" i="9"/>
  <c r="AL81" i="9" s="1"/>
  <c r="S75" i="9"/>
  <c r="AK80" i="9"/>
  <c r="AK81" i="9" s="1"/>
  <c r="V75" i="9"/>
  <c r="V80" i="9" s="1"/>
  <c r="AD75" i="9" s="1"/>
  <c r="AD77" i="9" s="1"/>
  <c r="AJ80" i="9"/>
  <c r="AJ81" i="9" s="1"/>
  <c r="U76" i="9"/>
  <c r="AM77" i="9"/>
  <c r="AN77" i="9" s="1"/>
  <c r="S76" i="9"/>
  <c r="AM79" i="9"/>
  <c r="AN79" i="9" s="1"/>
  <c r="H80" i="9"/>
  <c r="X79" i="9"/>
  <c r="S78" i="9"/>
  <c r="X78" i="9" s="1"/>
  <c r="V78" i="9"/>
  <c r="V76" i="9"/>
  <c r="T76" i="9"/>
  <c r="W76" i="9"/>
  <c r="T63" i="9"/>
  <c r="T68" i="9" s="1"/>
  <c r="AB63" i="9" s="1"/>
  <c r="AB65" i="9" s="1"/>
  <c r="S63" i="9"/>
  <c r="W63" i="9"/>
  <c r="V63" i="9"/>
  <c r="AL68" i="9"/>
  <c r="AL69" i="9" s="1"/>
  <c r="U63" i="9"/>
  <c r="U68" i="9" s="1"/>
  <c r="AC63" i="9" s="1"/>
  <c r="AC65" i="9" s="1"/>
  <c r="X67" i="9"/>
  <c r="T64" i="9"/>
  <c r="V64" i="9"/>
  <c r="U66" i="9"/>
  <c r="AM65" i="9"/>
  <c r="AN65" i="9" s="1"/>
  <c r="S66" i="9"/>
  <c r="V66" i="9"/>
  <c r="U64" i="9"/>
  <c r="W64" i="9"/>
  <c r="AM66" i="9"/>
  <c r="AN66" i="9" s="1"/>
  <c r="AM67" i="9"/>
  <c r="AN67" i="9" s="1"/>
  <c r="H68" i="9"/>
  <c r="T66" i="9"/>
  <c r="X65" i="9"/>
  <c r="S64" i="9"/>
  <c r="X64" i="9" s="1"/>
  <c r="U54" i="9"/>
  <c r="S54" i="9"/>
  <c r="V54" i="9"/>
  <c r="T54" i="9"/>
  <c r="W54" i="9"/>
  <c r="V53" i="9"/>
  <c r="S53" i="9"/>
  <c r="X53" i="9" s="1"/>
  <c r="AJ56" i="9"/>
  <c r="AJ57" i="9" s="1"/>
  <c r="V52" i="9"/>
  <c r="AM52" i="9"/>
  <c r="AN52" i="9" s="1"/>
  <c r="X55" i="9"/>
  <c r="S52" i="9"/>
  <c r="T52" i="9"/>
  <c r="V51" i="9"/>
  <c r="V56" i="9" s="1"/>
  <c r="AD51" i="9" s="1"/>
  <c r="AD53" i="9" s="1"/>
  <c r="AI56" i="9"/>
  <c r="AI57" i="9" s="1"/>
  <c r="T51" i="9"/>
  <c r="W51" i="9"/>
  <c r="S51" i="9"/>
  <c r="H56" i="9"/>
  <c r="U52" i="9"/>
  <c r="U56" i="9" s="1"/>
  <c r="AC51" i="9" s="1"/>
  <c r="AC53" i="9" s="1"/>
  <c r="W53" i="9"/>
  <c r="U41" i="9"/>
  <c r="S41" i="9"/>
  <c r="X41" i="9" s="1"/>
  <c r="W41" i="9"/>
  <c r="T41" i="9"/>
  <c r="V41" i="9"/>
  <c r="T43" i="9"/>
  <c r="U43" i="9"/>
  <c r="W43" i="9"/>
  <c r="U42" i="9"/>
  <c r="W42" i="9"/>
  <c r="H44" i="9"/>
  <c r="V43" i="9"/>
  <c r="T42" i="9"/>
  <c r="V40" i="9"/>
  <c r="S40" i="9"/>
  <c r="T40" i="9"/>
  <c r="V42" i="9"/>
  <c r="S42" i="9"/>
  <c r="X42" i="9" s="1"/>
  <c r="AL44" i="9"/>
  <c r="AL45" i="9" s="1"/>
  <c r="S39" i="9"/>
  <c r="T39" i="9"/>
  <c r="V39" i="9"/>
  <c r="W39" i="9"/>
  <c r="U40" i="9"/>
  <c r="U44" i="9" s="1"/>
  <c r="AC39" i="9" s="1"/>
  <c r="AC41" i="9" s="1"/>
  <c r="AJ39" i="9" s="1"/>
  <c r="AJ44" i="9" s="1"/>
  <c r="AJ45" i="9" s="1"/>
  <c r="S43" i="9"/>
  <c r="H17" i="9"/>
  <c r="H16" i="9"/>
  <c r="H19" i="9"/>
  <c r="G20" i="9"/>
  <c r="F20" i="9"/>
  <c r="D20" i="9"/>
  <c r="H18" i="9"/>
  <c r="E20" i="9"/>
  <c r="C20" i="9"/>
  <c r="H15" i="9"/>
  <c r="C103" i="9" l="1"/>
  <c r="AM91" i="9"/>
  <c r="AN91" i="9" s="1"/>
  <c r="V87" i="9"/>
  <c r="V92" i="9" s="1"/>
  <c r="AD87" i="9" s="1"/>
  <c r="AD89" i="9" s="1"/>
  <c r="T87" i="9"/>
  <c r="T92" i="9" s="1"/>
  <c r="AB87" i="9" s="1"/>
  <c r="AB89" i="9" s="1"/>
  <c r="W87" i="9"/>
  <c r="W92" i="9" s="1"/>
  <c r="AE87" i="9" s="1"/>
  <c r="AE89" i="9" s="1"/>
  <c r="S87" i="9"/>
  <c r="U87" i="9"/>
  <c r="U92" i="9" s="1"/>
  <c r="AC87" i="9" s="1"/>
  <c r="AC89" i="9" s="1"/>
  <c r="X91" i="9"/>
  <c r="X88" i="9"/>
  <c r="H101" i="9"/>
  <c r="M101" i="9" s="1"/>
  <c r="O101" i="9" s="1"/>
  <c r="C100" i="9"/>
  <c r="AM88" i="9"/>
  <c r="AN88" i="9" s="1"/>
  <c r="H102" i="9"/>
  <c r="M102" i="9" s="1"/>
  <c r="O102" i="9" s="1"/>
  <c r="S102" i="9" s="1"/>
  <c r="X76" i="9"/>
  <c r="S80" i="9"/>
  <c r="X75" i="9"/>
  <c r="U80" i="9"/>
  <c r="AC75" i="9" s="1"/>
  <c r="AC77" i="9" s="1"/>
  <c r="AM76" i="9"/>
  <c r="AN76" i="9" s="1"/>
  <c r="AI80" i="9"/>
  <c r="AI81" i="9" s="1"/>
  <c r="AH80" i="9"/>
  <c r="AM75" i="9"/>
  <c r="AN75" i="9" s="1"/>
  <c r="V68" i="9"/>
  <c r="AD63" i="9" s="1"/>
  <c r="AD65" i="9" s="1"/>
  <c r="AK68" i="9"/>
  <c r="AK69" i="9" s="1"/>
  <c r="AM64" i="9"/>
  <c r="AN64" i="9" s="1"/>
  <c r="AH68" i="9"/>
  <c r="AM63" i="9"/>
  <c r="AN63" i="9" s="1"/>
  <c r="AJ68" i="9"/>
  <c r="AJ69" i="9" s="1"/>
  <c r="W68" i="9"/>
  <c r="AE63" i="9" s="1"/>
  <c r="AE65" i="9" s="1"/>
  <c r="AI68" i="9"/>
  <c r="AI69" i="9" s="1"/>
  <c r="X66" i="9"/>
  <c r="S68" i="9"/>
  <c r="X63" i="9"/>
  <c r="X52" i="9"/>
  <c r="W56" i="9"/>
  <c r="AE51" i="9" s="1"/>
  <c r="AE53" i="9" s="1"/>
  <c r="T56" i="9"/>
  <c r="AB51" i="9" s="1"/>
  <c r="AB53" i="9" s="1"/>
  <c r="AL56" i="9"/>
  <c r="AL57" i="9" s="1"/>
  <c r="AM53" i="9"/>
  <c r="AN53" i="9" s="1"/>
  <c r="AM54" i="9"/>
  <c r="AN54" i="9" s="1"/>
  <c r="S56" i="9"/>
  <c r="X51" i="9"/>
  <c r="AK56" i="9"/>
  <c r="AK57" i="9" s="1"/>
  <c r="AH56" i="9"/>
  <c r="AM51" i="9"/>
  <c r="AN51" i="9" s="1"/>
  <c r="X54" i="9"/>
  <c r="V44" i="9"/>
  <c r="AD39" i="9" s="1"/>
  <c r="AD41" i="9" s="1"/>
  <c r="X43" i="9"/>
  <c r="T44" i="9"/>
  <c r="AB39" i="9" s="1"/>
  <c r="AB41" i="9" s="1"/>
  <c r="AI39" i="9" s="1"/>
  <c r="AI44" i="9" s="1"/>
  <c r="AI45" i="9" s="1"/>
  <c r="X40" i="9"/>
  <c r="S44" i="9"/>
  <c r="X39" i="9"/>
  <c r="W44" i="9"/>
  <c r="AE39" i="9" s="1"/>
  <c r="AE41" i="9" s="1"/>
  <c r="AK44" i="9"/>
  <c r="AK45" i="9" s="1"/>
  <c r="M17" i="9"/>
  <c r="O17" i="9" s="1"/>
  <c r="U17" i="9" s="1"/>
  <c r="M19" i="9"/>
  <c r="O19" i="9" s="1"/>
  <c r="V19" i="9" s="1"/>
  <c r="M18" i="9"/>
  <c r="O18" i="9" s="1"/>
  <c r="T18" i="9" s="1"/>
  <c r="M16" i="9"/>
  <c r="O16" i="9" s="1"/>
  <c r="M15" i="9"/>
  <c r="O15" i="9" s="1"/>
  <c r="H20" i="9"/>
  <c r="AL92" i="9" l="1"/>
  <c r="AL93" i="9" s="1"/>
  <c r="G99" i="9"/>
  <c r="F99" i="9"/>
  <c r="AK92" i="9"/>
  <c r="AK93" i="9" s="1"/>
  <c r="E113" i="9"/>
  <c r="T101" i="9"/>
  <c r="U101" i="9"/>
  <c r="D113" i="9"/>
  <c r="V101" i="9"/>
  <c r="F113" i="9"/>
  <c r="W101" i="9"/>
  <c r="G113" i="9"/>
  <c r="D99" i="9"/>
  <c r="AI92" i="9"/>
  <c r="AI93" i="9" s="1"/>
  <c r="E99" i="9"/>
  <c r="AJ92" i="9"/>
  <c r="AJ93" i="9" s="1"/>
  <c r="H100" i="9"/>
  <c r="M100" i="9" s="1"/>
  <c r="O100" i="9" s="1"/>
  <c r="S101" i="9"/>
  <c r="C99" i="9"/>
  <c r="AH92" i="9"/>
  <c r="AM87" i="9"/>
  <c r="AN87" i="9" s="1"/>
  <c r="C114" i="9"/>
  <c r="W102" i="9"/>
  <c r="E114" i="9"/>
  <c r="G114" i="9"/>
  <c r="T102" i="9"/>
  <c r="F114" i="9"/>
  <c r="V102" i="9"/>
  <c r="D114" i="9"/>
  <c r="U102" i="9"/>
  <c r="X102" i="9" s="1"/>
  <c r="X87" i="9"/>
  <c r="S92" i="9"/>
  <c r="H103" i="9"/>
  <c r="M103" i="9" s="1"/>
  <c r="O103" i="9" s="1"/>
  <c r="X80" i="9"/>
  <c r="AA75" i="9"/>
  <c r="AA77" i="9" s="1"/>
  <c r="AH81" i="9"/>
  <c r="AN81" i="9" s="1"/>
  <c r="AM80" i="9"/>
  <c r="AH69" i="9"/>
  <c r="AN69" i="9" s="1"/>
  <c r="AM68" i="9"/>
  <c r="X68" i="9"/>
  <c r="AA63" i="9"/>
  <c r="AA65" i="9" s="1"/>
  <c r="AM56" i="9"/>
  <c r="AH57" i="9"/>
  <c r="AN57" i="9" s="1"/>
  <c r="X56" i="9"/>
  <c r="AA51" i="9"/>
  <c r="AA53" i="9" s="1"/>
  <c r="X44" i="9"/>
  <c r="AA39" i="9"/>
  <c r="AA41" i="9" s="1"/>
  <c r="U18" i="9"/>
  <c r="S17" i="9"/>
  <c r="S18" i="9"/>
  <c r="T19" i="9"/>
  <c r="W19" i="9"/>
  <c r="U19" i="9"/>
  <c r="S19" i="9"/>
  <c r="T17" i="9"/>
  <c r="V17" i="9"/>
  <c r="W17" i="9"/>
  <c r="W18" i="9"/>
  <c r="V18" i="9"/>
  <c r="T16" i="9"/>
  <c r="U16" i="9"/>
  <c r="S16" i="9"/>
  <c r="V16" i="9"/>
  <c r="W16" i="9"/>
  <c r="S15" i="9"/>
  <c r="W15" i="9"/>
  <c r="T15" i="9"/>
  <c r="V15" i="9"/>
  <c r="U15" i="9"/>
  <c r="S100" i="9" l="1"/>
  <c r="G115" i="9"/>
  <c r="W103" i="9"/>
  <c r="U103" i="9"/>
  <c r="V103" i="9"/>
  <c r="E115" i="9"/>
  <c r="T103" i="9"/>
  <c r="F115" i="9"/>
  <c r="D115" i="9"/>
  <c r="E104" i="9"/>
  <c r="AM92" i="9"/>
  <c r="AH93" i="9"/>
  <c r="AN93" i="9" s="1"/>
  <c r="S103" i="9"/>
  <c r="C104" i="9"/>
  <c r="H99" i="9"/>
  <c r="D104" i="9"/>
  <c r="X101" i="9"/>
  <c r="U114" i="9"/>
  <c r="F104" i="9"/>
  <c r="H114" i="9"/>
  <c r="M114" i="9" s="1"/>
  <c r="O114" i="9" s="1"/>
  <c r="X92" i="9"/>
  <c r="AA87" i="9"/>
  <c r="AA89" i="9" s="1"/>
  <c r="AM101" i="9"/>
  <c r="AN101" i="9" s="1"/>
  <c r="C113" i="9"/>
  <c r="C112" i="9"/>
  <c r="G104" i="9"/>
  <c r="AM102" i="9"/>
  <c r="AN102" i="9" s="1"/>
  <c r="V100" i="9"/>
  <c r="F112" i="9"/>
  <c r="W100" i="9"/>
  <c r="T100" i="9"/>
  <c r="E112" i="9"/>
  <c r="G112" i="9"/>
  <c r="D112" i="9"/>
  <c r="U100" i="9"/>
  <c r="AM42" i="9"/>
  <c r="AN42" i="9" s="1"/>
  <c r="AM41" i="9"/>
  <c r="AN41" i="9" s="1"/>
  <c r="AM43" i="9"/>
  <c r="AN43" i="9" s="1"/>
  <c r="AM40" i="9"/>
  <c r="AN40" i="9" s="1"/>
  <c r="T20" i="9"/>
  <c r="AB15" i="9" s="1"/>
  <c r="AB17" i="9" s="1"/>
  <c r="X19" i="9"/>
  <c r="X18" i="9"/>
  <c r="X17" i="9"/>
  <c r="X16" i="9"/>
  <c r="W20" i="9"/>
  <c r="AE15" i="9" s="1"/>
  <c r="AE17" i="9" s="1"/>
  <c r="U20" i="9"/>
  <c r="V20" i="9"/>
  <c r="S20" i="9"/>
  <c r="X15" i="9"/>
  <c r="X100" i="9" l="1"/>
  <c r="X103" i="9"/>
  <c r="H113" i="9"/>
  <c r="M113" i="9" s="1"/>
  <c r="O113" i="9" s="1"/>
  <c r="W114" i="9"/>
  <c r="S114" i="9"/>
  <c r="T114" i="9"/>
  <c r="V114" i="9"/>
  <c r="AM114" i="9"/>
  <c r="AN114" i="9" s="1"/>
  <c r="M99" i="9"/>
  <c r="O99" i="9" s="1"/>
  <c r="H104" i="9"/>
  <c r="AM103" i="9"/>
  <c r="AN103" i="9" s="1"/>
  <c r="C115" i="9"/>
  <c r="AM100" i="9"/>
  <c r="AN100" i="9" s="1"/>
  <c r="H112" i="9"/>
  <c r="M112" i="9" s="1"/>
  <c r="O112" i="9" s="1"/>
  <c r="AM39" i="9"/>
  <c r="AN39" i="9" s="1"/>
  <c r="AH44" i="9"/>
  <c r="AI15" i="9"/>
  <c r="D27" i="9" s="1"/>
  <c r="AI16" i="9"/>
  <c r="D28" i="9" s="1"/>
  <c r="AI17" i="9"/>
  <c r="D29" i="9" s="1"/>
  <c r="AI18" i="9"/>
  <c r="D30" i="9" s="1"/>
  <c r="AI19" i="9"/>
  <c r="D31" i="9" s="1"/>
  <c r="AD15" i="9"/>
  <c r="AD17" i="9" s="1"/>
  <c r="AK19" i="9" s="1"/>
  <c r="F31" i="9" s="1"/>
  <c r="AC15" i="9"/>
  <c r="AC17" i="9" s="1"/>
  <c r="AJ15" i="9" s="1"/>
  <c r="E27" i="9" s="1"/>
  <c r="AL15" i="9"/>
  <c r="G27" i="9" s="1"/>
  <c r="AL17" i="9"/>
  <c r="G29" i="9" s="1"/>
  <c r="AL16" i="9"/>
  <c r="G28" i="9" s="1"/>
  <c r="AL19" i="9"/>
  <c r="G31" i="9" s="1"/>
  <c r="AL18" i="9"/>
  <c r="G30" i="9" s="1"/>
  <c r="X20" i="9"/>
  <c r="AA15" i="9"/>
  <c r="AA17" i="9" s="1"/>
  <c r="W112" i="9" l="1"/>
  <c r="S112" i="9"/>
  <c r="T112" i="9"/>
  <c r="H115" i="9"/>
  <c r="M115" i="9" s="1"/>
  <c r="O115" i="9" s="1"/>
  <c r="S115" i="9"/>
  <c r="U112" i="9"/>
  <c r="S113" i="9"/>
  <c r="V112" i="9"/>
  <c r="S99" i="9"/>
  <c r="U99" i="9"/>
  <c r="U104" i="9" s="1"/>
  <c r="AC99" i="9" s="1"/>
  <c r="AC101" i="9" s="1"/>
  <c r="W99" i="9"/>
  <c r="W104" i="9" s="1"/>
  <c r="AE99" i="9" s="1"/>
  <c r="AE101" i="9" s="1"/>
  <c r="V99" i="9"/>
  <c r="V104" i="9" s="1"/>
  <c r="AD99" i="9" s="1"/>
  <c r="AD101" i="9" s="1"/>
  <c r="T99" i="9"/>
  <c r="T104" i="9" s="1"/>
  <c r="AB99" i="9" s="1"/>
  <c r="AB101" i="9" s="1"/>
  <c r="X114" i="9"/>
  <c r="U113" i="9"/>
  <c r="T113" i="9"/>
  <c r="V113" i="9"/>
  <c r="W113" i="9"/>
  <c r="AM44" i="9"/>
  <c r="AH45" i="9"/>
  <c r="AN45" i="9" s="1"/>
  <c r="AJ19" i="9"/>
  <c r="E31" i="9" s="1"/>
  <c r="AJ16" i="9"/>
  <c r="E28" i="9" s="1"/>
  <c r="AJ18" i="9"/>
  <c r="E30" i="9" s="1"/>
  <c r="AJ17" i="9"/>
  <c r="E29" i="9" s="1"/>
  <c r="D32" i="9"/>
  <c r="AK15" i="9"/>
  <c r="F27" i="9" s="1"/>
  <c r="AK16" i="9"/>
  <c r="F28" i="9" s="1"/>
  <c r="AI20" i="9"/>
  <c r="AI21" i="9" s="1"/>
  <c r="AK17" i="9"/>
  <c r="F29" i="9" s="1"/>
  <c r="AK18" i="9"/>
  <c r="F30" i="9" s="1"/>
  <c r="G32" i="9"/>
  <c r="AL20" i="9"/>
  <c r="AL21" i="9" s="1"/>
  <c r="AH16" i="9"/>
  <c r="C28" i="9" s="1"/>
  <c r="AH19" i="9"/>
  <c r="C31" i="9" s="1"/>
  <c r="AH18" i="9"/>
  <c r="C30" i="9" s="1"/>
  <c r="AH17" i="9"/>
  <c r="C29" i="9" s="1"/>
  <c r="AH15" i="9"/>
  <c r="C27" i="9" s="1"/>
  <c r="AM113" i="9" l="1"/>
  <c r="AN113" i="9" s="1"/>
  <c r="X112" i="9"/>
  <c r="X99" i="9"/>
  <c r="S104" i="9"/>
  <c r="AI104" i="9"/>
  <c r="AI105" i="9" s="1"/>
  <c r="D111" i="9"/>
  <c r="AJ104" i="9"/>
  <c r="AJ105" i="9" s="1"/>
  <c r="E111" i="9"/>
  <c r="G111" i="9"/>
  <c r="AL104" i="9"/>
  <c r="AL105" i="9" s="1"/>
  <c r="U115" i="9"/>
  <c r="X115" i="9" s="1"/>
  <c r="W115" i="9"/>
  <c r="T115" i="9"/>
  <c r="V115" i="9"/>
  <c r="X113" i="9"/>
  <c r="AH104" i="9"/>
  <c r="AM99" i="9"/>
  <c r="AN99" i="9" s="1"/>
  <c r="C111" i="9"/>
  <c r="F111" i="9"/>
  <c r="AK104" i="9"/>
  <c r="AK105" i="9" s="1"/>
  <c r="AM112" i="9"/>
  <c r="AN112" i="9" s="1"/>
  <c r="E32" i="9"/>
  <c r="AJ20" i="9"/>
  <c r="AJ21" i="9" s="1"/>
  <c r="F32" i="9"/>
  <c r="AK20" i="9"/>
  <c r="AK21" i="9" s="1"/>
  <c r="H29" i="9"/>
  <c r="M29" i="9" s="1"/>
  <c r="O29" i="9" s="1"/>
  <c r="S29" i="9" s="1"/>
  <c r="C32" i="9"/>
  <c r="H27" i="9"/>
  <c r="H30" i="9"/>
  <c r="M30" i="9" s="1"/>
  <c r="O30" i="9" s="1"/>
  <c r="H28" i="9"/>
  <c r="M28" i="9" s="1"/>
  <c r="H31" i="9"/>
  <c r="M31" i="9" s="1"/>
  <c r="O31" i="9" s="1"/>
  <c r="S31" i="9" s="1"/>
  <c r="AM16" i="9"/>
  <c r="AN16" i="9" s="1"/>
  <c r="AM17" i="9"/>
  <c r="AN17" i="9" s="1"/>
  <c r="AM18" i="9"/>
  <c r="AN18" i="9" s="1"/>
  <c r="AM19" i="9"/>
  <c r="AN19" i="9" s="1"/>
  <c r="AH20" i="9"/>
  <c r="AM15" i="9"/>
  <c r="AN15" i="9" s="1"/>
  <c r="G116" i="9" l="1"/>
  <c r="F116" i="9"/>
  <c r="E116" i="9"/>
  <c r="C116" i="9"/>
  <c r="H111" i="9"/>
  <c r="D116" i="9"/>
  <c r="AM115" i="9"/>
  <c r="AN115" i="9" s="1"/>
  <c r="AH105" i="9"/>
  <c r="AN105" i="9" s="1"/>
  <c r="AM104" i="9"/>
  <c r="X104" i="9"/>
  <c r="AA99" i="9"/>
  <c r="AA101" i="9" s="1"/>
  <c r="O28" i="9"/>
  <c r="U28" i="9" s="1"/>
  <c r="M27" i="9"/>
  <c r="O27" i="9" s="1"/>
  <c r="H32" i="9"/>
  <c r="T29" i="9"/>
  <c r="U29" i="9"/>
  <c r="V29" i="9"/>
  <c r="W29" i="9"/>
  <c r="U31" i="9"/>
  <c r="T31" i="9"/>
  <c r="V31" i="9"/>
  <c r="W31" i="9"/>
  <c r="T30" i="9"/>
  <c r="U30" i="9"/>
  <c r="V30" i="9"/>
  <c r="W30" i="9"/>
  <c r="S30" i="9"/>
  <c r="AH21" i="9"/>
  <c r="AN21" i="9" s="1"/>
  <c r="AM20" i="9"/>
  <c r="M111" i="9" l="1"/>
  <c r="O111" i="9" s="1"/>
  <c r="H116" i="9"/>
  <c r="T28" i="9"/>
  <c r="S28" i="9"/>
  <c r="W28" i="9"/>
  <c r="S27" i="9"/>
  <c r="V28" i="9"/>
  <c r="X29" i="9"/>
  <c r="X31" i="9"/>
  <c r="X30" i="9"/>
  <c r="T27" i="9"/>
  <c r="T32" i="9" s="1"/>
  <c r="U27" i="9"/>
  <c r="U32" i="9" s="1"/>
  <c r="AC27" i="9" s="1"/>
  <c r="AC29" i="9" s="1"/>
  <c r="W27" i="9"/>
  <c r="V27" i="9"/>
  <c r="W111" i="9" l="1"/>
  <c r="W116" i="9" s="1"/>
  <c r="AE111" i="9" s="1"/>
  <c r="AE113" i="9" s="1"/>
  <c r="AL116" i="9"/>
  <c r="AL117" i="9" s="1"/>
  <c r="AK116" i="9"/>
  <c r="AK117" i="9" s="1"/>
  <c r="V111" i="9"/>
  <c r="V116" i="9" s="1"/>
  <c r="AD111" i="9" s="1"/>
  <c r="AD113" i="9" s="1"/>
  <c r="AI116" i="9"/>
  <c r="AI117" i="9" s="1"/>
  <c r="S111" i="9"/>
  <c r="U111" i="9"/>
  <c r="U116" i="9" s="1"/>
  <c r="AC111" i="9" s="1"/>
  <c r="AC113" i="9" s="1"/>
  <c r="T111" i="9"/>
  <c r="T116" i="9" s="1"/>
  <c r="AB111" i="9" s="1"/>
  <c r="AB113" i="9" s="1"/>
  <c r="AJ116" i="9"/>
  <c r="AJ117" i="9" s="1"/>
  <c r="V32" i="9"/>
  <c r="AD27" i="9" s="1"/>
  <c r="AD29" i="9" s="1"/>
  <c r="AK30" i="9" s="1"/>
  <c r="X28" i="9"/>
  <c r="W32" i="9"/>
  <c r="AE27" i="9" s="1"/>
  <c r="AE29" i="9" s="1"/>
  <c r="AL29" i="9" s="1"/>
  <c r="AJ28" i="9"/>
  <c r="AJ30" i="9"/>
  <c r="AJ29" i="9"/>
  <c r="AJ27" i="9"/>
  <c r="AJ31" i="9"/>
  <c r="AB27" i="9"/>
  <c r="AB29" i="9" s="1"/>
  <c r="S32" i="9"/>
  <c r="AA27" i="9" s="1"/>
  <c r="AA29" i="9" s="1"/>
  <c r="X27" i="9"/>
  <c r="S116" i="9" l="1"/>
  <c r="X111" i="9"/>
  <c r="AH116" i="9"/>
  <c r="AN111" i="9"/>
  <c r="AK29" i="9"/>
  <c r="AK28" i="9"/>
  <c r="AK27" i="9"/>
  <c r="AK31" i="9"/>
  <c r="AL28" i="9"/>
  <c r="AL27" i="9"/>
  <c r="AL31" i="9"/>
  <c r="AL30" i="9"/>
  <c r="AH31" i="9"/>
  <c r="AH30" i="9"/>
  <c r="AH29" i="9"/>
  <c r="AH27" i="9"/>
  <c r="AH28" i="9"/>
  <c r="X32" i="9"/>
  <c r="AI27" i="9"/>
  <c r="AI28" i="9"/>
  <c r="AI30" i="9"/>
  <c r="AI29" i="9"/>
  <c r="AI31" i="9"/>
  <c r="AJ32" i="9"/>
  <c r="AJ33" i="9" s="1"/>
  <c r="X116" i="9" l="1"/>
  <c r="AA111" i="9"/>
  <c r="AA113" i="9" s="1"/>
  <c r="AH117" i="9"/>
  <c r="AN117" i="9" s="1"/>
  <c r="AM116" i="9"/>
  <c r="AK32" i="9"/>
  <c r="AK33" i="9" s="1"/>
  <c r="AL32" i="9"/>
  <c r="AL33" i="9" s="1"/>
  <c r="AH32" i="9"/>
  <c r="AH33" i="9" s="1"/>
  <c r="AM29" i="9"/>
  <c r="AN29" i="9" s="1"/>
  <c r="AM30" i="9"/>
  <c r="AN30" i="9" s="1"/>
  <c r="AM31" i="9"/>
  <c r="AN31" i="9" s="1"/>
  <c r="AM28" i="9"/>
  <c r="AN28" i="9" s="1"/>
  <c r="AI32" i="9"/>
  <c r="AM27" i="9"/>
  <c r="AN27" i="9" s="1"/>
  <c r="AI33" i="9" l="1"/>
  <c r="AN33" i="9" s="1"/>
  <c r="AM32" i="9"/>
  <c r="G8" i="8" l="1"/>
  <c r="F8" i="8"/>
  <c r="E8" i="8"/>
  <c r="D8" i="8"/>
  <c r="C8" i="8"/>
  <c r="H8" i="8"/>
  <c r="H4" i="8"/>
  <c r="H5" i="8"/>
  <c r="H6" i="8"/>
  <c r="H7" i="8"/>
  <c r="H3" i="8"/>
  <c r="D2" i="7"/>
  <c r="F3" i="7"/>
  <c r="F4" i="7"/>
  <c r="F5" i="7"/>
  <c r="F6" i="7"/>
  <c r="F2" i="7"/>
  <c r="F7" i="7" s="1"/>
  <c r="D3" i="7"/>
  <c r="D4" i="7"/>
  <c r="D5" i="7"/>
  <c r="D6" i="7"/>
  <c r="C3" i="2"/>
  <c r="F6" i="6"/>
  <c r="D6" i="6"/>
  <c r="F5" i="6"/>
  <c r="D5" i="6"/>
  <c r="F4" i="6"/>
  <c r="D4" i="6"/>
  <c r="F3" i="6"/>
  <c r="D3" i="6"/>
  <c r="F2" i="6"/>
  <c r="D2" i="6"/>
  <c r="I4" i="1"/>
  <c r="I5" i="1"/>
  <c r="I6" i="1"/>
  <c r="I7" i="1"/>
  <c r="I8" i="1"/>
  <c r="I9" i="1"/>
  <c r="I10" i="1"/>
  <c r="I11" i="1"/>
  <c r="I12" i="1"/>
  <c r="I3" i="1"/>
  <c r="H3" i="1"/>
  <c r="H4" i="1"/>
  <c r="H5" i="1"/>
  <c r="H6" i="1"/>
  <c r="H7" i="1"/>
  <c r="H8" i="1"/>
  <c r="H9" i="1"/>
  <c r="H10" i="1"/>
  <c r="H11" i="1"/>
  <c r="H12" i="1"/>
  <c r="D7" i="7" l="1"/>
  <c r="D12" i="7" s="1"/>
  <c r="E13" i="1"/>
  <c r="C13" i="1"/>
  <c r="D17" i="1" a="1"/>
  <c r="D17" i="1" s="1"/>
  <c r="D17" i="2" s="1"/>
  <c r="B17" i="1" a="1"/>
  <c r="B17" i="1" s="1"/>
  <c r="B17" i="2" s="1"/>
  <c r="G2" i="7" l="1"/>
  <c r="C12" i="7"/>
  <c r="G6" i="7"/>
  <c r="G5" i="7"/>
  <c r="G3" i="7"/>
  <c r="G4" i="7"/>
  <c r="E17" i="1"/>
  <c r="E17" i="2" s="1"/>
  <c r="E7" i="2" s="1"/>
  <c r="C17" i="1"/>
  <c r="C17" i="2" s="1"/>
  <c r="C11" i="2" s="1"/>
  <c r="G7" i="7" l="1"/>
  <c r="E12" i="2"/>
  <c r="C5" i="2"/>
  <c r="E4" i="2"/>
  <c r="E8" i="2"/>
  <c r="C10" i="2"/>
  <c r="E5" i="2"/>
  <c r="E3" i="2"/>
  <c r="C7" i="2"/>
  <c r="C6" i="2"/>
  <c r="C9" i="2"/>
  <c r="C8" i="2"/>
  <c r="E6" i="2"/>
  <c r="E10" i="2"/>
  <c r="C4" i="2"/>
  <c r="E11" i="2"/>
  <c r="C12" i="2"/>
  <c r="E9" i="2"/>
  <c r="E13" i="2" l="1"/>
  <c r="C13" i="2"/>
  <c r="F9" i="2" l="1"/>
  <c r="F7" i="2"/>
  <c r="F12" i="2"/>
  <c r="D18" i="2"/>
  <c r="F5" i="2"/>
  <c r="F3" i="2"/>
  <c r="F8" i="2"/>
  <c r="F11" i="2"/>
  <c r="F6" i="2"/>
  <c r="F10" i="2"/>
  <c r="E18" i="2"/>
  <c r="F4" i="2"/>
  <c r="F1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<sst xmlns="http://schemas.openxmlformats.org/spreadsheetml/2006/main" count="593" uniqueCount="172">
  <si>
    <t>Zone</t>
  </si>
  <si>
    <t>Generation</t>
  </si>
  <si>
    <t>Population (P)</t>
  </si>
  <si>
    <t>Trips (G)</t>
  </si>
  <si>
    <t>Attraction</t>
  </si>
  <si>
    <t>Jobs (J)</t>
  </si>
  <si>
    <t>Trips (A)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</si>
  <si>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</si>
  <si>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</si>
  <si>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</si>
  <si>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</si>
  <si>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</si>
  <si>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</si>
  <si>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</si>
  <si>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</si>
  <si>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</si>
  <si>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</si>
  <si>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</si>
  <si>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</si>
  <si>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</si>
  <si>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</si>
  <si>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</si>
  <si>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</si>
  <si>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</si>
  <si>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</si>
  <si>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</si>
  <si>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</si>
  <si>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</si>
  <si>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</si>
  <si>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r>
      <t xml:space="preserve">G = </t>
    </r>
    <r>
      <rPr>
        <i/>
        <sz val="14"/>
        <color theme="1"/>
        <rFont val="Calibri"/>
        <family val="2"/>
        <scheme val="minor"/>
      </rPr>
      <t>a</t>
    </r>
    <r>
      <rPr>
        <sz val="14"/>
        <color theme="1"/>
        <rFont val="Calibri"/>
        <family val="2"/>
        <scheme val="minor"/>
      </rPr>
      <t xml:space="preserve"> + </t>
    </r>
    <r>
      <rPr>
        <i/>
        <sz val="14"/>
        <color theme="1"/>
        <rFont val="Calibri"/>
        <family val="2"/>
        <scheme val="minor"/>
      </rPr>
      <t>b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</rPr>
      <t>× P</t>
    </r>
  </si>
  <si>
    <r>
      <t xml:space="preserve">A = </t>
    </r>
    <r>
      <rPr>
        <i/>
        <sz val="14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 xml:space="preserve"> + </t>
    </r>
    <r>
      <rPr>
        <i/>
        <sz val="14"/>
        <color theme="1"/>
        <rFont val="Calibri"/>
        <family val="2"/>
        <scheme val="minor"/>
      </rPr>
      <t>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</rPr>
      <t>× J</t>
    </r>
  </si>
  <si>
    <r>
      <t xml:space="preserve">Slope, </t>
    </r>
    <r>
      <rPr>
        <i/>
        <sz val="14"/>
        <color theme="1"/>
        <rFont val="Calibri"/>
        <family val="2"/>
        <scheme val="minor"/>
      </rPr>
      <t>b</t>
    </r>
  </si>
  <si>
    <r>
      <t xml:space="preserve">Intercept, </t>
    </r>
    <r>
      <rPr>
        <i/>
        <sz val="14"/>
        <color theme="1"/>
        <rFont val="Calibri"/>
        <family val="2"/>
        <scheme val="minor"/>
      </rPr>
      <t>a</t>
    </r>
  </si>
  <si>
    <r>
      <t xml:space="preserve">Slope, </t>
    </r>
    <r>
      <rPr>
        <i/>
        <sz val="14"/>
        <color theme="1"/>
        <rFont val="Calibri"/>
        <family val="2"/>
        <scheme val="minor"/>
      </rPr>
      <t>d</t>
    </r>
  </si>
  <si>
    <r>
      <t xml:space="preserve">Intercept, </t>
    </r>
    <r>
      <rPr>
        <i/>
        <sz val="14"/>
        <color theme="1"/>
        <rFont val="Calibri"/>
        <family val="2"/>
        <scheme val="minor"/>
      </rPr>
      <t>c</t>
    </r>
  </si>
  <si>
    <t>Adjusted Trips (A')</t>
  </si>
  <si>
    <r>
      <t xml:space="preserve">A' = A </t>
    </r>
    <r>
      <rPr>
        <sz val="14"/>
        <color theme="1"/>
        <rFont val="Calibri"/>
        <family val="2"/>
      </rPr>
      <t xml:space="preserve">× (∑G/∑A) </t>
    </r>
  </si>
  <si>
    <t>Mulgrave</t>
  </si>
  <si>
    <t>Springvale</t>
  </si>
  <si>
    <t>Notting hill</t>
  </si>
  <si>
    <t>Clayton central</t>
  </si>
  <si>
    <t>Clayton south</t>
  </si>
  <si>
    <t>Nil</t>
  </si>
  <si>
    <r>
      <t xml:space="preserve">G =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P</t>
    </r>
  </si>
  <si>
    <r>
      <t xml:space="preserve">A =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 J</t>
    </r>
  </si>
  <si>
    <r>
      <t xml:space="preserve">Slope, </t>
    </r>
    <r>
      <rPr>
        <i/>
        <sz val="11"/>
        <color theme="1"/>
        <rFont val="Calibri"/>
        <family val="2"/>
        <scheme val="minor"/>
      </rPr>
      <t>b</t>
    </r>
  </si>
  <si>
    <r>
      <t xml:space="preserve">Intercept, </t>
    </r>
    <r>
      <rPr>
        <i/>
        <sz val="11"/>
        <color theme="1"/>
        <rFont val="Calibri"/>
        <family val="2"/>
        <scheme val="minor"/>
      </rPr>
      <t>a</t>
    </r>
  </si>
  <si>
    <r>
      <t xml:space="preserve">Slope, </t>
    </r>
    <r>
      <rPr>
        <i/>
        <sz val="11"/>
        <color theme="1"/>
        <rFont val="Calibri"/>
        <family val="2"/>
        <scheme val="minor"/>
      </rPr>
      <t>d</t>
    </r>
  </si>
  <si>
    <r>
      <t xml:space="preserve">Intercept, </t>
    </r>
    <r>
      <rPr>
        <i/>
        <sz val="11"/>
        <color theme="1"/>
        <rFont val="Calibri"/>
        <family val="2"/>
        <scheme val="minor"/>
      </rPr>
      <t>c</t>
    </r>
  </si>
  <si>
    <t>Trips</t>
  </si>
  <si>
    <t>Trip (G)</t>
  </si>
  <si>
    <t>Trip (A)</t>
  </si>
  <si>
    <t>Trips (G) ratio</t>
  </si>
  <si>
    <t>Trips (A) ratio</t>
  </si>
  <si>
    <t>Population</t>
  </si>
  <si>
    <t>Jobs</t>
  </si>
  <si>
    <t>Y = 2.124*X + 12469</t>
  </si>
  <si>
    <t>Y = 3.014*X + 490.5</t>
  </si>
  <si>
    <t>b= 2.12</t>
  </si>
  <si>
    <t>a= 12469</t>
  </si>
  <si>
    <t>c= 490.5</t>
  </si>
  <si>
    <t>d=3.014</t>
  </si>
  <si>
    <t>Sr. no.</t>
  </si>
  <si>
    <t>Adjusted Trips</t>
  </si>
  <si>
    <t>Destination Zone</t>
  </si>
  <si>
    <t>Total Generation</t>
  </si>
  <si>
    <t>Origin Zone</t>
  </si>
  <si>
    <t>?</t>
  </si>
  <si>
    <t>Total Attraction</t>
  </si>
  <si>
    <t>Travel times</t>
  </si>
  <si>
    <t>Costs</t>
  </si>
  <si>
    <t>Furness method</t>
  </si>
  <si>
    <t>Iteration #1</t>
  </si>
  <si>
    <t>Gravity model</t>
  </si>
  <si>
    <t>Row Adjustment Factors</t>
  </si>
  <si>
    <t>Temporary Values</t>
  </si>
  <si>
    <t>Column Adjustment Factors</t>
  </si>
  <si>
    <t>Revised Values</t>
  </si>
  <si>
    <t>V(0)</t>
  </si>
  <si>
    <t>sum = O(0)</t>
  </si>
  <si>
    <t>O(0)</t>
  </si>
  <si>
    <t>O(t)</t>
  </si>
  <si>
    <t>a(1)</t>
  </si>
  <si>
    <t>V(1) temp</t>
  </si>
  <si>
    <t>sum</t>
  </si>
  <si>
    <t>V(1)</t>
  </si>
  <si>
    <t>Error</t>
  </si>
  <si>
    <t>D(1) temp</t>
  </si>
  <si>
    <t>D(t)</t>
  </si>
  <si>
    <t>b(1)</t>
  </si>
  <si>
    <t>sum = D(1) temp</t>
  </si>
  <si>
    <t>Avg. Error</t>
  </si>
  <si>
    <t>Iteration #2</t>
  </si>
  <si>
    <t>sum = O(1)</t>
  </si>
  <si>
    <t>O(1)</t>
  </si>
  <si>
    <t>a(2)</t>
  </si>
  <si>
    <t>V(2) temp</t>
  </si>
  <si>
    <t>V(2)</t>
  </si>
  <si>
    <t>D(2) temp</t>
  </si>
  <si>
    <t>b(2)</t>
  </si>
  <si>
    <t>sum = D(2) temp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</si>
  <si>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</si>
  <si>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</si>
  <si>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</si>
  <si>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</si>
  <si>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</si>
  <si>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</si>
  <si>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</si>
  <si>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P(car)</t>
  </si>
  <si>
    <t>Y</t>
  </si>
  <si>
    <t>ΔTT</t>
  </si>
  <si>
    <r>
      <rPr>
        <i/>
        <sz val="11"/>
        <color theme="1"/>
        <rFont val="Times New Roman"/>
        <family val="1"/>
      </rPr>
      <t>β</t>
    </r>
    <r>
      <rPr>
        <i/>
        <vertAlign val="subscript"/>
        <sz val="9.35"/>
        <color theme="1"/>
        <rFont val="Calibri"/>
        <family val="2"/>
      </rPr>
      <t>M</t>
    </r>
  </si>
  <si>
    <r>
      <rPr>
        <i/>
        <sz val="11"/>
        <color theme="1"/>
        <rFont val="Times New Roman"/>
        <family val="1"/>
      </rPr>
      <t>β</t>
    </r>
    <r>
      <rPr>
        <i/>
        <vertAlign val="subscript"/>
        <sz val="11"/>
        <color theme="1"/>
        <rFont val="Calibri"/>
        <family val="2"/>
      </rPr>
      <t>TT</t>
    </r>
  </si>
  <si>
    <t>ΔM</t>
  </si>
  <si>
    <t>Y = -ln(1/P-1)</t>
  </si>
  <si>
    <t>TT (PT)</t>
  </si>
  <si>
    <t>TT (Car)</t>
  </si>
  <si>
    <t>M (PT)</t>
  </si>
  <si>
    <t>M (Car)</t>
  </si>
  <si>
    <t>P (Car)</t>
  </si>
  <si>
    <t>PT</t>
  </si>
  <si>
    <t>Car</t>
  </si>
  <si>
    <t>All</t>
  </si>
  <si>
    <t>ID</t>
  </si>
  <si>
    <t>Travel time, minutes</t>
  </si>
  <si>
    <t>Mode constant</t>
  </si>
  <si>
    <t>Users</t>
  </si>
  <si>
    <r>
      <t>Y</t>
    </r>
    <r>
      <rPr>
        <vertAlign val="subscript"/>
        <sz val="11"/>
        <color theme="1"/>
        <rFont val="Calibri"/>
        <family val="2"/>
        <scheme val="minor"/>
      </rPr>
      <t>Car</t>
    </r>
  </si>
  <si>
    <r>
      <t>Y</t>
    </r>
    <r>
      <rPr>
        <vertAlign val="subscript"/>
        <sz val="11"/>
        <color theme="1"/>
        <rFont val="Calibri"/>
        <family val="2"/>
        <scheme val="minor"/>
      </rPr>
      <t>PT</t>
    </r>
  </si>
  <si>
    <r>
      <t>M</t>
    </r>
    <r>
      <rPr>
        <vertAlign val="subscript"/>
        <sz val="11"/>
        <color theme="1"/>
        <rFont val="Calibri"/>
        <family val="2"/>
        <scheme val="minor"/>
      </rPr>
      <t>Car</t>
    </r>
  </si>
  <si>
    <r>
      <t>M</t>
    </r>
    <r>
      <rPr>
        <vertAlign val="subscript"/>
        <sz val="11"/>
        <color theme="1"/>
        <rFont val="Calibri"/>
        <family val="2"/>
        <scheme val="minor"/>
      </rPr>
      <t>PT</t>
    </r>
  </si>
  <si>
    <r>
      <t>TT</t>
    </r>
    <r>
      <rPr>
        <vertAlign val="subscript"/>
        <sz val="11"/>
        <color theme="1"/>
        <rFont val="Calibri"/>
        <family val="2"/>
        <scheme val="minor"/>
      </rPr>
      <t>Car</t>
    </r>
  </si>
  <si>
    <r>
      <t>TT</t>
    </r>
    <r>
      <rPr>
        <vertAlign val="subscript"/>
        <sz val="11"/>
        <color theme="1"/>
        <rFont val="Calibri"/>
        <family val="2"/>
        <scheme val="minor"/>
      </rPr>
      <t>PT</t>
    </r>
  </si>
  <si>
    <r>
      <t>V</t>
    </r>
    <r>
      <rPr>
        <vertAlign val="subscript"/>
        <sz val="11"/>
        <color theme="1"/>
        <rFont val="Calibri"/>
        <family val="2"/>
        <scheme val="minor"/>
      </rPr>
      <t>Car</t>
    </r>
  </si>
  <si>
    <r>
      <t>V</t>
    </r>
    <r>
      <rPr>
        <vertAlign val="subscript"/>
        <sz val="11"/>
        <color theme="1"/>
        <rFont val="Calibri"/>
        <family val="2"/>
        <scheme val="minor"/>
      </rPr>
      <t>PT</t>
    </r>
  </si>
  <si>
    <r>
      <t>P</t>
    </r>
    <r>
      <rPr>
        <vertAlign val="subscript"/>
        <sz val="11"/>
        <color theme="1"/>
        <rFont val="Calibri"/>
        <family val="2"/>
        <scheme val="minor"/>
      </rPr>
      <t>Car</t>
    </r>
  </si>
  <si>
    <r>
      <t>P</t>
    </r>
    <r>
      <rPr>
        <vertAlign val="subscript"/>
        <sz val="11"/>
        <color theme="1"/>
        <rFont val="Calibri"/>
        <family val="2"/>
        <scheme val="minor"/>
      </rPr>
      <t>PT</t>
    </r>
  </si>
  <si>
    <t>Likelihood</t>
  </si>
  <si>
    <t>Log Likelihood</t>
  </si>
  <si>
    <t>Max Likelihood Parameters</t>
  </si>
  <si>
    <t>Regression Parameters</t>
  </si>
  <si>
    <r>
      <rPr>
        <sz val="11"/>
        <color theme="1"/>
        <rFont val="Times New Roman"/>
        <family val="1"/>
      </rPr>
      <t>Σ</t>
    </r>
    <r>
      <rPr>
        <sz val="11"/>
        <color theme="1"/>
        <rFont val="Calibri"/>
        <family val="2"/>
      </rPr>
      <t>LL</t>
    </r>
  </si>
  <si>
    <t>to be maximised using Solver</t>
  </si>
  <si>
    <t>origin</t>
  </si>
  <si>
    <t>destination</t>
  </si>
  <si>
    <t>trip generation</t>
  </si>
  <si>
    <t>demand</t>
  </si>
  <si>
    <t>a</t>
  </si>
  <si>
    <t>b</t>
  </si>
  <si>
    <t>travel time</t>
  </si>
  <si>
    <t xml:space="preserve">zone 1 </t>
  </si>
  <si>
    <t>zone 2</t>
  </si>
  <si>
    <t>zone 3</t>
  </si>
  <si>
    <t xml:space="preserve">zone 4 </t>
  </si>
  <si>
    <t>zone 5</t>
  </si>
  <si>
    <t>veh-min</t>
  </si>
  <si>
    <t>veh-hour</t>
  </si>
  <si>
    <t>Cost</t>
  </si>
  <si>
    <t xml:space="preserve"> </t>
  </si>
  <si>
    <t>Origin: Zone 1</t>
  </si>
  <si>
    <t>Bus fare</t>
  </si>
  <si>
    <r>
      <t xml:space="preserve">Utility, </t>
    </r>
    <r>
      <rPr>
        <i/>
        <sz val="12"/>
        <color theme="1"/>
        <rFont val="Times New Roman"/>
        <family val="1"/>
      </rPr>
      <t>V</t>
    </r>
  </si>
  <si>
    <t>Bus share, %</t>
  </si>
  <si>
    <t>Bus trips</t>
  </si>
  <si>
    <t>Bus revenue, $</t>
  </si>
  <si>
    <t>Destination</t>
  </si>
  <si>
    <t>Bus</t>
  </si>
  <si>
    <t>Zone 2</t>
  </si>
  <si>
    <t>Zone 3</t>
  </si>
  <si>
    <t>Zone 4</t>
  </si>
  <si>
    <t>Zone 5</t>
  </si>
  <si>
    <t>Bus Mode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</si>
</sst>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;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"/>
    <numFmt numFmtId="165" formatCode="0.000"/>
    <numFmt numFmtId="166" formatCode="0.00000"/>
    <numFmt numFmtId="167" formatCode="&quot;$&quot;#,##0"/>
  </numFmts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rgb="FF000000"/>
      <name val="Arial"/>
      <family val="2"/>
    </font>
    <font>
      <sz val="11"/>
      <color theme="9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1"/>
      <name val="Times New Roman"/>
      <family val="1"/>
    </font>
    <font>
      <sz val="11"/>
      <color theme="3"/>
      <name val="Calibri"/>
      <family val="2"/>
      <scheme val="minor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  <font>
      <i/>
      <sz val="11"/>
      <color theme="1"/>
      <name val="Calibri"/>
      <family val="1"/>
    </font>
    <font>
      <i/>
      <sz val="11"/>
      <color theme="1"/>
      <name val="Times New Roman"/>
      <family val="1"/>
    </font>
    <font>
      <i/>
      <vertAlign val="subscript"/>
      <sz val="9.35"/>
      <color theme="1"/>
      <name val="Calibri"/>
      <family val="2"/>
    </font>
    <font>
      <i/>
      <vertAlign val="subscript"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1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BFBFBF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2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4" fillId="0" borderId="0" xfId="0" applyNumberFormat="1" applyFont="1"/>
    <xf numFmtId="3" fontId="1" fillId="0" borderId="3" xfId="0" applyNumberFormat="1" applyFont="1" applyBorder="1"/>
    <xf numFmtId="0" fontId="3" fillId="0" borderId="2" xfId="0" applyFont="1" applyBorder="1" applyAlignment="1">
      <alignment horizontal="centerContinuous"/>
    </xf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0" fontId="12" fillId="2" borderId="4" xfId="0" applyFont="1" applyFill="1" applyBorder="1" applyAlignment="1">
      <alignment horizontal="right" vertical="center" wrapText="1"/>
    </xf>
    <xf numFmtId="0" fontId="13" fillId="2" borderId="4" xfId="0" applyFont="1" applyFill="1" applyBorder="1" applyAlignment="1">
      <alignment horizontal="center" vertical="center" wrapText="1"/>
    </xf>
    <xf numFmtId="2" fontId="0" fillId="0" borderId="0" xfId="1" applyNumberFormat="1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" fontId="16" fillId="3" borderId="3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1" fontId="17" fillId="0" borderId="8" xfId="0" applyNumberFormat="1" applyFont="1" applyBorder="1" applyAlignment="1">
      <alignment horizontal="center" vertical="center" wrapText="1"/>
    </xf>
    <xf numFmtId="165" fontId="0" fillId="0" borderId="0" xfId="0" applyNumberFormat="1"/>
    <xf numFmtId="1" fontId="0" fillId="0" borderId="0" xfId="0" applyNumberFormat="1"/>
    <xf numFmtId="0" fontId="17" fillId="0" borderId="4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21" fillId="0" borderId="6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22" xfId="0" applyNumberFormat="1" applyBorder="1" applyAlignment="1">
      <alignment horizontal="center"/>
    </xf>
    <xf numFmtId="0" fontId="25" fillId="4" borderId="24" xfId="0" applyFont="1" applyFill="1" applyBorder="1" applyAlignment="1">
      <alignment horizontal="center" vertical="center" wrapText="1" readingOrder="1"/>
    </xf>
    <xf numFmtId="0" fontId="25" fillId="4" borderId="25" xfId="0" applyFont="1" applyFill="1" applyBorder="1" applyAlignment="1">
      <alignment horizontal="center" vertical="center" wrapText="1" readingOrder="1"/>
    </xf>
    <xf numFmtId="0" fontId="25" fillId="5" borderId="25" xfId="0" applyFont="1" applyFill="1" applyBorder="1" applyAlignment="1">
      <alignment horizontal="center" vertical="center" wrapText="1" readingOrder="1"/>
    </xf>
    <xf numFmtId="0" fontId="25" fillId="6" borderId="25" xfId="0" applyFont="1" applyFill="1" applyBorder="1" applyAlignment="1">
      <alignment horizontal="center" vertical="center" wrapText="1" readingOrder="1"/>
    </xf>
    <xf numFmtId="0" fontId="25" fillId="0" borderId="26" xfId="0" applyFont="1" applyBorder="1" applyAlignment="1">
      <alignment horizontal="center" vertical="center" wrapText="1" readingOrder="1"/>
    </xf>
    <xf numFmtId="0" fontId="0" fillId="0" borderId="19" xfId="0" applyBorder="1" applyAlignment="1">
      <alignment horizontal="center"/>
    </xf>
    <xf numFmtId="0" fontId="26" fillId="0" borderId="31" xfId="0" applyFont="1" applyBorder="1" applyAlignment="1">
      <alignment vertical="top" wrapText="1"/>
    </xf>
    <xf numFmtId="0" fontId="0" fillId="2" borderId="0" xfId="0" applyFill="1"/>
    <xf numFmtId="0" fontId="9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21" fillId="7" borderId="5" xfId="0" applyFont="1" applyFill="1" applyBorder="1" applyAlignment="1">
      <alignment horizontal="center"/>
    </xf>
    <xf numFmtId="0" fontId="21" fillId="7" borderId="6" xfId="0" applyFont="1" applyFill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164" fontId="0" fillId="7" borderId="7" xfId="0" applyNumberFormat="1" applyFill="1" applyBorder="1"/>
    <xf numFmtId="164" fontId="0" fillId="7" borderId="8" xfId="0" applyNumberFormat="1" applyFill="1" applyBorder="1"/>
    <xf numFmtId="0" fontId="28" fillId="0" borderId="0" xfId="0" applyFont="1"/>
    <xf numFmtId="165" fontId="0" fillId="0" borderId="20" xfId="0" applyNumberFormat="1" applyBorder="1" applyAlignment="1">
      <alignment horizontal="center"/>
    </xf>
    <xf numFmtId="0" fontId="30" fillId="0" borderId="0" xfId="0" applyFont="1"/>
    <xf numFmtId="0" fontId="17" fillId="0" borderId="37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167" fontId="17" fillId="0" borderId="40" xfId="0" applyNumberFormat="1" applyFont="1" applyBorder="1" applyAlignment="1">
      <alignment horizontal="center" vertical="center" wrapText="1"/>
    </xf>
    <xf numFmtId="9" fontId="17" fillId="0" borderId="40" xfId="0" applyNumberFormat="1" applyFont="1" applyBorder="1" applyAlignment="1">
      <alignment horizontal="center" vertical="center" wrapText="1"/>
    </xf>
    <xf numFmtId="1" fontId="17" fillId="0" borderId="40" xfId="0" applyNumberFormat="1" applyFont="1" applyBorder="1" applyAlignment="1">
      <alignment horizontal="center" vertical="center" wrapText="1"/>
    </xf>
    <xf numFmtId="5" fontId="17" fillId="0" borderId="40" xfId="2" applyNumberFormat="1" applyFont="1" applyBorder="1" applyAlignment="1">
      <alignment horizontal="center" vertical="center" wrapText="1"/>
    </xf>
    <xf numFmtId="167" fontId="17" fillId="0" borderId="38" xfId="0" applyNumberFormat="1" applyFont="1" applyBorder="1" applyAlignment="1">
      <alignment horizontal="center" vertical="center" wrapText="1"/>
    </xf>
    <xf numFmtId="9" fontId="17" fillId="0" borderId="38" xfId="0" applyNumberFormat="1" applyFont="1" applyBorder="1" applyAlignment="1">
      <alignment horizontal="center" vertical="center" wrapText="1"/>
    </xf>
    <xf numFmtId="1" fontId="17" fillId="0" borderId="38" xfId="0" applyNumberFormat="1" applyFont="1" applyBorder="1" applyAlignment="1">
      <alignment horizontal="center" vertical="center" wrapText="1"/>
    </xf>
    <xf numFmtId="5" fontId="17" fillId="0" borderId="38" xfId="2" applyNumberFormat="1" applyFont="1" applyBorder="1" applyAlignment="1">
      <alignment horizontal="center" vertical="center" wrapText="1"/>
    </xf>
    <xf numFmtId="5" fontId="17" fillId="0" borderId="38" xfId="0" applyNumberFormat="1" applyFont="1" applyBorder="1" applyAlignment="1">
      <alignment horizontal="center" vertical="center" wrapText="1"/>
    </xf>
    <xf numFmtId="0" fontId="17" fillId="0" borderId="39" xfId="0" applyFont="1" applyBorder="1" applyAlignment="1">
      <alignment vertical="center" wrapText="1"/>
    </xf>
    <xf numFmtId="0" fontId="17" fillId="0" borderId="40" xfId="0" applyFont="1" applyBorder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5" fillId="6" borderId="28" xfId="0" applyFont="1" applyFill="1" applyBorder="1" applyAlignment="1">
      <alignment horizontal="center" vertical="center" wrapText="1" readingOrder="1"/>
    </xf>
    <xf numFmtId="0" fontId="25" fillId="6" borderId="30" xfId="0" applyFont="1" applyFill="1" applyBorder="1" applyAlignment="1">
      <alignment horizontal="center" vertical="center" wrapText="1" readingOrder="1"/>
    </xf>
    <xf numFmtId="0" fontId="25" fillId="6" borderId="29" xfId="0" applyFont="1" applyFill="1" applyBorder="1" applyAlignment="1">
      <alignment horizontal="center" vertical="center" wrapText="1" readingOrder="1"/>
    </xf>
    <xf numFmtId="0" fontId="25" fillId="5" borderId="28" xfId="0" applyFont="1" applyFill="1" applyBorder="1" applyAlignment="1">
      <alignment horizontal="center" vertical="center" wrapText="1" readingOrder="1"/>
    </xf>
    <xf numFmtId="0" fontId="25" fillId="5" borderId="29" xfId="0" applyFont="1" applyFill="1" applyBorder="1" applyAlignment="1">
      <alignment horizontal="center" vertical="center" wrapText="1" readingOrder="1"/>
    </xf>
    <xf numFmtId="0" fontId="25" fillId="4" borderId="28" xfId="0" applyFont="1" applyFill="1" applyBorder="1" applyAlignment="1">
      <alignment horizontal="center" vertical="center" wrapText="1" readingOrder="1"/>
    </xf>
    <xf numFmtId="0" fontId="25" fillId="4" borderId="27" xfId="0" applyFont="1" applyFill="1" applyBorder="1" applyAlignment="1">
      <alignment horizontal="center" vertical="center" wrapText="1" readingOrder="1"/>
    </xf>
    <xf numFmtId="0" fontId="17" fillId="0" borderId="34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7" fillId="0" borderId="41" xfId="0" applyFont="1" applyBorder="1" applyAlignment="1">
      <alignment horizontal="right" vertical="center" wrapText="1"/>
    </xf>
    <xf numFmtId="0" fontId="17" fillId="0" borderId="10" xfId="0" applyFont="1" applyBorder="1" applyAlignment="1">
      <alignment horizontal="right" vertical="center" wrapText="1"/>
    </xf>
    <xf numFmtId="0" fontId="17" fillId="0" borderId="42" xfId="0" applyFont="1" applyBorder="1" applyAlignment="1">
      <alignment horizontal="right" vertical="center" wrapText="1"/>
    </xf>
    <xf numFmtId="0" fontId="17" fillId="0" borderId="32" xfId="0" applyFont="1" applyBorder="1" applyAlignment="1">
      <alignment vertical="center" wrapText="1"/>
    </xf>
    <xf numFmtId="0" fontId="17" fillId="0" borderId="33" xfId="0" applyFont="1" applyBorder="1" applyAlignment="1">
      <alignment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Calibration!$B$1</c:f>
          <c:strCache>
            <c:ptCount val="1"/>
            <c:pt idx="0">
              <c:v>Generation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Calibration!$C$2</c:f>
              <c:strCache>
                <c:ptCount val="1"/>
                <c:pt idx="0">
                  <c:v>Trips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991251093613299E-4"/>
                  <c:y val="0.23763238993881811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Calibration!$B$3:$B$12</c:f>
              <c:numCache>
                <c:formatCode>#,##0</c:formatCode>
                <c:ptCount val="10"/>
                <c:pt idx="0">
                  <c:v>26875</c:v>
                </c:pt>
                <c:pt idx="1">
                  <c:v>28824</c:v>
                </c:pt>
                <c:pt idx="2">
                  <c:v>43362</c:v>
                </c:pt>
                <c:pt idx="3">
                  <c:v>35611</c:v>
                </c:pt>
                <c:pt idx="4">
                  <c:v>53712</c:v>
                </c:pt>
                <c:pt idx="5">
                  <c:v>54155</c:v>
                </c:pt>
                <c:pt idx="6">
                  <c:v>61416</c:v>
                </c:pt>
                <c:pt idx="7">
                  <c:v>57942</c:v>
                </c:pt>
                <c:pt idx="8">
                  <c:v>66035</c:v>
                </c:pt>
                <c:pt idx="9">
                  <c:v>68865</c:v>
                </c:pt>
              </c:numCache>
            </c:numRef>
          </c:xVal>
          <c:yVal>
            <c:numRef>
              <c:f>Calibration!$C$3:$C$12</c:f>
              <c:numCache>
                <c:formatCode>#,##0</c:formatCode>
                <c:ptCount val="10"/>
                <c:pt idx="0">
                  <c:v>92400</c:v>
                </c:pt>
                <c:pt idx="1">
                  <c:v>55730</c:v>
                </c:pt>
                <c:pt idx="2">
                  <c:v>146467</c:v>
                </c:pt>
                <c:pt idx="3">
                  <c:v>68172</c:v>
                </c:pt>
                <c:pt idx="4">
                  <c:v>179183</c:v>
                </c:pt>
                <c:pt idx="5">
                  <c:v>118267</c:v>
                </c:pt>
                <c:pt idx="6">
                  <c:v>142762</c:v>
                </c:pt>
                <c:pt idx="7">
                  <c:v>132302</c:v>
                </c:pt>
                <c:pt idx="8">
                  <c:v>127415</c:v>
                </c:pt>
                <c:pt idx="9">
                  <c:v>179242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1-4FB3-BEDD-E68D3D6A2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902304"/>
        <c:axId val="1571561808"/>
      </c:scatterChart>
      <c:valAx>
        <c:axId val="164590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Calibration!$B$2</c:f>
              <c:strCache>
                <c:ptCount val="1"/>
                <c:pt idx="0">
                  <c:v>Population (P)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61808"/>
        <c:crosses val="autoZero"/>
        <c:crossBetween val="midCat"/>
      </c:valAx>
      <c:valAx>
        <c:axId val="15715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Calibration!$C$2</c:f>
              <c:strCache>
                <c:ptCount val="1"/>
                <c:pt idx="0">
                  <c:v>Trips (G)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90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Calibration!$D$1</c:f>
          <c:strCache>
            <c:ptCount val="1"/>
            <c:pt idx="0">
              <c:v>Attraction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Calibration!$E$2</c:f>
              <c:strCache>
                <c:ptCount val="1"/>
                <c:pt idx="0">
                  <c:v>Trips (A)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993197725284341"/>
                  <c:y val="6.4133240270173988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Calibration!$D$3:$D$12</c:f>
              <c:numCache>
                <c:formatCode>0.00</c:formatCode>
                <c:ptCount val="10"/>
                <c:pt idx="0">
                  <c:v>16364</c:v>
                </c:pt>
                <c:pt idx="1">
                  <c:v>16971</c:v>
                </c:pt>
                <c:pt idx="2">
                  <c:v>19012</c:v>
                </c:pt>
                <c:pt idx="3">
                  <c:v>26883</c:v>
                </c:pt>
                <c:pt idx="4">
                  <c:v>23162</c:v>
                </c:pt>
                <c:pt idx="5">
                  <c:v>29389</c:v>
                </c:pt>
                <c:pt idx="6">
                  <c:v>40046</c:v>
                </c:pt>
                <c:pt idx="7">
                  <c:v>43506</c:v>
                </c:pt>
                <c:pt idx="8">
                  <c:v>48933</c:v>
                </c:pt>
                <c:pt idx="9">
                  <c:v>52078</c:v>
                </c:pt>
              </c:numCache>
            </c:numRef>
          </c:xVal>
          <c:yVal>
            <c:numRef>
              <c:f>Calibration!$E$3:$E$12</c:f>
              <c:numCache>
                <c:formatCode>0.00</c:formatCode>
                <c:ptCount val="10"/>
                <c:pt idx="0">
                  <c:v>66962</c:v>
                </c:pt>
                <c:pt idx="1">
                  <c:v>78837</c:v>
                </c:pt>
                <c:pt idx="2">
                  <c:v>63906</c:v>
                </c:pt>
                <c:pt idx="3">
                  <c:v>117710</c:v>
                </c:pt>
                <c:pt idx="4">
                  <c:v>102503</c:v>
                </c:pt>
                <c:pt idx="5">
                  <c:v>116295</c:v>
                </c:pt>
                <c:pt idx="6">
                  <c:v>194504</c:v>
                </c:pt>
                <c:pt idx="7">
                  <c:v>188139</c:v>
                </c:pt>
                <c:pt idx="8">
                  <c:v>191722</c:v>
                </c:pt>
                <c:pt idx="9">
                  <c:v>156555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3C-4748-A4C0-809899AE7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331120"/>
        <c:axId val="1571558896"/>
      </c:scatterChart>
      <c:valAx>
        <c:axId val="116133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Calibration!$D$2</c:f>
              <c:strCache>
                <c:ptCount val="1"/>
                <c:pt idx="0">
                  <c:v>Jobs (J)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58896"/>
        <c:crosses val="autoZero"/>
        <c:crossBetween val="midCat"/>
      </c:valAx>
      <c:valAx>
        <c:axId val="157155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Calibration!$E$2</c:f>
              <c:strCache>
                <c:ptCount val="1"/>
                <c:pt idx="0">
                  <c:v>Trips (A)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3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Forecast!$B$1</c:f>
          <c:strCache>
            <c:ptCount val="1"/>
            <c:pt idx="0">
              <c:v>Generation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Forecast!$C$2</c:f>
              <c:strCache>
                <c:ptCount val="1"/>
                <c:pt idx="0">
                  <c:v>Trips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991251093613299E-4"/>
                  <c:y val="0.23763238993881811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Forecast!$B$3:$B$12</c:f>
              <c:numCache>
                <c:formatCode>#,##0</c:formatCode>
                <c:ptCount val="10"/>
                <c:pt idx="0">
                  <c:v>46494</c:v>
                </c:pt>
                <c:pt idx="1">
                  <c:v>52171</c:v>
                </c:pt>
                <c:pt idx="2">
                  <c:v>72848</c:v>
                </c:pt>
                <c:pt idx="3">
                  <c:v>56265</c:v>
                </c:pt>
                <c:pt idx="4">
                  <c:v>95607</c:v>
                </c:pt>
                <c:pt idx="5">
                  <c:v>90439</c:v>
                </c:pt>
                <c:pt idx="6">
                  <c:v>119147</c:v>
                </c:pt>
                <c:pt idx="7">
                  <c:v>92128</c:v>
                </c:pt>
                <c:pt idx="8">
                  <c:v>109618</c:v>
                </c:pt>
                <c:pt idx="9">
                  <c:v>137041</c:v>
                </c:pt>
              </c:numCache>
            </c:numRef>
          </c:xVal>
          <c:yVal>
            <c:numRef>
              <c:f>Forecast!$C$3:$C$12</c:f>
              <c:numCache>
                <c:formatCode>#,##0</c:formatCode>
                <c:ptCount val="10"/>
                <c:pt idx="0">
                  <c:v>117441.33189062742</c:v>
                </c:pt>
                <c:pt idx="1">
                  <c:v>129474.761547189</c:v>
                </c:pt>
                <c:pt idx="2">
                  <c:v>173303.40784078132</c:v>
                </c:pt>
                <c:pt idx="3">
                  <c:v>138152.73600798927</c:v>
                </c:pt>
                <c:pt idx="4">
                  <c:v>221545.23020359356</c:v>
                </c:pt>
                <c:pt idx="5">
                  <c:v>210590.71823158185</c:v>
                </c:pt>
                <c:pt idx="6">
                  <c:v>271442.5235126405</c:v>
                </c:pt>
                <c:pt idx="7">
                  <c:v>214170.85962491157</c:v>
                </c:pt>
                <c:pt idx="8">
                  <c:v>251244.08222368942</c:v>
                </c:pt>
                <c:pt idx="9">
                  <c:v>309372.09727950906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0-4D03-A1D6-D00B775B5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902304"/>
        <c:axId val="1571561808"/>
      </c:scatterChart>
      <c:valAx>
        <c:axId val="164590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Forecast!$B$2</c:f>
              <c:strCache>
                <c:ptCount val="1"/>
                <c:pt idx="0">
                  <c:v>Population (P)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61808"/>
        <c:crosses val="autoZero"/>
        <c:crossBetween val="midCat"/>
      </c:valAx>
      <c:valAx>
        <c:axId val="15715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Forecast!$C$2</c:f>
              <c:strCache>
                <c:ptCount val="1"/>
                <c:pt idx="0">
                  <c:v>Trips (G)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90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Forecast!$D$1</c:f>
          <c:strCache>
            <c:ptCount val="1"/>
            <c:pt idx="0">
              <c:v>Attraction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Forecast!$F$2</c:f>
              <c:strCache>
                <c:ptCount val="1"/>
                <c:pt idx="0">
                  <c:v>Adjusted Trips (A')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993197725284341"/>
                  <c:y val="6.4133240270173988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Forecast!$D$3:$D$12</c:f>
              <c:numCache>
                <c:formatCode>#,##0</c:formatCode>
                <c:ptCount val="10"/>
                <c:pt idx="0">
                  <c:v>25037</c:v>
                </c:pt>
                <c:pt idx="1">
                  <c:v>29190</c:v>
                </c:pt>
                <c:pt idx="2">
                  <c:v>34412</c:v>
                </c:pt>
                <c:pt idx="3">
                  <c:v>51347</c:v>
                </c:pt>
                <c:pt idx="4">
                  <c:v>38681</c:v>
                </c:pt>
                <c:pt idx="5">
                  <c:v>52606</c:v>
                </c:pt>
                <c:pt idx="6">
                  <c:v>67311</c:v>
                </c:pt>
                <c:pt idx="7">
                  <c:v>77441</c:v>
                </c:pt>
                <c:pt idx="8">
                  <c:v>80250</c:v>
                </c:pt>
                <c:pt idx="9">
                  <c:v>80721</c:v>
                </c:pt>
              </c:numCache>
            </c:numRef>
          </c:xVal>
          <c:yVal>
            <c:numRef>
              <c:f>Forecast!$F$3:$F$12</c:f>
              <c:numCache>
                <c:formatCode>#,##0</c:formatCode>
                <c:ptCount val="10"/>
                <c:pt idx="0">
                  <c:v>104112.97150856584</c:v>
                </c:pt>
                <c:pt idx="1">
                  <c:v>118538.59989607699</c:v>
                </c:pt>
                <c:pt idx="2">
                  <c:v>136677.44685961743</c:v>
                </c:pt>
                <c:pt idx="3">
                  <c:v>195501.91513375699</c:v>
                </c:pt>
                <c:pt idx="4">
                  <c:v>151506.00635547229</c:v>
                </c:pt>
                <c:pt idx="5">
                  <c:v>199875.10707690087</c:v>
                </c:pt>
                <c:pt idx="6">
                  <c:v>250953.57214753696</c:v>
                </c:pt>
                <c:pt idx="7">
                  <c:v>286140.57324685989</c:v>
                </c:pt>
                <c:pt idx="8">
                  <c:v>295897.75844804436</c:v>
                </c:pt>
                <c:pt idx="9">
                  <c:v>297533.79768968112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F4-4DAE-93FD-E8D5D9D61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331120"/>
        <c:axId val="1571558896"/>
      </c:scatterChart>
      <c:valAx>
        <c:axId val="116133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Forecast!$D$2</c:f>
              <c:strCache>
                <c:ptCount val="1"/>
                <c:pt idx="0">
                  <c:v>Jobs (J)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58896"/>
        <c:crosses val="autoZero"/>
        <c:crossBetween val="midCat"/>
      </c:valAx>
      <c:valAx>
        <c:axId val="157155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Forecast!$F$2</c:f>
              <c:strCache>
                <c:ptCount val="1"/>
                <c:pt idx="0">
                  <c:v>Adjusted Trips (A')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3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881265356335787E-2"/>
          <c:y val="0.13237758780761302"/>
          <c:w val="0.83107875858321001"/>
          <c:h val="0.7599221899353323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266541100948609"/>
                  <c:y val="-0.5595888655097990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(2)'!$Q$3:$Q$7</c:f>
              <c:numCache>
                <c:formatCode>General</c:formatCode>
                <c:ptCount val="5"/>
                <c:pt idx="0">
                  <c:v>-40</c:v>
                </c:pt>
                <c:pt idx="1">
                  <c:v>-40</c:v>
                </c:pt>
                <c:pt idx="2">
                  <c:v>-25</c:v>
                </c:pt>
                <c:pt idx="3">
                  <c:v>-28</c:v>
                </c:pt>
                <c:pt idx="4">
                  <c:v>-30</c:v>
                </c:pt>
              </c:numCache>
            </c:numRef>
          </c:xVal>
          <c:yVal>
            <c:numRef>
              <c:f>'Regression (2)'!$O$3:$O$7</c:f>
              <c:numCache>
                <c:formatCode>0.000</c:formatCode>
                <c:ptCount val="5"/>
                <c:pt idx="0">
                  <c:v>2.7022043678669174</c:v>
                </c:pt>
                <c:pt idx="1">
                  <c:v>2.0468248904958379</c:v>
                </c:pt>
                <c:pt idx="2">
                  <c:v>1.6018800115543574</c:v>
                </c:pt>
                <c:pt idx="3">
                  <c:v>1.2503550694268277</c:v>
                </c:pt>
                <c:pt idx="4">
                  <c:v>1.8502397603259204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B2-4215-882A-D2F2C980E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10495"/>
        <c:axId val="1176147327"/>
      </c:scatterChart>
      <c:valAx>
        <c:axId val="14275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'Regression (2)'!$Q$2</c:f>
              <c:strCache>
                <c:ptCount val="1"/>
                <c:pt idx="0">
                  <c:v>ΔTT</c:v>
                </c:pt>
              </c:strCache>
            </c:strRef>
          </c:tx>
          <c:layout>
            <c:manualLayout>
              <c:xMode val="edge"/>
              <c:yMode val="edge"/>
              <c:x val="0.92506990966490366"/>
              <c:y val="0.535000462198214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147327"/>
        <c:crosses val="autoZero"/>
        <c:crossBetween val="midCat"/>
      </c:valAx>
      <c:valAx>
        <c:axId val="11761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'Regression (2)'!$O$2</c:f>
              <c:strCache>
                <c:ptCount val="1"/>
                <c:pt idx="0">
                  <c:v>Y = -ln(1/P-1)</c:v>
                </c:pt>
              </c:strCache>
            </c:strRef>
          </c:tx>
          <c:layout>
            <c:manualLayout>
              <c:xMode val="edge"/>
              <c:yMode val="edge"/>
              <c:x val="0.54457880501767375"/>
              <c:y val="4.199913248950470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5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881265356335787E-2"/>
          <c:y val="0.10153707344797182"/>
          <c:w val="0.84272750307556665"/>
          <c:h val="0.703628187286793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'Regression (2)'!$P$33:$P$45</c:f>
              <c:numCache>
                <c:formatCode>General</c:formatCode>
                <c:ptCount val="13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</c:numCache>
            </c:numRef>
          </c:xVal>
          <c:yVal>
            <c:numRef>
              <c:f>'Regression (2)'!$R$33:$R$45</c:f>
              <c:numCache>
                <c:formatCode>General</c:formatCode>
                <c:ptCount val="13"/>
                <c:pt idx="0">
                  <c:v>0.91377471128641807</c:v>
                </c:pt>
                <c:pt idx="1">
                  <c:v>0.8852218287582071</c:v>
                </c:pt>
                <c:pt idx="2">
                  <c:v>0.84877859503952413</c:v>
                </c:pt>
                <c:pt idx="3">
                  <c:v>0.80333495413273326</c:v>
                </c:pt>
                <c:pt idx="4">
                  <c:v>0.74828494775946808</c:v>
                </c:pt>
                <c:pt idx="5">
                  <c:v>0.68388907423086753</c:v>
                </c:pt>
                <c:pt idx="6">
                  <c:v>0.61157059435803895</c:v>
                </c:pt>
                <c:pt idx="7">
                  <c:v>0.5339813728299021</c:v>
                </c:pt>
                <c:pt idx="8">
                  <c:v>0.45471239537315222</c:v>
                </c:pt>
                <c:pt idx="9">
                  <c:v>0.37767419568889282</c:v>
                </c:pt>
                <c:pt idx="10">
                  <c:v>0.30635506236307153</c:v>
                </c:pt>
                <c:pt idx="11">
                  <c:v>0.2432397245947511</c:v>
                </c:pt>
                <c:pt idx="12">
                  <c:v>0.18957368320476614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B0-4A16-A310-E88E41AD8AA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'Regression (2)'!$Q$3:$Q$11</c:f>
              <c:numCache>
                <c:formatCode>General</c:formatCode>
                <c:ptCount val="9"/>
                <c:pt idx="0">
                  <c:v>-40</c:v>
                </c:pt>
                <c:pt idx="1">
                  <c:v>-40</c:v>
                </c:pt>
                <c:pt idx="2">
                  <c:v>-25</c:v>
                </c:pt>
                <c:pt idx="3">
                  <c:v>-28</c:v>
                </c:pt>
                <c:pt idx="4">
                  <c:v>-30</c:v>
                </c:pt>
              </c:numCache>
            </c:numRef>
          </c:xVal>
          <c:yVal>
            <c:numRef>
              <c:f>'Regression (2)'!$J$3:$J$11</c:f>
              <c:numCache>
                <c:formatCode>0%</c:formatCode>
                <c:ptCount val="9"/>
                <c:pt idx="0">
                  <c:v>0.93715659340659341</c:v>
                </c:pt>
                <c:pt idx="1">
                  <c:v>0.88562639821029088</c:v>
                </c:pt>
                <c:pt idx="2">
                  <c:v>0.83228097868981843</c:v>
                </c:pt>
                <c:pt idx="3">
                  <c:v>0.77736131934032981</c:v>
                </c:pt>
                <c:pt idx="4">
                  <c:v>0.86415525114155256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0-4A16-A310-E88E41AD8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10495"/>
        <c:axId val="1176147327"/>
      </c:scatterChart>
      <c:valAx>
        <c:axId val="1427510495"/>
        <c:scaling>
          <c:orientation val="minMax"/>
          <c:max val="20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'Regression (2)'!$Q$2</c:f>
              <c:strCache>
                <c:ptCount val="1"/>
                <c:pt idx="0">
                  <c:v>ΔTT</c:v>
                </c:pt>
              </c:strCache>
            </c:strRef>
          </c:tx>
          <c:layout>
            <c:manualLayout>
              <c:xMode val="edge"/>
              <c:yMode val="edge"/>
              <c:x val="0.60472943612509555"/>
              <c:y val="0.891691321774968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147327"/>
        <c:crosses val="autoZero"/>
        <c:crossBetween val="midCat"/>
      </c:valAx>
      <c:valAx>
        <c:axId val="11761473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'Regression (2)'!$R$32</c:f>
              <c:strCache>
                <c:ptCount val="1"/>
                <c:pt idx="0">
                  <c:v>P(car)</c:v>
                </c:pt>
              </c:strCache>
            </c:strRef>
          </c:tx>
          <c:layout>
            <c:manualLayout>
              <c:xMode val="edge"/>
              <c:yMode val="edge"/>
              <c:x val="0.61155908584872454"/>
              <c:y val="1.81617673577558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5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417385</xdr:colOff>
      <xdr:row>1</xdr:row>
      <xdr:rowOff>25354</xdr:rowOff>
    </xdr:from>
    <xdr:to>
      <xdr:col>19</xdr:col>
      <xdr:colOff>438340</xdr:colOff>
      <xdr:row>13</xdr:row>
      <xdr:rowOff>34878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46521</xdr:colOff>
      <xdr:row>1</xdr:row>
      <xdr:rowOff>29142</xdr:rowOff>
    </xdr:from>
    <xdr:to>
      <xdr:col>27</xdr:col>
      <xdr:colOff>366312</xdr:colOff>
      <xdr:row>13</xdr:row>
      <xdr:rowOff>25332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15</xdr:col>
      <xdr:colOff>13335</xdr:colOff>
      <xdr:row>13</xdr:row>
      <xdr:rowOff>11429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23</xdr:col>
      <xdr:colOff>304800</xdr:colOff>
      <xdr:row>12</xdr:row>
      <xdr:rowOff>236220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0</xdr:row>
      <xdr:rowOff>146050</xdr:rowOff>
    </xdr:from>
    <xdr:to>
      <xdr:col>13</xdr:col>
      <xdr:colOff>310142</xdr:colOff>
      <xdr:row>15</xdr:row>
      <xdr:rowOff>35565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9050" y="146050"/>
          <a:ext cx="3986792" cy="2651765"/>
        </a:xfrm>
        <a:prstGeom prst="rect">
          <a:avLst/>
        </a:prstGeom>
      </xdr:spPr>
    </xdr:pic>
    <xdr:clientData/>
  </xdr:twoCellAnchor>
  <xdr:twoCellAnchor editAs="oneCell">
    <xdr:from>
      <xdr:col>13</xdr:col>
      <xdr:colOff>482600</xdr:colOff>
      <xdr:row>0</xdr:row>
      <xdr:rowOff>19050</xdr:rowOff>
    </xdr:from>
    <xdr:to>
      <xdr:col>20</xdr:col>
      <xdr:colOff>202192</xdr:colOff>
      <xdr:row>14</xdr:row>
      <xdr:rowOff>92715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19050"/>
          <a:ext cx="3986792" cy="26517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419100</xdr:colOff>
          <xdr:row>3</xdr:row>
          <xdr:rowOff>137160</xdr:rowOff>
        </xdr:from>
        <xdr:to>
          <xdr:col>24</xdr:col>
          <xdr:colOff>106680</xdr:colOff>
          <xdr:row>7</xdr:row>
          <xdr:rowOff>137160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15240</xdr:colOff>
          <xdr:row>16</xdr:row>
          <xdr:rowOff>38100</xdr:rowOff>
        </xdr:from>
        <xdr:to>
          <xdr:col>20</xdr:col>
          <xdr:colOff>335280</xdr:colOff>
          <xdr:row>23</xdr:row>
          <xdr:rowOff>114300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317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304800</xdr:colOff>
      <xdr:row>12</xdr:row>
      <xdr:rowOff>57150</xdr:rowOff>
    </xdr:from>
    <xdr:to>
      <xdr:col>14</xdr:col>
      <xdr:colOff>723900</xdr:colOff>
      <xdr:row>29</xdr:row>
      <xdr:rowOff>146538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295276</xdr:colOff>
      <xdr:row>31</xdr:row>
      <xdr:rowOff>45719</xdr:rowOff>
    </xdr:from>
    <xdr:to>
      <xdr:col>14</xdr:col>
      <xdr:colOff>714376</xdr:colOff>
      <xdr:row>48</xdr:row>
      <xdr:rowOff>150054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533400</xdr:colOff>
      <xdr:row>11</xdr:row>
      <xdr:rowOff>14288</xdr:rowOff>
    </xdr:from>
    <xdr:to>
      <xdr:col>15</xdr:col>
      <xdr:colOff>542925</xdr:colOff>
      <xdr:row>12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>
          <a:off x="9245600" y="2039938"/>
          <a:ext cx="631825" cy="331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11</xdr:row>
      <xdr:rowOff>4763</xdr:rowOff>
    </xdr:from>
    <xdr:to>
      <xdr:col>16</xdr:col>
      <xdr:colOff>381000</xdr:colOff>
      <xdr:row>12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 flipH="1">
          <a:off x="10128250" y="2030413"/>
          <a:ext cx="209550" cy="341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openxmlformats.org/officeDocument/2006/relationships/image" Target="../media/image3.w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zoomScale="82" zoomScaleNormal="67" workbookViewId="0">
      <selection activeCell="N18" sqref="N18"/>
    </sheetView>
  </sheetViews>
  <sheetFormatPr defaultColWidth="8.88671875" defaultRowHeight="14.4" x14ac:dyDescent="0.3"/>
  <cols>
    <col min="1" max="5" width="15.77734375" customWidth="1"/>
    <col min="6" max="6" width="21.88671875" customWidth="1"/>
    <col min="7" max="7" width="17.21875" bestFit="1" customWidth="1"/>
    <col min="8" max="8" width="12.33203125" bestFit="1" customWidth="1"/>
    <col min="9" max="9" width="17" bestFit="1" customWidth="1"/>
    <col min="10" max="10" width="9" bestFit="1" customWidth="1"/>
    <col min="11" max="11" width="11.88671875" bestFit="1" customWidth="1"/>
    <col min="12" max="16" width="9.109375" bestFit="1" customWidth="1"/>
  </cols>
  <sheetData>
    <row r="1" spans="1:9" x14ac:dyDescent="0.3">
      <c r="B1" s="87" t="s">
        <v>1</v>
      </c>
      <c r="C1" s="87"/>
      <c r="D1" s="87" t="s">
        <v>4</v>
      </c>
      <c r="E1" s="87"/>
    </row>
    <row r="2" spans="1:9" x14ac:dyDescent="0.3">
      <c r="A2" t="s">
        <v>0</v>
      </c>
      <c r="B2" t="s">
        <v>2</v>
      </c>
      <c r="C2" t="s">
        <v>3</v>
      </c>
      <c r="D2" t="s">
        <v>5</v>
      </c>
      <c r="E2" t="s">
        <v>6</v>
      </c>
      <c r="H2" t="s">
        <v>52</v>
      </c>
      <c r="I2" t="s">
        <v>53</v>
      </c>
    </row>
    <row r="3" spans="1:9" x14ac:dyDescent="0.3">
      <c r="A3">
        <v>1</v>
      </c>
      <c r="B3" s="9">
        <v>26875</v>
      </c>
      <c r="C3" s="9">
        <v>92400</v>
      </c>
      <c r="D3" s="13">
        <v>16364</v>
      </c>
      <c r="E3" s="13">
        <v>66962</v>
      </c>
      <c r="H3">
        <f>B3/C3</f>
        <v>0.29085497835497837</v>
      </c>
      <c r="I3">
        <f>D3/E3</f>
        <v>0.24437740808219588</v>
      </c>
    </row>
    <row r="4" spans="1:9" x14ac:dyDescent="0.3">
      <c r="A4">
        <v>2</v>
      </c>
      <c r="B4" s="9">
        <v>28824</v>
      </c>
      <c r="C4" s="9">
        <v>55730</v>
      </c>
      <c r="D4" s="13">
        <v>16971</v>
      </c>
      <c r="E4" s="13">
        <v>78837</v>
      </c>
      <c r="H4">
        <f t="shared" ref="H4:H12" si="0">B4/C4</f>
        <v>0.51720796698367122</v>
      </c>
      <c r="I4">
        <f t="shared" ref="I4:I12" si="1">D4/E4</f>
        <v>0.21526694318657483</v>
      </c>
    </row>
    <row r="5" spans="1:9" x14ac:dyDescent="0.3">
      <c r="A5">
        <v>3</v>
      </c>
      <c r="B5" s="9">
        <v>43362</v>
      </c>
      <c r="C5" s="9">
        <v>146467</v>
      </c>
      <c r="D5" s="13">
        <v>19012</v>
      </c>
      <c r="E5" s="13">
        <v>63906</v>
      </c>
      <c r="H5">
        <f t="shared" si="0"/>
        <v>0.29605303583742415</v>
      </c>
      <c r="I5">
        <f t="shared" si="1"/>
        <v>0.29749945232059588</v>
      </c>
    </row>
    <row r="6" spans="1:9" x14ac:dyDescent="0.3">
      <c r="A6">
        <v>4</v>
      </c>
      <c r="B6" s="9">
        <v>35611</v>
      </c>
      <c r="C6" s="9">
        <v>68172</v>
      </c>
      <c r="D6" s="13">
        <v>26883</v>
      </c>
      <c r="E6" s="13">
        <v>117710</v>
      </c>
      <c r="H6">
        <f t="shared" si="0"/>
        <v>0.52236988793052863</v>
      </c>
      <c r="I6">
        <f t="shared" si="1"/>
        <v>0.22838331492651431</v>
      </c>
    </row>
    <row r="7" spans="1:9" x14ac:dyDescent="0.3">
      <c r="A7">
        <v>5</v>
      </c>
      <c r="B7" s="9">
        <v>53712</v>
      </c>
      <c r="C7" s="9">
        <v>179183</v>
      </c>
      <c r="D7" s="13">
        <v>23162</v>
      </c>
      <c r="E7" s="13">
        <v>102503</v>
      </c>
      <c r="H7">
        <f t="shared" si="0"/>
        <v>0.29976057996573335</v>
      </c>
      <c r="I7">
        <f t="shared" si="1"/>
        <v>0.225964118123372</v>
      </c>
    </row>
    <row r="8" spans="1:9" x14ac:dyDescent="0.3">
      <c r="A8">
        <v>6</v>
      </c>
      <c r="B8" s="9">
        <v>54155</v>
      </c>
      <c r="C8" s="9">
        <v>118267</v>
      </c>
      <c r="D8" s="13">
        <v>29389</v>
      </c>
      <c r="E8" s="13">
        <v>116295</v>
      </c>
      <c r="H8">
        <f t="shared" si="0"/>
        <v>0.45790457185859118</v>
      </c>
      <c r="I8">
        <f t="shared" si="1"/>
        <v>0.25271077862332858</v>
      </c>
    </row>
    <row r="9" spans="1:9" x14ac:dyDescent="0.3">
      <c r="A9">
        <v>7</v>
      </c>
      <c r="B9" s="9">
        <v>61416</v>
      </c>
      <c r="C9" s="9">
        <v>142762</v>
      </c>
      <c r="D9" s="13">
        <v>40046</v>
      </c>
      <c r="E9" s="13">
        <v>194504</v>
      </c>
      <c r="H9">
        <f t="shared" si="0"/>
        <v>0.4301985122091313</v>
      </c>
      <c r="I9">
        <f t="shared" si="1"/>
        <v>0.20588779665199688</v>
      </c>
    </row>
    <row r="10" spans="1:9" x14ac:dyDescent="0.3">
      <c r="A10">
        <v>8</v>
      </c>
      <c r="B10" s="9">
        <v>57942</v>
      </c>
      <c r="C10" s="9">
        <v>132302</v>
      </c>
      <c r="D10" s="13">
        <v>43506</v>
      </c>
      <c r="E10" s="13">
        <v>188139</v>
      </c>
      <c r="H10">
        <f t="shared" si="0"/>
        <v>0.4379525630753881</v>
      </c>
      <c r="I10">
        <f t="shared" si="1"/>
        <v>0.23124392071819241</v>
      </c>
    </row>
    <row r="11" spans="1:9" x14ac:dyDescent="0.3">
      <c r="A11">
        <v>9</v>
      </c>
      <c r="B11" s="9">
        <v>66035</v>
      </c>
      <c r="C11" s="9">
        <v>127415</v>
      </c>
      <c r="D11" s="13">
        <v>48933</v>
      </c>
      <c r="E11" s="13">
        <v>191722</v>
      </c>
      <c r="H11">
        <f t="shared" si="0"/>
        <v>0.51826708001412702</v>
      </c>
      <c r="I11">
        <f t="shared" si="1"/>
        <v>0.2552289252146337</v>
      </c>
    </row>
    <row r="12" spans="1:9" x14ac:dyDescent="0.3">
      <c r="A12">
        <v>10</v>
      </c>
      <c r="B12" s="9">
        <v>68865</v>
      </c>
      <c r="C12" s="9">
        <v>179242</v>
      </c>
      <c r="D12" s="13">
        <v>52078</v>
      </c>
      <c r="E12" s="13">
        <v>156555</v>
      </c>
      <c r="H12">
        <f t="shared" si="0"/>
        <v>0.38420124747548007</v>
      </c>
      <c r="I12">
        <f t="shared" si="1"/>
        <v>0.33264986745872061</v>
      </c>
    </row>
    <row r="13" spans="1:9" ht="15" thickBot="1" x14ac:dyDescent="0.35">
      <c r="C13" s="10">
        <f>SUM(C3:C12)</f>
        <v>1241940</v>
      </c>
      <c r="E13" s="10">
        <f>SUM(E3:E12)</f>
        <v>1277133</v>
      </c>
    </row>
    <row r="14" spans="1:9" ht="15" thickTop="1" x14ac:dyDescent="0.3"/>
    <row r="15" spans="1:9" x14ac:dyDescent="0.3">
      <c r="B15" t="s">
        <v>43</v>
      </c>
      <c r="D15" t="s">
        <v>44</v>
      </c>
    </row>
    <row r="16" spans="1:9" x14ac:dyDescent="0.3">
      <c r="B16" t="s">
        <v>45</v>
      </c>
      <c r="C16" t="s">
        <v>46</v>
      </c>
      <c r="D16" t="s">
        <v>47</v>
      </c>
      <c r="E16" t="s">
        <v>48</v>
      </c>
    </row>
    <row r="17" spans="2:16" x14ac:dyDescent="0.3">
      <c r="B17">
        <f t="array" ref="B17:C17">LINEST(C3:C12,B3:B12)</f>
        <v>2.1196811091353842</v>
      </c>
      <c r="C17">
        <v>18888.878402486866</v>
      </c>
      <c r="D17">
        <f t="array" ref="D17:E17">LINEST(E3:E12,D3:D12)</f>
        <v>3.4922467782090574</v>
      </c>
      <c r="E17">
        <v>17238.168519423387</v>
      </c>
    </row>
    <row r="21" spans="2:16" ht="27.6" x14ac:dyDescent="0.3">
      <c r="L21" s="11" t="s">
        <v>0</v>
      </c>
      <c r="M21" s="11" t="s">
        <v>2</v>
      </c>
      <c r="N21" s="11" t="s">
        <v>3</v>
      </c>
      <c r="O21" s="11" t="s">
        <v>5</v>
      </c>
      <c r="P21" s="11" t="s">
        <v>6</v>
      </c>
    </row>
    <row r="22" spans="2:16" x14ac:dyDescent="0.3">
      <c r="K22" s="12">
        <v>1</v>
      </c>
      <c r="L22" s="11">
        <v>1</v>
      </c>
      <c r="M22" s="11">
        <v>22173</v>
      </c>
      <c r="N22" s="11">
        <v>7152</v>
      </c>
      <c r="O22" s="11">
        <v>9035</v>
      </c>
      <c r="P22" s="11">
        <v>4214</v>
      </c>
    </row>
    <row r="23" spans="2:16" x14ac:dyDescent="0.3">
      <c r="K23" s="12">
        <v>2</v>
      </c>
      <c r="L23" s="11">
        <v>2</v>
      </c>
      <c r="M23" s="11">
        <v>19885</v>
      </c>
      <c r="N23" s="11">
        <v>5824</v>
      </c>
      <c r="O23" s="11">
        <v>9260</v>
      </c>
      <c r="P23" s="11">
        <v>4697</v>
      </c>
    </row>
    <row r="24" spans="2:16" x14ac:dyDescent="0.3">
      <c r="K24" s="12">
        <v>3</v>
      </c>
      <c r="L24" s="11">
        <v>3</v>
      </c>
      <c r="M24" s="11">
        <v>39710</v>
      </c>
      <c r="N24" s="11">
        <v>13193</v>
      </c>
      <c r="O24" s="11">
        <v>16894</v>
      </c>
      <c r="P24" s="11">
        <v>7712</v>
      </c>
    </row>
    <row r="25" spans="2:16" x14ac:dyDescent="0.3">
      <c r="K25" s="12">
        <v>4</v>
      </c>
      <c r="L25" s="11">
        <v>4</v>
      </c>
      <c r="M25" s="11">
        <v>23263</v>
      </c>
      <c r="N25" s="11">
        <v>7651</v>
      </c>
      <c r="O25" s="11">
        <v>10561</v>
      </c>
      <c r="P25" s="11">
        <v>5087</v>
      </c>
    </row>
    <row r="26" spans="2:16" x14ac:dyDescent="0.3">
      <c r="K26" s="12">
        <v>5</v>
      </c>
      <c r="L26" s="11">
        <v>5</v>
      </c>
      <c r="M26" s="11">
        <v>13387</v>
      </c>
      <c r="N26" s="11">
        <v>4380</v>
      </c>
      <c r="O26" s="11">
        <v>6344</v>
      </c>
      <c r="P26" s="11">
        <v>2803</v>
      </c>
    </row>
    <row r="27" spans="2:16" x14ac:dyDescent="0.3">
      <c r="K27" s="12">
        <v>6</v>
      </c>
      <c r="L27" s="11" t="s">
        <v>17</v>
      </c>
      <c r="M27" s="11" t="s">
        <v>42</v>
      </c>
      <c r="N27" s="11">
        <v>38200</v>
      </c>
      <c r="O27" s="11" t="s">
        <v>42</v>
      </c>
      <c r="P27" s="11">
        <v>24513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8165-A6A6-43FB-A311-63ABD8276D06}">
  <dimension ref="A1:F18"/>
  <sheetViews>
    <sheetView zoomScale="66" workbookViewId="0">
      <selection activeCell="C4" sqref="C4"/>
    </sheetView>
  </sheetViews>
  <sheetFormatPr defaultRowHeight="14.4" x14ac:dyDescent="0.3"/>
  <cols>
    <col min="1" max="5" width="15.77734375" customWidth="1"/>
    <col min="6" max="6" width="21.77734375" customWidth="1"/>
  </cols>
  <sheetData>
    <row r="1" spans="1:6" ht="18" x14ac:dyDescent="0.35">
      <c r="A1" s="1"/>
      <c r="B1" s="88" t="s">
        <v>1</v>
      </c>
      <c r="C1" s="88"/>
      <c r="D1" s="88" t="s">
        <v>4</v>
      </c>
      <c r="E1" s="88"/>
    </row>
    <row r="2" spans="1:6" ht="18" x14ac:dyDescent="0.35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35</v>
      </c>
    </row>
    <row r="3" spans="1:6" ht="18" x14ac:dyDescent="0.35">
      <c r="A3" s="1">
        <v>1</v>
      </c>
      <c r="B3" s="2">
        <v>46494</v>
      </c>
      <c r="C3" s="3">
        <f>$C$17+$B$17*B3</f>
        <v>117441.33189062742</v>
      </c>
      <c r="D3" s="2">
        <v>25037</v>
      </c>
      <c r="E3" s="3">
        <f>$E$17+$D$17*D3</f>
        <v>104673.55110544356</v>
      </c>
      <c r="F3" s="3">
        <f>E3*$C$13/$E$13</f>
        <v>104112.97150856584</v>
      </c>
    </row>
    <row r="4" spans="1:6" ht="18" x14ac:dyDescent="0.35">
      <c r="A4" s="1">
        <v>2</v>
      </c>
      <c r="B4" s="2">
        <v>52171</v>
      </c>
      <c r="C4" s="3">
        <f t="shared" ref="C4:C12" si="0">$C$17+$B$17*B4</f>
        <v>129474.761547189</v>
      </c>
      <c r="D4" s="2">
        <v>29190</v>
      </c>
      <c r="E4" s="3">
        <f t="shared" ref="E4:E12" si="1">$E$17+$D$17*D4</f>
        <v>119176.85197534577</v>
      </c>
      <c r="F4" s="3">
        <f t="shared" ref="F4:F12" si="2">E4*$C$13/$E$13</f>
        <v>118538.59989607699</v>
      </c>
    </row>
    <row r="5" spans="1:6" ht="18" x14ac:dyDescent="0.35">
      <c r="A5" s="1">
        <v>3</v>
      </c>
      <c r="B5" s="2">
        <v>72848</v>
      </c>
      <c r="C5" s="3">
        <f t="shared" si="0"/>
        <v>173303.40784078132</v>
      </c>
      <c r="D5" s="2">
        <v>34412</v>
      </c>
      <c r="E5" s="3">
        <f t="shared" si="1"/>
        <v>137413.36465115348</v>
      </c>
      <c r="F5" s="3">
        <f t="shared" si="2"/>
        <v>136677.44685961743</v>
      </c>
    </row>
    <row r="6" spans="1:6" ht="18" x14ac:dyDescent="0.35">
      <c r="A6" s="1">
        <v>4</v>
      </c>
      <c r="B6" s="2">
        <v>56265</v>
      </c>
      <c r="C6" s="3">
        <f t="shared" si="0"/>
        <v>138152.73600798927</v>
      </c>
      <c r="D6" s="2">
        <v>51347</v>
      </c>
      <c r="E6" s="3">
        <f t="shared" si="1"/>
        <v>196554.56384012388</v>
      </c>
      <c r="F6" s="3">
        <f t="shared" si="2"/>
        <v>195501.91513375699</v>
      </c>
    </row>
    <row r="7" spans="1:6" ht="18" x14ac:dyDescent="0.35">
      <c r="A7" s="1">
        <v>5</v>
      </c>
      <c r="B7" s="2">
        <v>95607</v>
      </c>
      <c r="C7" s="3">
        <f t="shared" si="0"/>
        <v>221545.23020359356</v>
      </c>
      <c r="D7" s="2">
        <v>38681</v>
      </c>
      <c r="E7" s="3">
        <f t="shared" si="1"/>
        <v>152321.76614732796</v>
      </c>
      <c r="F7" s="3">
        <f t="shared" si="2"/>
        <v>151506.00635547229</v>
      </c>
    </row>
    <row r="8" spans="1:6" ht="18" x14ac:dyDescent="0.35">
      <c r="A8" s="1">
        <v>6</v>
      </c>
      <c r="B8" s="2">
        <v>90439</v>
      </c>
      <c r="C8" s="3">
        <f t="shared" si="0"/>
        <v>210590.71823158185</v>
      </c>
      <c r="D8" s="2">
        <v>52606</v>
      </c>
      <c r="E8" s="3">
        <f t="shared" si="1"/>
        <v>200951.30253388907</v>
      </c>
      <c r="F8" s="3">
        <f t="shared" si="2"/>
        <v>199875.10707690087</v>
      </c>
    </row>
    <row r="9" spans="1:6" ht="18" x14ac:dyDescent="0.35">
      <c r="A9" s="1">
        <v>7</v>
      </c>
      <c r="B9" s="2">
        <v>119147</v>
      </c>
      <c r="C9" s="3">
        <f t="shared" si="0"/>
        <v>271442.5235126405</v>
      </c>
      <c r="D9" s="2">
        <v>67311</v>
      </c>
      <c r="E9" s="3">
        <f t="shared" si="1"/>
        <v>252304.79140745325</v>
      </c>
      <c r="F9" s="3">
        <f t="shared" si="2"/>
        <v>250953.57214753696</v>
      </c>
    </row>
    <row r="10" spans="1:6" ht="18" x14ac:dyDescent="0.35">
      <c r="A10" s="1">
        <v>8</v>
      </c>
      <c r="B10" s="2">
        <v>92128</v>
      </c>
      <c r="C10" s="3">
        <f t="shared" si="0"/>
        <v>214170.85962491157</v>
      </c>
      <c r="D10" s="2">
        <v>77441</v>
      </c>
      <c r="E10" s="3">
        <f t="shared" si="1"/>
        <v>287681.25127071101</v>
      </c>
      <c r="F10" s="3">
        <f t="shared" si="2"/>
        <v>286140.57324685989</v>
      </c>
    </row>
    <row r="11" spans="1:6" ht="18" x14ac:dyDescent="0.35">
      <c r="A11" s="1">
        <v>9</v>
      </c>
      <c r="B11" s="2">
        <v>109618</v>
      </c>
      <c r="C11" s="3">
        <f t="shared" si="0"/>
        <v>251244.08222368942</v>
      </c>
      <c r="D11" s="2">
        <v>80250</v>
      </c>
      <c r="E11" s="3">
        <f t="shared" si="1"/>
        <v>297490.97247070028</v>
      </c>
      <c r="F11" s="3">
        <f t="shared" si="2"/>
        <v>295897.75844804436</v>
      </c>
    </row>
    <row r="12" spans="1:6" ht="18" x14ac:dyDescent="0.35">
      <c r="A12" s="1">
        <v>10</v>
      </c>
      <c r="B12" s="2">
        <v>137041</v>
      </c>
      <c r="C12" s="3">
        <f t="shared" si="0"/>
        <v>309372.09727950906</v>
      </c>
      <c r="D12" s="2">
        <v>80721</v>
      </c>
      <c r="E12" s="3">
        <f t="shared" si="1"/>
        <v>299135.82070323674</v>
      </c>
      <c r="F12" s="3">
        <f t="shared" si="2"/>
        <v>297533.79768968112</v>
      </c>
    </row>
    <row r="13" spans="1:6" ht="18.600000000000001" thickBot="1" x14ac:dyDescent="0.4">
      <c r="C13" s="4">
        <f>SUM(C3:C12)</f>
        <v>2036737.748362513</v>
      </c>
      <c r="E13" s="4">
        <f>SUM(E3:E12)</f>
        <v>2047704.2361053852</v>
      </c>
      <c r="F13" s="4">
        <f>SUM(F3:F12)</f>
        <v>2036737.7483625128</v>
      </c>
    </row>
    <row r="14" spans="1:6" ht="18.600000000000001" thickTop="1" x14ac:dyDescent="0.35">
      <c r="E14" s="1"/>
    </row>
    <row r="15" spans="1:6" ht="18" x14ac:dyDescent="0.35">
      <c r="B15" s="1" t="s">
        <v>29</v>
      </c>
      <c r="C15" s="1"/>
      <c r="D15" s="1" t="s">
        <v>30</v>
      </c>
      <c r="E15" s="1"/>
      <c r="F15" s="1" t="s">
        <v>36</v>
      </c>
    </row>
    <row r="16" spans="1:6" ht="18" x14ac:dyDescent="0.35">
      <c r="B16" s="1" t="s">
        <v>31</v>
      </c>
      <c r="C16" s="1" t="s">
        <v>32</v>
      </c>
      <c r="D16" s="1" t="s">
        <v>33</v>
      </c>
      <c r="E16" s="1" t="s">
        <v>34</v>
      </c>
    </row>
    <row r="17" spans="2:5" ht="18" x14ac:dyDescent="0.35">
      <c r="B17" s="1">
        <f>Calibration!B17</f>
        <v>2.1196811091353842</v>
      </c>
      <c r="C17" s="1">
        <f>Calibration!C17</f>
        <v>18888.878402486866</v>
      </c>
      <c r="D17" s="1">
        <f>Calibration!D17</f>
        <v>3.4922467782090574</v>
      </c>
      <c r="E17" s="1">
        <f>Calibration!E17</f>
        <v>17238.168519423387</v>
      </c>
    </row>
    <row r="18" spans="2:5" ht="18" x14ac:dyDescent="0.35">
      <c r="D18" s="1">
        <f>D17*$C$13/$E$13</f>
        <v>3.4735440374455013</v>
      </c>
      <c r="E18" s="1">
        <f>E17*$C$13/$E$13</f>
        <v>17145.849443042822</v>
      </c>
    </row>
  </sheetData>
  <mergeCells count="2">
    <mergeCell ref="D1:E1"/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05C5-6EAD-43BA-9A2A-BA24A88E61DE}">
  <dimension ref="A1:G18"/>
  <sheetViews>
    <sheetView topLeftCell="A17" zoomScale="83" workbookViewId="0">
      <selection activeCell="D28" sqref="D28"/>
    </sheetView>
  </sheetViews>
  <sheetFormatPr defaultColWidth="8.88671875" defaultRowHeight="18" x14ac:dyDescent="0.35"/>
  <cols>
    <col min="1" max="1" width="22.77734375" style="1" bestFit="1" customWidth="1"/>
    <col min="2" max="2" width="16.6640625" style="1" bestFit="1" customWidth="1"/>
    <col min="3" max="3" width="18.44140625" style="1" bestFit="1" customWidth="1"/>
    <col min="4" max="5" width="16.6640625" style="1" bestFit="1" customWidth="1"/>
    <col min="6" max="6" width="17.6640625" style="1" bestFit="1" customWidth="1"/>
    <col min="7" max="7" width="16.6640625" style="1" bestFit="1" customWidth="1"/>
    <col min="8" max="16384" width="8.88671875" style="1"/>
  </cols>
  <sheetData>
    <row r="1" spans="1:7" x14ac:dyDescent="0.35">
      <c r="A1" s="1" t="s">
        <v>7</v>
      </c>
    </row>
    <row r="2" spans="1:7" ht="18.600000000000001" thickBot="1" x14ac:dyDescent="0.4"/>
    <row r="3" spans="1:7" x14ac:dyDescent="0.35">
      <c r="A3" s="5" t="s">
        <v>8</v>
      </c>
      <c r="B3" s="5"/>
    </row>
    <row r="4" spans="1:7" x14ac:dyDescent="0.35">
      <c r="A4" s="1" t="s">
        <v>9</v>
      </c>
      <c r="B4" s="1">
        <v>0.76632894913581029</v>
      </c>
    </row>
    <row r="5" spans="1:7" x14ac:dyDescent="0.35">
      <c r="A5" s="1" t="s">
        <v>10</v>
      </c>
      <c r="B5" s="1">
        <v>0.58726005828359529</v>
      </c>
    </row>
    <row r="6" spans="1:7" x14ac:dyDescent="0.35">
      <c r="A6" s="1" t="s">
        <v>11</v>
      </c>
      <c r="B6" s="1">
        <v>0.53566756556904471</v>
      </c>
    </row>
    <row r="7" spans="1:7" x14ac:dyDescent="0.35">
      <c r="A7" s="1" t="s">
        <v>12</v>
      </c>
      <c r="B7" s="1">
        <v>28589.6895727386</v>
      </c>
    </row>
    <row r="8" spans="1:7" ht="18.600000000000001" thickBot="1" x14ac:dyDescent="0.4">
      <c r="A8" s="6" t="s">
        <v>13</v>
      </c>
      <c r="B8" s="6">
        <v>10</v>
      </c>
    </row>
    <row r="10" spans="1:7" ht="18.600000000000001" thickBot="1" x14ac:dyDescent="0.4">
      <c r="A10" s="1" t="s">
        <v>14</v>
      </c>
    </row>
    <row r="11" spans="1:7" x14ac:dyDescent="0.35">
      <c r="A11" s="7"/>
      <c r="B11" s="7" t="s">
        <v>19</v>
      </c>
      <c r="C11" s="7" t="s">
        <v>20</v>
      </c>
      <c r="D11" s="7" t="s">
        <v>21</v>
      </c>
      <c r="E11" s="7" t="s">
        <v>22</v>
      </c>
      <c r="F11" s="7" t="s">
        <v>23</v>
      </c>
    </row>
    <row r="12" spans="1:7" x14ac:dyDescent="0.35">
      <c r="A12" s="1" t="s">
        <v>15</v>
      </c>
      <c r="B12" s="1">
        <v>1</v>
      </c>
      <c r="C12" s="1">
        <v>9303852829.0755348</v>
      </c>
      <c r="D12" s="1">
        <v>9303852829.0755348</v>
      </c>
      <c r="E12" s="1">
        <v>11.382664945707708</v>
      </c>
      <c r="F12" s="1">
        <v>9.7303281749744983E-3</v>
      </c>
    </row>
    <row r="13" spans="1:7" x14ac:dyDescent="0.35">
      <c r="A13" s="1" t="s">
        <v>16</v>
      </c>
      <c r="B13" s="1">
        <v>8</v>
      </c>
      <c r="C13" s="1">
        <v>6538962798.9244661</v>
      </c>
      <c r="D13" s="1">
        <v>817370349.86555827</v>
      </c>
    </row>
    <row r="14" spans="1:7" ht="18.600000000000001" thickBot="1" x14ac:dyDescent="0.4">
      <c r="A14" s="6" t="s">
        <v>17</v>
      </c>
      <c r="B14" s="6">
        <v>9</v>
      </c>
      <c r="C14" s="6">
        <v>15842815628</v>
      </c>
      <c r="D14" s="6"/>
      <c r="E14" s="6"/>
      <c r="F14" s="6"/>
    </row>
    <row r="15" spans="1:7" ht="18.600000000000001" thickBot="1" x14ac:dyDescent="0.4"/>
    <row r="16" spans="1:7" x14ac:dyDescent="0.35">
      <c r="A16" s="7"/>
      <c r="B16" s="7" t="s">
        <v>24</v>
      </c>
      <c r="C16" s="7" t="s">
        <v>12</v>
      </c>
      <c r="D16" s="7" t="s">
        <v>25</v>
      </c>
      <c r="E16" s="7" t="s">
        <v>26</v>
      </c>
      <c r="F16" s="7" t="s">
        <v>27</v>
      </c>
      <c r="G16" s="7" t="s">
        <v>28</v>
      </c>
    </row>
    <row r="17" spans="1:7" x14ac:dyDescent="0.35">
      <c r="A17" s="1" t="s">
        <v>18</v>
      </c>
      <c r="B17" s="1">
        <v>18888.878402486866</v>
      </c>
      <c r="C17" s="1">
        <v>32495.423310841408</v>
      </c>
      <c r="D17" s="1">
        <v>0.58127811482255698</v>
      </c>
      <c r="E17" s="1">
        <v>0.57705909408597245</v>
      </c>
      <c r="F17" s="1">
        <v>-56045.702127523313</v>
      </c>
      <c r="G17" s="1">
        <v>93823.458932497044</v>
      </c>
    </row>
    <row r="18" spans="1:7" ht="18.600000000000001" thickBot="1" x14ac:dyDescent="0.4">
      <c r="A18" s="6" t="s">
        <v>2</v>
      </c>
      <c r="B18" s="6">
        <v>2.1196811091353842</v>
      </c>
      <c r="C18" s="6">
        <v>0.62827322687241272</v>
      </c>
      <c r="D18" s="6">
        <v>3.373820526600031</v>
      </c>
      <c r="E18" s="6">
        <v>9.7303281749744983E-3</v>
      </c>
      <c r="F18" s="6">
        <v>0.67088044992953466</v>
      </c>
      <c r="G18" s="6">
        <v>3.5684817683412335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AA4B-0F83-42DA-B4D4-45BFA06383F5}">
  <dimension ref="A1:G18"/>
  <sheetViews>
    <sheetView zoomScale="69" workbookViewId="0">
      <selection activeCell="I17" sqref="I17"/>
    </sheetView>
  </sheetViews>
  <sheetFormatPr defaultColWidth="8.88671875" defaultRowHeight="18" x14ac:dyDescent="0.35"/>
  <cols>
    <col min="1" max="1" width="22.77734375" style="1" bestFit="1" customWidth="1"/>
    <col min="2" max="2" width="16.6640625" style="1" bestFit="1" customWidth="1"/>
    <col min="3" max="3" width="18.44140625" style="1" bestFit="1" customWidth="1"/>
    <col min="4" max="5" width="16.6640625" style="1" bestFit="1" customWidth="1"/>
    <col min="6" max="6" width="17.6640625" style="1" bestFit="1" customWidth="1"/>
    <col min="7" max="7" width="16.6640625" style="1" bestFit="1" customWidth="1"/>
    <col min="8" max="16384" width="8.88671875" style="1"/>
  </cols>
  <sheetData>
    <row r="1" spans="1:7" x14ac:dyDescent="0.35">
      <c r="A1" s="1" t="s">
        <v>7</v>
      </c>
    </row>
    <row r="2" spans="1:7" ht="18.600000000000001" thickBot="1" x14ac:dyDescent="0.4"/>
    <row r="3" spans="1:7" x14ac:dyDescent="0.35">
      <c r="A3" s="5" t="s">
        <v>8</v>
      </c>
      <c r="B3" s="5"/>
    </row>
    <row r="4" spans="1:7" x14ac:dyDescent="0.35">
      <c r="A4" s="1" t="s">
        <v>9</v>
      </c>
      <c r="B4" s="1">
        <v>0.91062164993240358</v>
      </c>
    </row>
    <row r="5" spans="1:7" x14ac:dyDescent="0.35">
      <c r="A5" s="1" t="s">
        <v>10</v>
      </c>
      <c r="B5" s="1">
        <v>0.82923178932561303</v>
      </c>
    </row>
    <row r="6" spans="1:7" x14ac:dyDescent="0.35">
      <c r="A6" s="1" t="s">
        <v>11</v>
      </c>
      <c r="B6" s="1">
        <v>0.80788576299131465</v>
      </c>
    </row>
    <row r="7" spans="1:7" x14ac:dyDescent="0.35">
      <c r="A7" s="1" t="s">
        <v>12</v>
      </c>
      <c r="B7" s="1">
        <v>22661.578371078067</v>
      </c>
    </row>
    <row r="8" spans="1:7" ht="18.600000000000001" thickBot="1" x14ac:dyDescent="0.4">
      <c r="A8" s="6" t="s">
        <v>13</v>
      </c>
      <c r="B8" s="6">
        <v>10</v>
      </c>
    </row>
    <row r="10" spans="1:7" ht="18.600000000000001" thickBot="1" x14ac:dyDescent="0.4">
      <c r="A10" s="1" t="s">
        <v>14</v>
      </c>
    </row>
    <row r="11" spans="1:7" x14ac:dyDescent="0.35">
      <c r="A11" s="7"/>
      <c r="B11" s="7" t="s">
        <v>19</v>
      </c>
      <c r="C11" s="7" t="s">
        <v>20</v>
      </c>
      <c r="D11" s="7" t="s">
        <v>21</v>
      </c>
      <c r="E11" s="7" t="s">
        <v>22</v>
      </c>
      <c r="F11" s="7" t="s">
        <v>23</v>
      </c>
    </row>
    <row r="12" spans="1:7" x14ac:dyDescent="0.35">
      <c r="A12" s="1" t="s">
        <v>15</v>
      </c>
      <c r="B12" s="1">
        <v>1</v>
      </c>
      <c r="C12" s="1">
        <v>19949830585.951893</v>
      </c>
      <c r="D12" s="1">
        <v>19949830585.951893</v>
      </c>
      <c r="E12" s="1">
        <v>38.847126689486934</v>
      </c>
      <c r="F12" s="1">
        <v>2.5035100635912297E-4</v>
      </c>
    </row>
    <row r="13" spans="1:7" x14ac:dyDescent="0.35">
      <c r="A13" s="1" t="s">
        <v>16</v>
      </c>
      <c r="B13" s="1">
        <v>8</v>
      </c>
      <c r="C13" s="1">
        <v>4108377074.1481066</v>
      </c>
      <c r="D13" s="1">
        <v>513547134.26851332</v>
      </c>
    </row>
    <row r="14" spans="1:7" ht="18.600000000000001" thickBot="1" x14ac:dyDescent="0.4">
      <c r="A14" s="6" t="s">
        <v>17</v>
      </c>
      <c r="B14" s="6">
        <v>9</v>
      </c>
      <c r="C14" s="6">
        <v>24058207660.099998</v>
      </c>
      <c r="D14" s="6"/>
      <c r="E14" s="6"/>
      <c r="F14" s="6"/>
    </row>
    <row r="15" spans="1:7" ht="18.600000000000001" thickBot="1" x14ac:dyDescent="0.4"/>
    <row r="16" spans="1:7" x14ac:dyDescent="0.35">
      <c r="A16" s="7"/>
      <c r="B16" s="7" t="s">
        <v>24</v>
      </c>
      <c r="C16" s="7" t="s">
        <v>12</v>
      </c>
      <c r="D16" s="7" t="s">
        <v>25</v>
      </c>
      <c r="E16" s="7" t="s">
        <v>26</v>
      </c>
      <c r="F16" s="7" t="s">
        <v>27</v>
      </c>
      <c r="G16" s="7" t="s">
        <v>28</v>
      </c>
    </row>
    <row r="17" spans="1:7" x14ac:dyDescent="0.35">
      <c r="A17" s="1" t="s">
        <v>18</v>
      </c>
      <c r="B17" s="1">
        <v>17238.168519423387</v>
      </c>
      <c r="C17" s="1">
        <v>19118.803543791466</v>
      </c>
      <c r="D17" s="1">
        <v>0.90163427224614245</v>
      </c>
      <c r="E17" s="1">
        <v>0.39358589992743032</v>
      </c>
      <c r="F17" s="1">
        <v>-26849.871512715821</v>
      </c>
      <c r="G17" s="1">
        <v>61326.208551562595</v>
      </c>
    </row>
    <row r="18" spans="1:7" ht="18.600000000000001" thickBot="1" x14ac:dyDescent="0.4">
      <c r="A18" s="6" t="s">
        <v>5</v>
      </c>
      <c r="B18" s="6">
        <v>3.4922467782090574</v>
      </c>
      <c r="C18" s="6">
        <v>0.56030625969844627</v>
      </c>
      <c r="D18" s="6">
        <v>6.2327463200010742</v>
      </c>
      <c r="E18" s="6">
        <v>2.5035100635912297E-4</v>
      </c>
      <c r="F18" s="6">
        <v>2.2001782263636604</v>
      </c>
      <c r="G18" s="6">
        <v>4.7843153300544543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DD4A-7E95-4A3D-B37C-DB0E76986525}">
  <dimension ref="A1:H20"/>
  <sheetViews>
    <sheetView zoomScale="71" workbookViewId="0">
      <selection activeCell="H20" sqref="H20"/>
    </sheetView>
  </sheetViews>
  <sheetFormatPr defaultColWidth="8.77734375" defaultRowHeight="14.4" x14ac:dyDescent="0.3"/>
  <cols>
    <col min="1" max="1" width="14.109375" style="14" bestFit="1" customWidth="1"/>
    <col min="2" max="2" width="10.6640625" style="14" bestFit="1" customWidth="1"/>
    <col min="3" max="3" width="13.6640625" style="14" bestFit="1" customWidth="1"/>
    <col min="4" max="4" width="10.44140625" style="14" bestFit="1" customWidth="1"/>
    <col min="5" max="5" width="7" style="14" bestFit="1" customWidth="1"/>
    <col min="6" max="16384" width="8.77734375" style="14"/>
  </cols>
  <sheetData>
    <row r="1" spans="1:6" x14ac:dyDescent="0.3">
      <c r="B1" s="14" t="s">
        <v>62</v>
      </c>
      <c r="C1" s="14" t="s">
        <v>54</v>
      </c>
      <c r="D1" s="14" t="s">
        <v>50</v>
      </c>
      <c r="E1" s="14" t="s">
        <v>55</v>
      </c>
      <c r="F1" s="14" t="s">
        <v>51</v>
      </c>
    </row>
    <row r="2" spans="1:6" x14ac:dyDescent="0.3">
      <c r="A2" s="14" t="s">
        <v>37</v>
      </c>
      <c r="B2" s="14">
        <v>1</v>
      </c>
      <c r="C2" s="14">
        <v>20218</v>
      </c>
      <c r="D2" s="15">
        <f>C2/0.32</f>
        <v>63181.25</v>
      </c>
      <c r="E2" s="14">
        <v>15478</v>
      </c>
      <c r="F2" s="15">
        <f>E2/0.31</f>
        <v>49929.032258064515</v>
      </c>
    </row>
    <row r="3" spans="1:6" x14ac:dyDescent="0.3">
      <c r="A3" s="14" t="s">
        <v>38</v>
      </c>
      <c r="B3" s="14">
        <v>2</v>
      </c>
      <c r="C3" s="14">
        <v>22616</v>
      </c>
      <c r="D3" s="15">
        <f>C3/0.41</f>
        <v>55160.975609756104</v>
      </c>
      <c r="E3" s="14">
        <v>18675</v>
      </c>
      <c r="F3" s="15">
        <f>E3/0.34</f>
        <v>54926.470588235294</v>
      </c>
    </row>
    <row r="4" spans="1:6" x14ac:dyDescent="0.3">
      <c r="A4" s="14" t="s">
        <v>39</v>
      </c>
      <c r="B4" s="14">
        <v>3</v>
      </c>
      <c r="C4" s="14">
        <v>10699</v>
      </c>
      <c r="D4" s="15">
        <f>C4/0.29</f>
        <v>36893.103448275862</v>
      </c>
      <c r="E4" s="14">
        <v>7373</v>
      </c>
      <c r="F4" s="15">
        <f>E4/0.36</f>
        <v>20480.555555555555</v>
      </c>
    </row>
    <row r="5" spans="1:6" x14ac:dyDescent="0.3">
      <c r="A5" s="14" t="s">
        <v>40</v>
      </c>
      <c r="B5" s="14">
        <v>4</v>
      </c>
      <c r="C5" s="14">
        <v>12890</v>
      </c>
      <c r="D5" s="15">
        <f>C5/0.35</f>
        <v>36828.571428571428</v>
      </c>
      <c r="E5" s="14">
        <v>10896</v>
      </c>
      <c r="F5" s="15">
        <f>E5/0.41</f>
        <v>26575.609756097561</v>
      </c>
    </row>
    <row r="6" spans="1:6" x14ac:dyDescent="0.3">
      <c r="A6" s="14" t="s">
        <v>41</v>
      </c>
      <c r="B6" s="14">
        <v>5</v>
      </c>
      <c r="C6" s="14">
        <v>13933</v>
      </c>
      <c r="D6" s="15">
        <f>C6/0.34</f>
        <v>40979.411764705881</v>
      </c>
      <c r="E6" s="14">
        <v>12027</v>
      </c>
      <c r="F6" s="15">
        <f>E6/0.29</f>
        <v>41472.413793103449</v>
      </c>
    </row>
    <row r="7" spans="1:6" x14ac:dyDescent="0.3">
      <c r="C7" s="15"/>
      <c r="E7" s="15"/>
    </row>
    <row r="8" spans="1:6" x14ac:dyDescent="0.3">
      <c r="A8" s="14" t="s">
        <v>43</v>
      </c>
      <c r="C8" s="14" t="s">
        <v>44</v>
      </c>
    </row>
    <row r="9" spans="1:6" x14ac:dyDescent="0.3">
      <c r="A9" s="14" t="s">
        <v>45</v>
      </c>
      <c r="B9" s="14" t="s">
        <v>46</v>
      </c>
      <c r="C9" s="14" t="s">
        <v>47</v>
      </c>
      <c r="D9" s="14" t="s">
        <v>48</v>
      </c>
    </row>
    <row r="10" spans="1:6" x14ac:dyDescent="0.3">
      <c r="A10" s="14" t="s">
        <v>58</v>
      </c>
      <c r="B10" s="14" t="s">
        <v>59</v>
      </c>
      <c r="C10" s="14" t="s">
        <v>61</v>
      </c>
      <c r="D10" s="14" t="s">
        <v>60</v>
      </c>
    </row>
    <row r="12" spans="1:6" x14ac:dyDescent="0.3">
      <c r="A12" s="16" t="s">
        <v>56</v>
      </c>
      <c r="C12" s="16" t="s">
        <v>57</v>
      </c>
    </row>
    <row r="20" spans="8:8" x14ac:dyDescent="0.3">
      <c r="H20" s="14" t="s">
        <v>158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51C2-8D47-44F6-88FF-72EE9EE276EC}">
  <dimension ref="A1:G14"/>
  <sheetViews>
    <sheetView zoomScale="73" workbookViewId="0">
      <selection activeCell="D2" sqref="D2"/>
    </sheetView>
  </sheetViews>
  <sheetFormatPr defaultRowHeight="14.4" x14ac:dyDescent="0.3"/>
  <cols>
    <col min="1" max="1" width="14.109375" bestFit="1" customWidth="1"/>
    <col min="2" max="2" width="10.6640625" bestFit="1" customWidth="1"/>
    <col min="3" max="3" width="13.6640625" bestFit="1" customWidth="1"/>
    <col min="4" max="4" width="10.44140625" bestFit="1" customWidth="1"/>
    <col min="5" max="5" width="11" customWidth="1"/>
    <col min="6" max="6" width="10.77734375" customWidth="1"/>
    <col min="7" max="7" width="12.77734375" bestFit="1" customWidth="1"/>
  </cols>
  <sheetData>
    <row r="1" spans="1:7" x14ac:dyDescent="0.3">
      <c r="A1" s="14"/>
      <c r="B1" s="14" t="s">
        <v>62</v>
      </c>
      <c r="C1" s="14" t="s">
        <v>54</v>
      </c>
      <c r="D1" s="14" t="s">
        <v>50</v>
      </c>
      <c r="E1" s="14" t="s">
        <v>55</v>
      </c>
      <c r="F1" s="14" t="s">
        <v>51</v>
      </c>
      <c r="G1" s="14" t="s">
        <v>63</v>
      </c>
    </row>
    <row r="2" spans="1:7" x14ac:dyDescent="0.3">
      <c r="A2" s="14" t="s">
        <v>37</v>
      </c>
      <c r="B2" s="14">
        <v>1</v>
      </c>
      <c r="C2" s="14">
        <v>20218</v>
      </c>
      <c r="D2" s="17">
        <f>$B$11+$A$11+C2</f>
        <v>32689.120000000003</v>
      </c>
      <c r="E2" s="14">
        <v>15478</v>
      </c>
      <c r="F2" s="17">
        <f>$D$11+$C$11+E2</f>
        <v>15971.513999999999</v>
      </c>
      <c r="G2" s="28">
        <f>F2*$D$7/($F$7)</f>
        <v>34062.121196026637</v>
      </c>
    </row>
    <row r="3" spans="1:7" x14ac:dyDescent="0.3">
      <c r="A3" s="14" t="s">
        <v>38</v>
      </c>
      <c r="B3" s="14">
        <v>2</v>
      </c>
      <c r="C3" s="14">
        <v>22616</v>
      </c>
      <c r="D3" s="17">
        <f>$B$11+$A$11+C3</f>
        <v>35087.120000000003</v>
      </c>
      <c r="E3" s="14">
        <v>18675</v>
      </c>
      <c r="F3" s="17">
        <f t="shared" ref="F3:F6" si="0">$D$11+$C$11+E3</f>
        <v>19168.513999999999</v>
      </c>
      <c r="G3" s="28">
        <f t="shared" ref="G3:G6" si="1">F3*$D$7/($F$7)</f>
        <v>40880.297698498296</v>
      </c>
    </row>
    <row r="4" spans="1:7" x14ac:dyDescent="0.3">
      <c r="A4" s="14" t="s">
        <v>39</v>
      </c>
      <c r="B4" s="14">
        <v>3</v>
      </c>
      <c r="C4" s="14">
        <v>10699</v>
      </c>
      <c r="D4" s="17">
        <f>$B$11+$A$11+C4</f>
        <v>23170.120000000003</v>
      </c>
      <c r="E4" s="14">
        <v>7373</v>
      </c>
      <c r="F4" s="17">
        <f t="shared" si="0"/>
        <v>7866.5140000000001</v>
      </c>
      <c r="G4" s="28">
        <f t="shared" si="1"/>
        <v>16776.753491136802</v>
      </c>
    </row>
    <row r="5" spans="1:7" x14ac:dyDescent="0.3">
      <c r="A5" s="14" t="s">
        <v>40</v>
      </c>
      <c r="B5" s="14">
        <v>4</v>
      </c>
      <c r="C5" s="14">
        <v>12890</v>
      </c>
      <c r="D5" s="17">
        <f>$B$11+$A$11+C5</f>
        <v>25361.120000000003</v>
      </c>
      <c r="E5" s="14">
        <v>10896</v>
      </c>
      <c r="F5" s="17">
        <f t="shared" si="0"/>
        <v>11389.513999999999</v>
      </c>
      <c r="G5" s="28">
        <f t="shared" si="1"/>
        <v>24290.183524983426</v>
      </c>
    </row>
    <row r="6" spans="1:7" x14ac:dyDescent="0.3">
      <c r="A6" s="14" t="s">
        <v>41</v>
      </c>
      <c r="B6" s="14">
        <v>5</v>
      </c>
      <c r="C6" s="14">
        <v>13933</v>
      </c>
      <c r="D6" s="17">
        <f>$B$11+$A$11+C6</f>
        <v>26404.120000000003</v>
      </c>
      <c r="E6" s="14">
        <v>12027</v>
      </c>
      <c r="F6" s="17">
        <f t="shared" si="0"/>
        <v>12520.513999999999</v>
      </c>
      <c r="G6" s="28">
        <f t="shared" si="1"/>
        <v>26702.244089354852</v>
      </c>
    </row>
    <row r="7" spans="1:7" ht="15" thickBot="1" x14ac:dyDescent="0.35">
      <c r="A7" s="18"/>
      <c r="B7" s="18"/>
      <c r="C7" s="19"/>
      <c r="D7" s="20">
        <f>SUM(D2:D6)</f>
        <v>142711.6</v>
      </c>
      <c r="E7" s="20"/>
      <c r="F7" s="20">
        <f>SUM(F2:F6)</f>
        <v>66916.569999999992</v>
      </c>
      <c r="G7" s="20">
        <f>SUM(G2:G6)</f>
        <v>142711.6</v>
      </c>
    </row>
    <row r="8" spans="1:7" ht="15" thickTop="1" x14ac:dyDescent="0.3">
      <c r="E8" s="14"/>
      <c r="F8" s="14"/>
    </row>
    <row r="9" spans="1:7" x14ac:dyDescent="0.3">
      <c r="A9" s="14" t="s">
        <v>43</v>
      </c>
      <c r="B9" s="14"/>
      <c r="C9" s="14" t="s">
        <v>44</v>
      </c>
      <c r="D9" s="14"/>
      <c r="E9" s="14"/>
      <c r="F9" s="14"/>
    </row>
    <row r="10" spans="1:7" x14ac:dyDescent="0.3">
      <c r="A10" s="14" t="s">
        <v>45</v>
      </c>
      <c r="B10" s="14" t="s">
        <v>46</v>
      </c>
      <c r="C10" s="14" t="s">
        <v>47</v>
      </c>
      <c r="D10" s="14" t="s">
        <v>48</v>
      </c>
      <c r="E10" s="14"/>
      <c r="F10" s="14"/>
    </row>
    <row r="11" spans="1:7" x14ac:dyDescent="0.3">
      <c r="A11" s="14">
        <v>2.12</v>
      </c>
      <c r="B11" s="14">
        <v>12469</v>
      </c>
      <c r="C11" s="14">
        <v>3.0139999999999998</v>
      </c>
      <c r="D11" s="14">
        <v>490.5</v>
      </c>
      <c r="E11" s="14"/>
      <c r="F11" s="14"/>
    </row>
    <row r="12" spans="1:7" x14ac:dyDescent="0.3">
      <c r="A12" s="14"/>
      <c r="B12" s="14"/>
      <c r="C12" s="21">
        <f>C11*$D$7/$F$7</f>
        <v>6.4278961459022792</v>
      </c>
      <c r="D12" s="14">
        <f>D11*D7/F7</f>
        <v>1046.0793163785891</v>
      </c>
      <c r="E12" s="14"/>
      <c r="F12" s="14"/>
    </row>
    <row r="13" spans="1:7" x14ac:dyDescent="0.3">
      <c r="A13" s="16"/>
      <c r="B13" s="14"/>
      <c r="C13" s="16"/>
      <c r="D13" s="14"/>
    </row>
    <row r="14" spans="1:7" x14ac:dyDescent="0.3">
      <c r="A14" s="16" t="s">
        <v>56</v>
      </c>
      <c r="B14" s="14"/>
      <c r="C14" s="1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DDC9-2A83-4D16-B9D9-4D3897279978}">
  <dimension ref="A1:I9"/>
  <sheetViews>
    <sheetView workbookViewId="0">
      <selection activeCell="H14" sqref="H14"/>
    </sheetView>
  </sheetViews>
  <sheetFormatPr defaultRowHeight="14.4" x14ac:dyDescent="0.3"/>
  <cols>
    <col min="3" max="4" width="11.21875" bestFit="1" customWidth="1"/>
    <col min="5" max="7" width="12.21875" bestFit="1" customWidth="1"/>
    <col min="8" max="8" width="14.109375" customWidth="1"/>
  </cols>
  <sheetData>
    <row r="1" spans="1:9" ht="16.05" customHeight="1" x14ac:dyDescent="0.3">
      <c r="A1" s="89"/>
      <c r="B1" s="90"/>
      <c r="C1" s="100" t="s">
        <v>64</v>
      </c>
      <c r="D1" s="98"/>
      <c r="E1" s="98"/>
      <c r="F1" s="98"/>
      <c r="G1" s="101"/>
      <c r="H1" s="95" t="s">
        <v>65</v>
      </c>
    </row>
    <row r="2" spans="1:9" ht="16.2" thickBot="1" x14ac:dyDescent="0.35">
      <c r="A2" s="91"/>
      <c r="B2" s="92"/>
      <c r="C2" s="22">
        <v>1</v>
      </c>
      <c r="D2" s="22">
        <v>2</v>
      </c>
      <c r="E2" s="22">
        <v>3</v>
      </c>
      <c r="F2" s="22">
        <v>4</v>
      </c>
      <c r="G2" s="22">
        <v>5</v>
      </c>
      <c r="H2" s="96"/>
    </row>
    <row r="3" spans="1:9" ht="16.05" customHeight="1" thickBot="1" x14ac:dyDescent="0.35">
      <c r="A3" s="97" t="s">
        <v>66</v>
      </c>
      <c r="B3" s="22">
        <v>1</v>
      </c>
      <c r="C3" s="22" t="s">
        <v>67</v>
      </c>
      <c r="D3" s="22" t="s">
        <v>67</v>
      </c>
      <c r="E3" s="22" t="s">
        <v>67</v>
      </c>
      <c r="F3" s="22" t="s">
        <v>67</v>
      </c>
      <c r="G3" s="22" t="s">
        <v>67</v>
      </c>
      <c r="H3" s="26">
        <f>FORECASTT!D2</f>
        <v>32689.120000000003</v>
      </c>
      <c r="I3">
        <v>32689</v>
      </c>
    </row>
    <row r="4" spans="1:9" ht="16.2" thickBot="1" x14ac:dyDescent="0.35">
      <c r="A4" s="98"/>
      <c r="B4" s="22">
        <v>2</v>
      </c>
      <c r="C4" s="22" t="s">
        <v>67</v>
      </c>
      <c r="D4" s="22" t="s">
        <v>67</v>
      </c>
      <c r="E4" s="22" t="s">
        <v>67</v>
      </c>
      <c r="F4" s="22" t="s">
        <v>67</v>
      </c>
      <c r="G4" s="22" t="s">
        <v>67</v>
      </c>
      <c r="H4" s="26">
        <f>FORECASTT!D3</f>
        <v>35087.120000000003</v>
      </c>
      <c r="I4">
        <v>35087</v>
      </c>
    </row>
    <row r="5" spans="1:9" ht="16.2" thickBot="1" x14ac:dyDescent="0.35">
      <c r="A5" s="98"/>
      <c r="B5" s="22">
        <v>3</v>
      </c>
      <c r="C5" s="22" t="s">
        <v>67</v>
      </c>
      <c r="D5" s="22" t="s">
        <v>67</v>
      </c>
      <c r="E5" s="22" t="s">
        <v>67</v>
      </c>
      <c r="F5" s="22" t="s">
        <v>67</v>
      </c>
      <c r="G5" s="22" t="s">
        <v>67</v>
      </c>
      <c r="H5" s="26">
        <f>FORECASTT!D4</f>
        <v>23170.120000000003</v>
      </c>
      <c r="I5">
        <v>23170</v>
      </c>
    </row>
    <row r="6" spans="1:9" ht="16.2" thickBot="1" x14ac:dyDescent="0.35">
      <c r="A6" s="98"/>
      <c r="B6" s="22">
        <v>4</v>
      </c>
      <c r="C6" s="22" t="s">
        <v>67</v>
      </c>
      <c r="D6" s="22" t="s">
        <v>67</v>
      </c>
      <c r="E6" s="22" t="s">
        <v>67</v>
      </c>
      <c r="F6" s="22" t="s">
        <v>67</v>
      </c>
      <c r="G6" s="22" t="s">
        <v>67</v>
      </c>
      <c r="H6" s="26">
        <f>FORECASTT!D5</f>
        <v>25361.120000000003</v>
      </c>
      <c r="I6">
        <v>25361</v>
      </c>
    </row>
    <row r="7" spans="1:9" ht="16.2" thickBot="1" x14ac:dyDescent="0.35">
      <c r="A7" s="99"/>
      <c r="B7" s="25">
        <v>5</v>
      </c>
      <c r="C7" s="22" t="s">
        <v>67</v>
      </c>
      <c r="D7" s="22" t="s">
        <v>67</v>
      </c>
      <c r="E7" s="22" t="s">
        <v>67</v>
      </c>
      <c r="F7" s="22" t="s">
        <v>67</v>
      </c>
      <c r="G7" s="22" t="s">
        <v>67</v>
      </c>
      <c r="H7" s="26">
        <f>FORECASTT!D6</f>
        <v>26404.120000000003</v>
      </c>
      <c r="I7">
        <v>26404</v>
      </c>
    </row>
    <row r="8" spans="1:9" ht="16.2" thickBot="1" x14ac:dyDescent="0.35">
      <c r="A8" s="93" t="s">
        <v>68</v>
      </c>
      <c r="B8" s="94"/>
      <c r="C8" s="26">
        <f>FORECASTT!G2</f>
        <v>34062.121196026637</v>
      </c>
      <c r="D8" s="26">
        <f>FORECASTT!G3</f>
        <v>40880.297698498296</v>
      </c>
      <c r="E8" s="26">
        <f>FORECASTT!G4</f>
        <v>16776.753491136802</v>
      </c>
      <c r="F8" s="26">
        <f>FORECASTT!G5</f>
        <v>24290.183524983426</v>
      </c>
      <c r="G8" s="26">
        <f>FORECASTT!G6</f>
        <v>26702.244089354852</v>
      </c>
      <c r="H8" s="26">
        <f>FORECASTT!D7</f>
        <v>142711.6</v>
      </c>
      <c r="I8">
        <v>142712</v>
      </c>
    </row>
    <row r="9" spans="1:9" x14ac:dyDescent="0.3">
      <c r="C9">
        <v>34062</v>
      </c>
      <c r="D9">
        <v>40880</v>
      </c>
      <c r="E9">
        <v>16777</v>
      </c>
      <c r="F9">
        <v>24290</v>
      </c>
      <c r="G9">
        <v>26702</v>
      </c>
    </row>
  </sheetData>
  <mergeCells count="5">
    <mergeCell ref="A1:B2"/>
    <mergeCell ref="A8:B8"/>
    <mergeCell ref="H1:H2"/>
    <mergeCell ref="A3:A7"/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BB0B-A615-4A78-AE95-1410BBF39A16}">
  <dimension ref="A1:AP117"/>
  <sheetViews>
    <sheetView topLeftCell="X101" zoomScale="73" zoomScaleNormal="40" workbookViewId="0">
      <selection activeCell="AJ111" sqref="AJ111"/>
    </sheetView>
  </sheetViews>
  <sheetFormatPr defaultColWidth="8.77734375" defaultRowHeight="14.4" x14ac:dyDescent="0.3"/>
  <cols>
    <col min="1" max="1" width="8.77734375" style="14"/>
    <col min="2" max="2" width="9.77734375" style="14" customWidth="1"/>
    <col min="3" max="3" width="15.77734375" style="14" bestFit="1" customWidth="1"/>
    <col min="4" max="4" width="11.21875" style="14" customWidth="1"/>
    <col min="5" max="5" width="13" style="14" customWidth="1"/>
    <col min="6" max="6" width="14.21875" style="14" customWidth="1"/>
    <col min="7" max="7" width="10.77734375" style="14" customWidth="1"/>
    <col min="8" max="8" width="16.33203125" style="14" bestFit="1" customWidth="1"/>
    <col min="9" max="13" width="6.77734375" style="14" customWidth="1"/>
    <col min="14" max="14" width="6.6640625" style="14" bestFit="1" customWidth="1"/>
    <col min="15" max="15" width="8.77734375" style="14"/>
    <col min="16" max="16" width="6.77734375" style="14" customWidth="1"/>
    <col min="17" max="17" width="10.44140625" style="14" bestFit="1" customWidth="1"/>
    <col min="18" max="18" width="16" style="14" bestFit="1" customWidth="1"/>
    <col min="19" max="20" width="6.77734375" style="14" customWidth="1"/>
    <col min="21" max="21" width="7.5546875" style="14" customWidth="1"/>
    <col min="22" max="23" width="10.77734375" style="14" customWidth="1"/>
    <col min="24" max="24" width="12.77734375" style="14" bestFit="1" customWidth="1"/>
    <col min="25" max="25" width="6.77734375" style="14" customWidth="1"/>
    <col min="26" max="26" width="24.109375" style="14" bestFit="1" customWidth="1"/>
    <col min="27" max="27" width="10.44140625" style="14" customWidth="1"/>
    <col min="28" max="28" width="9.5546875" style="14" customWidth="1"/>
    <col min="29" max="30" width="14.44140625" style="14" bestFit="1" customWidth="1"/>
    <col min="31" max="31" width="12.77734375" style="14" customWidth="1"/>
    <col min="32" max="35" width="6.77734375" style="14" customWidth="1"/>
    <col min="36" max="36" width="8.77734375" style="14" customWidth="1"/>
    <col min="37" max="16384" width="8.77734375" style="14"/>
  </cols>
  <sheetData>
    <row r="1" spans="1:40" ht="15.45" customHeight="1" x14ac:dyDescent="0.3">
      <c r="A1" s="102"/>
      <c r="B1" s="102"/>
      <c r="C1" s="102" t="s">
        <v>64</v>
      </c>
      <c r="D1" s="102"/>
      <c r="E1" s="102"/>
      <c r="F1" s="102"/>
      <c r="G1" s="102"/>
      <c r="H1" s="102" t="s">
        <v>65</v>
      </c>
      <c r="J1" s="14" t="s">
        <v>69</v>
      </c>
      <c r="Q1" s="14" t="s">
        <v>70</v>
      </c>
    </row>
    <row r="2" spans="1:40" ht="15.6" customHeight="1" x14ac:dyDescent="0.3">
      <c r="A2" s="102"/>
      <c r="B2" s="102"/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102"/>
      <c r="J2" s="108" t="s">
        <v>66</v>
      </c>
      <c r="K2" s="103" t="s">
        <v>64</v>
      </c>
      <c r="L2" s="104"/>
      <c r="M2" s="104"/>
      <c r="N2" s="104"/>
      <c r="O2" s="105"/>
      <c r="Q2" s="106" t="s">
        <v>66</v>
      </c>
      <c r="R2" s="103" t="s">
        <v>64</v>
      </c>
      <c r="S2" s="104"/>
      <c r="T2" s="104"/>
      <c r="U2" s="104"/>
      <c r="V2" s="105"/>
    </row>
    <row r="3" spans="1:40" ht="28.35" customHeight="1" x14ac:dyDescent="0.3">
      <c r="A3" s="102" t="s">
        <v>66</v>
      </c>
      <c r="B3" s="29">
        <v>1</v>
      </c>
      <c r="C3" s="29" t="s">
        <v>67</v>
      </c>
      <c r="D3" s="29" t="s">
        <v>67</v>
      </c>
      <c r="E3" s="29" t="s">
        <v>67</v>
      </c>
      <c r="F3" s="29" t="s">
        <v>67</v>
      </c>
      <c r="G3" s="29" t="s">
        <v>67</v>
      </c>
      <c r="H3" s="23">
        <v>32689</v>
      </c>
      <c r="J3" s="108"/>
      <c r="K3" s="24">
        <v>1</v>
      </c>
      <c r="L3" s="24">
        <v>2</v>
      </c>
      <c r="M3" s="24">
        <v>3</v>
      </c>
      <c r="N3" s="24">
        <v>4</v>
      </c>
      <c r="O3" s="23">
        <v>5</v>
      </c>
      <c r="Q3" s="107"/>
      <c r="R3" s="24">
        <v>1</v>
      </c>
      <c r="S3" s="24">
        <v>2</v>
      </c>
      <c r="T3" s="24">
        <v>3</v>
      </c>
      <c r="U3" s="24">
        <v>4</v>
      </c>
      <c r="V3" s="23">
        <v>5</v>
      </c>
    </row>
    <row r="4" spans="1:40" ht="15.6" x14ac:dyDescent="0.3">
      <c r="A4" s="102"/>
      <c r="B4" s="29">
        <v>2</v>
      </c>
      <c r="C4" s="29" t="s">
        <v>67</v>
      </c>
      <c r="D4" s="29" t="s">
        <v>67</v>
      </c>
      <c r="E4" s="29" t="s">
        <v>67</v>
      </c>
      <c r="F4" s="29" t="s">
        <v>67</v>
      </c>
      <c r="G4" s="29" t="s">
        <v>67</v>
      </c>
      <c r="H4" s="23">
        <v>35087</v>
      </c>
      <c r="J4" s="24">
        <v>1</v>
      </c>
      <c r="K4" s="24">
        <v>10</v>
      </c>
      <c r="L4" s="24">
        <v>20</v>
      </c>
      <c r="M4" s="24">
        <v>10</v>
      </c>
      <c r="N4" s="24">
        <v>15</v>
      </c>
      <c r="O4" s="24">
        <v>20</v>
      </c>
      <c r="Q4" s="24">
        <v>1</v>
      </c>
      <c r="R4" s="24">
        <f t="shared" ref="R4:V8" si="0">K4^2</f>
        <v>100</v>
      </c>
      <c r="S4" s="24">
        <f t="shared" si="0"/>
        <v>400</v>
      </c>
      <c r="T4" s="24">
        <f t="shared" si="0"/>
        <v>100</v>
      </c>
      <c r="U4" s="24">
        <f t="shared" si="0"/>
        <v>225</v>
      </c>
      <c r="V4" s="24">
        <f t="shared" si="0"/>
        <v>400</v>
      </c>
      <c r="W4" s="39"/>
    </row>
    <row r="5" spans="1:40" ht="15.6" x14ac:dyDescent="0.3">
      <c r="A5" s="102"/>
      <c r="B5" s="29">
        <v>3</v>
      </c>
      <c r="C5" s="29" t="s">
        <v>67</v>
      </c>
      <c r="D5" s="29" t="s">
        <v>67</v>
      </c>
      <c r="E5" s="29" t="s">
        <v>67</v>
      </c>
      <c r="F5" s="29" t="s">
        <v>67</v>
      </c>
      <c r="G5" s="29" t="s">
        <v>67</v>
      </c>
      <c r="H5" s="23">
        <v>23170</v>
      </c>
      <c r="J5" s="24">
        <v>2</v>
      </c>
      <c r="K5" s="24">
        <v>15</v>
      </c>
      <c r="L5" s="24">
        <v>10</v>
      </c>
      <c r="M5" s="24">
        <v>15</v>
      </c>
      <c r="N5" s="24">
        <v>15</v>
      </c>
      <c r="O5" s="23">
        <v>20</v>
      </c>
      <c r="Q5" s="24">
        <v>2</v>
      </c>
      <c r="R5" s="24">
        <f t="shared" si="0"/>
        <v>225</v>
      </c>
      <c r="S5" s="24">
        <f t="shared" si="0"/>
        <v>100</v>
      </c>
      <c r="T5" s="24">
        <f t="shared" si="0"/>
        <v>225</v>
      </c>
      <c r="U5" s="24">
        <f t="shared" si="0"/>
        <v>225</v>
      </c>
      <c r="V5" s="24">
        <f t="shared" si="0"/>
        <v>400</v>
      </c>
      <c r="W5" s="39"/>
    </row>
    <row r="6" spans="1:40" ht="15.6" x14ac:dyDescent="0.3">
      <c r="A6" s="102"/>
      <c r="B6" s="29">
        <v>4</v>
      </c>
      <c r="C6" s="29" t="s">
        <v>67</v>
      </c>
      <c r="D6" s="29" t="s">
        <v>67</v>
      </c>
      <c r="E6" s="29" t="s">
        <v>67</v>
      </c>
      <c r="F6" s="29" t="s">
        <v>67</v>
      </c>
      <c r="G6" s="29" t="s">
        <v>67</v>
      </c>
      <c r="H6" s="23">
        <v>25361</v>
      </c>
      <c r="J6" s="24">
        <v>3</v>
      </c>
      <c r="K6" s="24">
        <v>15</v>
      </c>
      <c r="L6" s="24">
        <v>25</v>
      </c>
      <c r="M6" s="24">
        <v>5</v>
      </c>
      <c r="N6" s="24">
        <v>15</v>
      </c>
      <c r="O6" s="23">
        <v>20</v>
      </c>
      <c r="Q6" s="24">
        <v>3</v>
      </c>
      <c r="R6" s="24">
        <f t="shared" si="0"/>
        <v>225</v>
      </c>
      <c r="S6" s="24">
        <f t="shared" si="0"/>
        <v>625</v>
      </c>
      <c r="T6" s="24">
        <f t="shared" si="0"/>
        <v>25</v>
      </c>
      <c r="U6" s="24">
        <f t="shared" si="0"/>
        <v>225</v>
      </c>
      <c r="V6" s="24">
        <f t="shared" si="0"/>
        <v>400</v>
      </c>
      <c r="W6" s="39"/>
    </row>
    <row r="7" spans="1:40" ht="15.6" x14ac:dyDescent="0.3">
      <c r="A7" s="102"/>
      <c r="B7" s="29">
        <v>5</v>
      </c>
      <c r="C7" s="29" t="s">
        <v>67</v>
      </c>
      <c r="D7" s="29" t="s">
        <v>67</v>
      </c>
      <c r="E7" s="29" t="s">
        <v>67</v>
      </c>
      <c r="F7" s="29" t="s">
        <v>67</v>
      </c>
      <c r="G7" s="29" t="s">
        <v>67</v>
      </c>
      <c r="H7" s="23">
        <v>26404</v>
      </c>
      <c r="J7" s="24">
        <v>4</v>
      </c>
      <c r="K7" s="24">
        <v>20</v>
      </c>
      <c r="L7" s="24">
        <v>25</v>
      </c>
      <c r="M7" s="24">
        <v>15</v>
      </c>
      <c r="N7" s="24">
        <v>5</v>
      </c>
      <c r="O7" s="23">
        <v>15</v>
      </c>
      <c r="Q7" s="24">
        <v>4</v>
      </c>
      <c r="R7" s="24">
        <f t="shared" si="0"/>
        <v>400</v>
      </c>
      <c r="S7" s="24">
        <f t="shared" si="0"/>
        <v>625</v>
      </c>
      <c r="T7" s="24">
        <f t="shared" si="0"/>
        <v>225</v>
      </c>
      <c r="U7" s="24">
        <f t="shared" si="0"/>
        <v>25</v>
      </c>
      <c r="V7" s="24">
        <f t="shared" si="0"/>
        <v>225</v>
      </c>
      <c r="W7" s="39"/>
    </row>
    <row r="8" spans="1:40" ht="15.6" x14ac:dyDescent="0.3">
      <c r="A8" s="102" t="s">
        <v>68</v>
      </c>
      <c r="B8" s="102"/>
      <c r="C8" s="23">
        <v>34062</v>
      </c>
      <c r="D8" s="23">
        <v>40880</v>
      </c>
      <c r="E8" s="23">
        <v>16777</v>
      </c>
      <c r="F8" s="23">
        <v>24290</v>
      </c>
      <c r="G8" s="23">
        <v>26702</v>
      </c>
      <c r="H8" s="14">
        <f>SUM(H3:H7)</f>
        <v>142711</v>
      </c>
      <c r="J8" s="24">
        <v>5</v>
      </c>
      <c r="K8" s="23">
        <v>20</v>
      </c>
      <c r="L8" s="23">
        <v>15</v>
      </c>
      <c r="M8" s="23">
        <v>15</v>
      </c>
      <c r="N8" s="23">
        <v>10</v>
      </c>
      <c r="O8" s="23">
        <v>10</v>
      </c>
      <c r="Q8" s="23">
        <v>5</v>
      </c>
      <c r="R8" s="23">
        <f t="shared" si="0"/>
        <v>400</v>
      </c>
      <c r="S8" s="23">
        <f t="shared" si="0"/>
        <v>225</v>
      </c>
      <c r="T8" s="23">
        <f t="shared" si="0"/>
        <v>225</v>
      </c>
      <c r="U8" s="24">
        <f t="shared" si="0"/>
        <v>100</v>
      </c>
      <c r="V8" s="24">
        <f t="shared" si="0"/>
        <v>100</v>
      </c>
      <c r="W8" s="39"/>
    </row>
    <row r="10" spans="1:40" ht="24.6" x14ac:dyDescent="0.3">
      <c r="B10" s="32" t="s">
        <v>71</v>
      </c>
    </row>
    <row r="12" spans="1:40" x14ac:dyDescent="0.3">
      <c r="B12" s="33" t="s">
        <v>72</v>
      </c>
    </row>
    <row r="13" spans="1:40" x14ac:dyDescent="0.3">
      <c r="C13" s="14" t="s">
        <v>73</v>
      </c>
      <c r="L13" s="14" t="s">
        <v>74</v>
      </c>
      <c r="R13" s="14" t="s">
        <v>75</v>
      </c>
      <c r="Z13" s="14" t="s">
        <v>76</v>
      </c>
      <c r="AG13" s="14" t="s">
        <v>77</v>
      </c>
    </row>
    <row r="14" spans="1:40" x14ac:dyDescent="0.3">
      <c r="B14" s="23" t="s">
        <v>78</v>
      </c>
      <c r="C14" s="23">
        <v>1</v>
      </c>
      <c r="D14" s="23">
        <v>2</v>
      </c>
      <c r="E14" s="23">
        <v>3</v>
      </c>
      <c r="F14" s="23">
        <v>4</v>
      </c>
      <c r="G14" s="23">
        <v>5</v>
      </c>
      <c r="H14" s="23" t="s">
        <v>79</v>
      </c>
      <c r="L14" s="23" t="s">
        <v>0</v>
      </c>
      <c r="M14" s="23" t="s">
        <v>80</v>
      </c>
      <c r="N14" s="23" t="s">
        <v>81</v>
      </c>
      <c r="O14" s="23" t="s">
        <v>82</v>
      </c>
      <c r="R14" s="23" t="s">
        <v>83</v>
      </c>
      <c r="S14" s="23">
        <v>1</v>
      </c>
      <c r="T14" s="23">
        <v>2</v>
      </c>
      <c r="U14" s="23">
        <v>3</v>
      </c>
      <c r="V14" s="23">
        <v>4</v>
      </c>
      <c r="W14" s="23">
        <v>5</v>
      </c>
      <c r="X14" s="23" t="s">
        <v>84</v>
      </c>
      <c r="Z14" s="23" t="s">
        <v>0</v>
      </c>
      <c r="AA14" s="37">
        <v>1</v>
      </c>
      <c r="AB14" s="37">
        <v>2</v>
      </c>
      <c r="AC14" s="37">
        <v>3</v>
      </c>
      <c r="AD14" s="37">
        <v>4</v>
      </c>
      <c r="AE14" s="37">
        <v>5</v>
      </c>
      <c r="AG14" s="23" t="s">
        <v>85</v>
      </c>
      <c r="AH14" s="23">
        <v>1</v>
      </c>
      <c r="AI14" s="23">
        <v>2</v>
      </c>
      <c r="AJ14" s="23">
        <v>3</v>
      </c>
      <c r="AK14" s="23">
        <v>4</v>
      </c>
      <c r="AL14" s="23">
        <v>5</v>
      </c>
      <c r="AM14" s="23" t="s">
        <v>84</v>
      </c>
      <c r="AN14" s="34" t="s">
        <v>86</v>
      </c>
    </row>
    <row r="15" spans="1:40" x14ac:dyDescent="0.3">
      <c r="B15" s="23">
        <v>1</v>
      </c>
      <c r="C15" s="37">
        <f t="shared" ref="C15:G16" si="1">$H3*C$8/R4/($C$8/$R4+$D$8/$S4+$E$8/$T4+$F$8/$U4+$G$8/$V4)</f>
        <v>14178.682418125827</v>
      </c>
      <c r="D15" s="37">
        <f t="shared" si="1"/>
        <v>4254.1874908474529</v>
      </c>
      <c r="E15" s="37">
        <f t="shared" si="1"/>
        <v>6983.6109133021264</v>
      </c>
      <c r="F15" s="37">
        <f t="shared" si="1"/>
        <v>4493.7688259484512</v>
      </c>
      <c r="G15" s="37">
        <f t="shared" si="1"/>
        <v>2778.750351776142</v>
      </c>
      <c r="H15" s="37">
        <f>SUM(C15:G15)</f>
        <v>32689</v>
      </c>
      <c r="L15" s="23">
        <v>1</v>
      </c>
      <c r="M15" s="37">
        <f>H15</f>
        <v>32689</v>
      </c>
      <c r="N15" s="23">
        <f>$H$3</f>
        <v>32689</v>
      </c>
      <c r="O15" s="23">
        <f>N15/M15</f>
        <v>1</v>
      </c>
      <c r="R15" s="23">
        <v>1</v>
      </c>
      <c r="S15" s="37">
        <f>C15*$O15</f>
        <v>14178.682418125827</v>
      </c>
      <c r="T15" s="37">
        <f>D15*$O15</f>
        <v>4254.1874908474529</v>
      </c>
      <c r="U15" s="37">
        <f>E15*$O15</f>
        <v>6983.6109133021264</v>
      </c>
      <c r="V15" s="37">
        <f>F15*$O15</f>
        <v>4493.7688259484512</v>
      </c>
      <c r="W15" s="37">
        <f>G15*$O15</f>
        <v>2778.750351776142</v>
      </c>
      <c r="X15" s="37">
        <f>SUM(S15:W15)</f>
        <v>32689</v>
      </c>
      <c r="Z15" s="23" t="s">
        <v>87</v>
      </c>
      <c r="AA15" s="37">
        <f>S20</f>
        <v>28324.613847641689</v>
      </c>
      <c r="AB15" s="37">
        <f>T20</f>
        <v>30296.471341266919</v>
      </c>
      <c r="AC15" s="37">
        <f>U20</f>
        <v>28599.020494750723</v>
      </c>
      <c r="AD15" s="37">
        <f>V20</f>
        <v>37793.25316348108</v>
      </c>
      <c r="AE15" s="37">
        <f>W20</f>
        <v>17697.641152859585</v>
      </c>
      <c r="AG15" s="23">
        <v>1</v>
      </c>
      <c r="AH15" s="37">
        <f>C15*$O15*AA$17</f>
        <v>17050.692486895554</v>
      </c>
      <c r="AI15" s="37">
        <f>D15*$O15*AB$17</f>
        <v>5740.3115586256054</v>
      </c>
      <c r="AJ15" s="37">
        <f>E15*$O15*AC$17</f>
        <v>4096.7850739494716</v>
      </c>
      <c r="AK15" s="37">
        <f>F15*$O15*AD$17</f>
        <v>2888.1780647494252</v>
      </c>
      <c r="AL15" s="37">
        <f>G15*$O15*AE$17</f>
        <v>4192.5469757384926</v>
      </c>
      <c r="AM15" s="37">
        <f>SUM(AH15:AL15)</f>
        <v>33968.514159958548</v>
      </c>
      <c r="AN15" s="35">
        <f>$H$3-AM15</f>
        <v>-1279.5141599585477</v>
      </c>
    </row>
    <row r="16" spans="1:40" x14ac:dyDescent="0.3">
      <c r="B16" s="23">
        <v>2</v>
      </c>
      <c r="C16" s="37">
        <f t="shared" si="1"/>
        <v>6562.0204045075225</v>
      </c>
      <c r="D16" s="37">
        <f t="shared" si="1"/>
        <v>17719.882473331039</v>
      </c>
      <c r="E16" s="37">
        <f t="shared" si="1"/>
        <v>3232.0772804422145</v>
      </c>
      <c r="F16" s="37">
        <f t="shared" si="1"/>
        <v>4679.451459852261</v>
      </c>
      <c r="G16" s="37">
        <f t="shared" si="1"/>
        <v>2893.5683818669609</v>
      </c>
      <c r="H16" s="37">
        <f t="shared" ref="H16:H19" si="2">SUM(C16:G16)</f>
        <v>35087</v>
      </c>
      <c r="L16" s="23">
        <v>2</v>
      </c>
      <c r="M16" s="37">
        <f>H16</f>
        <v>35087</v>
      </c>
      <c r="N16" s="23">
        <f>$H$4</f>
        <v>35087</v>
      </c>
      <c r="O16" s="23">
        <f t="shared" ref="O16:O17" si="3">N16/M16</f>
        <v>1</v>
      </c>
      <c r="R16" s="23">
        <v>2</v>
      </c>
      <c r="S16" s="37">
        <f t="shared" ref="S16:S19" si="4">C16*$O16</f>
        <v>6562.0204045075225</v>
      </c>
      <c r="T16" s="37">
        <f>D16*$O16</f>
        <v>17719.882473331039</v>
      </c>
      <c r="U16" s="37">
        <f t="shared" ref="U16:U19" si="5">E16*$O16</f>
        <v>3232.0772804422145</v>
      </c>
      <c r="V16" s="37">
        <f t="shared" ref="V16:V19" si="6">F16*$O16</f>
        <v>4679.451459852261</v>
      </c>
      <c r="W16" s="37">
        <f t="shared" ref="W16:W18" si="7">G16*$O16</f>
        <v>2893.5683818669609</v>
      </c>
      <c r="X16" s="37">
        <f t="shared" ref="X16:X19" si="8">SUM(S16:W16)</f>
        <v>35087</v>
      </c>
      <c r="Z16" s="23" t="s">
        <v>88</v>
      </c>
      <c r="AA16" s="37">
        <f>$C$8</f>
        <v>34062</v>
      </c>
      <c r="AB16" s="37">
        <f>$D$8</f>
        <v>40880</v>
      </c>
      <c r="AC16" s="37">
        <f>$E$8</f>
        <v>16777</v>
      </c>
      <c r="AD16" s="37">
        <f>$F$8</f>
        <v>24290</v>
      </c>
      <c r="AE16" s="37">
        <f>G8</f>
        <v>26702</v>
      </c>
      <c r="AG16" s="23">
        <v>2</v>
      </c>
      <c r="AH16" s="37">
        <f t="shared" ref="AH16:AH19" si="9">C16*$O16*AA$17</f>
        <v>7891.2122234261342</v>
      </c>
      <c r="AI16" s="37">
        <f t="shared" ref="AI16:AI19" si="10">D16*$O16*AB$17</f>
        <v>23910.00547060676</v>
      </c>
      <c r="AJ16" s="37">
        <f t="shared" ref="AJ16:AJ19" si="11">E16*$O16*AC$17</f>
        <v>1896.0285910467394</v>
      </c>
      <c r="AK16" s="37">
        <f t="shared" ref="AK16:AK19" si="12">F16*$O16*AD$17</f>
        <v>3007.5176505218851</v>
      </c>
      <c r="AL16" s="37">
        <f t="shared" ref="AL16:AL19" si="13">G16*$O16*AE$17</f>
        <v>4365.7831156852935</v>
      </c>
      <c r="AM16" s="37">
        <f t="shared" ref="AM16:AM19" si="14">SUM(AH16:AL16)</f>
        <v>41070.547051286812</v>
      </c>
      <c r="AN16" s="35">
        <f>$H$4-AM16</f>
        <v>-5983.5470512868123</v>
      </c>
    </row>
    <row r="17" spans="2:42" x14ac:dyDescent="0.3">
      <c r="B17" s="23">
        <v>3</v>
      </c>
      <c r="C17" s="37">
        <f t="shared" ref="C17" si="15">$H5*C$8/R6/($C$8/$R6+$D$8/$S6+$E$8/$T6+$F$8/$U6+$G$8/$V6)</f>
        <v>3301.0331720321101</v>
      </c>
      <c r="D17" s="37">
        <f t="shared" ref="D17" si="16">$H5*D$8/S6/($C$8/$R6+$D$8/$S6+$E$8/$T6+$F$8/$U6+$G$8/$V6)</f>
        <v>1426.2417058940214</v>
      </c>
      <c r="E17" s="37">
        <f t="shared" ref="E17" si="17">$H5*E$8/T6/($C$8/$R6+$D$8/$S6+$E$8/$T6+$F$8/$U6+$G$8/$V6)</f>
        <v>14633.107326188843</v>
      </c>
      <c r="F17" s="37">
        <f t="shared" ref="F17" si="18">$H5*F$8/U6/($C$8/$R6+$D$8/$S6+$E$8/$T6+$F$8/$U6+$G$8/$V6)</f>
        <v>2354.0043376390095</v>
      </c>
      <c r="G17" s="37">
        <f t="shared" ref="G17" si="19">$H5*G$8/V6/($C$8/$R6+$D$8/$S6+$E$8/$T6+$F$8/$U6+$G$8/$V6)</f>
        <v>1455.6134582460159</v>
      </c>
      <c r="H17" s="37">
        <f t="shared" si="2"/>
        <v>23170</v>
      </c>
      <c r="L17" s="23">
        <v>3</v>
      </c>
      <c r="M17" s="23">
        <f>H17</f>
        <v>23170</v>
      </c>
      <c r="N17" s="23">
        <f>$H$5</f>
        <v>23170</v>
      </c>
      <c r="O17" s="23">
        <f t="shared" si="3"/>
        <v>1</v>
      </c>
      <c r="R17" s="23">
        <v>3</v>
      </c>
      <c r="S17" s="37">
        <f t="shared" si="4"/>
        <v>3301.0331720321101</v>
      </c>
      <c r="T17" s="37">
        <f t="shared" ref="T17:T19" si="20">D17*$O17</f>
        <v>1426.2417058940214</v>
      </c>
      <c r="U17" s="37">
        <f t="shared" si="5"/>
        <v>14633.107326188843</v>
      </c>
      <c r="V17" s="37">
        <f t="shared" si="6"/>
        <v>2354.0043376390095</v>
      </c>
      <c r="W17" s="37">
        <f t="shared" si="7"/>
        <v>1455.6134582460159</v>
      </c>
      <c r="X17" s="37">
        <f t="shared" si="8"/>
        <v>23170</v>
      </c>
      <c r="Z17" s="23" t="s">
        <v>89</v>
      </c>
      <c r="AA17" s="38">
        <f>AA16/AA15</f>
        <v>1.2025583184723985</v>
      </c>
      <c r="AB17" s="38">
        <f t="shared" ref="AB17:AE17" si="21">AB16/AB15</f>
        <v>1.3493320571731806</v>
      </c>
      <c r="AC17" s="38">
        <f t="shared" si="21"/>
        <v>0.58662848271602086</v>
      </c>
      <c r="AD17" s="38">
        <f t="shared" si="21"/>
        <v>0.6427073079665705</v>
      </c>
      <c r="AE17" s="38">
        <f t="shared" si="21"/>
        <v>1.5087886441682929</v>
      </c>
      <c r="AG17" s="23">
        <v>3</v>
      </c>
      <c r="AH17" s="37">
        <f t="shared" si="9"/>
        <v>3969.684900580542</v>
      </c>
      <c r="AI17" s="37">
        <f t="shared" si="10"/>
        <v>1924.4736550401662</v>
      </c>
      <c r="AJ17" s="37">
        <f t="shared" si="11"/>
        <v>8584.1975481828504</v>
      </c>
      <c r="AK17" s="37">
        <f t="shared" si="12"/>
        <v>1512.9357907855976</v>
      </c>
      <c r="AL17" s="37">
        <f t="shared" si="13"/>
        <v>2196.2130561001263</v>
      </c>
      <c r="AM17" s="37">
        <f t="shared" si="14"/>
        <v>18187.504950689283</v>
      </c>
      <c r="AN17" s="35">
        <f>$H$5-AM17</f>
        <v>4982.4950493107171</v>
      </c>
    </row>
    <row r="18" spans="2:42" x14ac:dyDescent="0.3">
      <c r="B18" s="23">
        <v>4</v>
      </c>
      <c r="C18" s="37">
        <f t="shared" ref="C18:G19" si="22">$H6*C$8/R7/($C$8/$R7+$D$8/$S7+$E$8/$T7+$F$8/$U7+$G$8/$V7)</f>
        <v>1641.7903524623252</v>
      </c>
      <c r="D18" s="37">
        <f t="shared" si="22"/>
        <v>1261.0677396965036</v>
      </c>
      <c r="E18" s="37">
        <f t="shared" si="22"/>
        <v>1437.6041985274137</v>
      </c>
      <c r="F18" s="37">
        <f t="shared" si="22"/>
        <v>18732.47027716981</v>
      </c>
      <c r="G18" s="37">
        <f t="shared" si="22"/>
        <v>2288.0674321439469</v>
      </c>
      <c r="H18" s="37">
        <f t="shared" si="2"/>
        <v>25361</v>
      </c>
      <c r="L18" s="23">
        <v>4</v>
      </c>
      <c r="M18" s="23">
        <f>H18</f>
        <v>25361</v>
      </c>
      <c r="N18" s="23">
        <f>$H$6</f>
        <v>25361</v>
      </c>
      <c r="O18" s="23">
        <f>N18/M18</f>
        <v>1</v>
      </c>
      <c r="R18" s="23">
        <v>4</v>
      </c>
      <c r="S18" s="37">
        <f t="shared" si="4"/>
        <v>1641.7903524623252</v>
      </c>
      <c r="T18" s="37">
        <f t="shared" si="20"/>
        <v>1261.0677396965036</v>
      </c>
      <c r="U18" s="37">
        <f t="shared" si="5"/>
        <v>1437.6041985274137</v>
      </c>
      <c r="V18" s="37">
        <f t="shared" si="6"/>
        <v>18732.47027716981</v>
      </c>
      <c r="W18" s="37">
        <f t="shared" si="7"/>
        <v>2288.0674321439469</v>
      </c>
      <c r="X18" s="37">
        <f t="shared" si="8"/>
        <v>25361</v>
      </c>
      <c r="AG18" s="23">
        <v>4</v>
      </c>
      <c r="AH18" s="37">
        <f t="shared" si="9"/>
        <v>1974.3486455413004</v>
      </c>
      <c r="AI18" s="37">
        <f t="shared" si="10"/>
        <v>1701.5991274394162</v>
      </c>
      <c r="AJ18" s="37">
        <f t="shared" si="11"/>
        <v>843.33956972831788</v>
      </c>
      <c r="AK18" s="37">
        <f t="shared" si="12"/>
        <v>12039.495543403606</v>
      </c>
      <c r="AL18" s="37">
        <f t="shared" si="13"/>
        <v>3452.2101587100933</v>
      </c>
      <c r="AM18" s="37">
        <f t="shared" si="14"/>
        <v>20010.993044822731</v>
      </c>
      <c r="AN18" s="35">
        <f>$H$6-AM18</f>
        <v>5350.0069551772685</v>
      </c>
    </row>
    <row r="19" spans="2:42" x14ac:dyDescent="0.3">
      <c r="B19" s="23">
        <v>5</v>
      </c>
      <c r="C19" s="37">
        <f t="shared" si="22"/>
        <v>2641.0875005139028</v>
      </c>
      <c r="D19" s="37">
        <f t="shared" si="22"/>
        <v>5635.091931497901</v>
      </c>
      <c r="E19" s="37">
        <f t="shared" si="22"/>
        <v>2312.6207762901245</v>
      </c>
      <c r="F19" s="37">
        <f t="shared" si="22"/>
        <v>7533.5582628715511</v>
      </c>
      <c r="G19" s="37">
        <f t="shared" si="22"/>
        <v>8281.6415288265198</v>
      </c>
      <c r="H19" s="37">
        <f t="shared" si="2"/>
        <v>26404</v>
      </c>
      <c r="L19" s="23">
        <v>5</v>
      </c>
      <c r="M19" s="37">
        <f>H19</f>
        <v>26404</v>
      </c>
      <c r="N19" s="23">
        <f>$H$7</f>
        <v>26404</v>
      </c>
      <c r="O19" s="23">
        <f>N19/M19</f>
        <v>1</v>
      </c>
      <c r="R19" s="23">
        <v>5</v>
      </c>
      <c r="S19" s="37">
        <f t="shared" si="4"/>
        <v>2641.0875005139028</v>
      </c>
      <c r="T19" s="37">
        <f t="shared" si="20"/>
        <v>5635.091931497901</v>
      </c>
      <c r="U19" s="37">
        <f t="shared" si="5"/>
        <v>2312.6207762901245</v>
      </c>
      <c r="V19" s="37">
        <f t="shared" si="6"/>
        <v>7533.5582628715511</v>
      </c>
      <c r="W19" s="37">
        <f>G19*$O19</f>
        <v>8281.6415288265198</v>
      </c>
      <c r="X19" s="37">
        <f t="shared" si="8"/>
        <v>26404</v>
      </c>
      <c r="AG19" s="23">
        <v>5</v>
      </c>
      <c r="AH19" s="37">
        <f t="shared" si="9"/>
        <v>3176.0617435564686</v>
      </c>
      <c r="AI19" s="37">
        <f t="shared" si="10"/>
        <v>7603.6101882880548</v>
      </c>
      <c r="AJ19" s="37">
        <f t="shared" si="11"/>
        <v>1356.6492170926219</v>
      </c>
      <c r="AK19" s="37">
        <f t="shared" si="12"/>
        <v>4841.8729505394876</v>
      </c>
      <c r="AL19" s="37">
        <f t="shared" si="13"/>
        <v>12495.246693765994</v>
      </c>
      <c r="AM19" s="37">
        <f t="shared" si="14"/>
        <v>29473.440793242626</v>
      </c>
      <c r="AN19" s="35">
        <f>$H$7-AM19</f>
        <v>-3069.4407932426257</v>
      </c>
    </row>
    <row r="20" spans="2:42" x14ac:dyDescent="0.3">
      <c r="B20" s="23" t="s">
        <v>84</v>
      </c>
      <c r="C20" s="37">
        <f t="shared" ref="C20:H20" si="23">SUM(C15:C19)</f>
        <v>28324.613847641689</v>
      </c>
      <c r="D20" s="37">
        <f t="shared" si="23"/>
        <v>30296.471341266919</v>
      </c>
      <c r="E20" s="37">
        <f t="shared" si="23"/>
        <v>28599.020494750723</v>
      </c>
      <c r="F20" s="37">
        <f t="shared" si="23"/>
        <v>37793.25316348108</v>
      </c>
      <c r="G20" s="37">
        <f t="shared" si="23"/>
        <v>17697.641152859585</v>
      </c>
      <c r="H20" s="37">
        <f t="shared" si="23"/>
        <v>142711</v>
      </c>
      <c r="R20" s="23" t="s">
        <v>90</v>
      </c>
      <c r="S20" s="37">
        <f>SUM(S15:S19)</f>
        <v>28324.613847641689</v>
      </c>
      <c r="T20" s="37">
        <f t="shared" ref="T20:W20" si="24">SUM(T15:T19)</f>
        <v>30296.471341266919</v>
      </c>
      <c r="U20" s="37">
        <f t="shared" si="24"/>
        <v>28599.020494750723</v>
      </c>
      <c r="V20" s="37">
        <f t="shared" si="24"/>
        <v>37793.25316348108</v>
      </c>
      <c r="W20" s="37">
        <f t="shared" si="24"/>
        <v>17697.641152859585</v>
      </c>
      <c r="X20" s="37">
        <f>SUM(S20:W20)</f>
        <v>142710.99999999997</v>
      </c>
      <c r="AG20" s="23" t="s">
        <v>84</v>
      </c>
      <c r="AH20" s="37">
        <f>SUM(AH15:AH19)</f>
        <v>34062</v>
      </c>
      <c r="AI20" s="37">
        <f t="shared" ref="AI20:AL20" si="25">SUM(AI15:AI19)</f>
        <v>40880</v>
      </c>
      <c r="AJ20" s="37">
        <f t="shared" si="25"/>
        <v>16777</v>
      </c>
      <c r="AK20" s="37">
        <f t="shared" si="25"/>
        <v>24290</v>
      </c>
      <c r="AL20" s="37">
        <f t="shared" si="25"/>
        <v>26702</v>
      </c>
      <c r="AM20" s="37">
        <f>SUM(AH20:AL20)</f>
        <v>142711</v>
      </c>
      <c r="AN20" s="34" t="s">
        <v>91</v>
      </c>
    </row>
    <row r="21" spans="2:42" x14ac:dyDescent="0.3">
      <c r="G21" s="15"/>
      <c r="X21" s="15"/>
      <c r="AG21" s="34" t="s">
        <v>86</v>
      </c>
      <c r="AH21" s="35">
        <f>$C$8-AH20</f>
        <v>0</v>
      </c>
      <c r="AI21" s="35">
        <f>$D$8-AI20</f>
        <v>0</v>
      </c>
      <c r="AJ21" s="35">
        <f>$E$8-AJ20</f>
        <v>0</v>
      </c>
      <c r="AK21" s="35">
        <f>$F$8-AK20</f>
        <v>0</v>
      </c>
      <c r="AL21" s="35">
        <f>$G$8-AL20</f>
        <v>0</v>
      </c>
      <c r="AM21" s="35"/>
      <c r="AN21" s="36">
        <f>SQRT((AH21^2+AI21^2+AJ21^2+AK21^2+AL21^2+AN15^2+AN16^2+AN17^2+AN18^2+AN19^2)/8)</f>
        <v>3540.9972098367007</v>
      </c>
      <c r="AO21" s="34"/>
      <c r="AP21" s="35"/>
    </row>
    <row r="24" spans="2:42" x14ac:dyDescent="0.3">
      <c r="B24" s="33" t="s">
        <v>92</v>
      </c>
    </row>
    <row r="25" spans="2:42" x14ac:dyDescent="0.3">
      <c r="C25" s="14" t="s">
        <v>73</v>
      </c>
      <c r="L25" s="14" t="s">
        <v>74</v>
      </c>
      <c r="R25" s="14" t="s">
        <v>75</v>
      </c>
      <c r="Z25" s="14" t="s">
        <v>76</v>
      </c>
      <c r="AG25" s="14" t="s">
        <v>77</v>
      </c>
    </row>
    <row r="26" spans="2:42" x14ac:dyDescent="0.3">
      <c r="B26" s="23" t="s">
        <v>85</v>
      </c>
      <c r="C26" s="23">
        <v>1</v>
      </c>
      <c r="D26" s="23">
        <v>2</v>
      </c>
      <c r="E26" s="23">
        <v>3</v>
      </c>
      <c r="F26" s="23">
        <v>4</v>
      </c>
      <c r="G26" s="23">
        <v>5</v>
      </c>
      <c r="H26" s="23" t="s">
        <v>93</v>
      </c>
      <c r="L26" s="23" t="s">
        <v>0</v>
      </c>
      <c r="M26" s="23" t="s">
        <v>94</v>
      </c>
      <c r="N26" s="23" t="s">
        <v>81</v>
      </c>
      <c r="O26" s="23" t="s">
        <v>95</v>
      </c>
      <c r="R26" s="23" t="s">
        <v>96</v>
      </c>
      <c r="S26" s="23">
        <v>1</v>
      </c>
      <c r="T26" s="23">
        <v>2</v>
      </c>
      <c r="U26" s="23">
        <v>3</v>
      </c>
      <c r="V26" s="23">
        <v>4</v>
      </c>
      <c r="W26" s="23">
        <v>5</v>
      </c>
      <c r="X26" s="23" t="s">
        <v>84</v>
      </c>
      <c r="Z26" s="23" t="s">
        <v>0</v>
      </c>
      <c r="AA26" s="37">
        <v>1</v>
      </c>
      <c r="AB26" s="37">
        <v>2</v>
      </c>
      <c r="AC26" s="37">
        <v>3</v>
      </c>
      <c r="AD26" s="37">
        <v>4</v>
      </c>
      <c r="AE26" s="37">
        <v>5</v>
      </c>
      <c r="AG26" s="23" t="s">
        <v>97</v>
      </c>
      <c r="AH26" s="23">
        <v>1</v>
      </c>
      <c r="AI26" s="23">
        <v>2</v>
      </c>
      <c r="AJ26" s="23">
        <v>3</v>
      </c>
      <c r="AK26" s="23">
        <v>4</v>
      </c>
      <c r="AL26" s="23">
        <v>5</v>
      </c>
      <c r="AM26" s="23" t="s">
        <v>84</v>
      </c>
      <c r="AN26" s="34" t="s">
        <v>86</v>
      </c>
    </row>
    <row r="27" spans="2:42" x14ac:dyDescent="0.3">
      <c r="B27" s="23">
        <v>1</v>
      </c>
      <c r="C27" s="37">
        <f t="shared" ref="C27:G31" si="26">AH15</f>
        <v>17050.692486895554</v>
      </c>
      <c r="D27" s="37">
        <f t="shared" si="26"/>
        <v>5740.3115586256054</v>
      </c>
      <c r="E27" s="37">
        <f t="shared" si="26"/>
        <v>4096.7850739494716</v>
      </c>
      <c r="F27" s="37">
        <f t="shared" si="26"/>
        <v>2888.1780647494252</v>
      </c>
      <c r="G27" s="37">
        <f t="shared" si="26"/>
        <v>4192.5469757384926</v>
      </c>
      <c r="H27" s="37">
        <f>SUM(C27:G27)</f>
        <v>33968.514159958548</v>
      </c>
      <c r="L27" s="23">
        <v>1</v>
      </c>
      <c r="M27" s="37">
        <f>H27</f>
        <v>33968.514159958548</v>
      </c>
      <c r="N27" s="23">
        <f>$H$3</f>
        <v>32689</v>
      </c>
      <c r="O27" s="23">
        <f>N27/M27</f>
        <v>0.96233234830545478</v>
      </c>
      <c r="R27" s="23">
        <v>1</v>
      </c>
      <c r="S27" s="37">
        <f t="shared" ref="S27:W31" si="27">C27*$O27</f>
        <v>16408.432941148374</v>
      </c>
      <c r="T27" s="37">
        <f t="shared" si="27"/>
        <v>5524.087502217124</v>
      </c>
      <c r="U27" s="37">
        <f t="shared" si="27"/>
        <v>3942.468800716531</v>
      </c>
      <c r="V27" s="37">
        <f t="shared" si="27"/>
        <v>2779.387179374618</v>
      </c>
      <c r="W27" s="37">
        <f t="shared" si="27"/>
        <v>4034.6235765433562</v>
      </c>
      <c r="X27" s="37">
        <f t="shared" ref="X27:X32" si="28">SUM(S27:W27)</f>
        <v>32689.000000000004</v>
      </c>
      <c r="Z27" s="23" t="s">
        <v>98</v>
      </c>
      <c r="AA27" s="37">
        <f>S32</f>
        <v>33554.660559376985</v>
      </c>
      <c r="AB27" s="37">
        <f>T32</f>
        <v>37370.62053173234</v>
      </c>
      <c r="AC27" s="37">
        <f>U32</f>
        <v>18782.291174163824</v>
      </c>
      <c r="AD27" s="37">
        <f>V32</f>
        <v>26872.071276747207</v>
      </c>
      <c r="AE27" s="37">
        <f>W32</f>
        <v>26131.356457979651</v>
      </c>
      <c r="AG27" s="23">
        <v>1</v>
      </c>
      <c r="AH27" s="37">
        <f>C27*$O27*AA$29</f>
        <v>16656.525010955829</v>
      </c>
      <c r="AI27" s="37">
        <f>D27*$O27*AB$29</f>
        <v>6042.8404419691815</v>
      </c>
      <c r="AJ27" s="37">
        <f>E27*$O27*AC$29</f>
        <v>3521.5511492338405</v>
      </c>
      <c r="AK27" s="37">
        <f>F27*$O27*AD$29</f>
        <v>2512.3226971129684</v>
      </c>
      <c r="AL27" s="37">
        <f>G27*$O27*AE$29</f>
        <v>4122.7296759010278</v>
      </c>
      <c r="AM27" s="37">
        <f>SUM(AH27:AL27)</f>
        <v>32855.968975172851</v>
      </c>
      <c r="AN27" s="35">
        <f>$H$3-AM27</f>
        <v>-166.96897517285106</v>
      </c>
    </row>
    <row r="28" spans="2:42" x14ac:dyDescent="0.3">
      <c r="B28" s="23">
        <v>2</v>
      </c>
      <c r="C28" s="37">
        <f t="shared" si="26"/>
        <v>7891.2122234261342</v>
      </c>
      <c r="D28" s="37">
        <f t="shared" si="26"/>
        <v>23910.00547060676</v>
      </c>
      <c r="E28" s="37">
        <f t="shared" si="26"/>
        <v>1896.0285910467394</v>
      </c>
      <c r="F28" s="37">
        <f t="shared" si="26"/>
        <v>3007.5176505218851</v>
      </c>
      <c r="G28" s="37">
        <f t="shared" si="26"/>
        <v>4365.7831156852935</v>
      </c>
      <c r="H28" s="37">
        <f>SUM(C28:G28)</f>
        <v>41070.547051286812</v>
      </c>
      <c r="L28" s="23">
        <v>2</v>
      </c>
      <c r="M28" s="37">
        <f>H28</f>
        <v>41070.547051286812</v>
      </c>
      <c r="N28" s="23">
        <f>$H$4</f>
        <v>35087</v>
      </c>
      <c r="O28" s="23">
        <f>N28/M28</f>
        <v>0.85431051006418635</v>
      </c>
      <c r="R28" s="23">
        <v>2</v>
      </c>
      <c r="S28" s="37">
        <f t="shared" si="27"/>
        <v>6741.5455396199231</v>
      </c>
      <c r="T28" s="37">
        <f t="shared" si="27"/>
        <v>20426.568969231546</v>
      </c>
      <c r="U28" s="37">
        <f t="shared" si="27"/>
        <v>1619.7971527134205</v>
      </c>
      <c r="V28" s="37">
        <f t="shared" si="27"/>
        <v>2569.3539380443949</v>
      </c>
      <c r="W28" s="37">
        <f t="shared" si="27"/>
        <v>3729.7344003907156</v>
      </c>
      <c r="X28" s="37">
        <f t="shared" si="28"/>
        <v>35087</v>
      </c>
      <c r="Z28" s="23" t="s">
        <v>88</v>
      </c>
      <c r="AA28" s="37">
        <f>AA16</f>
        <v>34062</v>
      </c>
      <c r="AB28" s="37">
        <f>AB16</f>
        <v>40880</v>
      </c>
      <c r="AC28" s="37">
        <f>AC16</f>
        <v>16777</v>
      </c>
      <c r="AD28" s="37">
        <f>AD16</f>
        <v>24290</v>
      </c>
      <c r="AE28" s="37">
        <f>AE16</f>
        <v>26702</v>
      </c>
      <c r="AG28" s="23">
        <v>2</v>
      </c>
      <c r="AH28" s="37">
        <f t="shared" ref="AH28:AH31" si="29">C28*$O28*AA$29</f>
        <v>6843.4762963609428</v>
      </c>
      <c r="AI28" s="37">
        <f t="shared" ref="AI28:AI31" si="30">D28*$O28*AB$29</f>
        <v>22344.775858167344</v>
      </c>
      <c r="AJ28" s="37">
        <f t="shared" ref="AJ28:AJ31" si="31">E28*$O28*AC$29</f>
        <v>1446.859522040334</v>
      </c>
      <c r="AK28" s="37">
        <f t="shared" ref="AK28:AK31" si="32">F28*$O28*AD$29</f>
        <v>2322.4710336751114</v>
      </c>
      <c r="AL28" s="37">
        <f t="shared" ref="AL28:AL31" si="33">G28*$O28*AE$29</f>
        <v>3811.1824818348064</v>
      </c>
      <c r="AM28" s="37">
        <f t="shared" ref="AM28:AM31" si="34">SUM(AH28:AL28)</f>
        <v>36768.765192078536</v>
      </c>
      <c r="AN28" s="35">
        <f>$H$4-AM28</f>
        <v>-1681.7651920785356</v>
      </c>
    </row>
    <row r="29" spans="2:42" x14ac:dyDescent="0.3">
      <c r="B29" s="23">
        <v>3</v>
      </c>
      <c r="C29" s="37">
        <f t="shared" si="26"/>
        <v>3969.684900580542</v>
      </c>
      <c r="D29" s="37">
        <f t="shared" si="26"/>
        <v>1924.4736550401662</v>
      </c>
      <c r="E29" s="37">
        <f t="shared" si="26"/>
        <v>8584.1975481828504</v>
      </c>
      <c r="F29" s="37">
        <f t="shared" si="26"/>
        <v>1512.9357907855976</v>
      </c>
      <c r="G29" s="37">
        <f t="shared" si="26"/>
        <v>2196.2130561001263</v>
      </c>
      <c r="H29" s="37">
        <f>SUM(C29:G29)</f>
        <v>18187.504950689283</v>
      </c>
      <c r="L29" s="23">
        <v>3</v>
      </c>
      <c r="M29" s="37">
        <f>H29</f>
        <v>18187.504950689283</v>
      </c>
      <c r="N29" s="23">
        <f>$H$5</f>
        <v>23170</v>
      </c>
      <c r="O29" s="23">
        <f>N29/M29</f>
        <v>1.273951543261127</v>
      </c>
      <c r="R29" s="23">
        <v>3</v>
      </c>
      <c r="S29" s="37">
        <f t="shared" si="27"/>
        <v>5057.1862053549748</v>
      </c>
      <c r="T29" s="37">
        <f t="shared" si="27"/>
        <v>2451.6861828038018</v>
      </c>
      <c r="U29" s="37">
        <f t="shared" si="27"/>
        <v>10935.851714165925</v>
      </c>
      <c r="V29" s="37">
        <f t="shared" si="27"/>
        <v>1927.4068855263058</v>
      </c>
      <c r="W29" s="37">
        <f t="shared" si="27"/>
        <v>2797.8690121489922</v>
      </c>
      <c r="X29" s="37">
        <f t="shared" si="28"/>
        <v>23170</v>
      </c>
      <c r="Z29" s="23" t="s">
        <v>99</v>
      </c>
      <c r="AA29" s="38">
        <f>AA28/AA27</f>
        <v>1.0151197905794709</v>
      </c>
      <c r="AB29" s="38">
        <f t="shared" ref="AB29:AE29" si="35">AB28/AB27</f>
        <v>1.0939074443596075</v>
      </c>
      <c r="AC29" s="38">
        <f t="shared" si="35"/>
        <v>0.89323500761599184</v>
      </c>
      <c r="AD29" s="38">
        <f>AD28/AD27</f>
        <v>0.90391245802546261</v>
      </c>
      <c r="AE29" s="38">
        <f t="shared" si="35"/>
        <v>1.0218375017361983</v>
      </c>
      <c r="AG29" s="23">
        <v>3</v>
      </c>
      <c r="AH29" s="37">
        <f t="shared" si="29"/>
        <v>5133.6498017013309</v>
      </c>
      <c r="AI29" s="37">
        <f t="shared" si="30"/>
        <v>2681.9177666026685</v>
      </c>
      <c r="AJ29" s="37">
        <f t="shared" si="31"/>
        <v>9768.2855891903582</v>
      </c>
      <c r="AK29" s="37">
        <f t="shared" si="32"/>
        <v>1742.2070955112845</v>
      </c>
      <c r="AL29" s="37">
        <f t="shared" si="33"/>
        <v>2858.9674815594512</v>
      </c>
      <c r="AM29" s="37">
        <f t="shared" si="34"/>
        <v>22185.02773456509</v>
      </c>
      <c r="AN29" s="35">
        <f>$H$5-AM29</f>
        <v>984.97226543490979</v>
      </c>
    </row>
    <row r="30" spans="2:42" x14ac:dyDescent="0.3">
      <c r="B30" s="23">
        <v>4</v>
      </c>
      <c r="C30" s="37">
        <f t="shared" si="26"/>
        <v>1974.3486455413004</v>
      </c>
      <c r="D30" s="37">
        <f t="shared" si="26"/>
        <v>1701.5991274394162</v>
      </c>
      <c r="E30" s="37">
        <f t="shared" si="26"/>
        <v>843.33956972831788</v>
      </c>
      <c r="F30" s="37">
        <f t="shared" si="26"/>
        <v>12039.495543403606</v>
      </c>
      <c r="G30" s="37">
        <f t="shared" si="26"/>
        <v>3452.2101587100933</v>
      </c>
      <c r="H30" s="37">
        <f>SUM(C30:G30)</f>
        <v>20010.993044822731</v>
      </c>
      <c r="L30" s="23">
        <v>4</v>
      </c>
      <c r="M30" s="23">
        <f>H30</f>
        <v>20010.993044822731</v>
      </c>
      <c r="N30" s="23">
        <f>$H$6</f>
        <v>25361</v>
      </c>
      <c r="O30" s="23">
        <f>N30/M30</f>
        <v>1.2673533963653758</v>
      </c>
      <c r="R30" s="23">
        <v>4</v>
      </c>
      <c r="S30" s="37">
        <f t="shared" si="27"/>
        <v>2502.1974615361464</v>
      </c>
      <c r="T30" s="37">
        <f t="shared" si="27"/>
        <v>2156.5274334127039</v>
      </c>
      <c r="U30" s="37">
        <f t="shared" si="27"/>
        <v>1068.8092679844983</v>
      </c>
      <c r="V30" s="37">
        <f t="shared" si="27"/>
        <v>15258.295567458365</v>
      </c>
      <c r="W30" s="37">
        <f t="shared" si="27"/>
        <v>4375.1702696082903</v>
      </c>
      <c r="X30" s="37">
        <f t="shared" si="28"/>
        <v>25361.000000000004</v>
      </c>
      <c r="AG30" s="23">
        <v>4</v>
      </c>
      <c r="AH30" s="37">
        <f t="shared" si="29"/>
        <v>2540.0301631430566</v>
      </c>
      <c r="AI30" s="37">
        <f t="shared" si="30"/>
        <v>2359.0414133758745</v>
      </c>
      <c r="AJ30" s="37">
        <f t="shared" si="31"/>
        <v>954.69785462817606</v>
      </c>
      <c r="AK30" s="37">
        <f t="shared" si="32"/>
        <v>13792.163451660312</v>
      </c>
      <c r="AL30" s="37">
        <f t="shared" si="33"/>
        <v>4470.7130579670238</v>
      </c>
      <c r="AM30" s="37">
        <f t="shared" si="34"/>
        <v>24116.645940774441</v>
      </c>
      <c r="AN30" s="35">
        <f>$H$6-AM30</f>
        <v>1244.3540592255595</v>
      </c>
    </row>
    <row r="31" spans="2:42" x14ac:dyDescent="0.3">
      <c r="B31" s="23">
        <v>5</v>
      </c>
      <c r="C31" s="37">
        <f t="shared" si="26"/>
        <v>3176.0617435564686</v>
      </c>
      <c r="D31" s="37">
        <f t="shared" si="26"/>
        <v>7603.6101882880548</v>
      </c>
      <c r="E31" s="37">
        <f t="shared" si="26"/>
        <v>1356.6492170926219</v>
      </c>
      <c r="F31" s="37">
        <f t="shared" si="26"/>
        <v>4841.8729505394876</v>
      </c>
      <c r="G31" s="37">
        <f t="shared" si="26"/>
        <v>12495.246693765994</v>
      </c>
      <c r="H31" s="37">
        <f>SUM(C31:G31)</f>
        <v>29473.440793242626</v>
      </c>
      <c r="L31" s="23">
        <v>5</v>
      </c>
      <c r="M31" s="37">
        <f>H31</f>
        <v>29473.440793242626</v>
      </c>
      <c r="N31" s="23">
        <f>$H$7</f>
        <v>26404</v>
      </c>
      <c r="O31" s="23">
        <f>N31/M31</f>
        <v>0.89585739870770853</v>
      </c>
      <c r="R31" s="23">
        <v>5</v>
      </c>
      <c r="S31" s="37">
        <f t="shared" si="27"/>
        <v>2845.2984117175674</v>
      </c>
      <c r="T31" s="37">
        <f t="shared" si="27"/>
        <v>6811.7504440671664</v>
      </c>
      <c r="U31" s="37">
        <f t="shared" si="27"/>
        <v>1215.3642385834457</v>
      </c>
      <c r="V31" s="37">
        <f t="shared" si="27"/>
        <v>4337.6277063435227</v>
      </c>
      <c r="W31" s="37">
        <f t="shared" si="27"/>
        <v>11193.959199288298</v>
      </c>
      <c r="X31" s="37">
        <f t="shared" si="28"/>
        <v>26404</v>
      </c>
      <c r="AG31" s="23">
        <v>5</v>
      </c>
      <c r="AH31" s="37">
        <f t="shared" si="29"/>
        <v>2888.3187278388382</v>
      </c>
      <c r="AI31" s="37">
        <f t="shared" si="30"/>
        <v>7451.4245198849358</v>
      </c>
      <c r="AJ31" s="37">
        <f t="shared" si="31"/>
        <v>1085.6058849072883</v>
      </c>
      <c r="AK31" s="37">
        <f t="shared" si="32"/>
        <v>3920.8357220403232</v>
      </c>
      <c r="AL31" s="37">
        <f t="shared" si="33"/>
        <v>11438.407302737689</v>
      </c>
      <c r="AM31" s="37">
        <f t="shared" si="34"/>
        <v>26784.592157409075</v>
      </c>
      <c r="AN31" s="35">
        <f>$H$7-AM31</f>
        <v>-380.5921574090753</v>
      </c>
    </row>
    <row r="32" spans="2:42" x14ac:dyDescent="0.3">
      <c r="B32" s="23" t="s">
        <v>84</v>
      </c>
      <c r="C32" s="37">
        <f t="shared" ref="C32:H32" si="36">SUM(C27:C31)</f>
        <v>34062</v>
      </c>
      <c r="D32" s="37">
        <f t="shared" si="36"/>
        <v>40880</v>
      </c>
      <c r="E32" s="37">
        <f t="shared" si="36"/>
        <v>16777</v>
      </c>
      <c r="F32" s="37">
        <f t="shared" si="36"/>
        <v>24290</v>
      </c>
      <c r="G32" s="37">
        <f t="shared" si="36"/>
        <v>26702</v>
      </c>
      <c r="H32" s="37">
        <f t="shared" si="36"/>
        <v>142711</v>
      </c>
      <c r="R32" s="23" t="s">
        <v>100</v>
      </c>
      <c r="S32" s="37">
        <f>SUM(S27:S31)</f>
        <v>33554.660559376985</v>
      </c>
      <c r="T32" s="37">
        <f t="shared" ref="T32" si="37">SUM(T27:T31)</f>
        <v>37370.62053173234</v>
      </c>
      <c r="U32" s="37">
        <f t="shared" ref="U32" si="38">SUM(U27:U31)</f>
        <v>18782.291174163824</v>
      </c>
      <c r="V32" s="37">
        <f t="shared" ref="V32" si="39">SUM(V27:V31)</f>
        <v>26872.071276747207</v>
      </c>
      <c r="W32" s="37">
        <f>SUM(W27:W31)</f>
        <v>26131.356457979651</v>
      </c>
      <c r="X32" s="37">
        <f t="shared" si="28"/>
        <v>142711</v>
      </c>
      <c r="AG32" s="23" t="s">
        <v>84</v>
      </c>
      <c r="AH32" s="37">
        <f>SUM(AH27:AH31)</f>
        <v>34061.999999999993</v>
      </c>
      <c r="AI32" s="37">
        <f>SUM(AI27:AI31)</f>
        <v>40880.000000000007</v>
      </c>
      <c r="AJ32" s="37">
        <f t="shared" ref="AJ32" si="40">SUM(AJ27:AJ31)</f>
        <v>16776.999999999996</v>
      </c>
      <c r="AK32" s="37">
        <f t="shared" ref="AK32" si="41">SUM(AK27:AK31)</f>
        <v>24290</v>
      </c>
      <c r="AL32" s="37">
        <f t="shared" ref="AL32" si="42">SUM(AL27:AL31)</f>
        <v>26702</v>
      </c>
      <c r="AM32" s="37">
        <f>SUM(AH32:AL32)</f>
        <v>142711</v>
      </c>
      <c r="AN32" s="34" t="s">
        <v>91</v>
      </c>
    </row>
    <row r="33" spans="2:41" x14ac:dyDescent="0.3">
      <c r="G33" s="15"/>
      <c r="H33" s="15"/>
      <c r="X33" s="15"/>
      <c r="AG33" s="34" t="s">
        <v>86</v>
      </c>
      <c r="AH33" s="35">
        <f>$C$8-AH32</f>
        <v>0</v>
      </c>
      <c r="AI33" s="35">
        <f>$D$8-AI32</f>
        <v>0</v>
      </c>
      <c r="AJ33" s="35">
        <f>$E$8-AJ32</f>
        <v>0</v>
      </c>
      <c r="AK33" s="35">
        <f>$F$8-AK32</f>
        <v>0</v>
      </c>
      <c r="AL33" s="35">
        <f>$G$8-AL32</f>
        <v>0</v>
      </c>
      <c r="AM33" s="35"/>
      <c r="AN33" s="36">
        <f>SQRT((AH33^2+AI33^2+AJ33^2+AK33^2+AL33^2+AN27^2+AN28^2+AN29^2+AN30^2+AN31^2)/8)</f>
        <v>830.63609500683469</v>
      </c>
      <c r="AO33" s="34"/>
    </row>
    <row r="36" spans="2:41" x14ac:dyDescent="0.3">
      <c r="B36" s="33" t="s">
        <v>101</v>
      </c>
    </row>
    <row r="37" spans="2:41" x14ac:dyDescent="0.3">
      <c r="C37" s="14" t="s">
        <v>73</v>
      </c>
      <c r="L37" s="14" t="s">
        <v>74</v>
      </c>
      <c r="R37" s="14" t="s">
        <v>75</v>
      </c>
      <c r="Z37" s="14" t="s">
        <v>76</v>
      </c>
      <c r="AG37" s="14" t="s">
        <v>77</v>
      </c>
    </row>
    <row r="38" spans="2:41" x14ac:dyDescent="0.3">
      <c r="B38" s="23" t="s">
        <v>85</v>
      </c>
      <c r="C38" s="23">
        <v>1</v>
      </c>
      <c r="D38" s="23">
        <v>2</v>
      </c>
      <c r="E38" s="23">
        <v>3</v>
      </c>
      <c r="F38" s="23">
        <v>4</v>
      </c>
      <c r="G38" s="23">
        <v>5</v>
      </c>
      <c r="H38" s="23" t="s">
        <v>93</v>
      </c>
      <c r="L38" s="23" t="s">
        <v>0</v>
      </c>
      <c r="M38" s="23" t="s">
        <v>94</v>
      </c>
      <c r="N38" s="23" t="s">
        <v>81</v>
      </c>
      <c r="O38" s="23" t="s">
        <v>95</v>
      </c>
      <c r="R38" s="23" t="s">
        <v>96</v>
      </c>
      <c r="S38" s="23">
        <v>1</v>
      </c>
      <c r="T38" s="23">
        <v>2</v>
      </c>
      <c r="U38" s="23">
        <v>3</v>
      </c>
      <c r="V38" s="23">
        <v>4</v>
      </c>
      <c r="W38" s="23">
        <v>5</v>
      </c>
      <c r="X38" s="23" t="s">
        <v>84</v>
      </c>
      <c r="Z38" s="23" t="s">
        <v>0</v>
      </c>
      <c r="AA38" s="37">
        <v>1</v>
      </c>
      <c r="AB38" s="37">
        <v>2</v>
      </c>
      <c r="AC38" s="37">
        <v>3</v>
      </c>
      <c r="AD38" s="37">
        <v>4</v>
      </c>
      <c r="AE38" s="37">
        <v>5</v>
      </c>
      <c r="AG38" s="23" t="s">
        <v>97</v>
      </c>
      <c r="AH38" s="23">
        <v>1</v>
      </c>
      <c r="AI38" s="23">
        <v>2</v>
      </c>
      <c r="AJ38" s="23">
        <v>3</v>
      </c>
      <c r="AK38" s="23">
        <v>4</v>
      </c>
      <c r="AL38" s="23">
        <v>5</v>
      </c>
      <c r="AM38" s="23" t="s">
        <v>84</v>
      </c>
      <c r="AN38" s="34" t="s">
        <v>86</v>
      </c>
    </row>
    <row r="39" spans="2:41" x14ac:dyDescent="0.3">
      <c r="B39" s="23">
        <v>1</v>
      </c>
      <c r="C39" s="37">
        <f t="shared" ref="C39:G43" si="43">AH27</f>
        <v>16656.525010955829</v>
      </c>
      <c r="D39" s="37">
        <f t="shared" si="43"/>
        <v>6042.8404419691815</v>
      </c>
      <c r="E39" s="37">
        <f t="shared" si="43"/>
        <v>3521.5511492338405</v>
      </c>
      <c r="F39" s="37">
        <f t="shared" si="43"/>
        <v>2512.3226971129684</v>
      </c>
      <c r="G39" s="37">
        <f t="shared" si="43"/>
        <v>4122.7296759010278</v>
      </c>
      <c r="H39" s="37">
        <f>SUM(C39:G39)</f>
        <v>32855.968975172851</v>
      </c>
      <c r="L39" s="23">
        <v>1</v>
      </c>
      <c r="M39" s="37">
        <f>H39</f>
        <v>32855.968975172851</v>
      </c>
      <c r="N39" s="23">
        <f>$H$3</f>
        <v>32689</v>
      </c>
      <c r="O39" s="23">
        <f>N39/M39</f>
        <v>0.99491815397990491</v>
      </c>
      <c r="R39" s="23">
        <v>1</v>
      </c>
      <c r="S39" s="37">
        <f t="shared" ref="S39:W43" si="44">C39*$O39</f>
        <v>16571.87911562029</v>
      </c>
      <c r="T39" s="37">
        <f t="shared" si="44"/>
        <v>6012.1316573190907</v>
      </c>
      <c r="U39" s="37">
        <f t="shared" si="44"/>
        <v>3503.6551685415452</v>
      </c>
      <c r="V39" s="37">
        <f t="shared" si="44"/>
        <v>2499.5554600134501</v>
      </c>
      <c r="W39" s="37">
        <f t="shared" si="44"/>
        <v>4101.7785985056225</v>
      </c>
      <c r="X39" s="37">
        <f t="shared" ref="X39:X44" si="45">SUM(S39:W39)</f>
        <v>32688.999999999996</v>
      </c>
      <c r="Z39" s="23" t="s">
        <v>98</v>
      </c>
      <c r="AA39" s="37">
        <f>S44</f>
        <v>33982.282241072833</v>
      </c>
      <c r="AB39" s="37">
        <f>T44</f>
        <v>39962.176442693446</v>
      </c>
      <c r="AC39" s="37">
        <f>U44</f>
        <v>17160.453193417339</v>
      </c>
      <c r="AD39" s="37">
        <f>V44</f>
        <v>24904.281899477948</v>
      </c>
      <c r="AE39" s="37">
        <f>W44</f>
        <v>26701.806223338441</v>
      </c>
      <c r="AG39" s="23">
        <v>1</v>
      </c>
      <c r="AH39" s="37">
        <f>C39*$O39*AA$41</f>
        <v>16610.754464101519</v>
      </c>
      <c r="AI39" s="37">
        <f>D39*$O39*AB$41</f>
        <v>6150.2141281932427</v>
      </c>
      <c r="AJ39" s="37">
        <f>E39*$O39*AC$41</f>
        <v>3425.3654084828904</v>
      </c>
      <c r="AK39" s="37">
        <f>F39*$O39*AD$41</f>
        <v>2437.902139430867</v>
      </c>
      <c r="AL39" s="37">
        <f>G39*$O39*AE$41</f>
        <v>4101.8083653669592</v>
      </c>
      <c r="AM39" s="37">
        <f>SUM(AH39:AL39)</f>
        <v>32726.044505575475</v>
      </c>
      <c r="AN39" s="35">
        <f>$H$3-AM39</f>
        <v>-37.044505575475341</v>
      </c>
    </row>
    <row r="40" spans="2:41" x14ac:dyDescent="0.3">
      <c r="B40" s="23">
        <v>2</v>
      </c>
      <c r="C40" s="37">
        <f t="shared" si="43"/>
        <v>6843.4762963609428</v>
      </c>
      <c r="D40" s="37">
        <f t="shared" si="43"/>
        <v>22344.775858167344</v>
      </c>
      <c r="E40" s="37">
        <f t="shared" si="43"/>
        <v>1446.859522040334</v>
      </c>
      <c r="F40" s="37">
        <f t="shared" si="43"/>
        <v>2322.4710336751114</v>
      </c>
      <c r="G40" s="37">
        <f t="shared" si="43"/>
        <v>3811.1824818348064</v>
      </c>
      <c r="H40" s="37">
        <f>SUM(C40:G40)</f>
        <v>36768.765192078536</v>
      </c>
      <c r="L40" s="23">
        <v>2</v>
      </c>
      <c r="M40" s="37">
        <f>H40</f>
        <v>36768.765192078536</v>
      </c>
      <c r="N40" s="23">
        <f>$H$4</f>
        <v>35087</v>
      </c>
      <c r="O40" s="23">
        <f>N40/M40</f>
        <v>0.95426103696185982</v>
      </c>
      <c r="R40" s="23">
        <v>2</v>
      </c>
      <c r="S40" s="37">
        <f t="shared" si="44"/>
        <v>6530.4627869893011</v>
      </c>
      <c r="T40" s="37">
        <f t="shared" si="44"/>
        <v>21322.748981095101</v>
      </c>
      <c r="U40" s="37">
        <f t="shared" si="44"/>
        <v>1380.68166784035</v>
      </c>
      <c r="V40" s="37">
        <f t="shared" si="44"/>
        <v>2216.2436169086941</v>
      </c>
      <c r="W40" s="37">
        <f t="shared" si="44"/>
        <v>3636.8629471665568</v>
      </c>
      <c r="X40" s="37">
        <f t="shared" si="45"/>
        <v>35087</v>
      </c>
      <c r="Z40" s="23" t="s">
        <v>88</v>
      </c>
      <c r="AA40" s="37">
        <f>AA28</f>
        <v>34062</v>
      </c>
      <c r="AB40" s="37">
        <f>AB28</f>
        <v>40880</v>
      </c>
      <c r="AC40" s="37">
        <f>AC28</f>
        <v>16777</v>
      </c>
      <c r="AD40" s="37">
        <f>AD28</f>
        <v>24290</v>
      </c>
      <c r="AE40" s="37">
        <f>AE28</f>
        <v>26702</v>
      </c>
      <c r="AG40" s="23">
        <v>2</v>
      </c>
      <c r="AH40" s="37">
        <f t="shared" ref="AH40:AH43" si="46">C40*$O40*AA$41</f>
        <v>6545.7823542403448</v>
      </c>
      <c r="AI40" s="37">
        <f t="shared" ref="AI40:AI43" si="47">D40*$O40*AB$41</f>
        <v>21812.47509372182</v>
      </c>
      <c r="AJ40" s="37">
        <f t="shared" ref="AJ40:AJ43" si="48">E40*$O40*AC$41</f>
        <v>1349.8301053169753</v>
      </c>
      <c r="AK40" s="37">
        <f t="shared" ref="AK40:AK43" si="49">F40*$O40*AD$41</f>
        <v>2161.5783852752097</v>
      </c>
      <c r="AL40" s="37">
        <f t="shared" ref="AL40:AL43" si="50">G40*$O40*AE$41</f>
        <v>3636.8893401062164</v>
      </c>
      <c r="AM40" s="37">
        <f t="shared" ref="AM40:AM43" si="51">SUM(AH40:AL40)</f>
        <v>35506.555278660569</v>
      </c>
      <c r="AN40" s="35">
        <f>$H$4-AM40</f>
        <v>-419.55527866056946</v>
      </c>
    </row>
    <row r="41" spans="2:41" x14ac:dyDescent="0.3">
      <c r="B41" s="23">
        <v>3</v>
      </c>
      <c r="C41" s="37">
        <f t="shared" si="43"/>
        <v>5133.6498017013309</v>
      </c>
      <c r="D41" s="37">
        <f t="shared" si="43"/>
        <v>2681.9177666026685</v>
      </c>
      <c r="E41" s="37">
        <f t="shared" si="43"/>
        <v>9768.2855891903582</v>
      </c>
      <c r="F41" s="37">
        <f t="shared" si="43"/>
        <v>1742.2070955112845</v>
      </c>
      <c r="G41" s="37">
        <f t="shared" si="43"/>
        <v>2858.9674815594512</v>
      </c>
      <c r="H41" s="37">
        <f>SUM(C41:G41)</f>
        <v>22185.02773456509</v>
      </c>
      <c r="L41" s="23">
        <v>3</v>
      </c>
      <c r="M41" s="37">
        <f>H41</f>
        <v>22185.02773456509</v>
      </c>
      <c r="N41" s="23">
        <f>$H$5</f>
        <v>23170</v>
      </c>
      <c r="O41" s="23">
        <f>N41/M41</f>
        <v>1.0443980632893366</v>
      </c>
      <c r="R41" s="23">
        <v>3</v>
      </c>
      <c r="S41" s="37">
        <f t="shared" si="44"/>
        <v>5361.5739105025568</v>
      </c>
      <c r="T41" s="37">
        <f t="shared" si="44"/>
        <v>2800.98972134109</v>
      </c>
      <c r="U41" s="37">
        <f t="shared" si="44"/>
        <v>10201.978551007547</v>
      </c>
      <c r="V41" s="37">
        <f t="shared" si="44"/>
        <v>1819.5577164009258</v>
      </c>
      <c r="W41" s="37">
        <f t="shared" si="44"/>
        <v>2985.9001007478832</v>
      </c>
      <c r="X41" s="37">
        <f t="shared" si="45"/>
        <v>23170.000000000004</v>
      </c>
      <c r="Z41" s="23" t="s">
        <v>99</v>
      </c>
      <c r="AA41" s="40">
        <f>AA40/AA39</f>
        <v>1.0023458624221189</v>
      </c>
      <c r="AB41" s="40">
        <f t="shared" ref="AB41:AC41" si="52">AB40/AB39</f>
        <v>1.0229673065635634</v>
      </c>
      <c r="AC41" s="40">
        <f t="shared" si="52"/>
        <v>0.97765483294086719</v>
      </c>
      <c r="AD41" s="40">
        <f>AD40/AD39</f>
        <v>0.97533428580846471</v>
      </c>
      <c r="AE41" s="40">
        <f t="shared" ref="AE41" si="53">AE40/AE39</f>
        <v>1.0000072570619358</v>
      </c>
      <c r="AG41" s="23">
        <v>3</v>
      </c>
      <c r="AH41" s="37">
        <f t="shared" si="46"/>
        <v>5374.1514252626175</v>
      </c>
      <c r="AI41" s="37">
        <f t="shared" si="47"/>
        <v>2865.320910952521</v>
      </c>
      <c r="AJ41" s="37">
        <f t="shared" si="48"/>
        <v>9974.0136359515946</v>
      </c>
      <c r="AK41" s="37">
        <f t="shared" si="49"/>
        <v>1774.6770258131778</v>
      </c>
      <c r="AL41" s="37">
        <f t="shared" si="50"/>
        <v>2985.9217696098485</v>
      </c>
      <c r="AM41" s="37">
        <f t="shared" si="51"/>
        <v>22974.084767589757</v>
      </c>
      <c r="AN41" s="35">
        <f>$H$5-AM41</f>
        <v>195.91523241024333</v>
      </c>
    </row>
    <row r="42" spans="2:41" x14ac:dyDescent="0.3">
      <c r="B42" s="23">
        <v>4</v>
      </c>
      <c r="C42" s="37">
        <f t="shared" si="43"/>
        <v>2540.0301631430566</v>
      </c>
      <c r="D42" s="37">
        <f t="shared" si="43"/>
        <v>2359.0414133758745</v>
      </c>
      <c r="E42" s="37">
        <f t="shared" si="43"/>
        <v>954.69785462817606</v>
      </c>
      <c r="F42" s="37">
        <f t="shared" si="43"/>
        <v>13792.163451660312</v>
      </c>
      <c r="G42" s="37">
        <f t="shared" si="43"/>
        <v>4470.7130579670238</v>
      </c>
      <c r="H42" s="37">
        <f>SUM(C42:G42)</f>
        <v>24116.645940774441</v>
      </c>
      <c r="L42" s="23">
        <v>4</v>
      </c>
      <c r="M42" s="23">
        <f>H42</f>
        <v>24116.645940774441</v>
      </c>
      <c r="N42" s="23">
        <f>$H$6</f>
        <v>25361</v>
      </c>
      <c r="O42" s="23">
        <f>N42/M42</f>
        <v>1.0515973101019702</v>
      </c>
      <c r="R42" s="23">
        <v>4</v>
      </c>
      <c r="S42" s="37">
        <f t="shared" si="44"/>
        <v>2671.0888871391071</v>
      </c>
      <c r="T42" s="37">
        <f t="shared" si="44"/>
        <v>2480.7616047252195</v>
      </c>
      <c r="U42" s="37">
        <f t="shared" si="44"/>
        <v>1003.9576958871118</v>
      </c>
      <c r="V42" s="37">
        <f t="shared" si="44"/>
        <v>14503.801986252689</v>
      </c>
      <c r="W42" s="37">
        <f t="shared" si="44"/>
        <v>4701.389825995876</v>
      </c>
      <c r="X42" s="37">
        <f t="shared" si="45"/>
        <v>25361.000000000004</v>
      </c>
      <c r="AG42" s="23">
        <v>4</v>
      </c>
      <c r="AH42" s="37">
        <f t="shared" si="46"/>
        <v>2677.3548941855861</v>
      </c>
      <c r="AI42" s="37">
        <f t="shared" si="47"/>
        <v>2537.7380170120609</v>
      </c>
      <c r="AJ42" s="37">
        <f t="shared" si="48"/>
        <v>981.52409345221224</v>
      </c>
      <c r="AK42" s="37">
        <f t="shared" si="49"/>
        <v>14146.055351769159</v>
      </c>
      <c r="AL42" s="37">
        <f t="shared" si="50"/>
        <v>4701.4239442730277</v>
      </c>
      <c r="AM42" s="37">
        <f t="shared" si="51"/>
        <v>25044.096300692046</v>
      </c>
      <c r="AN42" s="35">
        <f>$H$6-AM42</f>
        <v>316.9036993079535</v>
      </c>
    </row>
    <row r="43" spans="2:41" x14ac:dyDescent="0.3">
      <c r="B43" s="23">
        <v>5</v>
      </c>
      <c r="C43" s="37">
        <f t="shared" si="43"/>
        <v>2888.3187278388382</v>
      </c>
      <c r="D43" s="37">
        <f t="shared" si="43"/>
        <v>7451.4245198849358</v>
      </c>
      <c r="E43" s="37">
        <f t="shared" si="43"/>
        <v>1085.6058849072883</v>
      </c>
      <c r="F43" s="37">
        <f t="shared" si="43"/>
        <v>3920.8357220403232</v>
      </c>
      <c r="G43" s="37">
        <f t="shared" si="43"/>
        <v>11438.407302737689</v>
      </c>
      <c r="H43" s="37">
        <f>SUM(C43:G43)</f>
        <v>26784.592157409075</v>
      </c>
      <c r="L43" s="23">
        <v>5</v>
      </c>
      <c r="M43" s="37">
        <f>H43</f>
        <v>26784.592157409075</v>
      </c>
      <c r="N43" s="23">
        <f>$H$7</f>
        <v>26404</v>
      </c>
      <c r="O43" s="23">
        <f>N43/M43</f>
        <v>0.98579063085327601</v>
      </c>
      <c r="R43" s="23">
        <v>5</v>
      </c>
      <c r="S43" s="37">
        <f t="shared" si="44"/>
        <v>2847.2775408215798</v>
      </c>
      <c r="T43" s="37">
        <f t="shared" si="44"/>
        <v>7345.5444782129398</v>
      </c>
      <c r="U43" s="37">
        <f t="shared" si="44"/>
        <v>1070.1801101407848</v>
      </c>
      <c r="V43" s="37">
        <f t="shared" si="44"/>
        <v>3865.12311990219</v>
      </c>
      <c r="W43" s="37">
        <f t="shared" si="44"/>
        <v>11275.874750922505</v>
      </c>
      <c r="X43" s="37">
        <f t="shared" si="45"/>
        <v>26404</v>
      </c>
      <c r="AG43" s="23">
        <v>5</v>
      </c>
      <c r="AH43" s="37">
        <f t="shared" si="46"/>
        <v>2853.9568622099364</v>
      </c>
      <c r="AI43" s="37">
        <f t="shared" si="47"/>
        <v>7514.2518501203467</v>
      </c>
      <c r="AJ43" s="37">
        <f t="shared" si="48"/>
        <v>1046.2667567963279</v>
      </c>
      <c r="AK43" s="37">
        <f t="shared" si="49"/>
        <v>3769.7870977115872</v>
      </c>
      <c r="AL43" s="37">
        <f t="shared" si="50"/>
        <v>11275.956580643953</v>
      </c>
      <c r="AM43" s="37">
        <f t="shared" si="51"/>
        <v>26460.219147482152</v>
      </c>
      <c r="AN43" s="35">
        <f>$H$7-AM43</f>
        <v>-56.219147482152039</v>
      </c>
    </row>
    <row r="44" spans="2:41" x14ac:dyDescent="0.3">
      <c r="B44" s="23" t="s">
        <v>84</v>
      </c>
      <c r="C44" s="37">
        <f t="shared" ref="C44:H44" si="54">SUM(C39:C43)</f>
        <v>34061.999999999993</v>
      </c>
      <c r="D44" s="37">
        <f t="shared" si="54"/>
        <v>40880.000000000007</v>
      </c>
      <c r="E44" s="37">
        <f t="shared" si="54"/>
        <v>16776.999999999996</v>
      </c>
      <c r="F44" s="37">
        <f t="shared" si="54"/>
        <v>24290</v>
      </c>
      <c r="G44" s="37">
        <f t="shared" si="54"/>
        <v>26702</v>
      </c>
      <c r="H44" s="37">
        <f t="shared" si="54"/>
        <v>142711</v>
      </c>
      <c r="R44" s="23" t="s">
        <v>100</v>
      </c>
      <c r="S44" s="37">
        <f>SUM(S39:S43)</f>
        <v>33982.282241072833</v>
      </c>
      <c r="T44" s="37">
        <f t="shared" ref="T44" si="55">SUM(T39:T43)</f>
        <v>39962.176442693446</v>
      </c>
      <c r="U44" s="37">
        <f t="shared" ref="U44" si="56">SUM(U39:U43)</f>
        <v>17160.453193417339</v>
      </c>
      <c r="V44" s="37">
        <f t="shared" ref="V44" si="57">SUM(V39:V43)</f>
        <v>24904.281899477948</v>
      </c>
      <c r="W44" s="37">
        <f>SUM(W39:W43)</f>
        <v>26701.806223338441</v>
      </c>
      <c r="X44" s="37">
        <f t="shared" si="45"/>
        <v>142711</v>
      </c>
      <c r="AG44" s="23" t="s">
        <v>84</v>
      </c>
      <c r="AH44" s="37">
        <f>SUM(AH39:AH43)</f>
        <v>34062.000000000007</v>
      </c>
      <c r="AI44" s="37">
        <f>SUM(AI39:AI43)</f>
        <v>40879.999999999985</v>
      </c>
      <c r="AJ44" s="37">
        <f t="shared" ref="AJ44" si="58">SUM(AJ39:AJ43)</f>
        <v>16777</v>
      </c>
      <c r="AK44" s="37">
        <f t="shared" ref="AK44" si="59">SUM(AK39:AK43)</f>
        <v>24290</v>
      </c>
      <c r="AL44" s="37">
        <f t="shared" ref="AL44" si="60">SUM(AL39:AL43)</f>
        <v>26702.000000000007</v>
      </c>
      <c r="AM44" s="37">
        <f>SUM(AH44:AL44)</f>
        <v>142711</v>
      </c>
      <c r="AN44" s="34" t="s">
        <v>91</v>
      </c>
    </row>
    <row r="45" spans="2:41" x14ac:dyDescent="0.3">
      <c r="G45" s="15"/>
      <c r="H45" s="15"/>
      <c r="X45" s="15"/>
      <c r="AG45" s="34" t="s">
        <v>86</v>
      </c>
      <c r="AH45" s="35">
        <f>$C$8-AH44</f>
        <v>0</v>
      </c>
      <c r="AI45" s="35">
        <f>$D$8-AI44</f>
        <v>0</v>
      </c>
      <c r="AJ45" s="35">
        <f>$E$8-AJ44</f>
        <v>0</v>
      </c>
      <c r="AK45" s="35">
        <f>$F$8-AK44</f>
        <v>0</v>
      </c>
      <c r="AL45" s="35">
        <f>$G$8-AL44</f>
        <v>0</v>
      </c>
      <c r="AM45" s="35"/>
      <c r="AN45" s="36">
        <f>SQRT((AH45^2+AI45^2+AJ45^2+AK45^2+AL45^2+AN39^2+AN40^2+AN41^2+AN42^2+AN43^2)/8)</f>
        <v>199.80310705614818</v>
      </c>
      <c r="AO45" s="34"/>
    </row>
    <row r="48" spans="2:41" x14ac:dyDescent="0.3">
      <c r="B48" s="33" t="s">
        <v>102</v>
      </c>
    </row>
    <row r="49" spans="2:40" x14ac:dyDescent="0.3">
      <c r="C49" s="14" t="s">
        <v>73</v>
      </c>
      <c r="L49" s="14" t="s">
        <v>74</v>
      </c>
      <c r="R49" s="14" t="s">
        <v>75</v>
      </c>
      <c r="Z49" s="14" t="s">
        <v>76</v>
      </c>
      <c r="AG49" s="14" t="s">
        <v>77</v>
      </c>
    </row>
    <row r="50" spans="2:40" x14ac:dyDescent="0.3">
      <c r="B50" s="23" t="s">
        <v>85</v>
      </c>
      <c r="C50" s="23">
        <v>1</v>
      </c>
      <c r="D50" s="23">
        <v>2</v>
      </c>
      <c r="E50" s="23">
        <v>3</v>
      </c>
      <c r="F50" s="23">
        <v>4</v>
      </c>
      <c r="G50" s="23">
        <v>5</v>
      </c>
      <c r="H50" s="23" t="s">
        <v>93</v>
      </c>
      <c r="L50" s="23" t="s">
        <v>0</v>
      </c>
      <c r="M50" s="23" t="s">
        <v>94</v>
      </c>
      <c r="N50" s="23" t="s">
        <v>81</v>
      </c>
      <c r="O50" s="23" t="s">
        <v>95</v>
      </c>
      <c r="R50" s="23" t="s">
        <v>96</v>
      </c>
      <c r="S50" s="23">
        <v>1</v>
      </c>
      <c r="T50" s="23">
        <v>2</v>
      </c>
      <c r="U50" s="23">
        <v>3</v>
      </c>
      <c r="V50" s="23">
        <v>4</v>
      </c>
      <c r="W50" s="23">
        <v>5</v>
      </c>
      <c r="X50" s="23" t="s">
        <v>84</v>
      </c>
      <c r="Z50" s="23" t="s">
        <v>0</v>
      </c>
      <c r="AA50" s="37">
        <v>1</v>
      </c>
      <c r="AB50" s="37">
        <v>2</v>
      </c>
      <c r="AC50" s="37">
        <v>3</v>
      </c>
      <c r="AD50" s="37">
        <v>4</v>
      </c>
      <c r="AE50" s="37">
        <v>5</v>
      </c>
      <c r="AG50" s="23" t="s">
        <v>97</v>
      </c>
      <c r="AH50" s="23">
        <v>1</v>
      </c>
      <c r="AI50" s="23">
        <v>2</v>
      </c>
      <c r="AJ50" s="23">
        <v>3</v>
      </c>
      <c r="AK50" s="23">
        <v>4</v>
      </c>
      <c r="AL50" s="23">
        <v>5</v>
      </c>
      <c r="AM50" s="23" t="s">
        <v>84</v>
      </c>
      <c r="AN50" s="34" t="s">
        <v>86</v>
      </c>
    </row>
    <row r="51" spans="2:40" x14ac:dyDescent="0.3">
      <c r="B51" s="23">
        <v>1</v>
      </c>
      <c r="C51" s="37">
        <f t="shared" ref="C51:G55" si="61">AH39</f>
        <v>16610.754464101519</v>
      </c>
      <c r="D51" s="37">
        <f t="shared" si="61"/>
        <v>6150.2141281932427</v>
      </c>
      <c r="E51" s="37">
        <f t="shared" si="61"/>
        <v>3425.3654084828904</v>
      </c>
      <c r="F51" s="37">
        <f t="shared" si="61"/>
        <v>2437.902139430867</v>
      </c>
      <c r="G51" s="37">
        <f t="shared" si="61"/>
        <v>4101.8083653669592</v>
      </c>
      <c r="H51" s="37">
        <f>SUM(C51:G51)</f>
        <v>32726.044505575475</v>
      </c>
      <c r="L51" s="23">
        <v>1</v>
      </c>
      <c r="M51" s="37">
        <f>H51</f>
        <v>32726.044505575475</v>
      </c>
      <c r="N51" s="23">
        <f>$H$3</f>
        <v>32689</v>
      </c>
      <c r="O51" s="23">
        <f>N51/M51</f>
        <v>0.99886804207061552</v>
      </c>
      <c r="R51" s="23">
        <v>1</v>
      </c>
      <c r="S51" s="37">
        <f t="shared" ref="S51:W55" si="62">C51*$O51</f>
        <v>16591.951788872822</v>
      </c>
      <c r="T51" s="37">
        <f t="shared" si="62"/>
        <v>6143.2523445434217</v>
      </c>
      <c r="U51" s="37">
        <f t="shared" si="62"/>
        <v>3421.4880389477189</v>
      </c>
      <c r="V51" s="37">
        <f t="shared" si="62"/>
        <v>2435.1425367730749</v>
      </c>
      <c r="W51" s="37">
        <f t="shared" si="62"/>
        <v>4097.1652908629667</v>
      </c>
      <c r="X51" s="37">
        <f t="shared" ref="X51:X56" si="63">SUM(S51:W51)</f>
        <v>32689</v>
      </c>
      <c r="Z51" s="23" t="s">
        <v>98</v>
      </c>
      <c r="AA51" s="37">
        <f>S56</f>
        <v>34039.49457980325</v>
      </c>
      <c r="AB51" s="37">
        <f>T56</f>
        <v>40655.877286337447</v>
      </c>
      <c r="AC51" s="37">
        <f>U56</f>
        <v>16852.424752191258</v>
      </c>
      <c r="AD51" s="37">
        <f>V56</f>
        <v>24447.824652270836</v>
      </c>
      <c r="AE51" s="37">
        <f>W56</f>
        <v>26715.378729397209</v>
      </c>
      <c r="AG51" s="23">
        <v>1</v>
      </c>
      <c r="AH51" s="37">
        <f>C51*$O51*AA$53</f>
        <v>16602.921659357162</v>
      </c>
      <c r="AI51" s="37">
        <f>D51*$O51*AB$53</f>
        <v>6177.1181095464954</v>
      </c>
      <c r="AJ51" s="37">
        <f>E51*$O51*AC$53</f>
        <v>3406.1748189655659</v>
      </c>
      <c r="AK51" s="37">
        <f>F51*$O51*AD$53</f>
        <v>2419.4223027824228</v>
      </c>
      <c r="AL51" s="37">
        <f>G51*$O51*AE$53</f>
        <v>4095.1134814434813</v>
      </c>
      <c r="AM51" s="37">
        <f>SUM(AH51:AL51)</f>
        <v>32700.750372095128</v>
      </c>
      <c r="AN51" s="35">
        <f>$H$3-AM51</f>
        <v>-11.750372095128114</v>
      </c>
    </row>
    <row r="52" spans="2:40" x14ac:dyDescent="0.3">
      <c r="B52" s="23">
        <v>2</v>
      </c>
      <c r="C52" s="37">
        <f t="shared" si="61"/>
        <v>6545.7823542403448</v>
      </c>
      <c r="D52" s="37">
        <f t="shared" si="61"/>
        <v>21812.47509372182</v>
      </c>
      <c r="E52" s="37">
        <f t="shared" si="61"/>
        <v>1349.8301053169753</v>
      </c>
      <c r="F52" s="37">
        <f t="shared" si="61"/>
        <v>2161.5783852752097</v>
      </c>
      <c r="G52" s="37">
        <f t="shared" si="61"/>
        <v>3636.8893401062164</v>
      </c>
      <c r="H52" s="37">
        <f>SUM(C52:G52)</f>
        <v>35506.555278660569</v>
      </c>
      <c r="L52" s="23">
        <v>2</v>
      </c>
      <c r="M52" s="37">
        <f>H52</f>
        <v>35506.555278660569</v>
      </c>
      <c r="N52" s="23">
        <f>$H$4</f>
        <v>35087</v>
      </c>
      <c r="O52" s="23">
        <f>N52/M52</f>
        <v>0.98818372338944627</v>
      </c>
      <c r="R52" s="23">
        <v>2</v>
      </c>
      <c r="S52" s="37">
        <f t="shared" si="62"/>
        <v>6468.4355793101595</v>
      </c>
      <c r="T52" s="37">
        <f t="shared" si="62"/>
        <v>21554.732854453589</v>
      </c>
      <c r="U52" s="37">
        <f t="shared" si="62"/>
        <v>1333.880139415297</v>
      </c>
      <c r="V52" s="37">
        <f t="shared" si="62"/>
        <v>2136.0365771594038</v>
      </c>
      <c r="W52" s="37">
        <f t="shared" si="62"/>
        <v>3593.9148496615471</v>
      </c>
      <c r="X52" s="37">
        <f t="shared" si="63"/>
        <v>35087</v>
      </c>
      <c r="Z52" s="23" t="s">
        <v>88</v>
      </c>
      <c r="AA52" s="37">
        <f>AA40</f>
        <v>34062</v>
      </c>
      <c r="AB52" s="37">
        <f>AB40</f>
        <v>40880</v>
      </c>
      <c r="AC52" s="37">
        <f>AC40</f>
        <v>16777</v>
      </c>
      <c r="AD52" s="37">
        <f>AD40</f>
        <v>24290</v>
      </c>
      <c r="AE52" s="37">
        <f>AE40</f>
        <v>26702</v>
      </c>
      <c r="AG52" s="23">
        <v>2</v>
      </c>
      <c r="AH52" s="37">
        <f t="shared" ref="AH52:AH55" si="64">C52*$O52*AA$53</f>
        <v>6472.7122250866323</v>
      </c>
      <c r="AI52" s="37">
        <f t="shared" ref="AI52:AI55" si="65">D52*$O52*AB$53</f>
        <v>21673.557131337042</v>
      </c>
      <c r="AJ52" s="37">
        <f t="shared" ref="AJ52:AJ55" si="66">E52*$O52*AC$53</f>
        <v>1327.9102222996512</v>
      </c>
      <c r="AK52" s="37">
        <f t="shared" ref="AK52:AK55" si="67">F52*$O52*AD$53</f>
        <v>2122.2472427371017</v>
      </c>
      <c r="AL52" s="37">
        <f t="shared" ref="AL52:AL55" si="68">G52*$O52*AE$53</f>
        <v>3592.1150618038769</v>
      </c>
      <c r="AM52" s="37">
        <f t="shared" ref="AM52:AM55" si="69">SUM(AH52:AL52)</f>
        <v>35188.541883264304</v>
      </c>
      <c r="AN52" s="35">
        <f>$H$4-AM52</f>
        <v>-101.54188326430449</v>
      </c>
    </row>
    <row r="53" spans="2:40" x14ac:dyDescent="0.3">
      <c r="B53" s="23">
        <v>3</v>
      </c>
      <c r="C53" s="37">
        <f t="shared" si="61"/>
        <v>5374.1514252626175</v>
      </c>
      <c r="D53" s="37">
        <f t="shared" si="61"/>
        <v>2865.320910952521</v>
      </c>
      <c r="E53" s="37">
        <f t="shared" si="61"/>
        <v>9974.0136359515946</v>
      </c>
      <c r="F53" s="37">
        <f t="shared" si="61"/>
        <v>1774.6770258131778</v>
      </c>
      <c r="G53" s="37">
        <f t="shared" si="61"/>
        <v>2985.9217696098485</v>
      </c>
      <c r="H53" s="37">
        <f>SUM(C53:G53)</f>
        <v>22974.084767589757</v>
      </c>
      <c r="L53" s="23">
        <v>3</v>
      </c>
      <c r="M53" s="37">
        <f>H53</f>
        <v>22974.084767589757</v>
      </c>
      <c r="N53" s="23">
        <f>$H$5</f>
        <v>23170</v>
      </c>
      <c r="O53" s="23">
        <f>N53/M53</f>
        <v>1.0085276621198258</v>
      </c>
      <c r="R53" s="23">
        <v>3</v>
      </c>
      <c r="S53" s="37">
        <f t="shared" si="62"/>
        <v>5419.980372798037</v>
      </c>
      <c r="T53" s="37">
        <f t="shared" si="62"/>
        <v>2889.7553995459957</v>
      </c>
      <c r="U53" s="37">
        <f t="shared" si="62"/>
        <v>10059.068654217524</v>
      </c>
      <c r="V53" s="37">
        <f t="shared" si="62"/>
        <v>1789.81087186113</v>
      </c>
      <c r="W53" s="37">
        <f t="shared" si="62"/>
        <v>3011.3847015773135</v>
      </c>
      <c r="X53" s="37">
        <f t="shared" si="63"/>
        <v>23170</v>
      </c>
      <c r="Z53" s="23" t="s">
        <v>99</v>
      </c>
      <c r="AA53" s="40">
        <f>AA52/AA51</f>
        <v>1.0006611561209873</v>
      </c>
      <c r="AB53" s="40">
        <f t="shared" ref="AB53:AC53" si="70">AB52/AB51</f>
        <v>1.0055126768531906</v>
      </c>
      <c r="AC53" s="40">
        <f t="shared" si="70"/>
        <v>0.99552439762821365</v>
      </c>
      <c r="AD53" s="40">
        <f>AD52/AD51</f>
        <v>0.99354442963676215</v>
      </c>
      <c r="AE53" s="40">
        <f t="shared" ref="AE53" si="71">AE52/AE51</f>
        <v>0.99949921243742323</v>
      </c>
      <c r="AG53" s="23">
        <v>3</v>
      </c>
      <c r="AH53" s="37">
        <f t="shared" si="64"/>
        <v>5423.5638259971429</v>
      </c>
      <c r="AI53" s="37">
        <f t="shared" si="65"/>
        <v>2905.6856872484555</v>
      </c>
      <c r="AJ53" s="37">
        <f t="shared" si="66"/>
        <v>10014.048262690747</v>
      </c>
      <c r="AK53" s="37">
        <f t="shared" si="67"/>
        <v>1778.2566218409424</v>
      </c>
      <c r="AL53" s="37">
        <f t="shared" si="68"/>
        <v>3009.8766375726295</v>
      </c>
      <c r="AM53" s="37">
        <f t="shared" si="69"/>
        <v>23131.431035349917</v>
      </c>
      <c r="AN53" s="35">
        <f>$H$5-AM53</f>
        <v>38.568964650083217</v>
      </c>
    </row>
    <row r="54" spans="2:40" x14ac:dyDescent="0.3">
      <c r="B54" s="23">
        <v>4</v>
      </c>
      <c r="C54" s="37">
        <f t="shared" si="61"/>
        <v>2677.3548941855861</v>
      </c>
      <c r="D54" s="37">
        <f t="shared" si="61"/>
        <v>2537.7380170120609</v>
      </c>
      <c r="E54" s="37">
        <f t="shared" si="61"/>
        <v>981.52409345221224</v>
      </c>
      <c r="F54" s="37">
        <f t="shared" si="61"/>
        <v>14146.055351769159</v>
      </c>
      <c r="G54" s="37">
        <f t="shared" si="61"/>
        <v>4701.4239442730277</v>
      </c>
      <c r="H54" s="37">
        <f>SUM(C54:G54)</f>
        <v>25044.096300692046</v>
      </c>
      <c r="L54" s="23">
        <v>4</v>
      </c>
      <c r="M54" s="23">
        <f>H54</f>
        <v>25044.096300692046</v>
      </c>
      <c r="N54" s="23">
        <f>$H$6</f>
        <v>25361</v>
      </c>
      <c r="O54" s="23">
        <f>N54/M54</f>
        <v>1.0126538284912758</v>
      </c>
      <c r="R54" s="23">
        <v>4</v>
      </c>
      <c r="S54" s="37">
        <f t="shared" si="62"/>
        <v>2711.2336838268884</v>
      </c>
      <c r="T54" s="37">
        <f t="shared" si="62"/>
        <v>2569.8501186351218</v>
      </c>
      <c r="U54" s="37">
        <f t="shared" si="62"/>
        <v>993.94413099081157</v>
      </c>
      <c r="V54" s="37">
        <f t="shared" si="62"/>
        <v>14325.057110018541</v>
      </c>
      <c r="W54" s="37">
        <f t="shared" si="62"/>
        <v>4760.9149565286361</v>
      </c>
      <c r="X54" s="37">
        <f t="shared" si="63"/>
        <v>25360.999999999996</v>
      </c>
      <c r="AG54" s="23">
        <v>4</v>
      </c>
      <c r="AH54" s="37">
        <f t="shared" si="64"/>
        <v>2713.0262325723775</v>
      </c>
      <c r="AI54" s="37">
        <f t="shared" si="65"/>
        <v>2584.0168719002909</v>
      </c>
      <c r="AJ54" s="37">
        <f t="shared" si="66"/>
        <v>989.495632280726</v>
      </c>
      <c r="AK54" s="37">
        <f t="shared" si="67"/>
        <v>14232.580695887415</v>
      </c>
      <c r="AL54" s="37">
        <f t="shared" si="68"/>
        <v>4758.5307495319212</v>
      </c>
      <c r="AM54" s="37">
        <f t="shared" si="69"/>
        <v>25277.650182172729</v>
      </c>
      <c r="AN54" s="35">
        <f>$H$6-AM54</f>
        <v>83.349817827271181</v>
      </c>
    </row>
    <row r="55" spans="2:40" x14ac:dyDescent="0.3">
      <c r="B55" s="23">
        <v>5</v>
      </c>
      <c r="C55" s="37">
        <f t="shared" si="61"/>
        <v>2853.9568622099364</v>
      </c>
      <c r="D55" s="37">
        <f t="shared" si="61"/>
        <v>7514.2518501203467</v>
      </c>
      <c r="E55" s="37">
        <f t="shared" si="61"/>
        <v>1046.2667567963279</v>
      </c>
      <c r="F55" s="37">
        <f t="shared" si="61"/>
        <v>3769.7870977115872</v>
      </c>
      <c r="G55" s="37">
        <f t="shared" si="61"/>
        <v>11275.956580643953</v>
      </c>
      <c r="H55" s="37">
        <f>SUM(C55:G55)</f>
        <v>26460.219147482152</v>
      </c>
      <c r="L55" s="23">
        <v>5</v>
      </c>
      <c r="M55" s="37">
        <f>H55</f>
        <v>26460.219147482152</v>
      </c>
      <c r="N55" s="23">
        <f>$H$7</f>
        <v>26404</v>
      </c>
      <c r="O55" s="23">
        <f>N55/M55</f>
        <v>0.9978753332627821</v>
      </c>
      <c r="R55" s="23">
        <v>5</v>
      </c>
      <c r="S55" s="37">
        <f t="shared" si="62"/>
        <v>2847.893154995344</v>
      </c>
      <c r="T55" s="37">
        <f t="shared" si="62"/>
        <v>7498.2865691593179</v>
      </c>
      <c r="U55" s="37">
        <f t="shared" si="62"/>
        <v>1044.0437886199059</v>
      </c>
      <c r="V55" s="37">
        <f t="shared" si="62"/>
        <v>3761.7775564586864</v>
      </c>
      <c r="W55" s="37">
        <f t="shared" si="62"/>
        <v>11251.998930766746</v>
      </c>
      <c r="X55" s="37">
        <f t="shared" si="63"/>
        <v>26404</v>
      </c>
      <c r="AG55" s="23">
        <v>5</v>
      </c>
      <c r="AH55" s="37">
        <f t="shared" si="64"/>
        <v>2849.7760569866869</v>
      </c>
      <c r="AI55" s="37">
        <f t="shared" si="65"/>
        <v>7539.6221999677118</v>
      </c>
      <c r="AJ55" s="37">
        <f t="shared" si="66"/>
        <v>1039.3710637633098</v>
      </c>
      <c r="AK55" s="37">
        <f t="shared" si="67"/>
        <v>3737.4931367521185</v>
      </c>
      <c r="AL55" s="37">
        <f t="shared" si="68"/>
        <v>11246.364069648091</v>
      </c>
      <c r="AM55" s="37">
        <f t="shared" si="69"/>
        <v>26412.626527117918</v>
      </c>
      <c r="AN55" s="35">
        <f>$H$7-AM55</f>
        <v>-8.6265271179181582</v>
      </c>
    </row>
    <row r="56" spans="2:40" x14ac:dyDescent="0.3">
      <c r="B56" s="23" t="s">
        <v>84</v>
      </c>
      <c r="C56" s="37">
        <f t="shared" ref="C56:H56" si="72">SUM(C51:C55)</f>
        <v>34062.000000000007</v>
      </c>
      <c r="D56" s="37">
        <f t="shared" si="72"/>
        <v>40879.999999999985</v>
      </c>
      <c r="E56" s="37">
        <f t="shared" si="72"/>
        <v>16777</v>
      </c>
      <c r="F56" s="37">
        <f t="shared" si="72"/>
        <v>24290</v>
      </c>
      <c r="G56" s="37">
        <f t="shared" si="72"/>
        <v>26702.000000000007</v>
      </c>
      <c r="H56" s="37">
        <f t="shared" si="72"/>
        <v>142711</v>
      </c>
      <c r="R56" s="23" t="s">
        <v>100</v>
      </c>
      <c r="S56" s="37">
        <f>SUM(S51:S55)</f>
        <v>34039.49457980325</v>
      </c>
      <c r="T56" s="37">
        <f t="shared" ref="T56" si="73">SUM(T51:T55)</f>
        <v>40655.877286337447</v>
      </c>
      <c r="U56" s="37">
        <f t="shared" ref="U56" si="74">SUM(U51:U55)</f>
        <v>16852.424752191258</v>
      </c>
      <c r="V56" s="37">
        <f t="shared" ref="V56" si="75">SUM(V51:V55)</f>
        <v>24447.824652270836</v>
      </c>
      <c r="W56" s="37">
        <f>SUM(W51:W55)</f>
        <v>26715.378729397209</v>
      </c>
      <c r="X56" s="37">
        <f t="shared" si="63"/>
        <v>142711</v>
      </c>
      <c r="AG56" s="23" t="s">
        <v>84</v>
      </c>
      <c r="AH56" s="37">
        <f>SUM(AH51:AH55)</f>
        <v>34062</v>
      </c>
      <c r="AI56" s="37">
        <f>SUM(AI51:AI55)</f>
        <v>40880</v>
      </c>
      <c r="AJ56" s="37">
        <f t="shared" ref="AJ56" si="76">SUM(AJ51:AJ55)</f>
        <v>16777</v>
      </c>
      <c r="AK56" s="37">
        <f t="shared" ref="AK56" si="77">SUM(AK51:AK55)</f>
        <v>24290</v>
      </c>
      <c r="AL56" s="37">
        <f t="shared" ref="AL56" si="78">SUM(AL51:AL55)</f>
        <v>26702</v>
      </c>
      <c r="AM56" s="37">
        <f>SUM(AH56:AL56)</f>
        <v>142711</v>
      </c>
      <c r="AN56" s="34" t="s">
        <v>91</v>
      </c>
    </row>
    <row r="57" spans="2:40" x14ac:dyDescent="0.3">
      <c r="G57" s="15"/>
      <c r="H57" s="15"/>
      <c r="X57" s="15"/>
      <c r="AG57" s="34" t="s">
        <v>86</v>
      </c>
      <c r="AH57" s="35">
        <f>$C$8-AH56</f>
        <v>0</v>
      </c>
      <c r="AI57" s="35">
        <f>$D$8-AI56</f>
        <v>0</v>
      </c>
      <c r="AJ57" s="35">
        <f>$E$8-AJ56</f>
        <v>0</v>
      </c>
      <c r="AK57" s="35">
        <f>$F$8-AK56</f>
        <v>0</v>
      </c>
      <c r="AL57" s="35">
        <f>$G$8-AL56</f>
        <v>0</v>
      </c>
      <c r="AM57" s="35"/>
      <c r="AN57" s="36">
        <f>SQRT((AH57^2+AI57^2+AJ57^2+AK57^2+AL57^2+AN51^2+AN52^2+AN53^2+AN54^2+AN55^2)/8)</f>
        <v>48.680077338386646</v>
      </c>
    </row>
    <row r="60" spans="2:40" x14ac:dyDescent="0.3">
      <c r="B60" s="33" t="s">
        <v>103</v>
      </c>
    </row>
    <row r="61" spans="2:40" x14ac:dyDescent="0.3">
      <c r="C61" s="14" t="s">
        <v>73</v>
      </c>
      <c r="L61" s="14" t="s">
        <v>74</v>
      </c>
      <c r="R61" s="14" t="s">
        <v>75</v>
      </c>
      <c r="Z61" s="14" t="s">
        <v>76</v>
      </c>
      <c r="AG61" s="14" t="s">
        <v>77</v>
      </c>
    </row>
    <row r="62" spans="2:40" x14ac:dyDescent="0.3">
      <c r="B62" s="23" t="s">
        <v>85</v>
      </c>
      <c r="C62" s="23">
        <v>1</v>
      </c>
      <c r="D62" s="23">
        <v>2</v>
      </c>
      <c r="E62" s="23">
        <v>3</v>
      </c>
      <c r="F62" s="23">
        <v>4</v>
      </c>
      <c r="G62" s="23">
        <v>5</v>
      </c>
      <c r="H62" s="23" t="s">
        <v>93</v>
      </c>
      <c r="L62" s="23" t="s">
        <v>0</v>
      </c>
      <c r="M62" s="23" t="s">
        <v>94</v>
      </c>
      <c r="N62" s="23" t="s">
        <v>81</v>
      </c>
      <c r="O62" s="23" t="s">
        <v>95</v>
      </c>
      <c r="R62" s="23" t="s">
        <v>96</v>
      </c>
      <c r="S62" s="23">
        <v>1</v>
      </c>
      <c r="T62" s="23">
        <v>2</v>
      </c>
      <c r="U62" s="23">
        <v>3</v>
      </c>
      <c r="V62" s="23">
        <v>4</v>
      </c>
      <c r="W62" s="23">
        <v>5</v>
      </c>
      <c r="X62" s="23" t="s">
        <v>84</v>
      </c>
      <c r="Z62" s="23" t="s">
        <v>0</v>
      </c>
      <c r="AA62" s="37">
        <v>1</v>
      </c>
      <c r="AB62" s="37">
        <v>2</v>
      </c>
      <c r="AC62" s="37">
        <v>3</v>
      </c>
      <c r="AD62" s="37">
        <v>4</v>
      </c>
      <c r="AE62" s="37">
        <v>5</v>
      </c>
      <c r="AG62" s="23" t="s">
        <v>97</v>
      </c>
      <c r="AH62" s="23">
        <v>1</v>
      </c>
      <c r="AI62" s="23">
        <v>2</v>
      </c>
      <c r="AJ62" s="23">
        <v>3</v>
      </c>
      <c r="AK62" s="23">
        <v>4</v>
      </c>
      <c r="AL62" s="23">
        <v>5</v>
      </c>
      <c r="AM62" s="23" t="s">
        <v>84</v>
      </c>
      <c r="AN62" s="34" t="s">
        <v>86</v>
      </c>
    </row>
    <row r="63" spans="2:40" x14ac:dyDescent="0.3">
      <c r="B63" s="23">
        <v>1</v>
      </c>
      <c r="C63" s="37">
        <f t="shared" ref="C63:G67" si="79">AH51</f>
        <v>16602.921659357162</v>
      </c>
      <c r="D63" s="37">
        <f t="shared" si="79"/>
        <v>6177.1181095464954</v>
      </c>
      <c r="E63" s="37">
        <f t="shared" si="79"/>
        <v>3406.1748189655659</v>
      </c>
      <c r="F63" s="37">
        <f t="shared" si="79"/>
        <v>2419.4223027824228</v>
      </c>
      <c r="G63" s="37">
        <f t="shared" si="79"/>
        <v>4095.1134814434813</v>
      </c>
      <c r="H63" s="37">
        <f>SUM(C63:G63)</f>
        <v>32700.750372095128</v>
      </c>
      <c r="L63" s="23">
        <v>1</v>
      </c>
      <c r="M63" s="37">
        <f>H63</f>
        <v>32700.750372095128</v>
      </c>
      <c r="N63" s="23">
        <f>$H$3</f>
        <v>32689</v>
      </c>
      <c r="O63" s="23">
        <f>N63/M63</f>
        <v>0.99964066964942933</v>
      </c>
      <c r="R63" s="23">
        <v>1</v>
      </c>
      <c r="S63" s="37">
        <f t="shared" ref="S63:W67" si="80">C63*$O63</f>
        <v>16596.955725696807</v>
      </c>
      <c r="T63" s="37">
        <f t="shared" si="80"/>
        <v>6174.8984835306755</v>
      </c>
      <c r="U63" s="37">
        <f t="shared" si="80"/>
        <v>3404.9508769737622</v>
      </c>
      <c r="V63" s="37">
        <f t="shared" si="80"/>
        <v>2418.5529309181857</v>
      </c>
      <c r="W63" s="37">
        <f t="shared" si="80"/>
        <v>4093.6419828805674</v>
      </c>
      <c r="X63" s="37">
        <f t="shared" ref="X63:X68" si="81">SUM(S63:W63)</f>
        <v>32689</v>
      </c>
      <c r="Z63" s="23" t="s">
        <v>98</v>
      </c>
      <c r="AA63" s="37">
        <f>S68</f>
        <v>34054.414334787187</v>
      </c>
      <c r="AB63" s="37">
        <f>T68</f>
        <v>40826.140902344538</v>
      </c>
      <c r="AC63" s="37">
        <f>U68</f>
        <v>16791.564699649938</v>
      </c>
      <c r="AD63" s="37">
        <f>V68</f>
        <v>24331.681022702247</v>
      </c>
      <c r="AE63" s="37">
        <f>W68</f>
        <v>26707.199040516083</v>
      </c>
      <c r="AG63" s="23">
        <v>1</v>
      </c>
      <c r="AH63" s="37">
        <f>C63*$O63*AA$65</f>
        <v>16600.652719233367</v>
      </c>
      <c r="AI63" s="37">
        <f>D63*$O63*AB$65</f>
        <v>6183.0445990607368</v>
      </c>
      <c r="AJ63" s="37">
        <f>E63*$O63*AC$65</f>
        <v>3401.9974841403387</v>
      </c>
      <c r="AK63" s="37">
        <f>F63*$O63*AD$65</f>
        <v>2414.4098649489197</v>
      </c>
      <c r="AL63" s="37">
        <f>G63*$O63*AE$65</f>
        <v>4092.8450812476012</v>
      </c>
      <c r="AM63" s="37">
        <f>SUM(AH63:AL63)</f>
        <v>32692.949748630963</v>
      </c>
      <c r="AN63" s="35">
        <f>$H$3-AM63</f>
        <v>-3.9497486309628584</v>
      </c>
    </row>
    <row r="64" spans="2:40" x14ac:dyDescent="0.3">
      <c r="B64" s="23">
        <v>2</v>
      </c>
      <c r="C64" s="37">
        <f t="shared" si="79"/>
        <v>6472.7122250866323</v>
      </c>
      <c r="D64" s="37">
        <f t="shared" si="79"/>
        <v>21673.557131337042</v>
      </c>
      <c r="E64" s="37">
        <f t="shared" si="79"/>
        <v>1327.9102222996512</v>
      </c>
      <c r="F64" s="37">
        <f t="shared" si="79"/>
        <v>2122.2472427371017</v>
      </c>
      <c r="G64" s="37">
        <f t="shared" si="79"/>
        <v>3592.1150618038769</v>
      </c>
      <c r="H64" s="37">
        <f>SUM(C64:G64)</f>
        <v>35188.541883264304</v>
      </c>
      <c r="L64" s="23">
        <v>2</v>
      </c>
      <c r="M64" s="37">
        <f>H64</f>
        <v>35188.541883264304</v>
      </c>
      <c r="N64" s="23">
        <f>$H$4</f>
        <v>35087</v>
      </c>
      <c r="O64" s="23">
        <f>N64/M64</f>
        <v>0.99711434808520449</v>
      </c>
      <c r="R64" s="23">
        <v>2</v>
      </c>
      <c r="S64" s="37">
        <f t="shared" si="80"/>
        <v>6454.0342306603907</v>
      </c>
      <c r="T64" s="37">
        <f t="shared" si="80"/>
        <v>21611.01478970057</v>
      </c>
      <c r="U64" s="37">
        <f t="shared" si="80"/>
        <v>1324.0783356239956</v>
      </c>
      <c r="V64" s="37">
        <f t="shared" si="80"/>
        <v>2116.1231759174279</v>
      </c>
      <c r="W64" s="37">
        <f t="shared" si="80"/>
        <v>3581.749468097617</v>
      </c>
      <c r="X64" s="37">
        <f t="shared" si="81"/>
        <v>35087</v>
      </c>
      <c r="Z64" s="23" t="s">
        <v>88</v>
      </c>
      <c r="AA64" s="37">
        <f>AA52</f>
        <v>34062</v>
      </c>
      <c r="AB64" s="37">
        <f>AB52</f>
        <v>40880</v>
      </c>
      <c r="AC64" s="37">
        <f>AC52</f>
        <v>16777</v>
      </c>
      <c r="AD64" s="37">
        <f>AD52</f>
        <v>24290</v>
      </c>
      <c r="AE64" s="37">
        <f>AE52</f>
        <v>26702</v>
      </c>
      <c r="AG64" s="23">
        <v>2</v>
      </c>
      <c r="AH64" s="37">
        <f t="shared" ref="AH64:AH67" si="82">C64*$O64*AA$65</f>
        <v>6455.4718752037534</v>
      </c>
      <c r="AI64" s="37">
        <f t="shared" ref="AI64:AI67" si="83">D64*$O64*AB$65</f>
        <v>21639.524703453531</v>
      </c>
      <c r="AJ64" s="37">
        <f t="shared" ref="AJ64:AJ67" si="84">E64*$O64*AC$65</f>
        <v>1322.9298540133595</v>
      </c>
      <c r="AK64" s="37">
        <f t="shared" ref="AK64:AK67" si="85">F64*$O64*AD$65</f>
        <v>2112.4981827221832</v>
      </c>
      <c r="AL64" s="37">
        <f t="shared" ref="AL64:AL67" si="86">G64*$O64*AE$65</f>
        <v>3581.0522156236734</v>
      </c>
      <c r="AM64" s="37">
        <f t="shared" ref="AM64:AM67" si="87">SUM(AH64:AL64)</f>
        <v>35111.476831016502</v>
      </c>
      <c r="AN64" s="35">
        <f>$H$4-AM64</f>
        <v>-24.476831016501819</v>
      </c>
    </row>
    <row r="65" spans="2:40" x14ac:dyDescent="0.3">
      <c r="B65" s="23">
        <v>3</v>
      </c>
      <c r="C65" s="37">
        <f t="shared" si="79"/>
        <v>5423.5638259971429</v>
      </c>
      <c r="D65" s="37">
        <f t="shared" si="79"/>
        <v>2905.6856872484555</v>
      </c>
      <c r="E65" s="37">
        <f t="shared" si="79"/>
        <v>10014.048262690747</v>
      </c>
      <c r="F65" s="37">
        <f t="shared" si="79"/>
        <v>1778.2566218409424</v>
      </c>
      <c r="G65" s="37">
        <f t="shared" si="79"/>
        <v>3009.8766375726295</v>
      </c>
      <c r="H65" s="37">
        <f>SUM(C65:G65)</f>
        <v>23131.431035349917</v>
      </c>
      <c r="L65" s="23">
        <v>3</v>
      </c>
      <c r="M65" s="37">
        <f>H65</f>
        <v>23131.431035349917</v>
      </c>
      <c r="N65" s="23">
        <f>$H$5</f>
        <v>23170</v>
      </c>
      <c r="O65" s="23">
        <f>N65/M65</f>
        <v>1.0016673834226313</v>
      </c>
      <c r="R65" s="23">
        <v>3</v>
      </c>
      <c r="S65" s="37">
        <f t="shared" si="80"/>
        <v>5432.6069864121928</v>
      </c>
      <c r="T65" s="37">
        <f t="shared" si="80"/>
        <v>2910.5305793947505</v>
      </c>
      <c r="U65" s="37">
        <f t="shared" si="80"/>
        <v>10030.745520757388</v>
      </c>
      <c r="V65" s="37">
        <f t="shared" si="80"/>
        <v>1781.2216574533843</v>
      </c>
      <c r="W65" s="37">
        <f t="shared" si="80"/>
        <v>3014.8952559822833</v>
      </c>
      <c r="X65" s="37">
        <f t="shared" si="81"/>
        <v>23170</v>
      </c>
      <c r="Z65" s="23" t="s">
        <v>99</v>
      </c>
      <c r="AA65" s="38">
        <f>AA64/AA63</f>
        <v>1.0002227513043753</v>
      </c>
      <c r="AB65" s="38">
        <f t="shared" ref="AB65:AC65" si="88">AB64/AB63</f>
        <v>1.0013192306807615</v>
      </c>
      <c r="AC65" s="38">
        <f t="shared" si="88"/>
        <v>0.99913261807875231</v>
      </c>
      <c r="AD65" s="38">
        <f>AD64/AD63</f>
        <v>0.99828696493828939</v>
      </c>
      <c r="AE65" s="38">
        <f t="shared" ref="AE65" si="89">AE64/AE63</f>
        <v>0.9998053318692014</v>
      </c>
      <c r="AG65" s="23">
        <v>3</v>
      </c>
      <c r="AH65" s="37">
        <f t="shared" si="82"/>
        <v>5433.8171067045741</v>
      </c>
      <c r="AI65" s="37">
        <f t="shared" si="83"/>
        <v>2914.3702406323823</v>
      </c>
      <c r="AJ65" s="37">
        <f t="shared" si="84"/>
        <v>10022.045033436047</v>
      </c>
      <c r="AK65" s="37">
        <f t="shared" si="85"/>
        <v>1778.1703623014885</v>
      </c>
      <c r="AL65" s="37">
        <f t="shared" si="86"/>
        <v>3014.3083519582478</v>
      </c>
      <c r="AM65" s="37">
        <f t="shared" si="87"/>
        <v>23162.711095032737</v>
      </c>
      <c r="AN65" s="35">
        <f>$H$5-AM65</f>
        <v>7.288904967263079</v>
      </c>
    </row>
    <row r="66" spans="2:40" x14ac:dyDescent="0.3">
      <c r="B66" s="23">
        <v>4</v>
      </c>
      <c r="C66" s="37">
        <f t="shared" si="79"/>
        <v>2713.0262325723775</v>
      </c>
      <c r="D66" s="37">
        <f t="shared" si="79"/>
        <v>2584.0168719002909</v>
      </c>
      <c r="E66" s="37">
        <f t="shared" si="79"/>
        <v>989.495632280726</v>
      </c>
      <c r="F66" s="37">
        <f t="shared" si="79"/>
        <v>14232.580695887415</v>
      </c>
      <c r="G66" s="37">
        <f t="shared" si="79"/>
        <v>4758.5307495319212</v>
      </c>
      <c r="H66" s="37">
        <f>SUM(C66:G66)</f>
        <v>25277.650182172729</v>
      </c>
      <c r="L66" s="23">
        <v>4</v>
      </c>
      <c r="M66" s="23">
        <f>H66</f>
        <v>25277.650182172729</v>
      </c>
      <c r="N66" s="23">
        <f>$H$6</f>
        <v>25361</v>
      </c>
      <c r="O66" s="23">
        <f>N66/M66</f>
        <v>1.0032973720748004</v>
      </c>
      <c r="R66" s="23">
        <v>4</v>
      </c>
      <c r="S66" s="37">
        <f t="shared" si="80"/>
        <v>2721.9720895098626</v>
      </c>
      <c r="T66" s="37">
        <f t="shared" si="80"/>
        <v>2592.537336974508</v>
      </c>
      <c r="U66" s="37">
        <f t="shared" si="80"/>
        <v>992.75836754674549</v>
      </c>
      <c r="V66" s="37">
        <f t="shared" si="80"/>
        <v>14279.510810026377</v>
      </c>
      <c r="W66" s="37">
        <f t="shared" si="80"/>
        <v>4774.2213959425071</v>
      </c>
      <c r="X66" s="37">
        <f t="shared" si="81"/>
        <v>25361</v>
      </c>
      <c r="AG66" s="23">
        <v>4</v>
      </c>
      <c r="AH66" s="37">
        <f t="shared" si="82"/>
        <v>2722.5784123432741</v>
      </c>
      <c r="AI66" s="37">
        <f t="shared" si="83"/>
        <v>2595.9574917704645</v>
      </c>
      <c r="AJ66" s="37">
        <f t="shared" si="84"/>
        <v>991.8972668865681</v>
      </c>
      <c r="AK66" s="37">
        <f t="shared" si="85"/>
        <v>14255.049507344725</v>
      </c>
      <c r="AL66" s="37">
        <f t="shared" si="86"/>
        <v>4773.2920071873405</v>
      </c>
      <c r="AM66" s="37">
        <f t="shared" si="87"/>
        <v>25338.774685532375</v>
      </c>
      <c r="AN66" s="35">
        <f>$H$6-AM66</f>
        <v>22.22531446762514</v>
      </c>
    </row>
    <row r="67" spans="2:40" x14ac:dyDescent="0.3">
      <c r="B67" s="23">
        <v>5</v>
      </c>
      <c r="C67" s="37">
        <f t="shared" si="79"/>
        <v>2849.7760569866869</v>
      </c>
      <c r="D67" s="37">
        <f t="shared" si="79"/>
        <v>7539.6221999677118</v>
      </c>
      <c r="E67" s="37">
        <f t="shared" si="79"/>
        <v>1039.3710637633098</v>
      </c>
      <c r="F67" s="37">
        <f t="shared" si="79"/>
        <v>3737.4931367521185</v>
      </c>
      <c r="G67" s="37">
        <f t="shared" si="79"/>
        <v>11246.364069648091</v>
      </c>
      <c r="H67" s="37">
        <f>SUM(C67:G67)</f>
        <v>26412.626527117918</v>
      </c>
      <c r="L67" s="23">
        <v>5</v>
      </c>
      <c r="M67" s="37">
        <f>H67</f>
        <v>26412.626527117918</v>
      </c>
      <c r="N67" s="23">
        <f>$H$7</f>
        <v>26404</v>
      </c>
      <c r="O67" s="23">
        <f>N67/M67</f>
        <v>0.99967339381757203</v>
      </c>
      <c r="R67" s="23">
        <v>5</v>
      </c>
      <c r="S67" s="37">
        <f t="shared" si="80"/>
        <v>2848.8453025079398</v>
      </c>
      <c r="T67" s="37">
        <f t="shared" si="80"/>
        <v>7537.1597127440309</v>
      </c>
      <c r="U67" s="37">
        <f t="shared" si="80"/>
        <v>1039.0315987480481</v>
      </c>
      <c r="V67" s="37">
        <f t="shared" si="80"/>
        <v>3736.2724483868733</v>
      </c>
      <c r="W67" s="37">
        <f t="shared" si="80"/>
        <v>11242.690937613108</v>
      </c>
      <c r="X67" s="37">
        <f t="shared" si="81"/>
        <v>26404</v>
      </c>
      <c r="AG67" s="23">
        <v>5</v>
      </c>
      <c r="AH67" s="37">
        <f t="shared" si="82"/>
        <v>2849.4798865150369</v>
      </c>
      <c r="AI67" s="37">
        <f t="shared" si="83"/>
        <v>7547.1029650828823</v>
      </c>
      <c r="AJ67" s="37">
        <f t="shared" si="84"/>
        <v>1038.1303615236889</v>
      </c>
      <c r="AK67" s="37">
        <f t="shared" si="85"/>
        <v>3729.8720826826834</v>
      </c>
      <c r="AL67" s="37">
        <f t="shared" si="86"/>
        <v>11240.502343983137</v>
      </c>
      <c r="AM67" s="37">
        <f t="shared" si="87"/>
        <v>26405.087639787427</v>
      </c>
      <c r="AN67" s="35">
        <f>$H$7-AM67</f>
        <v>-1.0876397874271788</v>
      </c>
    </row>
    <row r="68" spans="2:40" x14ac:dyDescent="0.3">
      <c r="B68" s="23" t="s">
        <v>84</v>
      </c>
      <c r="C68" s="37">
        <f t="shared" ref="C68:H68" si="90">SUM(C63:C67)</f>
        <v>34062</v>
      </c>
      <c r="D68" s="37">
        <f t="shared" si="90"/>
        <v>40880</v>
      </c>
      <c r="E68" s="37">
        <f t="shared" si="90"/>
        <v>16777</v>
      </c>
      <c r="F68" s="37">
        <f t="shared" si="90"/>
        <v>24290</v>
      </c>
      <c r="G68" s="37">
        <f t="shared" si="90"/>
        <v>26702</v>
      </c>
      <c r="H68" s="37">
        <f t="shared" si="90"/>
        <v>142711</v>
      </c>
      <c r="R68" s="23" t="s">
        <v>100</v>
      </c>
      <c r="S68" s="37">
        <f>SUM(S63:S67)</f>
        <v>34054.414334787187</v>
      </c>
      <c r="T68" s="37">
        <f t="shared" ref="T68" si="91">SUM(T63:T67)</f>
        <v>40826.140902344538</v>
      </c>
      <c r="U68" s="37">
        <f t="shared" ref="U68" si="92">SUM(U63:U67)</f>
        <v>16791.564699649938</v>
      </c>
      <c r="V68" s="37">
        <f t="shared" ref="V68" si="93">SUM(V63:V67)</f>
        <v>24331.681022702247</v>
      </c>
      <c r="W68" s="37">
        <f>SUM(W63:W67)</f>
        <v>26707.199040516083</v>
      </c>
      <c r="X68" s="37">
        <f t="shared" si="81"/>
        <v>142711</v>
      </c>
      <c r="AG68" s="23" t="s">
        <v>84</v>
      </c>
      <c r="AH68" s="37">
        <f>SUM(AH63:AH67)</f>
        <v>34062</v>
      </c>
      <c r="AI68" s="37">
        <f>SUM(AI63:AI67)</f>
        <v>40880</v>
      </c>
      <c r="AJ68" s="37">
        <f t="shared" ref="AJ68" si="94">SUM(AJ63:AJ67)</f>
        <v>16777.000000000004</v>
      </c>
      <c r="AK68" s="37">
        <f t="shared" ref="AK68" si="95">SUM(AK63:AK67)</f>
        <v>24290</v>
      </c>
      <c r="AL68" s="37">
        <f t="shared" ref="AL68" si="96">SUM(AL63:AL67)</f>
        <v>26702</v>
      </c>
      <c r="AM68" s="37">
        <f>SUM(AH68:AL68)</f>
        <v>142711</v>
      </c>
      <c r="AN68" s="34" t="s">
        <v>91</v>
      </c>
    </row>
    <row r="69" spans="2:40" x14ac:dyDescent="0.3">
      <c r="G69" s="15"/>
      <c r="H69" s="15"/>
      <c r="X69" s="15"/>
      <c r="AG69" s="34" t="s">
        <v>86</v>
      </c>
      <c r="AH69" s="35">
        <f>$C$8-AH68</f>
        <v>0</v>
      </c>
      <c r="AI69" s="35">
        <f>$D$8-AI68</f>
        <v>0</v>
      </c>
      <c r="AJ69" s="35">
        <f>$E$8-AJ68</f>
        <v>0</v>
      </c>
      <c r="AK69" s="35">
        <f>$F$8-AK68</f>
        <v>0</v>
      </c>
      <c r="AL69" s="35">
        <f>$G$8-AL68</f>
        <v>0</v>
      </c>
      <c r="AM69" s="35"/>
      <c r="AN69" s="36">
        <f>SQRT((AH69^2+AI69^2+AJ69^2+AK69^2+AL69^2+AN63^2+AN64^2+AN65^2+AN66^2+AN67^2)/8)</f>
        <v>12.057111335079355</v>
      </c>
    </row>
    <row r="72" spans="2:40" x14ac:dyDescent="0.3">
      <c r="B72" s="33" t="s">
        <v>104</v>
      </c>
    </row>
    <row r="73" spans="2:40" x14ac:dyDescent="0.3">
      <c r="C73" s="14" t="s">
        <v>73</v>
      </c>
      <c r="L73" s="14" t="s">
        <v>74</v>
      </c>
      <c r="R73" s="14" t="s">
        <v>75</v>
      </c>
      <c r="Z73" s="14" t="s">
        <v>76</v>
      </c>
      <c r="AG73" s="14" t="s">
        <v>77</v>
      </c>
    </row>
    <row r="74" spans="2:40" x14ac:dyDescent="0.3">
      <c r="B74" s="23" t="s">
        <v>85</v>
      </c>
      <c r="C74" s="23">
        <v>1</v>
      </c>
      <c r="D74" s="23">
        <v>2</v>
      </c>
      <c r="E74" s="23">
        <v>3</v>
      </c>
      <c r="F74" s="23">
        <v>4</v>
      </c>
      <c r="G74" s="23">
        <v>5</v>
      </c>
      <c r="H74" s="23" t="s">
        <v>93</v>
      </c>
      <c r="L74" s="23" t="s">
        <v>0</v>
      </c>
      <c r="M74" s="23" t="s">
        <v>94</v>
      </c>
      <c r="N74" s="23" t="s">
        <v>81</v>
      </c>
      <c r="O74" s="23" t="s">
        <v>95</v>
      </c>
      <c r="R74" s="23" t="s">
        <v>96</v>
      </c>
      <c r="S74" s="23">
        <v>1</v>
      </c>
      <c r="T74" s="23">
        <v>2</v>
      </c>
      <c r="U74" s="23">
        <v>3</v>
      </c>
      <c r="V74" s="23">
        <v>4</v>
      </c>
      <c r="W74" s="23">
        <v>5</v>
      </c>
      <c r="X74" s="23" t="s">
        <v>84</v>
      </c>
      <c r="Z74" s="23" t="s">
        <v>0</v>
      </c>
      <c r="AA74" s="37">
        <v>1</v>
      </c>
      <c r="AB74" s="37">
        <v>2</v>
      </c>
      <c r="AC74" s="37">
        <v>3</v>
      </c>
      <c r="AD74" s="37">
        <v>4</v>
      </c>
      <c r="AE74" s="37">
        <v>5</v>
      </c>
      <c r="AG74" s="23" t="s">
        <v>97</v>
      </c>
      <c r="AH74" s="23">
        <v>1</v>
      </c>
      <c r="AI74" s="23">
        <v>2</v>
      </c>
      <c r="AJ74" s="23">
        <v>3</v>
      </c>
      <c r="AK74" s="23">
        <v>4</v>
      </c>
      <c r="AL74" s="23">
        <v>5</v>
      </c>
      <c r="AM74" s="23" t="s">
        <v>84</v>
      </c>
      <c r="AN74" s="34" t="s">
        <v>86</v>
      </c>
    </row>
    <row r="75" spans="2:40" x14ac:dyDescent="0.3">
      <c r="B75" s="23">
        <v>1</v>
      </c>
      <c r="C75" s="37">
        <f t="shared" ref="C75:G79" si="97">AH63</f>
        <v>16600.652719233367</v>
      </c>
      <c r="D75" s="37">
        <f t="shared" si="97"/>
        <v>6183.0445990607368</v>
      </c>
      <c r="E75" s="37">
        <f t="shared" si="97"/>
        <v>3401.9974841403387</v>
      </c>
      <c r="F75" s="37">
        <f t="shared" si="97"/>
        <v>2414.4098649489197</v>
      </c>
      <c r="G75" s="37">
        <f t="shared" si="97"/>
        <v>4092.8450812476012</v>
      </c>
      <c r="H75" s="37">
        <f>SUM(C75:G75)</f>
        <v>32692.949748630963</v>
      </c>
      <c r="L75" s="23">
        <v>1</v>
      </c>
      <c r="M75" s="37">
        <f>H75</f>
        <v>32692.949748630963</v>
      </c>
      <c r="N75" s="23">
        <f>$H$3</f>
        <v>32689</v>
      </c>
      <c r="O75" s="23">
        <f>N75/M75</f>
        <v>0.99987918653222385</v>
      </c>
      <c r="R75" s="23">
        <v>1</v>
      </c>
      <c r="S75" s="37">
        <f t="shared" ref="S75:W79" si="98">C75*$O75</f>
        <v>16598.647136811011</v>
      </c>
      <c r="T75" s="37">
        <f t="shared" si="98"/>
        <v>6182.29760400131</v>
      </c>
      <c r="U75" s="37">
        <f t="shared" si="98"/>
        <v>3401.5864770269141</v>
      </c>
      <c r="V75" s="37">
        <f t="shared" si="98"/>
        <v>2414.1181717205022</v>
      </c>
      <c r="W75" s="37">
        <f t="shared" si="98"/>
        <v>4092.350610440265</v>
      </c>
      <c r="X75" s="37">
        <f t="shared" ref="X75:X80" si="99">SUM(S75:W75)</f>
        <v>32689.000000000004</v>
      </c>
      <c r="Z75" s="23" t="s">
        <v>98</v>
      </c>
      <c r="AA75" s="37">
        <f>S80</f>
        <v>34059.474796864059</v>
      </c>
      <c r="AB75" s="37">
        <f>T80</f>
        <v>40867.050926049909</v>
      </c>
      <c r="AC75" s="37">
        <f>U80</f>
        <v>16779.647777887185</v>
      </c>
      <c r="AD75" s="37">
        <f>V80</f>
        <v>24301.145054773759</v>
      </c>
      <c r="AE75" s="37">
        <f>W80</f>
        <v>26703.681444425085</v>
      </c>
      <c r="AG75" s="23">
        <v>1</v>
      </c>
      <c r="AH75" s="37">
        <f>C75*$O75*AA$77</f>
        <v>16599.877776920766</v>
      </c>
      <c r="AI75" s="37">
        <f>D75*$O75*AB$77</f>
        <v>6184.2565177727129</v>
      </c>
      <c r="AJ75" s="37">
        <f>E75*$O75*AC$77</f>
        <v>3401.0497169247687</v>
      </c>
      <c r="AK75" s="37">
        <f>F75*$O75*AD$77</f>
        <v>2413.0110025235981</v>
      </c>
      <c r="AL75" s="37">
        <f>G75*$O75*AE$77</f>
        <v>4092.0929283624682</v>
      </c>
      <c r="AM75" s="37">
        <f>SUM(AH75:AL75)</f>
        <v>32690.287942504314</v>
      </c>
      <c r="AN75" s="35">
        <f>$H$3-AM75</f>
        <v>-1.2879425043138326</v>
      </c>
    </row>
    <row r="76" spans="2:40" x14ac:dyDescent="0.3">
      <c r="B76" s="23">
        <v>2</v>
      </c>
      <c r="C76" s="37">
        <f t="shared" si="97"/>
        <v>6455.4718752037534</v>
      </c>
      <c r="D76" s="37">
        <f t="shared" si="97"/>
        <v>21639.524703453531</v>
      </c>
      <c r="E76" s="37">
        <f t="shared" si="97"/>
        <v>1322.9298540133595</v>
      </c>
      <c r="F76" s="37">
        <f t="shared" si="97"/>
        <v>2112.4981827221832</v>
      </c>
      <c r="G76" s="37">
        <f t="shared" si="97"/>
        <v>3581.0522156236734</v>
      </c>
      <c r="H76" s="37">
        <f>SUM(C76:G76)</f>
        <v>35111.476831016502</v>
      </c>
      <c r="L76" s="23">
        <v>2</v>
      </c>
      <c r="M76" s="37">
        <f>H76</f>
        <v>35111.476831016502</v>
      </c>
      <c r="N76" s="23">
        <f>$H$4</f>
        <v>35087</v>
      </c>
      <c r="O76" s="23">
        <f>N76/M76</f>
        <v>0.99930288232721443</v>
      </c>
      <c r="R76" s="23">
        <v>2</v>
      </c>
      <c r="S76" s="37">
        <f t="shared" si="98"/>
        <v>6450.9716516733788</v>
      </c>
      <c r="T76" s="37">
        <f t="shared" si="98"/>
        <v>21624.439408352075</v>
      </c>
      <c r="U76" s="37">
        <f t="shared" si="98"/>
        <v>1322.0076162322712</v>
      </c>
      <c r="V76" s="37">
        <f t="shared" si="98"/>
        <v>2111.02552290528</v>
      </c>
      <c r="W76" s="37">
        <f t="shared" si="98"/>
        <v>3578.5558008369944</v>
      </c>
      <c r="X76" s="37">
        <f t="shared" si="99"/>
        <v>35086.999999999993</v>
      </c>
      <c r="Z76" s="23" t="s">
        <v>88</v>
      </c>
      <c r="AA76" s="37">
        <f>AA64</f>
        <v>34062</v>
      </c>
      <c r="AB76" s="37">
        <f>AB64</f>
        <v>40880</v>
      </c>
      <c r="AC76" s="37">
        <f>AC64</f>
        <v>16777</v>
      </c>
      <c r="AD76" s="37">
        <f>AD64</f>
        <v>24290</v>
      </c>
      <c r="AE76" s="37">
        <f>AE64</f>
        <v>26702</v>
      </c>
      <c r="AG76" s="23">
        <v>2</v>
      </c>
      <c r="AH76" s="37">
        <f t="shared" ref="AH76:AH79" si="100">C76*$O76*AA$77</f>
        <v>6451.4499330896906</v>
      </c>
      <c r="AI76" s="37">
        <f t="shared" ref="AI76:AI79" si="101">D76*$O76*AB$77</f>
        <v>21631.291296577008</v>
      </c>
      <c r="AJ76" s="37">
        <f t="shared" ref="AJ76:AJ79" si="102">E76*$O76*AC$77</f>
        <v>1321.7990074116758</v>
      </c>
      <c r="AK76" s="37">
        <f t="shared" ref="AK76:AK79" si="103">F76*$O76*AD$77</f>
        <v>2110.0573588525758</v>
      </c>
      <c r="AL76" s="37">
        <f t="shared" ref="AL76:AL79" si="104">G76*$O76*AE$77</f>
        <v>3578.3304707560583</v>
      </c>
      <c r="AM76" s="37">
        <f t="shared" ref="AM76:AM79" si="105">SUM(AH76:AL76)</f>
        <v>35092.928066687011</v>
      </c>
      <c r="AN76" s="35">
        <f>$H$4-AM76</f>
        <v>-5.9280666870108689</v>
      </c>
    </row>
    <row r="77" spans="2:40" x14ac:dyDescent="0.3">
      <c r="B77" s="23">
        <v>3</v>
      </c>
      <c r="C77" s="37">
        <f t="shared" si="97"/>
        <v>5433.8171067045741</v>
      </c>
      <c r="D77" s="37">
        <f t="shared" si="97"/>
        <v>2914.3702406323823</v>
      </c>
      <c r="E77" s="37">
        <f t="shared" si="97"/>
        <v>10022.045033436047</v>
      </c>
      <c r="F77" s="37">
        <f t="shared" si="97"/>
        <v>1778.1703623014885</v>
      </c>
      <c r="G77" s="37">
        <f t="shared" si="97"/>
        <v>3014.3083519582478</v>
      </c>
      <c r="H77" s="37">
        <f>SUM(C77:G77)</f>
        <v>23162.711095032737</v>
      </c>
      <c r="L77" s="23">
        <v>3</v>
      </c>
      <c r="M77" s="37">
        <f>H77</f>
        <v>23162.711095032737</v>
      </c>
      <c r="N77" s="23">
        <f>$H$5</f>
        <v>23170</v>
      </c>
      <c r="O77" s="23">
        <f>N77/M77</f>
        <v>1.0003146827216105</v>
      </c>
      <c r="R77" s="23">
        <v>3</v>
      </c>
      <c r="S77" s="37">
        <f t="shared" si="98"/>
        <v>5435.527035060446</v>
      </c>
      <c r="T77" s="37">
        <f t="shared" si="98"/>
        <v>2915.287342591485</v>
      </c>
      <c r="U77" s="37">
        <f t="shared" si="98"/>
        <v>10025.198797843272</v>
      </c>
      <c r="V77" s="37">
        <f t="shared" si="98"/>
        <v>1778.7299217905847</v>
      </c>
      <c r="W77" s="37">
        <f t="shared" si="98"/>
        <v>3015.2569027142154</v>
      </c>
      <c r="X77" s="37">
        <f t="shared" si="99"/>
        <v>23170.000000000004</v>
      </c>
      <c r="Z77" s="23" t="s">
        <v>99</v>
      </c>
      <c r="AA77" s="38">
        <f>AA76/AA75</f>
        <v>1.0000741409886971</v>
      </c>
      <c r="AB77" s="38">
        <f t="shared" ref="AB77:AC77" si="106">AB76/AB75</f>
        <v>1.0003168585365634</v>
      </c>
      <c r="AC77" s="38">
        <f t="shared" si="106"/>
        <v>0.99984220301151527</v>
      </c>
      <c r="AD77" s="38">
        <f>AD76/AD75</f>
        <v>0.99954137738165683</v>
      </c>
      <c r="AE77" s="38">
        <f t="shared" ref="AE77" si="107">AE76/AE75</f>
        <v>0.99993703323533933</v>
      </c>
      <c r="AG77" s="23">
        <v>3</v>
      </c>
      <c r="AH77" s="37">
        <f t="shared" si="100"/>
        <v>5435.9300304089147</v>
      </c>
      <c r="AI77" s="37">
        <f t="shared" si="101"/>
        <v>2916.2110762725201</v>
      </c>
      <c r="AJ77" s="37">
        <f t="shared" si="102"/>
        <v>10023.616851664012</v>
      </c>
      <c r="AK77" s="37">
        <f t="shared" si="103"/>
        <v>1777.9141560165278</v>
      </c>
      <c r="AL77" s="37">
        <f t="shared" si="104"/>
        <v>3015.0670417424308</v>
      </c>
      <c r="AM77" s="37">
        <f t="shared" si="105"/>
        <v>23168.739156104402</v>
      </c>
      <c r="AN77" s="35">
        <f>$H$5-AM77</f>
        <v>1.2608438955976453</v>
      </c>
    </row>
    <row r="78" spans="2:40" x14ac:dyDescent="0.3">
      <c r="B78" s="23">
        <v>4</v>
      </c>
      <c r="C78" s="37">
        <f t="shared" si="97"/>
        <v>2722.5784123432741</v>
      </c>
      <c r="D78" s="37">
        <f t="shared" si="97"/>
        <v>2595.9574917704645</v>
      </c>
      <c r="E78" s="37">
        <f t="shared" si="97"/>
        <v>991.8972668865681</v>
      </c>
      <c r="F78" s="37">
        <f t="shared" si="97"/>
        <v>14255.049507344725</v>
      </c>
      <c r="G78" s="37">
        <f t="shared" si="97"/>
        <v>4773.2920071873405</v>
      </c>
      <c r="H78" s="37">
        <f>SUM(C78:G78)</f>
        <v>25338.774685532375</v>
      </c>
      <c r="L78" s="23">
        <v>4</v>
      </c>
      <c r="M78" s="23">
        <f>H78</f>
        <v>25338.774685532375</v>
      </c>
      <c r="N78" s="23">
        <f>$H$6</f>
        <v>25361</v>
      </c>
      <c r="O78" s="23">
        <f>N78/M78</f>
        <v>1.0008771266465508</v>
      </c>
      <c r="R78" s="23">
        <v>4</v>
      </c>
      <c r="S78" s="37">
        <f t="shared" si="98"/>
        <v>2724.9664584160646</v>
      </c>
      <c r="T78" s="37">
        <f t="shared" si="98"/>
        <v>2598.2344752598096</v>
      </c>
      <c r="U78" s="37">
        <f t="shared" si="98"/>
        <v>992.76728640999522</v>
      </c>
      <c r="V78" s="37">
        <f t="shared" si="98"/>
        <v>14267.552991115519</v>
      </c>
      <c r="W78" s="37">
        <f t="shared" si="98"/>
        <v>4777.4787887986122</v>
      </c>
      <c r="X78" s="37">
        <f t="shared" si="99"/>
        <v>25361.000000000004</v>
      </c>
      <c r="AG78" s="23">
        <v>4</v>
      </c>
      <c r="AH78" s="37">
        <f t="shared" si="100"/>
        <v>2725.168490123458</v>
      </c>
      <c r="AI78" s="37">
        <f t="shared" si="101"/>
        <v>2599.057748033289</v>
      </c>
      <c r="AJ78" s="37">
        <f t="shared" si="102"/>
        <v>992.6106307219336</v>
      </c>
      <c r="AK78" s="37">
        <f t="shared" si="103"/>
        <v>14261.009568605383</v>
      </c>
      <c r="AL78" s="37">
        <f t="shared" si="104"/>
        <v>4777.1779664160467</v>
      </c>
      <c r="AM78" s="37">
        <f t="shared" si="105"/>
        <v>25355.024403900108</v>
      </c>
      <c r="AN78" s="35">
        <f>$H$6-AM78</f>
        <v>5.9755960998918454</v>
      </c>
    </row>
    <row r="79" spans="2:40" x14ac:dyDescent="0.3">
      <c r="B79" s="23">
        <v>5</v>
      </c>
      <c r="C79" s="37">
        <f t="shared" si="97"/>
        <v>2849.4798865150369</v>
      </c>
      <c r="D79" s="37">
        <f t="shared" si="97"/>
        <v>7547.1029650828823</v>
      </c>
      <c r="E79" s="37">
        <f t="shared" si="97"/>
        <v>1038.1303615236889</v>
      </c>
      <c r="F79" s="37">
        <f t="shared" si="97"/>
        <v>3729.8720826826834</v>
      </c>
      <c r="G79" s="37">
        <f t="shared" si="97"/>
        <v>11240.502343983137</v>
      </c>
      <c r="H79" s="37">
        <f>SUM(C79:G79)</f>
        <v>26405.087639787427</v>
      </c>
      <c r="L79" s="23">
        <v>5</v>
      </c>
      <c r="M79" s="37">
        <f>H79</f>
        <v>26405.087639787427</v>
      </c>
      <c r="N79" s="23">
        <f>$H$7</f>
        <v>26404</v>
      </c>
      <c r="O79" s="23">
        <f>N79/M79</f>
        <v>0.99995880946118165</v>
      </c>
      <c r="R79" s="23">
        <v>5</v>
      </c>
      <c r="S79" s="37">
        <f t="shared" si="98"/>
        <v>2849.3625149031595</v>
      </c>
      <c r="T79" s="37">
        <f t="shared" si="98"/>
        <v>7546.7920958452332</v>
      </c>
      <c r="U79" s="37">
        <f t="shared" si="98"/>
        <v>1038.0876003747339</v>
      </c>
      <c r="V79" s="37">
        <f t="shared" si="98"/>
        <v>3729.7184472418744</v>
      </c>
      <c r="W79" s="37">
        <f t="shared" si="98"/>
        <v>11240.039341635</v>
      </c>
      <c r="X79" s="37">
        <f t="shared" si="99"/>
        <v>26404</v>
      </c>
      <c r="AG79" s="23">
        <v>5</v>
      </c>
      <c r="AH79" s="37">
        <f t="shared" si="100"/>
        <v>2849.5737694571708</v>
      </c>
      <c r="AI79" s="37">
        <f t="shared" si="101"/>
        <v>7549.1833613444705</v>
      </c>
      <c r="AJ79" s="37">
        <f t="shared" si="102"/>
        <v>1037.9237932776114</v>
      </c>
      <c r="AK79" s="37">
        <f t="shared" si="103"/>
        <v>3728.0079140019175</v>
      </c>
      <c r="AL79" s="37">
        <f t="shared" si="104"/>
        <v>11239.331592722998</v>
      </c>
      <c r="AM79" s="37">
        <f t="shared" si="105"/>
        <v>26404.020430804168</v>
      </c>
      <c r="AN79" s="35">
        <f>$H$7-AM79</f>
        <v>-2.043080416842713E-2</v>
      </c>
    </row>
    <row r="80" spans="2:40" x14ac:dyDescent="0.3">
      <c r="B80" s="23" t="s">
        <v>84</v>
      </c>
      <c r="C80" s="37">
        <f t="shared" ref="C80:H80" si="108">SUM(C75:C79)</f>
        <v>34062</v>
      </c>
      <c r="D80" s="37">
        <f t="shared" si="108"/>
        <v>40880</v>
      </c>
      <c r="E80" s="37">
        <f t="shared" si="108"/>
        <v>16777.000000000004</v>
      </c>
      <c r="F80" s="37">
        <f t="shared" si="108"/>
        <v>24290</v>
      </c>
      <c r="G80" s="37">
        <f t="shared" si="108"/>
        <v>26702</v>
      </c>
      <c r="H80" s="37">
        <f t="shared" si="108"/>
        <v>142711</v>
      </c>
      <c r="R80" s="23" t="s">
        <v>100</v>
      </c>
      <c r="S80" s="37">
        <f>SUM(S75:S79)</f>
        <v>34059.474796864059</v>
      </c>
      <c r="T80" s="37">
        <f t="shared" ref="T80" si="109">SUM(T75:T79)</f>
        <v>40867.050926049909</v>
      </c>
      <c r="U80" s="37">
        <f t="shared" ref="U80" si="110">SUM(U75:U79)</f>
        <v>16779.647777887185</v>
      </c>
      <c r="V80" s="37">
        <f t="shared" ref="V80" si="111">SUM(V75:V79)</f>
        <v>24301.145054773759</v>
      </c>
      <c r="W80" s="37">
        <f>SUM(W75:W79)</f>
        <v>26703.681444425085</v>
      </c>
      <c r="X80" s="37">
        <f t="shared" si="99"/>
        <v>142711</v>
      </c>
      <c r="AG80" s="23" t="s">
        <v>84</v>
      </c>
      <c r="AH80" s="37">
        <f>SUM(AH75:AH79)</f>
        <v>34062</v>
      </c>
      <c r="AI80" s="37">
        <f>SUM(AI75:AI79)</f>
        <v>40880</v>
      </c>
      <c r="AJ80" s="37">
        <f t="shared" ref="AJ80" si="112">SUM(AJ75:AJ79)</f>
        <v>16777.000000000004</v>
      </c>
      <c r="AK80" s="37">
        <f t="shared" ref="AK80" si="113">SUM(AK75:AK79)</f>
        <v>24290.000000000004</v>
      </c>
      <c r="AL80" s="37">
        <f t="shared" ref="AL80" si="114">SUM(AL75:AL79)</f>
        <v>26702</v>
      </c>
      <c r="AM80" s="37">
        <f>SUM(AH80:AL80)</f>
        <v>142711</v>
      </c>
      <c r="AN80" s="34" t="s">
        <v>91</v>
      </c>
    </row>
    <row r="81" spans="2:40" x14ac:dyDescent="0.3">
      <c r="G81" s="15"/>
      <c r="H81" s="15"/>
      <c r="X81" s="15"/>
      <c r="AG81" s="34" t="s">
        <v>86</v>
      </c>
      <c r="AH81" s="35">
        <f>$C$8-AH80</f>
        <v>0</v>
      </c>
      <c r="AI81" s="35">
        <f>$D$8-AI80</f>
        <v>0</v>
      </c>
      <c r="AJ81" s="35">
        <f>$E$8-AJ80</f>
        <v>0</v>
      </c>
      <c r="AK81" s="35">
        <f>$F$8-AK80</f>
        <v>0</v>
      </c>
      <c r="AL81" s="35">
        <f>$G$8-AL80</f>
        <v>0</v>
      </c>
      <c r="AM81" s="35"/>
      <c r="AN81" s="36">
        <f>SQRT((AH81^2+AI81^2+AJ81^2+AK81^2+AL81^2+AN75^2+AN76^2+AN77^2+AN78^2+AN79^2)/8)</f>
        <v>3.0434081232216799</v>
      </c>
    </row>
    <row r="84" spans="2:40" x14ac:dyDescent="0.3">
      <c r="B84" s="33" t="s">
        <v>105</v>
      </c>
    </row>
    <row r="85" spans="2:40" x14ac:dyDescent="0.3">
      <c r="C85" s="14" t="s">
        <v>73</v>
      </c>
      <c r="L85" s="14" t="s">
        <v>74</v>
      </c>
      <c r="R85" s="14" t="s">
        <v>75</v>
      </c>
      <c r="Z85" s="14" t="s">
        <v>76</v>
      </c>
      <c r="AG85" s="14" t="s">
        <v>77</v>
      </c>
    </row>
    <row r="86" spans="2:40" x14ac:dyDescent="0.3">
      <c r="B86" s="23" t="s">
        <v>85</v>
      </c>
      <c r="C86" s="23">
        <v>1</v>
      </c>
      <c r="D86" s="23">
        <v>2</v>
      </c>
      <c r="E86" s="23">
        <v>3</v>
      </c>
      <c r="F86" s="23">
        <v>4</v>
      </c>
      <c r="G86" s="23">
        <v>5</v>
      </c>
      <c r="H86" s="23" t="s">
        <v>93</v>
      </c>
      <c r="L86" s="23" t="s">
        <v>0</v>
      </c>
      <c r="M86" s="23" t="s">
        <v>94</v>
      </c>
      <c r="N86" s="23" t="s">
        <v>81</v>
      </c>
      <c r="O86" s="23" t="s">
        <v>95</v>
      </c>
      <c r="R86" s="23" t="s">
        <v>96</v>
      </c>
      <c r="S86" s="23">
        <v>1</v>
      </c>
      <c r="T86" s="23">
        <v>2</v>
      </c>
      <c r="U86" s="23">
        <v>3</v>
      </c>
      <c r="V86" s="23">
        <v>4</v>
      </c>
      <c r="W86" s="23">
        <v>5</v>
      </c>
      <c r="X86" s="23" t="s">
        <v>84</v>
      </c>
      <c r="Z86" s="23" t="s">
        <v>0</v>
      </c>
      <c r="AA86" s="37">
        <v>1</v>
      </c>
      <c r="AB86" s="37">
        <v>2</v>
      </c>
      <c r="AC86" s="37">
        <v>3</v>
      </c>
      <c r="AD86" s="37">
        <v>4</v>
      </c>
      <c r="AE86" s="37">
        <v>5</v>
      </c>
      <c r="AG86" s="23" t="s">
        <v>97</v>
      </c>
      <c r="AH86" s="23">
        <v>1</v>
      </c>
      <c r="AI86" s="23">
        <v>2</v>
      </c>
      <c r="AJ86" s="23">
        <v>3</v>
      </c>
      <c r="AK86" s="23">
        <v>4</v>
      </c>
      <c r="AL86" s="23">
        <v>5</v>
      </c>
      <c r="AM86" s="23" t="s">
        <v>84</v>
      </c>
      <c r="AN86" s="34" t="s">
        <v>86</v>
      </c>
    </row>
    <row r="87" spans="2:40" x14ac:dyDescent="0.3">
      <c r="B87" s="23">
        <v>1</v>
      </c>
      <c r="C87" s="37">
        <f t="shared" ref="C87:G91" si="115">AH75</f>
        <v>16599.877776920766</v>
      </c>
      <c r="D87" s="37">
        <f t="shared" si="115"/>
        <v>6184.2565177727129</v>
      </c>
      <c r="E87" s="37">
        <f t="shared" si="115"/>
        <v>3401.0497169247687</v>
      </c>
      <c r="F87" s="37">
        <f t="shared" si="115"/>
        <v>2413.0110025235981</v>
      </c>
      <c r="G87" s="37">
        <f t="shared" si="115"/>
        <v>4092.0929283624682</v>
      </c>
      <c r="H87" s="37">
        <f>SUM(C87:G87)</f>
        <v>32690.287942504314</v>
      </c>
      <c r="L87" s="23">
        <v>1</v>
      </c>
      <c r="M87" s="37">
        <f>H87</f>
        <v>32690.287942504314</v>
      </c>
      <c r="N87" s="23">
        <f>$H$3</f>
        <v>32689</v>
      </c>
      <c r="O87" s="23">
        <f>N87/M87</f>
        <v>0.9999606016775815</v>
      </c>
      <c r="R87" s="23">
        <v>1</v>
      </c>
      <c r="S87" s="37">
        <f t="shared" ref="S87:W91" si="116">C87*$O87</f>
        <v>16599.223769584005</v>
      </c>
      <c r="T87" s="37">
        <f t="shared" si="116"/>
        <v>6184.0128684405072</v>
      </c>
      <c r="U87" s="37">
        <f t="shared" si="116"/>
        <v>3400.9157212714599</v>
      </c>
      <c r="V87" s="37">
        <f t="shared" si="116"/>
        <v>2412.9159339381213</v>
      </c>
      <c r="W87" s="37">
        <f t="shared" si="116"/>
        <v>4091.9317067659103</v>
      </c>
      <c r="X87" s="37">
        <f t="shared" ref="X87:X92" si="117">SUM(S87:W87)</f>
        <v>32689.000000000004</v>
      </c>
      <c r="Z87" s="23" t="s">
        <v>98</v>
      </c>
      <c r="AA87" s="37">
        <f>S92</f>
        <v>34061.192060796653</v>
      </c>
      <c r="AB87" s="37">
        <f>T92</f>
        <v>40876.867685700949</v>
      </c>
      <c r="AC87" s="37">
        <f>U92</f>
        <v>16777.421337767348</v>
      </c>
      <c r="AD87" s="37">
        <f>V92</f>
        <v>24293.003351836422</v>
      </c>
      <c r="AE87" s="37">
        <f>W92</f>
        <v>26702.515563898625</v>
      </c>
      <c r="AG87" s="23">
        <v>1</v>
      </c>
      <c r="AH87" s="37">
        <f>C87*$O87*AA$89</f>
        <v>16599.617506937786</v>
      </c>
      <c r="AI87" s="37">
        <f>D87*$O87*AB$89</f>
        <v>6184.4867372330546</v>
      </c>
      <c r="AJ87" s="37">
        <f>E87*$O87*AC$89</f>
        <v>3400.8303127806025</v>
      </c>
      <c r="AK87" s="37">
        <f>F87*$O87*AD$89</f>
        <v>2412.6176243632876</v>
      </c>
      <c r="AL87" s="37">
        <f>G87*$O87*AE$89</f>
        <v>4091.852701016111</v>
      </c>
      <c r="AM87" s="37">
        <f>SUM(AH87:AL87)</f>
        <v>32689.404882330844</v>
      </c>
      <c r="AN87" s="35">
        <f>$H$3-AM87</f>
        <v>-0.40488233084397507</v>
      </c>
    </row>
    <row r="88" spans="2:40" x14ac:dyDescent="0.3">
      <c r="B88" s="23">
        <v>2</v>
      </c>
      <c r="C88" s="37">
        <f t="shared" si="115"/>
        <v>6451.4499330896906</v>
      </c>
      <c r="D88" s="37">
        <f t="shared" si="115"/>
        <v>21631.291296577008</v>
      </c>
      <c r="E88" s="37">
        <f t="shared" si="115"/>
        <v>1321.7990074116758</v>
      </c>
      <c r="F88" s="37">
        <f t="shared" si="115"/>
        <v>2110.0573588525758</v>
      </c>
      <c r="G88" s="37">
        <f t="shared" si="115"/>
        <v>3578.3304707560583</v>
      </c>
      <c r="H88" s="37">
        <f>SUM(C88:G88)</f>
        <v>35092.928066687011</v>
      </c>
      <c r="L88" s="23">
        <v>2</v>
      </c>
      <c r="M88" s="37">
        <f>H88</f>
        <v>35092.928066687011</v>
      </c>
      <c r="N88" s="23">
        <f>$H$4</f>
        <v>35087</v>
      </c>
      <c r="O88" s="23">
        <f>N88/M88</f>
        <v>0.99983107517629344</v>
      </c>
      <c r="R88" s="23">
        <v>2</v>
      </c>
      <c r="S88" s="37">
        <f t="shared" si="116"/>
        <v>6450.3601230470913</v>
      </c>
      <c r="T88" s="37">
        <f t="shared" si="116"/>
        <v>21627.637234508187</v>
      </c>
      <c r="U88" s="37">
        <f t="shared" si="116"/>
        <v>1321.5757227473732</v>
      </c>
      <c r="V88" s="37">
        <f t="shared" si="116"/>
        <v>2109.700917785221</v>
      </c>
      <c r="W88" s="37">
        <f t="shared" si="116"/>
        <v>3577.7260019121218</v>
      </c>
      <c r="X88" s="37">
        <f t="shared" si="117"/>
        <v>35086.999999999993</v>
      </c>
      <c r="Z88" s="23" t="s">
        <v>88</v>
      </c>
      <c r="AA88" s="37">
        <f>AA76</f>
        <v>34062</v>
      </c>
      <c r="AB88" s="37">
        <f>AB76</f>
        <v>40880</v>
      </c>
      <c r="AC88" s="37">
        <f>AC76</f>
        <v>16777</v>
      </c>
      <c r="AD88" s="37">
        <f>AD76</f>
        <v>24290</v>
      </c>
      <c r="AE88" s="37">
        <f>AE76</f>
        <v>26702</v>
      </c>
      <c r="AG88" s="23">
        <v>2</v>
      </c>
      <c r="AH88" s="37">
        <f t="shared" ref="AH88:AH91" si="118">C88*$O88*AA$89</f>
        <v>6450.5131270526417</v>
      </c>
      <c r="AI88" s="37">
        <f t="shared" ref="AI88:AI91" si="119">D88*$O88*AB$89</f>
        <v>21629.294517984144</v>
      </c>
      <c r="AJ88" s="37">
        <f t="shared" ref="AJ88:AJ91" si="120">E88*$O88*AC$89</f>
        <v>1321.5425335132716</v>
      </c>
      <c r="AK88" s="37">
        <f t="shared" ref="AK88:AK91" si="121">F88*$O88*AD$89</f>
        <v>2109.4400947805902</v>
      </c>
      <c r="AL88" s="37">
        <f t="shared" ref="AL88:AL91" si="122">G88*$O88*AE$89</f>
        <v>3577.6569242867818</v>
      </c>
      <c r="AM88" s="37">
        <f t="shared" ref="AM88:AM91" si="123">SUM(AH88:AL88)</f>
        <v>35088.447197617432</v>
      </c>
      <c r="AN88" s="35">
        <f>$H$4-AM88</f>
        <v>-1.4471976174318115</v>
      </c>
    </row>
    <row r="89" spans="2:40" x14ac:dyDescent="0.3">
      <c r="B89" s="23">
        <v>3</v>
      </c>
      <c r="C89" s="37">
        <f t="shared" si="115"/>
        <v>5435.9300304089147</v>
      </c>
      <c r="D89" s="37">
        <f t="shared" si="115"/>
        <v>2916.2110762725201</v>
      </c>
      <c r="E89" s="37">
        <f t="shared" si="115"/>
        <v>10023.616851664012</v>
      </c>
      <c r="F89" s="37">
        <f t="shared" si="115"/>
        <v>1777.9141560165278</v>
      </c>
      <c r="G89" s="37">
        <f t="shared" si="115"/>
        <v>3015.0670417424308</v>
      </c>
      <c r="H89" s="37">
        <f>SUM(C89:G89)</f>
        <v>23168.739156104402</v>
      </c>
      <c r="L89" s="23">
        <v>3</v>
      </c>
      <c r="M89" s="37">
        <f>H89</f>
        <v>23168.739156104402</v>
      </c>
      <c r="N89" s="23">
        <f>$H$5</f>
        <v>23170</v>
      </c>
      <c r="O89" s="23">
        <f>N89/M89</f>
        <v>1.0000544200479407</v>
      </c>
      <c r="R89" s="23">
        <v>3</v>
      </c>
      <c r="S89" s="37">
        <f t="shared" si="116"/>
        <v>5436.2258539817713</v>
      </c>
      <c r="T89" s="37">
        <f t="shared" si="116"/>
        <v>2916.3697766190958</v>
      </c>
      <c r="U89" s="37">
        <f t="shared" si="116"/>
        <v>10024.162337373618</v>
      </c>
      <c r="V89" s="37">
        <f t="shared" si="116"/>
        <v>1778.0109101901326</v>
      </c>
      <c r="W89" s="37">
        <f t="shared" si="116"/>
        <v>3015.2311218353866</v>
      </c>
      <c r="X89" s="37">
        <f t="shared" si="117"/>
        <v>23170.000000000004</v>
      </c>
      <c r="Z89" s="23" t="s">
        <v>99</v>
      </c>
      <c r="AA89" s="40">
        <f>AA88/AA87</f>
        <v>1.000023720226876</v>
      </c>
      <c r="AB89" s="40">
        <f t="shared" ref="AB89:AC89" si="124">AB88/AB87</f>
        <v>1.0000766280411488</v>
      </c>
      <c r="AC89" s="40">
        <f t="shared" si="124"/>
        <v>0.99997488661941158</v>
      </c>
      <c r="AD89" s="40">
        <f>AD88/AD87</f>
        <v>0.9998763696776013</v>
      </c>
      <c r="AE89" s="40">
        <f t="shared" ref="AE89" si="125">AE88/AE87</f>
        <v>0.99998069230977915</v>
      </c>
      <c r="AG89" s="23">
        <v>3</v>
      </c>
      <c r="AH89" s="37">
        <f t="shared" si="118"/>
        <v>5436.3548024923766</v>
      </c>
      <c r="AI89" s="37">
        <f t="shared" si="119"/>
        <v>2916.5932523223437</v>
      </c>
      <c r="AJ89" s="37">
        <f t="shared" si="120"/>
        <v>10023.91059676976</v>
      </c>
      <c r="AK89" s="37">
        <f t="shared" si="121"/>
        <v>1777.7910941280772</v>
      </c>
      <c r="AL89" s="37">
        <f t="shared" si="122"/>
        <v>3015.1729046869418</v>
      </c>
      <c r="AM89" s="37">
        <f t="shared" si="123"/>
        <v>23169.822650399499</v>
      </c>
      <c r="AN89" s="35">
        <f>$H$5-AM89</f>
        <v>0.17734960050074733</v>
      </c>
    </row>
    <row r="90" spans="2:40" x14ac:dyDescent="0.3">
      <c r="B90" s="23">
        <v>4</v>
      </c>
      <c r="C90" s="37">
        <f t="shared" si="115"/>
        <v>2725.168490123458</v>
      </c>
      <c r="D90" s="37">
        <f t="shared" si="115"/>
        <v>2599.057748033289</v>
      </c>
      <c r="E90" s="37">
        <f t="shared" si="115"/>
        <v>992.6106307219336</v>
      </c>
      <c r="F90" s="37">
        <f t="shared" si="115"/>
        <v>14261.009568605383</v>
      </c>
      <c r="G90" s="37">
        <f t="shared" si="115"/>
        <v>4777.1779664160467</v>
      </c>
      <c r="H90" s="37">
        <f>SUM(C90:G90)</f>
        <v>25355.024403900108</v>
      </c>
      <c r="L90" s="23">
        <v>4</v>
      </c>
      <c r="M90" s="23">
        <f>H90</f>
        <v>25355.024403900108</v>
      </c>
      <c r="N90" s="23">
        <f>$H$6</f>
        <v>25361</v>
      </c>
      <c r="O90" s="23">
        <f>N90/M90</f>
        <v>1.0002356770005305</v>
      </c>
      <c r="R90" s="23">
        <v>4</v>
      </c>
      <c r="S90" s="37">
        <f t="shared" si="116"/>
        <v>2725.8107496591506</v>
      </c>
      <c r="T90" s="37">
        <f t="shared" si="116"/>
        <v>2599.6702861675512</v>
      </c>
      <c r="U90" s="37">
        <f t="shared" si="116"/>
        <v>992.84456621807681</v>
      </c>
      <c r="V90" s="37">
        <f t="shared" si="116"/>
        <v>14264.370560565048</v>
      </c>
      <c r="W90" s="37">
        <f t="shared" si="116"/>
        <v>4778.3038373901718</v>
      </c>
      <c r="X90" s="37">
        <f t="shared" si="117"/>
        <v>25361</v>
      </c>
      <c r="AG90" s="23">
        <v>4</v>
      </c>
      <c r="AH90" s="37">
        <f t="shared" si="118"/>
        <v>2725.8754065085536</v>
      </c>
      <c r="AI90" s="37">
        <f t="shared" si="119"/>
        <v>2599.8694938092131</v>
      </c>
      <c r="AJ90" s="37">
        <f t="shared" si="120"/>
        <v>992.81963253462027</v>
      </c>
      <c r="AK90" s="37">
        <f t="shared" si="121"/>
        <v>14262.607051833831</v>
      </c>
      <c r="AL90" s="37">
        <f t="shared" si="122"/>
        <v>4778.2115793798985</v>
      </c>
      <c r="AM90" s="37">
        <f t="shared" si="123"/>
        <v>25359.383164066116</v>
      </c>
      <c r="AN90" s="35">
        <f>$H$6-AM90</f>
        <v>1.6168359338844311</v>
      </c>
    </row>
    <row r="91" spans="2:40" x14ac:dyDescent="0.3">
      <c r="B91" s="23">
        <v>5</v>
      </c>
      <c r="C91" s="37">
        <f t="shared" si="115"/>
        <v>2849.5737694571708</v>
      </c>
      <c r="D91" s="37">
        <f t="shared" si="115"/>
        <v>7549.1833613444705</v>
      </c>
      <c r="E91" s="37">
        <f t="shared" si="115"/>
        <v>1037.9237932776114</v>
      </c>
      <c r="F91" s="37">
        <f t="shared" si="115"/>
        <v>3728.0079140019175</v>
      </c>
      <c r="G91" s="37">
        <f t="shared" si="115"/>
        <v>11239.331592722998</v>
      </c>
      <c r="H91" s="37">
        <f>SUM(C91:G91)</f>
        <v>26404.020430804168</v>
      </c>
      <c r="L91" s="23">
        <v>5</v>
      </c>
      <c r="M91" s="37">
        <f>H91</f>
        <v>26404.020430804168</v>
      </c>
      <c r="N91" s="23">
        <f>$H$7</f>
        <v>26404</v>
      </c>
      <c r="O91" s="23">
        <f>N91/M91</f>
        <v>0.99999922622374038</v>
      </c>
      <c r="R91" s="23">
        <v>5</v>
      </c>
      <c r="S91" s="37">
        <f t="shared" si="116"/>
        <v>2849.5715645246378</v>
      </c>
      <c r="T91" s="37">
        <f t="shared" si="116"/>
        <v>7549.1775199656058</v>
      </c>
      <c r="U91" s="37">
        <f t="shared" si="116"/>
        <v>1037.9229901568208</v>
      </c>
      <c r="V91" s="37">
        <f t="shared" si="116"/>
        <v>3728.0050293578979</v>
      </c>
      <c r="W91" s="37">
        <f t="shared" si="116"/>
        <v>11239.322895995037</v>
      </c>
      <c r="X91" s="37">
        <f t="shared" si="117"/>
        <v>26404</v>
      </c>
      <c r="AG91" s="23">
        <v>5</v>
      </c>
      <c r="AH91" s="37">
        <f t="shared" si="118"/>
        <v>2849.6391570086475</v>
      </c>
      <c r="AI91" s="37">
        <f t="shared" si="119"/>
        <v>7549.7559986512451</v>
      </c>
      <c r="AJ91" s="37">
        <f t="shared" si="120"/>
        <v>1037.8969244017476</v>
      </c>
      <c r="AK91" s="37">
        <f t="shared" si="121"/>
        <v>3727.5441348942145</v>
      </c>
      <c r="AL91" s="37">
        <f t="shared" si="122"/>
        <v>11239.10589063027</v>
      </c>
      <c r="AM91" s="37">
        <f t="shared" si="123"/>
        <v>26403.942105586124</v>
      </c>
      <c r="AN91" s="35">
        <f>$H$7-AM91</f>
        <v>5.7894413876056205E-2</v>
      </c>
    </row>
    <row r="92" spans="2:40" x14ac:dyDescent="0.3">
      <c r="B92" s="23" t="s">
        <v>84</v>
      </c>
      <c r="C92" s="37">
        <f t="shared" ref="C92:H92" si="126">SUM(C87:C91)</f>
        <v>34062</v>
      </c>
      <c r="D92" s="37">
        <f t="shared" si="126"/>
        <v>40880</v>
      </c>
      <c r="E92" s="37">
        <f t="shared" si="126"/>
        <v>16777.000000000004</v>
      </c>
      <c r="F92" s="37">
        <f t="shared" si="126"/>
        <v>24290.000000000004</v>
      </c>
      <c r="G92" s="37">
        <f t="shared" si="126"/>
        <v>26702</v>
      </c>
      <c r="H92" s="37">
        <f t="shared" si="126"/>
        <v>142711</v>
      </c>
      <c r="R92" s="23" t="s">
        <v>100</v>
      </c>
      <c r="S92" s="37">
        <f>SUM(S87:S91)</f>
        <v>34061.192060796653</v>
      </c>
      <c r="T92" s="37">
        <f t="shared" ref="T92" si="127">SUM(T87:T91)</f>
        <v>40876.867685700949</v>
      </c>
      <c r="U92" s="37">
        <f t="shared" ref="U92" si="128">SUM(U87:U91)</f>
        <v>16777.421337767348</v>
      </c>
      <c r="V92" s="37">
        <f t="shared" ref="V92" si="129">SUM(V87:V91)</f>
        <v>24293.003351836422</v>
      </c>
      <c r="W92" s="37">
        <f>SUM(W87:W91)</f>
        <v>26702.515563898625</v>
      </c>
      <c r="X92" s="37">
        <f t="shared" si="117"/>
        <v>142711</v>
      </c>
      <c r="AG92" s="23" t="s">
        <v>84</v>
      </c>
      <c r="AH92" s="37">
        <f>SUM(AH87:AH91)</f>
        <v>34062</v>
      </c>
      <c r="AI92" s="37">
        <f>SUM(AI87:AI91)</f>
        <v>40880</v>
      </c>
      <c r="AJ92" s="37">
        <f t="shared" ref="AJ92" si="130">SUM(AJ87:AJ91)</f>
        <v>16777</v>
      </c>
      <c r="AK92" s="37">
        <f t="shared" ref="AK92" si="131">SUM(AK87:AK91)</f>
        <v>24290</v>
      </c>
      <c r="AL92" s="37">
        <f t="shared" ref="AL92" si="132">SUM(AL87:AL91)</f>
        <v>26702.000000000004</v>
      </c>
      <c r="AM92" s="37">
        <f>SUM(AH92:AL92)</f>
        <v>142711</v>
      </c>
      <c r="AN92" s="34" t="s">
        <v>91</v>
      </c>
    </row>
    <row r="93" spans="2:40" x14ac:dyDescent="0.3">
      <c r="G93" s="15"/>
      <c r="H93" s="15"/>
      <c r="X93" s="15"/>
      <c r="AG93" s="34" t="s">
        <v>86</v>
      </c>
      <c r="AH93" s="35">
        <f>$C$8-AH92</f>
        <v>0</v>
      </c>
      <c r="AI93" s="35">
        <f>$D$8-AI92</f>
        <v>0</v>
      </c>
      <c r="AJ93" s="35">
        <f>$E$8-AJ92</f>
        <v>0</v>
      </c>
      <c r="AK93" s="35">
        <f>$F$8-AK92</f>
        <v>0</v>
      </c>
      <c r="AL93" s="35">
        <f>$G$8-AL92</f>
        <v>0</v>
      </c>
      <c r="AM93" s="35"/>
      <c r="AN93" s="36">
        <f>SQRT((AH93^2+AI93^2+AJ93^2+AK93^2+AL93^2+AN87^2+AN88^2+AN89^2+AN90^2+AN91^2)/8)</f>
        <v>0.78320445341444278</v>
      </c>
    </row>
    <row r="96" spans="2:40" x14ac:dyDescent="0.3">
      <c r="B96" s="33" t="s">
        <v>106</v>
      </c>
    </row>
    <row r="97" spans="2:40" x14ac:dyDescent="0.3">
      <c r="C97" s="14" t="s">
        <v>73</v>
      </c>
      <c r="L97" s="14" t="s">
        <v>74</v>
      </c>
      <c r="R97" s="14" t="s">
        <v>75</v>
      </c>
      <c r="Z97" s="14" t="s">
        <v>76</v>
      </c>
      <c r="AG97" s="14" t="s">
        <v>77</v>
      </c>
    </row>
    <row r="98" spans="2:40" x14ac:dyDescent="0.3">
      <c r="B98" s="23" t="s">
        <v>85</v>
      </c>
      <c r="C98" s="23">
        <v>1</v>
      </c>
      <c r="D98" s="23">
        <v>2</v>
      </c>
      <c r="E98" s="23">
        <v>3</v>
      </c>
      <c r="F98" s="23">
        <v>4</v>
      </c>
      <c r="G98" s="23">
        <v>5</v>
      </c>
      <c r="H98" s="23" t="s">
        <v>93</v>
      </c>
      <c r="L98" s="23" t="s">
        <v>0</v>
      </c>
      <c r="M98" s="23" t="s">
        <v>94</v>
      </c>
      <c r="N98" s="23" t="s">
        <v>81</v>
      </c>
      <c r="O98" s="23" t="s">
        <v>95</v>
      </c>
      <c r="R98" s="23" t="s">
        <v>96</v>
      </c>
      <c r="S98" s="23">
        <v>1</v>
      </c>
      <c r="T98" s="23">
        <v>2</v>
      </c>
      <c r="U98" s="23">
        <v>3</v>
      </c>
      <c r="V98" s="23">
        <v>4</v>
      </c>
      <c r="W98" s="23">
        <v>5</v>
      </c>
      <c r="X98" s="23" t="s">
        <v>84</v>
      </c>
      <c r="Z98" s="23" t="s">
        <v>0</v>
      </c>
      <c r="AA98" s="37">
        <v>1</v>
      </c>
      <c r="AB98" s="37">
        <v>2</v>
      </c>
      <c r="AC98" s="37">
        <v>3</v>
      </c>
      <c r="AD98" s="37">
        <v>4</v>
      </c>
      <c r="AE98" s="37">
        <v>5</v>
      </c>
      <c r="AG98" s="23" t="s">
        <v>97</v>
      </c>
      <c r="AH98" s="23">
        <v>1</v>
      </c>
      <c r="AI98" s="23">
        <v>2</v>
      </c>
      <c r="AJ98" s="23">
        <v>3</v>
      </c>
      <c r="AK98" s="23">
        <v>4</v>
      </c>
      <c r="AL98" s="23">
        <v>5</v>
      </c>
      <c r="AM98" s="23" t="s">
        <v>84</v>
      </c>
      <c r="AN98" s="34" t="s">
        <v>86</v>
      </c>
    </row>
    <row r="99" spans="2:40" x14ac:dyDescent="0.3">
      <c r="B99" s="23">
        <v>1</v>
      </c>
      <c r="C99" s="37">
        <f t="shared" ref="C99:G103" si="133">AH87</f>
        <v>16599.617506937786</v>
      </c>
      <c r="D99" s="37">
        <f t="shared" si="133"/>
        <v>6184.4867372330546</v>
      </c>
      <c r="E99" s="37">
        <f t="shared" si="133"/>
        <v>3400.8303127806025</v>
      </c>
      <c r="F99" s="37">
        <f t="shared" si="133"/>
        <v>2412.6176243632876</v>
      </c>
      <c r="G99" s="37">
        <f t="shared" si="133"/>
        <v>4091.852701016111</v>
      </c>
      <c r="H99" s="37">
        <f>SUM(C99:G99)</f>
        <v>32689.404882330844</v>
      </c>
      <c r="L99" s="23">
        <v>1</v>
      </c>
      <c r="M99" s="37">
        <f>H99</f>
        <v>32689.404882330844</v>
      </c>
      <c r="N99" s="23">
        <f>$H$3</f>
        <v>32689</v>
      </c>
      <c r="O99" s="23">
        <f>N99/M99</f>
        <v>0.99998761426424554</v>
      </c>
      <c r="R99" s="23">
        <v>1</v>
      </c>
      <c r="S99" s="37">
        <f t="shared" ref="S99:W103" si="134">C99*$O99</f>
        <v>16599.41190846172</v>
      </c>
      <c r="T99" s="37">
        <f t="shared" si="134"/>
        <v>6184.4101378145506</v>
      </c>
      <c r="U99" s="37">
        <f t="shared" si="134"/>
        <v>3400.7881909950029</v>
      </c>
      <c r="V99" s="37">
        <f t="shared" si="134"/>
        <v>2412.5877423189158</v>
      </c>
      <c r="W99" s="37">
        <f t="shared" si="134"/>
        <v>4091.8020204098102</v>
      </c>
      <c r="X99" s="37">
        <f t="shared" ref="X99:X104" si="135">SUM(S99:W99)</f>
        <v>32688.999999999996</v>
      </c>
      <c r="Z99" s="23" t="s">
        <v>98</v>
      </c>
      <c r="AA99" s="37">
        <f>S104</f>
        <v>34061.750008098039</v>
      </c>
      <c r="AB99" s="37">
        <f>T104</f>
        <v>40879.235954128177</v>
      </c>
      <c r="AC99" s="37">
        <f>U104</f>
        <v>16777.045673375553</v>
      </c>
      <c r="AD99" s="37">
        <f>V104</f>
        <v>24290.814236375401</v>
      </c>
      <c r="AE99" s="37">
        <f>W104</f>
        <v>26702.154128022827</v>
      </c>
      <c r="AG99" s="23">
        <v>1</v>
      </c>
      <c r="AH99" s="37">
        <f>C99*$O99*AA$101</f>
        <v>16599.533737743935</v>
      </c>
      <c r="AI99" s="37">
        <f>D99*$O99*AB$101</f>
        <v>6184.5257263994436</v>
      </c>
      <c r="AJ99" s="37">
        <f>E99*$O99*AC$101</f>
        <v>3400.7789327811765</v>
      </c>
      <c r="AK99" s="37">
        <f>F99*$O99*AD$101</f>
        <v>2412.5068715551974</v>
      </c>
      <c r="AL99" s="37">
        <f>G99*$O99*AE$101</f>
        <v>4091.7784020398394</v>
      </c>
      <c r="AM99" s="37">
        <f>SUM(AH99:AL99)</f>
        <v>32689.123670519592</v>
      </c>
      <c r="AN99" s="35">
        <f>$H$3-AM99</f>
        <v>-0.12367051959154196</v>
      </c>
    </row>
    <row r="100" spans="2:40" x14ac:dyDescent="0.3">
      <c r="B100" s="23">
        <v>2</v>
      </c>
      <c r="C100" s="37">
        <f t="shared" si="133"/>
        <v>6450.5131270526417</v>
      </c>
      <c r="D100" s="37">
        <f t="shared" si="133"/>
        <v>21629.294517984144</v>
      </c>
      <c r="E100" s="37">
        <f t="shared" si="133"/>
        <v>1321.5425335132716</v>
      </c>
      <c r="F100" s="37">
        <f t="shared" si="133"/>
        <v>2109.4400947805902</v>
      </c>
      <c r="G100" s="37">
        <f t="shared" si="133"/>
        <v>3577.6569242867818</v>
      </c>
      <c r="H100" s="37">
        <f>SUM(C100:G100)</f>
        <v>35088.447197617432</v>
      </c>
      <c r="L100" s="23">
        <v>2</v>
      </c>
      <c r="M100" s="37">
        <f>H100</f>
        <v>35088.447197617432</v>
      </c>
      <c r="N100" s="23">
        <f>$H$4</f>
        <v>35087</v>
      </c>
      <c r="O100" s="23">
        <f>N100/M100</f>
        <v>0.99995875572352111</v>
      </c>
      <c r="R100" s="23">
        <v>2</v>
      </c>
      <c r="S100" s="37">
        <f t="shared" si="134"/>
        <v>6450.2470803057986</v>
      </c>
      <c r="T100" s="37">
        <f t="shared" si="134"/>
        <v>21628.402433381001</v>
      </c>
      <c r="U100" s="37">
        <f t="shared" si="134"/>
        <v>1321.4880274476407</v>
      </c>
      <c r="V100" s="37">
        <f t="shared" si="134"/>
        <v>2109.3530924501056</v>
      </c>
      <c r="W100" s="37">
        <f t="shared" si="134"/>
        <v>3577.5093664154497</v>
      </c>
      <c r="X100" s="37">
        <f t="shared" si="135"/>
        <v>35087</v>
      </c>
      <c r="Z100" s="23" t="s">
        <v>88</v>
      </c>
      <c r="AA100" s="37">
        <f>AA88</f>
        <v>34062</v>
      </c>
      <c r="AB100" s="37">
        <f>AB88</f>
        <v>40880</v>
      </c>
      <c r="AC100" s="37">
        <f>AC88</f>
        <v>16777</v>
      </c>
      <c r="AD100" s="37">
        <f>AD88</f>
        <v>24290</v>
      </c>
      <c r="AE100" s="37">
        <f>AE88</f>
        <v>26702</v>
      </c>
      <c r="AG100" s="23">
        <v>2</v>
      </c>
      <c r="AH100" s="37">
        <f t="shared" ref="AH100:AH103" si="136">C100*$O100*AA$101</f>
        <v>6450.2944210776423</v>
      </c>
      <c r="AI100" s="37">
        <f t="shared" ref="AI100:AI103" si="137">D100*$O100*AB$101</f>
        <v>21628.806675075048</v>
      </c>
      <c r="AJ100" s="37">
        <f t="shared" ref="AJ100:AJ103" si="138">E100*$O100*AC$101</f>
        <v>1321.4844298643629</v>
      </c>
      <c r="AK100" s="37">
        <f t="shared" ref="AK100:AK103" si="139">F100*$O100*AD$101</f>
        <v>2109.2823862152413</v>
      </c>
      <c r="AL100" s="37">
        <f t="shared" ref="AL100:AL103" si="140">G100*$O100*AE$101</f>
        <v>3577.488716604103</v>
      </c>
      <c r="AM100" s="37">
        <f t="shared" ref="AM100:AM103" si="141">SUM(AH100:AL100)</f>
        <v>35087.356628836395</v>
      </c>
      <c r="AN100" s="35">
        <f>$H$4-AM100</f>
        <v>-0.35662883639452048</v>
      </c>
    </row>
    <row r="101" spans="2:40" x14ac:dyDescent="0.3">
      <c r="B101" s="23">
        <v>3</v>
      </c>
      <c r="C101" s="37">
        <f t="shared" si="133"/>
        <v>5436.3548024923766</v>
      </c>
      <c r="D101" s="37">
        <f t="shared" si="133"/>
        <v>2916.5932523223437</v>
      </c>
      <c r="E101" s="37">
        <f t="shared" si="133"/>
        <v>10023.91059676976</v>
      </c>
      <c r="F101" s="37">
        <f t="shared" si="133"/>
        <v>1777.7910941280772</v>
      </c>
      <c r="G101" s="37">
        <f t="shared" si="133"/>
        <v>3015.1729046869418</v>
      </c>
      <c r="H101" s="37">
        <f>SUM(C101:G101)</f>
        <v>23169.822650399499</v>
      </c>
      <c r="L101" s="23">
        <v>3</v>
      </c>
      <c r="M101" s="37">
        <f>H101</f>
        <v>23169.822650399499</v>
      </c>
      <c r="N101" s="23">
        <f>$H$5</f>
        <v>23170</v>
      </c>
      <c r="O101" s="23">
        <f>N101/M101</f>
        <v>1.0000076543356924</v>
      </c>
      <c r="R101" s="23">
        <v>3</v>
      </c>
      <c r="S101" s="37">
        <f t="shared" si="134"/>
        <v>5436.3964141769775</v>
      </c>
      <c r="T101" s="37">
        <f t="shared" si="134"/>
        <v>2916.6155769061752</v>
      </c>
      <c r="U101" s="37">
        <f t="shared" si="134"/>
        <v>10023.987323146417</v>
      </c>
      <c r="V101" s="37">
        <f t="shared" si="134"/>
        <v>1777.8047019379026</v>
      </c>
      <c r="W101" s="37">
        <f t="shared" si="134"/>
        <v>3015.1959838325247</v>
      </c>
      <c r="X101" s="37">
        <f t="shared" si="135"/>
        <v>23169.999999999996</v>
      </c>
      <c r="Z101" s="23" t="s">
        <v>99</v>
      </c>
      <c r="AA101" s="38">
        <f>AA100/AA99</f>
        <v>1.0000073393733999</v>
      </c>
      <c r="AB101" s="38">
        <f t="shared" ref="AB101:AC101" si="142">AB100/AB99</f>
        <v>1.0000186903168318</v>
      </c>
      <c r="AC101" s="38">
        <f t="shared" si="142"/>
        <v>0.99999727762703627</v>
      </c>
      <c r="AD101" s="38">
        <f>AD100/AD99</f>
        <v>0.99996647965903995</v>
      </c>
      <c r="AE101" s="38">
        <f t="shared" ref="AE101" si="143">AE100/AE99</f>
        <v>0.99999422788056391</v>
      </c>
      <c r="AG101" s="23">
        <v>3</v>
      </c>
      <c r="AH101" s="37">
        <f t="shared" si="136"/>
        <v>5436.4363139202114</v>
      </c>
      <c r="AI101" s="37">
        <f t="shared" si="137"/>
        <v>2916.6700893753841</v>
      </c>
      <c r="AJ101" s="37">
        <f t="shared" si="138"/>
        <v>10023.96003411434</v>
      </c>
      <c r="AK101" s="37">
        <f t="shared" si="139"/>
        <v>1777.7451093181332</v>
      </c>
      <c r="AL101" s="37">
        <f t="shared" si="140"/>
        <v>3015.1785797611828</v>
      </c>
      <c r="AM101" s="37">
        <f t="shared" si="141"/>
        <v>23169.990126489254</v>
      </c>
      <c r="AN101" s="35">
        <f>$H$5-AM101</f>
        <v>9.873510745819658E-3</v>
      </c>
    </row>
    <row r="102" spans="2:40" x14ac:dyDescent="0.3">
      <c r="B102" s="23">
        <v>4</v>
      </c>
      <c r="C102" s="37">
        <f t="shared" si="133"/>
        <v>2725.8754065085536</v>
      </c>
      <c r="D102" s="37">
        <f t="shared" si="133"/>
        <v>2599.8694938092131</v>
      </c>
      <c r="E102" s="37">
        <f t="shared" si="133"/>
        <v>992.81963253462027</v>
      </c>
      <c r="F102" s="37">
        <f t="shared" si="133"/>
        <v>14262.607051833831</v>
      </c>
      <c r="G102" s="37">
        <f t="shared" si="133"/>
        <v>4778.2115793798985</v>
      </c>
      <c r="H102" s="37">
        <f>SUM(C102:G102)</f>
        <v>25359.383164066116</v>
      </c>
      <c r="L102" s="23">
        <v>4</v>
      </c>
      <c r="M102" s="23">
        <f>H102</f>
        <v>25359.383164066116</v>
      </c>
      <c r="N102" s="23">
        <f>$H$6</f>
        <v>25361</v>
      </c>
      <c r="O102" s="23">
        <f>N102/M102</f>
        <v>1.0000637569109401</v>
      </c>
      <c r="R102" s="23">
        <v>4</v>
      </c>
      <c r="S102" s="37">
        <f t="shared" si="134"/>
        <v>2726.0491999040801</v>
      </c>
      <c r="T102" s="37">
        <f t="shared" si="134"/>
        <v>2600.0352534569856</v>
      </c>
      <c r="U102" s="37">
        <f t="shared" si="134"/>
        <v>992.88293164751133</v>
      </c>
      <c r="V102" s="37">
        <f t="shared" si="134"/>
        <v>14263.516391601408</v>
      </c>
      <c r="W102" s="37">
        <f t="shared" si="134"/>
        <v>4778.5162233900182</v>
      </c>
      <c r="X102" s="37">
        <f t="shared" si="135"/>
        <v>25361.000000000004</v>
      </c>
      <c r="AG102" s="23">
        <v>4</v>
      </c>
      <c r="AH102" s="37">
        <f t="shared" si="136"/>
        <v>2726.0692073970649</v>
      </c>
      <c r="AI102" s="37">
        <f t="shared" si="137"/>
        <v>2600.0838489396465</v>
      </c>
      <c r="AJ102" s="37">
        <f t="shared" si="138"/>
        <v>992.88022864986203</v>
      </c>
      <c r="AK102" s="37">
        <f t="shared" si="139"/>
        <v>14263.038273668672</v>
      </c>
      <c r="AL102" s="37">
        <f t="shared" si="140"/>
        <v>4778.4886412236492</v>
      </c>
      <c r="AM102" s="37">
        <f t="shared" si="141"/>
        <v>25360.560199878895</v>
      </c>
      <c r="AN102" s="35">
        <f>$H$6-AM102</f>
        <v>0.43980012110478128</v>
      </c>
    </row>
    <row r="103" spans="2:40" x14ac:dyDescent="0.3">
      <c r="B103" s="23">
        <v>5</v>
      </c>
      <c r="C103" s="37">
        <f t="shared" si="133"/>
        <v>2849.6391570086475</v>
      </c>
      <c r="D103" s="37">
        <f t="shared" si="133"/>
        <v>7549.7559986512451</v>
      </c>
      <c r="E103" s="37">
        <f t="shared" si="133"/>
        <v>1037.8969244017476</v>
      </c>
      <c r="F103" s="37">
        <f t="shared" si="133"/>
        <v>3727.5441348942145</v>
      </c>
      <c r="G103" s="37">
        <f t="shared" si="133"/>
        <v>11239.10589063027</v>
      </c>
      <c r="H103" s="37">
        <f>SUM(C103:G103)</f>
        <v>26403.942105586124</v>
      </c>
      <c r="L103" s="23">
        <v>5</v>
      </c>
      <c r="M103" s="37">
        <f>H103</f>
        <v>26403.942105586124</v>
      </c>
      <c r="N103" s="23">
        <f>$H$7</f>
        <v>26404</v>
      </c>
      <c r="O103" s="23">
        <f>N103/M103</f>
        <v>1.0000021926428124</v>
      </c>
      <c r="R103" s="23">
        <v>5</v>
      </c>
      <c r="S103" s="37">
        <f t="shared" si="134"/>
        <v>2849.6454052494632</v>
      </c>
      <c r="T103" s="37">
        <f t="shared" si="134"/>
        <v>7549.7725525694714</v>
      </c>
      <c r="U103" s="37">
        <f t="shared" si="134"/>
        <v>1037.8992001389788</v>
      </c>
      <c r="V103" s="37">
        <f t="shared" si="134"/>
        <v>3727.55230806707</v>
      </c>
      <c r="W103" s="37">
        <f t="shared" si="134"/>
        <v>11239.13053397502</v>
      </c>
      <c r="X103" s="37">
        <f t="shared" si="135"/>
        <v>26404.000000000004</v>
      </c>
      <c r="AG103" s="23">
        <v>5</v>
      </c>
      <c r="AH103" s="37">
        <f t="shared" si="136"/>
        <v>2849.6663198611495</v>
      </c>
      <c r="AI103" s="37">
        <f t="shared" si="137"/>
        <v>7549.9136602104863</v>
      </c>
      <c r="AJ103" s="37">
        <f t="shared" si="138"/>
        <v>1037.8963745902572</v>
      </c>
      <c r="AK103" s="37">
        <f t="shared" si="139"/>
        <v>3727.4273592427571</v>
      </c>
      <c r="AL103" s="37">
        <f t="shared" si="140"/>
        <v>11239.06566037122</v>
      </c>
      <c r="AM103" s="37">
        <f t="shared" si="141"/>
        <v>26403.969374275868</v>
      </c>
      <c r="AN103" s="35">
        <f>$H$7-AM103</f>
        <v>3.0625724131823517E-2</v>
      </c>
    </row>
    <row r="104" spans="2:40" x14ac:dyDescent="0.3">
      <c r="B104" s="23" t="s">
        <v>84</v>
      </c>
      <c r="C104" s="37">
        <f t="shared" ref="C104:H104" si="144">SUM(C99:C103)</f>
        <v>34062</v>
      </c>
      <c r="D104" s="37">
        <f t="shared" si="144"/>
        <v>40880</v>
      </c>
      <c r="E104" s="37">
        <f t="shared" si="144"/>
        <v>16777</v>
      </c>
      <c r="F104" s="37">
        <f t="shared" si="144"/>
        <v>24290</v>
      </c>
      <c r="G104" s="37">
        <f t="shared" si="144"/>
        <v>26702.000000000004</v>
      </c>
      <c r="H104" s="37">
        <f t="shared" si="144"/>
        <v>142711</v>
      </c>
      <c r="R104" s="23" t="s">
        <v>100</v>
      </c>
      <c r="S104" s="37">
        <f>SUM(S99:S103)</f>
        <v>34061.750008098039</v>
      </c>
      <c r="T104" s="37">
        <f t="shared" ref="T104" si="145">SUM(T99:T103)</f>
        <v>40879.235954128177</v>
      </c>
      <c r="U104" s="37">
        <f t="shared" ref="U104" si="146">SUM(U99:U103)</f>
        <v>16777.045673375553</v>
      </c>
      <c r="V104" s="37">
        <f t="shared" ref="V104" si="147">SUM(V99:V103)</f>
        <v>24290.814236375401</v>
      </c>
      <c r="W104" s="37">
        <f>SUM(W99:W103)</f>
        <v>26702.154128022827</v>
      </c>
      <c r="X104" s="37">
        <f t="shared" si="135"/>
        <v>142711</v>
      </c>
      <c r="AG104" s="23" t="s">
        <v>84</v>
      </c>
      <c r="AH104" s="37">
        <f>SUM(AH99:AH103)</f>
        <v>34062</v>
      </c>
      <c r="AI104" s="37">
        <f>SUM(AI99:AI103)</f>
        <v>40880.000000000007</v>
      </c>
      <c r="AJ104" s="37">
        <f t="shared" ref="AJ104" si="148">SUM(AJ99:AJ103)</f>
        <v>16776.999999999996</v>
      </c>
      <c r="AK104" s="37">
        <f t="shared" ref="AK104" si="149">SUM(AK99:AK103)</f>
        <v>24290</v>
      </c>
      <c r="AL104" s="37">
        <f t="shared" ref="AL104" si="150">SUM(AL99:AL103)</f>
        <v>26701.999999999993</v>
      </c>
      <c r="AM104" s="37">
        <f>SUM(AH104:AL104)</f>
        <v>142711</v>
      </c>
      <c r="AN104" s="34" t="s">
        <v>91</v>
      </c>
    </row>
    <row r="105" spans="2:40" x14ac:dyDescent="0.3">
      <c r="G105" s="15"/>
      <c r="H105" s="15"/>
      <c r="X105" s="15"/>
      <c r="AG105" s="34" t="s">
        <v>86</v>
      </c>
      <c r="AH105" s="35">
        <f>$C$8-AH104</f>
        <v>0</v>
      </c>
      <c r="AI105" s="35">
        <f>$D$8-AI104</f>
        <v>0</v>
      </c>
      <c r="AJ105" s="35">
        <f>$E$8-AJ104</f>
        <v>0</v>
      </c>
      <c r="AK105" s="35">
        <f>$F$8-AK104</f>
        <v>0</v>
      </c>
      <c r="AL105" s="35">
        <f>$G$8-AL104</f>
        <v>0</v>
      </c>
      <c r="AM105" s="35"/>
      <c r="AN105" s="36">
        <f>SQRT((AH105^2+AI105^2+AJ105^2+AK105^2+AL105^2+AN99^2+AN100^2+AN101^2+AN102^2+AN103^2)/8)</f>
        <v>0.20522490470243199</v>
      </c>
    </row>
    <row r="108" spans="2:40" x14ac:dyDescent="0.3">
      <c r="B108" s="33" t="s">
        <v>107</v>
      </c>
    </row>
    <row r="109" spans="2:40" x14ac:dyDescent="0.3">
      <c r="C109" s="14" t="s">
        <v>73</v>
      </c>
      <c r="L109" s="14" t="s">
        <v>74</v>
      </c>
      <c r="R109" s="14" t="s">
        <v>75</v>
      </c>
      <c r="Z109" s="14" t="s">
        <v>76</v>
      </c>
      <c r="AG109" s="14" t="s">
        <v>77</v>
      </c>
    </row>
    <row r="110" spans="2:40" x14ac:dyDescent="0.3">
      <c r="B110" s="23" t="s">
        <v>85</v>
      </c>
      <c r="C110" s="23">
        <v>1</v>
      </c>
      <c r="D110" s="23">
        <v>2</v>
      </c>
      <c r="E110" s="23">
        <v>3</v>
      </c>
      <c r="F110" s="23">
        <v>4</v>
      </c>
      <c r="G110" s="23">
        <v>5</v>
      </c>
      <c r="H110" s="23" t="s">
        <v>93</v>
      </c>
      <c r="L110" s="23" t="s">
        <v>0</v>
      </c>
      <c r="M110" s="23" t="s">
        <v>94</v>
      </c>
      <c r="N110" s="23" t="s">
        <v>81</v>
      </c>
      <c r="O110" s="23" t="s">
        <v>95</v>
      </c>
      <c r="R110" s="23" t="s">
        <v>96</v>
      </c>
      <c r="S110" s="23">
        <v>1</v>
      </c>
      <c r="T110" s="23">
        <v>2</v>
      </c>
      <c r="U110" s="23">
        <v>3</v>
      </c>
      <c r="V110" s="23">
        <v>4</v>
      </c>
      <c r="W110" s="23">
        <v>5</v>
      </c>
      <c r="X110" s="23" t="s">
        <v>84</v>
      </c>
      <c r="Z110" s="23" t="s">
        <v>0</v>
      </c>
      <c r="AA110" s="37">
        <v>1</v>
      </c>
      <c r="AB110" s="37">
        <v>2</v>
      </c>
      <c r="AC110" s="37">
        <v>3</v>
      </c>
      <c r="AD110" s="37">
        <v>4</v>
      </c>
      <c r="AE110" s="37">
        <v>5</v>
      </c>
      <c r="AG110" s="23" t="s">
        <v>97</v>
      </c>
      <c r="AH110" s="23">
        <v>1</v>
      </c>
      <c r="AI110" s="23">
        <v>2</v>
      </c>
      <c r="AJ110" s="23">
        <v>3</v>
      </c>
      <c r="AK110" s="23">
        <v>4</v>
      </c>
      <c r="AL110" s="23">
        <v>5</v>
      </c>
      <c r="AM110" s="23" t="s">
        <v>84</v>
      </c>
      <c r="AN110" s="34" t="s">
        <v>86</v>
      </c>
    </row>
    <row r="111" spans="2:40" x14ac:dyDescent="0.3">
      <c r="B111" s="23">
        <v>1</v>
      </c>
      <c r="C111" s="37">
        <f t="shared" ref="C111:G115" si="151">AH99</f>
        <v>16599.533737743935</v>
      </c>
      <c r="D111" s="37">
        <f t="shared" si="151"/>
        <v>6184.5257263994436</v>
      </c>
      <c r="E111" s="37">
        <f t="shared" si="151"/>
        <v>3400.7789327811765</v>
      </c>
      <c r="F111" s="37">
        <f t="shared" si="151"/>
        <v>2412.5068715551974</v>
      </c>
      <c r="G111" s="37">
        <f t="shared" si="151"/>
        <v>4091.7784020398394</v>
      </c>
      <c r="H111" s="37">
        <f>SUM(C111:G111)</f>
        <v>32689.123670519592</v>
      </c>
      <c r="L111" s="23">
        <v>1</v>
      </c>
      <c r="M111" s="37">
        <f>H111</f>
        <v>32689.123670519592</v>
      </c>
      <c r="N111" s="23">
        <f>$H$3</f>
        <v>32689</v>
      </c>
      <c r="O111" s="23">
        <f>N111/M111</f>
        <v>0.99999621676858519</v>
      </c>
      <c r="R111" s="23">
        <v>1</v>
      </c>
      <c r="S111" s="37">
        <f t="shared" ref="S111:W115" si="152">C111*$O111</f>
        <v>16599.470937866427</v>
      </c>
      <c r="T111" s="37">
        <f t="shared" si="152"/>
        <v>6184.5023289074297</v>
      </c>
      <c r="U111" s="37">
        <f t="shared" si="152"/>
        <v>3400.7660668474832</v>
      </c>
      <c r="V111" s="37">
        <f t="shared" si="152"/>
        <v>2412.4977444834126</v>
      </c>
      <c r="W111" s="37">
        <f t="shared" si="152"/>
        <v>4091.7629218952466</v>
      </c>
      <c r="X111" s="37">
        <f t="shared" ref="X111:X116" si="153">SUM(S111:W111)</f>
        <v>32688.999999999996</v>
      </c>
      <c r="Z111" s="23" t="s">
        <v>98</v>
      </c>
      <c r="AA111" s="37">
        <f>S116</f>
        <v>34061.924536307117</v>
      </c>
      <c r="AB111" s="37">
        <f>T116</f>
        <v>40879.81185707845</v>
      </c>
      <c r="AC111" s="37">
        <f>U116</f>
        <v>16776.996396278202</v>
      </c>
      <c r="AD111" s="37">
        <f>V116</f>
        <v>24290.221863174746</v>
      </c>
      <c r="AE111" s="37">
        <f>W116</f>
        <v>26702.045347161489</v>
      </c>
      <c r="AG111" s="23">
        <v>1</v>
      </c>
      <c r="AH111" s="37">
        <f>C111*$O111*AA$113</f>
        <v>16599.507713750172</v>
      </c>
      <c r="AI111" s="37">
        <f>D111*$O111*AB$113</f>
        <v>6184.5307921092808</v>
      </c>
      <c r="AJ111" s="37">
        <f>E111*$O111*AC$113</f>
        <v>3400.7667973366911</v>
      </c>
      <c r="AK111" s="37">
        <f>F111*$O111*AD$113</f>
        <v>2412.4757090976645</v>
      </c>
      <c r="AL111" s="37">
        <f>G111*$O111*AE$113</f>
        <v>4091.7559729955806</v>
      </c>
      <c r="AM111" s="37">
        <f>SUM(AH111:AL111)</f>
        <v>32689.036985289389</v>
      </c>
      <c r="AN111" s="35">
        <f>$H$3-AM111</f>
        <v>-3.6985289389122045E-2</v>
      </c>
    </row>
    <row r="112" spans="2:40" x14ac:dyDescent="0.3">
      <c r="B112" s="23">
        <v>2</v>
      </c>
      <c r="C112" s="37">
        <f t="shared" si="151"/>
        <v>6450.2944210776423</v>
      </c>
      <c r="D112" s="37">
        <f t="shared" si="151"/>
        <v>21628.806675075048</v>
      </c>
      <c r="E112" s="37">
        <f t="shared" si="151"/>
        <v>1321.4844298643629</v>
      </c>
      <c r="F112" s="37">
        <f t="shared" si="151"/>
        <v>2109.2823862152413</v>
      </c>
      <c r="G112" s="37">
        <f t="shared" si="151"/>
        <v>3577.488716604103</v>
      </c>
      <c r="H112" s="37">
        <f>SUM(C112:G112)</f>
        <v>35087.356628836395</v>
      </c>
      <c r="L112" s="23">
        <v>2</v>
      </c>
      <c r="M112" s="37">
        <f>H112</f>
        <v>35087.356628836395</v>
      </c>
      <c r="N112" s="23">
        <f>$H$4</f>
        <v>35087</v>
      </c>
      <c r="O112" s="23">
        <f>N112/M112</f>
        <v>0.99998983597310653</v>
      </c>
      <c r="R112" s="23">
        <v>2</v>
      </c>
      <c r="S112" s="37">
        <f t="shared" si="152"/>
        <v>6450.2288601116752</v>
      </c>
      <c r="T112" s="37">
        <f t="shared" si="152"/>
        <v>21628.58683930233</v>
      </c>
      <c r="U112" s="37">
        <f t="shared" si="152"/>
        <v>1321.4709982610784</v>
      </c>
      <c r="V112" s="37">
        <f t="shared" si="152"/>
        <v>2109.2609474123419</v>
      </c>
      <c r="W112" s="37">
        <f t="shared" si="152"/>
        <v>3577.4523549125765</v>
      </c>
      <c r="X112" s="37">
        <f t="shared" si="153"/>
        <v>35087</v>
      </c>
      <c r="Z112" s="23" t="s">
        <v>88</v>
      </c>
      <c r="AA112" s="37">
        <f>AA100</f>
        <v>34062</v>
      </c>
      <c r="AB112" s="37">
        <f>AB100</f>
        <v>40880</v>
      </c>
      <c r="AC112" s="37">
        <f>AC100</f>
        <v>16777</v>
      </c>
      <c r="AD112" s="37">
        <f>AD100</f>
        <v>24290</v>
      </c>
      <c r="AE112" s="37">
        <f>AE100</f>
        <v>26702</v>
      </c>
      <c r="AG112" s="23">
        <v>2</v>
      </c>
      <c r="AH112" s="37">
        <f t="shared" ref="AH112:AH115" si="154">C112*$O112*AA$113</f>
        <v>6450.2431504988554</v>
      </c>
      <c r="AI112" s="37">
        <f t="shared" ref="AI112:AI115" si="155">D112*$O112*AB$113</f>
        <v>21628.68638148054</v>
      </c>
      <c r="AJ112" s="37">
        <f t="shared" ref="AJ112:AJ115" si="156">E112*$O112*AC$113</f>
        <v>1321.4712821148585</v>
      </c>
      <c r="AK112" s="37">
        <f t="shared" ref="AK112:AK115" si="157">F112*$O112*AD$113</f>
        <v>2109.2416817451613</v>
      </c>
      <c r="AL112" s="37">
        <f t="shared" ref="AL112:AL115" si="158">G112*$O112*AE$113</f>
        <v>3577.4462794487854</v>
      </c>
      <c r="AM112" s="37">
        <f t="shared" ref="AM112:AM115" si="159">SUM(AH112:AL112)</f>
        <v>35087.088775288197</v>
      </c>
      <c r="AN112" s="35">
        <f>$H$4-AM112</f>
        <v>-8.8775288197211921E-2</v>
      </c>
    </row>
    <row r="113" spans="2:40" x14ac:dyDescent="0.3">
      <c r="B113" s="23">
        <v>3</v>
      </c>
      <c r="C113" s="37">
        <f t="shared" si="151"/>
        <v>5436.4363139202114</v>
      </c>
      <c r="D113" s="37">
        <f t="shared" si="151"/>
        <v>2916.6700893753841</v>
      </c>
      <c r="E113" s="37">
        <f t="shared" si="151"/>
        <v>10023.96003411434</v>
      </c>
      <c r="F113" s="37">
        <f t="shared" si="151"/>
        <v>1777.7451093181332</v>
      </c>
      <c r="G113" s="37">
        <f t="shared" si="151"/>
        <v>3015.1785797611828</v>
      </c>
      <c r="H113" s="37">
        <f>SUM(C113:G113)</f>
        <v>23169.990126489254</v>
      </c>
      <c r="L113" s="23">
        <v>3</v>
      </c>
      <c r="M113" s="37">
        <f>H113</f>
        <v>23169.990126489254</v>
      </c>
      <c r="N113" s="23">
        <f>$H$5</f>
        <v>23170</v>
      </c>
      <c r="O113" s="23">
        <f>N113/M113</f>
        <v>1.000000426133576</v>
      </c>
      <c r="R113" s="23">
        <v>3</v>
      </c>
      <c r="S113" s="37">
        <f t="shared" si="152"/>
        <v>5436.4386305682583</v>
      </c>
      <c r="T113" s="37">
        <f t="shared" si="152"/>
        <v>2916.6713322664391</v>
      </c>
      <c r="U113" s="37">
        <f t="shared" si="152"/>
        <v>10023.964305660274</v>
      </c>
      <c r="V113" s="37">
        <f t="shared" si="152"/>
        <v>1777.7458668750139</v>
      </c>
      <c r="W113" s="37">
        <f t="shared" si="152"/>
        <v>3015.1798646300131</v>
      </c>
      <c r="X113" s="37">
        <f t="shared" si="153"/>
        <v>23170</v>
      </c>
      <c r="Z113" s="23" t="s">
        <v>99</v>
      </c>
      <c r="AA113" s="38">
        <f>AA112/AA111</f>
        <v>1.0000022154852937</v>
      </c>
      <c r="AB113" s="38">
        <f t="shared" ref="AB113:AC113" si="160">AB112/AB111</f>
        <v>1.0000046023431373</v>
      </c>
      <c r="AC113" s="38">
        <f t="shared" si="160"/>
        <v>1.0000002148013694</v>
      </c>
      <c r="AD113" s="38">
        <f>AD112/AD111</f>
        <v>0.99999086615280852</v>
      </c>
      <c r="AE113" s="38">
        <f t="shared" ref="AE113" si="161">AE112/AE111</f>
        <v>0.99999830173453386</v>
      </c>
      <c r="AG113" s="23">
        <v>3</v>
      </c>
      <c r="AH113" s="37">
        <f t="shared" si="154"/>
        <v>5436.4506749180946</v>
      </c>
      <c r="AI113" s="37">
        <f t="shared" si="155"/>
        <v>2916.6847557887286</v>
      </c>
      <c r="AJ113" s="37">
        <f t="shared" si="156"/>
        <v>10023.966458821535</v>
      </c>
      <c r="AK113" s="37">
        <f t="shared" si="157"/>
        <v>1777.7296292159206</v>
      </c>
      <c r="AL113" s="37">
        <f t="shared" si="158"/>
        <v>3015.1747440541749</v>
      </c>
      <c r="AM113" s="37">
        <f t="shared" si="159"/>
        <v>23170.006262798452</v>
      </c>
      <c r="AN113" s="35">
        <f>$H$5-AM113</f>
        <v>-6.2627984516439028E-3</v>
      </c>
    </row>
    <row r="114" spans="2:40" x14ac:dyDescent="0.3">
      <c r="B114" s="23">
        <v>4</v>
      </c>
      <c r="C114" s="37">
        <f t="shared" si="151"/>
        <v>2726.0692073970649</v>
      </c>
      <c r="D114" s="37">
        <f t="shared" si="151"/>
        <v>2600.0838489396465</v>
      </c>
      <c r="E114" s="37">
        <f t="shared" si="151"/>
        <v>992.88022864986203</v>
      </c>
      <c r="F114" s="37">
        <f t="shared" si="151"/>
        <v>14263.038273668672</v>
      </c>
      <c r="G114" s="37">
        <f t="shared" si="151"/>
        <v>4778.4886412236492</v>
      </c>
      <c r="H114" s="37">
        <f>SUM(C114:G114)</f>
        <v>25360.560199878895</v>
      </c>
      <c r="L114" s="23">
        <v>4</v>
      </c>
      <c r="M114" s="23">
        <f>H114</f>
        <v>25360.560199878895</v>
      </c>
      <c r="N114" s="23">
        <f>$H$6</f>
        <v>25361</v>
      </c>
      <c r="O114" s="23">
        <f>N114/M114</f>
        <v>1.0000173418929881</v>
      </c>
      <c r="R114" s="23">
        <v>4</v>
      </c>
      <c r="S114" s="37">
        <f t="shared" si="152"/>
        <v>2726.1164825975379</v>
      </c>
      <c r="T114" s="37">
        <f t="shared" si="152"/>
        <v>2600.1289393155148</v>
      </c>
      <c r="U114" s="37">
        <f t="shared" si="152"/>
        <v>992.89744707253726</v>
      </c>
      <c r="V114" s="37">
        <f t="shared" si="152"/>
        <v>14263.285621752098</v>
      </c>
      <c r="W114" s="37">
        <f t="shared" si="152"/>
        <v>4778.5715092623104</v>
      </c>
      <c r="X114" s="37">
        <f t="shared" si="153"/>
        <v>25360.999999999996</v>
      </c>
      <c r="AG114" s="23">
        <v>4</v>
      </c>
      <c r="AH114" s="37">
        <f t="shared" si="154"/>
        <v>2726.1225222685139</v>
      </c>
      <c r="AI114" s="37">
        <f t="shared" si="155"/>
        <v>2600.1409060010947</v>
      </c>
      <c r="AJ114" s="37">
        <f t="shared" si="156"/>
        <v>992.89766034826857</v>
      </c>
      <c r="AK114" s="37">
        <f t="shared" si="157"/>
        <v>14263.155343080782</v>
      </c>
      <c r="AL114" s="37">
        <f t="shared" si="158"/>
        <v>4778.5633939793388</v>
      </c>
      <c r="AM114" s="37">
        <f t="shared" si="159"/>
        <v>25360.879825677999</v>
      </c>
      <c r="AN114" s="35">
        <f>$H$6-AM114</f>
        <v>0.12017432200082112</v>
      </c>
    </row>
    <row r="115" spans="2:40" x14ac:dyDescent="0.3">
      <c r="B115" s="23">
        <v>5</v>
      </c>
      <c r="C115" s="37">
        <f t="shared" si="151"/>
        <v>2849.6663198611495</v>
      </c>
      <c r="D115" s="37">
        <f t="shared" si="151"/>
        <v>7549.9136602104863</v>
      </c>
      <c r="E115" s="37">
        <f t="shared" si="151"/>
        <v>1037.8963745902572</v>
      </c>
      <c r="F115" s="37">
        <f t="shared" si="151"/>
        <v>3727.4273592427571</v>
      </c>
      <c r="G115" s="37">
        <f t="shared" si="151"/>
        <v>11239.06566037122</v>
      </c>
      <c r="H115" s="37">
        <f>SUM(C115:G115)</f>
        <v>26403.969374275868</v>
      </c>
      <c r="L115" s="23">
        <v>5</v>
      </c>
      <c r="M115" s="37">
        <f>H115</f>
        <v>26403.969374275868</v>
      </c>
      <c r="N115" s="23">
        <f>$H$7</f>
        <v>26404</v>
      </c>
      <c r="O115" s="23">
        <f>N115/M115</f>
        <v>1.0000011598909124</v>
      </c>
      <c r="R115" s="23">
        <v>5</v>
      </c>
      <c r="S115" s="37">
        <f t="shared" si="152"/>
        <v>2849.6696251632175</v>
      </c>
      <c r="T115" s="37">
        <f t="shared" si="152"/>
        <v>7549.9224172867307</v>
      </c>
      <c r="U115" s="37">
        <f t="shared" si="152"/>
        <v>1037.8975784368301</v>
      </c>
      <c r="V115" s="37">
        <f t="shared" si="152"/>
        <v>3727.431682651878</v>
      </c>
      <c r="W115" s="37">
        <f t="shared" si="152"/>
        <v>11239.078696461343</v>
      </c>
      <c r="X115" s="37">
        <f t="shared" si="153"/>
        <v>26404</v>
      </c>
      <c r="AG115" s="23">
        <v>5</v>
      </c>
      <c r="AH115" s="37">
        <f t="shared" si="154"/>
        <v>2849.6759385643636</v>
      </c>
      <c r="AI115" s="37">
        <f t="shared" si="155"/>
        <v>7549.9571646203549</v>
      </c>
      <c r="AJ115" s="37">
        <f t="shared" si="156"/>
        <v>1037.8978013786511</v>
      </c>
      <c r="AK115" s="37">
        <f t="shared" si="157"/>
        <v>3727.3976368604717</v>
      </c>
      <c r="AL115" s="37">
        <f t="shared" si="158"/>
        <v>11239.059609522123</v>
      </c>
      <c r="AM115" s="37">
        <f t="shared" si="159"/>
        <v>26403.988150945963</v>
      </c>
      <c r="AN115" s="35">
        <f>$H$7-AM115</f>
        <v>1.1849054037156748E-2</v>
      </c>
    </row>
    <row r="116" spans="2:40" x14ac:dyDescent="0.3">
      <c r="B116" s="23" t="s">
        <v>84</v>
      </c>
      <c r="C116" s="37">
        <f t="shared" ref="C116:H116" si="162">SUM(C111:C115)</f>
        <v>34062</v>
      </c>
      <c r="D116" s="37">
        <f t="shared" si="162"/>
        <v>40880.000000000007</v>
      </c>
      <c r="E116" s="37">
        <f t="shared" si="162"/>
        <v>16776.999999999996</v>
      </c>
      <c r="F116" s="37">
        <f t="shared" si="162"/>
        <v>24290</v>
      </c>
      <c r="G116" s="37">
        <f t="shared" si="162"/>
        <v>26701.999999999993</v>
      </c>
      <c r="H116" s="37">
        <f t="shared" si="162"/>
        <v>142711</v>
      </c>
      <c r="R116" s="23" t="s">
        <v>100</v>
      </c>
      <c r="S116" s="37">
        <f>SUM(S111:S115)</f>
        <v>34061.924536307117</v>
      </c>
      <c r="T116" s="37">
        <f t="shared" ref="T116" si="163">SUM(T111:T115)</f>
        <v>40879.81185707845</v>
      </c>
      <c r="U116" s="37">
        <f t="shared" ref="U116" si="164">SUM(U111:U115)</f>
        <v>16776.996396278202</v>
      </c>
      <c r="V116" s="37">
        <f t="shared" ref="V116" si="165">SUM(V111:V115)</f>
        <v>24290.221863174746</v>
      </c>
      <c r="W116" s="37">
        <f>SUM(W111:W115)</f>
        <v>26702.045347161489</v>
      </c>
      <c r="X116" s="37">
        <f t="shared" si="153"/>
        <v>142711</v>
      </c>
      <c r="AG116" s="23" t="s">
        <v>84</v>
      </c>
      <c r="AH116" s="37">
        <f>SUM(AH111:AH115)</f>
        <v>34062</v>
      </c>
      <c r="AI116" s="37">
        <f>SUM(AI111:AI115)</f>
        <v>40880</v>
      </c>
      <c r="AJ116" s="37">
        <f t="shared" ref="AJ116" si="166">SUM(AJ111:AJ115)</f>
        <v>16777.000000000004</v>
      </c>
      <c r="AK116" s="37">
        <f t="shared" ref="AK116" si="167">SUM(AK111:AK115)</f>
        <v>24290</v>
      </c>
      <c r="AL116" s="37">
        <f t="shared" ref="AL116" si="168">SUM(AL111:AL115)</f>
        <v>26702</v>
      </c>
      <c r="AM116" s="37">
        <f>SUM(AH116:AL116)</f>
        <v>142711</v>
      </c>
      <c r="AN116" s="34" t="s">
        <v>91</v>
      </c>
    </row>
    <row r="117" spans="2:40" x14ac:dyDescent="0.3">
      <c r="G117" s="15"/>
      <c r="H117" s="15"/>
      <c r="X117" s="15"/>
      <c r="AG117" s="34" t="s">
        <v>86</v>
      </c>
      <c r="AH117" s="35">
        <f>$C$8-AH116</f>
        <v>0</v>
      </c>
      <c r="AI117" s="35">
        <f>$D$8-AI116</f>
        <v>0</v>
      </c>
      <c r="AJ117" s="35">
        <f>$E$8-AJ116</f>
        <v>0</v>
      </c>
      <c r="AK117" s="35">
        <f>$F$8-AK116</f>
        <v>0</v>
      </c>
      <c r="AL117" s="35">
        <f>$G$8-AL116</f>
        <v>0</v>
      </c>
      <c r="AM117" s="35"/>
      <c r="AN117" s="36">
        <f>SQRT((AH117^2+AI117^2+AJ117^2+AK117^2+AL117^2+AN111^2+AN112^2+AN113^2+AN114^2+AN115^2)/8)</f>
        <v>5.4624232054182639E-2</v>
      </c>
    </row>
  </sheetData>
  <mergeCells count="9">
    <mergeCell ref="R2:V2"/>
    <mergeCell ref="H1:H2"/>
    <mergeCell ref="A3:A7"/>
    <mergeCell ref="A8:B8"/>
    <mergeCell ref="K2:O2"/>
    <mergeCell ref="Q2:Q3"/>
    <mergeCell ref="J2:J3"/>
    <mergeCell ref="A1:B2"/>
    <mergeCell ref="C1:G1"/>
  </mergeCells>
  <phoneticPr fontId="20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8193" r:id="rId3">
          <objectPr defaultSize="0" autoPict="0" r:id="rId4">
            <anchor moveWithCells="1">
              <from>
                <xdr:col>22</xdr:col>
                <xdr:colOff>419100</xdr:colOff>
                <xdr:row>3</xdr:row>
                <xdr:rowOff>137160</xdr:rowOff>
              </from>
              <to>
                <xdr:col>24</xdr:col>
                <xdr:colOff>106680</xdr:colOff>
                <xdr:row>7</xdr:row>
                <xdr:rowOff>137160</xdr:rowOff>
              </to>
            </anchor>
          </objectPr>
        </oleObject>
      </mc:Choice>
      <mc:Fallback>
        <oleObject progId="Equation.DSMT4" shapeId="8193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A5A6-A2A7-41BF-9BD5-0CC34EA72745}">
  <dimension ref="A1:R61"/>
  <sheetViews>
    <sheetView zoomScale="81" zoomScaleNormal="130" workbookViewId="0">
      <selection activeCell="B4" sqref="B4:C7"/>
    </sheetView>
  </sheetViews>
  <sheetFormatPr defaultColWidth="8.88671875" defaultRowHeight="14.4" x14ac:dyDescent="0.3"/>
  <cols>
    <col min="1" max="6" width="7.77734375" customWidth="1"/>
    <col min="7" max="8" width="9.77734375" customWidth="1"/>
    <col min="10" max="14" width="9.77734375" customWidth="1"/>
    <col min="15" max="15" width="12.77734375" customWidth="1"/>
    <col min="16" max="17" width="9.77734375" customWidth="1"/>
    <col min="19" max="19" width="12.109375" bestFit="1" customWidth="1"/>
  </cols>
  <sheetData>
    <row r="1" spans="1:17" ht="15.6" thickTop="1" thickBot="1" x14ac:dyDescent="0.35">
      <c r="A1" s="53"/>
      <c r="B1" s="109" t="s">
        <v>126</v>
      </c>
      <c r="C1" s="110"/>
      <c r="D1" s="111"/>
      <c r="E1" s="112" t="s">
        <v>125</v>
      </c>
      <c r="F1" s="113"/>
      <c r="G1" s="114" t="s">
        <v>124</v>
      </c>
      <c r="H1" s="115"/>
    </row>
    <row r="2" spans="1:17" ht="15" thickBot="1" x14ac:dyDescent="0.35">
      <c r="A2" s="51" t="s">
        <v>123</v>
      </c>
      <c r="B2" s="50" t="s">
        <v>121</v>
      </c>
      <c r="C2" s="50" t="s">
        <v>120</v>
      </c>
      <c r="D2" s="50" t="s">
        <v>122</v>
      </c>
      <c r="E2" s="49" t="s">
        <v>121</v>
      </c>
      <c r="F2" s="49" t="s">
        <v>120</v>
      </c>
      <c r="G2" s="48" t="s">
        <v>121</v>
      </c>
      <c r="H2" s="47" t="s">
        <v>120</v>
      </c>
      <c r="J2" s="8" t="s">
        <v>119</v>
      </c>
      <c r="K2" s="8" t="s">
        <v>118</v>
      </c>
      <c r="L2" s="8" t="s">
        <v>117</v>
      </c>
      <c r="M2" s="8" t="s">
        <v>116</v>
      </c>
      <c r="N2" s="8" t="s">
        <v>115</v>
      </c>
      <c r="O2" s="52" t="s">
        <v>114</v>
      </c>
      <c r="P2" s="8" t="s">
        <v>113</v>
      </c>
      <c r="Q2" s="52" t="s">
        <v>110</v>
      </c>
    </row>
    <row r="3" spans="1:17" ht="15" thickBot="1" x14ac:dyDescent="0.35">
      <c r="A3" s="51">
        <v>1</v>
      </c>
      <c r="B3" s="50">
        <v>5458</v>
      </c>
      <c r="C3" s="50">
        <v>366</v>
      </c>
      <c r="D3" s="50">
        <v>5824</v>
      </c>
      <c r="E3" s="49">
        <v>1</v>
      </c>
      <c r="F3" s="49">
        <v>0</v>
      </c>
      <c r="G3" s="48">
        <v>12</v>
      </c>
      <c r="H3" s="47">
        <v>52</v>
      </c>
      <c r="J3" s="45">
        <f>B3/D3</f>
        <v>0.93715659340659341</v>
      </c>
      <c r="K3" s="8">
        <f t="shared" ref="K3:N7" si="0">E3</f>
        <v>1</v>
      </c>
      <c r="L3" s="8">
        <f t="shared" si="0"/>
        <v>0</v>
      </c>
      <c r="M3" s="8">
        <f t="shared" si="0"/>
        <v>12</v>
      </c>
      <c r="N3" s="8">
        <f t="shared" si="0"/>
        <v>52</v>
      </c>
      <c r="O3" s="46">
        <f>-LN(1/J3-1)</f>
        <v>2.7022043678669174</v>
      </c>
      <c r="P3" s="8">
        <f>K3-L3</f>
        <v>1</v>
      </c>
      <c r="Q3" s="31">
        <f>M3-N3</f>
        <v>-40</v>
      </c>
    </row>
    <row r="4" spans="1:17" ht="15" thickBot="1" x14ac:dyDescent="0.35">
      <c r="A4" s="51">
        <v>2</v>
      </c>
      <c r="B4" s="50">
        <v>6334</v>
      </c>
      <c r="C4" s="50">
        <v>818</v>
      </c>
      <c r="D4" s="50">
        <v>7152</v>
      </c>
      <c r="E4" s="49">
        <v>1</v>
      </c>
      <c r="F4" s="49">
        <v>0</v>
      </c>
      <c r="G4" s="48">
        <v>11</v>
      </c>
      <c r="H4" s="47">
        <v>51</v>
      </c>
      <c r="J4" s="45">
        <f>B4/D4</f>
        <v>0.88562639821029088</v>
      </c>
      <c r="K4" s="8">
        <f t="shared" si="0"/>
        <v>1</v>
      </c>
      <c r="L4" s="8">
        <f t="shared" si="0"/>
        <v>0</v>
      </c>
      <c r="M4" s="8">
        <f t="shared" si="0"/>
        <v>11</v>
      </c>
      <c r="N4" s="8">
        <f t="shared" si="0"/>
        <v>51</v>
      </c>
      <c r="O4" s="46">
        <f>-LN(1/J4-1)</f>
        <v>2.0468248904958379</v>
      </c>
      <c r="P4" s="8">
        <f>K4-L4</f>
        <v>1</v>
      </c>
      <c r="Q4" s="31">
        <f>M4-N4</f>
        <v>-40</v>
      </c>
    </row>
    <row r="5" spans="1:17" ht="15" thickBot="1" x14ac:dyDescent="0.35">
      <c r="A5" s="51">
        <v>3</v>
      </c>
      <c r="B5" s="50">
        <v>2109</v>
      </c>
      <c r="C5" s="50">
        <v>425</v>
      </c>
      <c r="D5" s="50">
        <v>2534</v>
      </c>
      <c r="E5" s="49">
        <v>1</v>
      </c>
      <c r="F5" s="49">
        <v>0</v>
      </c>
      <c r="G5" s="48">
        <v>10</v>
      </c>
      <c r="H5" s="47">
        <v>35</v>
      </c>
      <c r="J5" s="45">
        <f>B5/D5</f>
        <v>0.83228097868981843</v>
      </c>
      <c r="K5" s="8">
        <f t="shared" si="0"/>
        <v>1</v>
      </c>
      <c r="L5" s="8">
        <f t="shared" si="0"/>
        <v>0</v>
      </c>
      <c r="M5" s="8">
        <f t="shared" si="0"/>
        <v>10</v>
      </c>
      <c r="N5" s="8">
        <f t="shared" si="0"/>
        <v>35</v>
      </c>
      <c r="O5" s="46">
        <f>-LN(1/J5-1)</f>
        <v>1.6018800115543574</v>
      </c>
      <c r="P5" s="8">
        <f>K5-L5</f>
        <v>1</v>
      </c>
      <c r="Q5" s="31">
        <f>M5-N5</f>
        <v>-25</v>
      </c>
    </row>
    <row r="6" spans="1:17" ht="15" thickBot="1" x14ac:dyDescent="0.35">
      <c r="A6" s="51">
        <v>4</v>
      </c>
      <c r="B6" s="50">
        <v>3111</v>
      </c>
      <c r="C6" s="50">
        <v>891</v>
      </c>
      <c r="D6" s="50">
        <v>4002</v>
      </c>
      <c r="E6" s="49">
        <v>1</v>
      </c>
      <c r="F6" s="49">
        <v>0</v>
      </c>
      <c r="G6" s="48">
        <v>8</v>
      </c>
      <c r="H6" s="47">
        <v>36</v>
      </c>
      <c r="J6" s="45">
        <f>B6/D6</f>
        <v>0.77736131934032981</v>
      </c>
      <c r="K6" s="8">
        <f t="shared" si="0"/>
        <v>1</v>
      </c>
      <c r="L6" s="8">
        <f t="shared" si="0"/>
        <v>0</v>
      </c>
      <c r="M6" s="8">
        <f t="shared" si="0"/>
        <v>8</v>
      </c>
      <c r="N6" s="8">
        <f t="shared" si="0"/>
        <v>36</v>
      </c>
      <c r="O6" s="46">
        <f>-LN(1/J6-1)</f>
        <v>1.2503550694268277</v>
      </c>
      <c r="P6" s="8">
        <f>K6-L6</f>
        <v>1</v>
      </c>
      <c r="Q6" s="31">
        <f>M6-N6</f>
        <v>-28</v>
      </c>
    </row>
    <row r="7" spans="1:17" ht="15" thickBot="1" x14ac:dyDescent="0.35">
      <c r="A7" s="51">
        <v>5</v>
      </c>
      <c r="B7" s="50">
        <v>3785</v>
      </c>
      <c r="C7" s="50">
        <v>595</v>
      </c>
      <c r="D7" s="50">
        <v>4380</v>
      </c>
      <c r="E7" s="49">
        <v>1</v>
      </c>
      <c r="F7" s="49">
        <v>0</v>
      </c>
      <c r="G7" s="48">
        <v>10</v>
      </c>
      <c r="H7" s="47">
        <v>40</v>
      </c>
      <c r="J7" s="45">
        <f>B7/D7</f>
        <v>0.86415525114155256</v>
      </c>
      <c r="K7" s="8">
        <f t="shared" si="0"/>
        <v>1</v>
      </c>
      <c r="L7" s="8">
        <f t="shared" si="0"/>
        <v>0</v>
      </c>
      <c r="M7" s="8">
        <f t="shared" si="0"/>
        <v>10</v>
      </c>
      <c r="N7" s="8">
        <f t="shared" si="0"/>
        <v>40</v>
      </c>
      <c r="O7" s="46">
        <f>-LN(1/J7-1)</f>
        <v>1.8502397603259204</v>
      </c>
      <c r="P7" s="8">
        <f>K7-L7</f>
        <v>1</v>
      </c>
      <c r="Q7" s="31">
        <f>M7-N7</f>
        <v>-30</v>
      </c>
    </row>
    <row r="8" spans="1:17" x14ac:dyDescent="0.3">
      <c r="B8" s="45"/>
      <c r="C8" s="8"/>
      <c r="D8" s="8"/>
      <c r="E8" s="8"/>
    </row>
    <row r="9" spans="1:17" x14ac:dyDescent="0.3">
      <c r="B9" s="45"/>
      <c r="C9" s="8"/>
      <c r="D9" s="8"/>
      <c r="E9" s="8"/>
    </row>
    <row r="10" spans="1:17" x14ac:dyDescent="0.3">
      <c r="B10" s="45"/>
      <c r="C10" s="8"/>
      <c r="D10" s="8"/>
      <c r="E10" s="8"/>
    </row>
    <row r="11" spans="1:17" x14ac:dyDescent="0.3">
      <c r="B11" s="45"/>
      <c r="C11" s="8"/>
      <c r="D11" s="8"/>
      <c r="E11" s="8"/>
    </row>
    <row r="13" spans="1:17" ht="15" thickBot="1" x14ac:dyDescent="0.35"/>
    <row r="14" spans="1:17" ht="15.6" x14ac:dyDescent="0.35">
      <c r="P14" s="44" t="s">
        <v>112</v>
      </c>
      <c r="Q14" s="43" t="s">
        <v>111</v>
      </c>
    </row>
    <row r="15" spans="1:17" ht="15" thickBot="1" x14ac:dyDescent="0.35">
      <c r="P15" s="42" cm="1">
        <f t="array" ref="P15:Q15">LINEST(O3:O7,Q3:Q7)</f>
        <v>-6.3556719917317997E-2</v>
      </c>
      <c r="Q15" s="41">
        <v>-0.18164824937059465</v>
      </c>
    </row>
    <row r="32" spans="16:18" x14ac:dyDescent="0.3">
      <c r="P32" s="8" t="s">
        <v>110</v>
      </c>
      <c r="Q32" s="8" t="s">
        <v>109</v>
      </c>
      <c r="R32" s="8" t="s">
        <v>108</v>
      </c>
    </row>
    <row r="33" spans="16:18" x14ac:dyDescent="0.3">
      <c r="P33">
        <v>-40</v>
      </c>
      <c r="Q33">
        <f t="shared" ref="Q33:Q45" si="1">$Q$15+P33*$P$15</f>
        <v>2.3606205473221253</v>
      </c>
      <c r="R33">
        <f t="shared" ref="R33:R45" si="2">1/(EXP(-Q33)+1)</f>
        <v>0.91377471128641807</v>
      </c>
    </row>
    <row r="34" spans="16:18" x14ac:dyDescent="0.3">
      <c r="P34">
        <v>-35</v>
      </c>
      <c r="Q34">
        <f t="shared" si="1"/>
        <v>2.0428369477355348</v>
      </c>
      <c r="R34">
        <f t="shared" si="2"/>
        <v>0.8852218287582071</v>
      </c>
    </row>
    <row r="35" spans="16:18" x14ac:dyDescent="0.3">
      <c r="P35">
        <v>-30</v>
      </c>
      <c r="Q35">
        <f t="shared" si="1"/>
        <v>1.7250533481489452</v>
      </c>
      <c r="R35">
        <f t="shared" si="2"/>
        <v>0.84877859503952413</v>
      </c>
    </row>
    <row r="36" spans="16:18" x14ac:dyDescent="0.3">
      <c r="P36">
        <v>-25</v>
      </c>
      <c r="Q36">
        <f t="shared" si="1"/>
        <v>1.4072697485623553</v>
      </c>
      <c r="R36">
        <f t="shared" si="2"/>
        <v>0.80333495413273326</v>
      </c>
    </row>
    <row r="37" spans="16:18" x14ac:dyDescent="0.3">
      <c r="P37">
        <v>-20</v>
      </c>
      <c r="Q37">
        <f t="shared" si="1"/>
        <v>1.0894861489757652</v>
      </c>
      <c r="R37">
        <f t="shared" si="2"/>
        <v>0.74828494775946808</v>
      </c>
    </row>
    <row r="38" spans="16:18" x14ac:dyDescent="0.3">
      <c r="P38">
        <v>-15</v>
      </c>
      <c r="Q38">
        <f t="shared" si="1"/>
        <v>0.77170254938917526</v>
      </c>
      <c r="R38">
        <f t="shared" si="2"/>
        <v>0.68388907423086753</v>
      </c>
    </row>
    <row r="39" spans="16:18" x14ac:dyDescent="0.3">
      <c r="P39">
        <v>-10</v>
      </c>
      <c r="Q39">
        <f t="shared" si="1"/>
        <v>0.45391894980258529</v>
      </c>
      <c r="R39">
        <f t="shared" si="2"/>
        <v>0.61157059435803895</v>
      </c>
    </row>
    <row r="40" spans="16:18" x14ac:dyDescent="0.3">
      <c r="P40">
        <v>-5</v>
      </c>
      <c r="Q40">
        <f t="shared" si="1"/>
        <v>0.13613535021599532</v>
      </c>
      <c r="R40">
        <f t="shared" si="2"/>
        <v>0.5339813728299021</v>
      </c>
    </row>
    <row r="41" spans="16:18" x14ac:dyDescent="0.3">
      <c r="P41">
        <v>0</v>
      </c>
      <c r="Q41">
        <f t="shared" si="1"/>
        <v>-0.18164824937059465</v>
      </c>
      <c r="R41">
        <f t="shared" si="2"/>
        <v>0.45471239537315222</v>
      </c>
    </row>
    <row r="42" spans="16:18" x14ac:dyDescent="0.3">
      <c r="P42">
        <v>5</v>
      </c>
      <c r="Q42">
        <f t="shared" si="1"/>
        <v>-0.49943184895718462</v>
      </c>
      <c r="R42">
        <f t="shared" si="2"/>
        <v>0.37767419568889282</v>
      </c>
    </row>
    <row r="43" spans="16:18" x14ac:dyDescent="0.3">
      <c r="P43">
        <v>10</v>
      </c>
      <c r="Q43">
        <f t="shared" si="1"/>
        <v>-0.81721544854377459</v>
      </c>
      <c r="R43">
        <f t="shared" si="2"/>
        <v>0.30635506236307153</v>
      </c>
    </row>
    <row r="44" spans="16:18" x14ac:dyDescent="0.3">
      <c r="P44">
        <v>15</v>
      </c>
      <c r="Q44">
        <f t="shared" si="1"/>
        <v>-1.1349990481303647</v>
      </c>
      <c r="R44">
        <f t="shared" si="2"/>
        <v>0.2432397245947511</v>
      </c>
    </row>
    <row r="45" spans="16:18" x14ac:dyDescent="0.3">
      <c r="P45">
        <v>20</v>
      </c>
      <c r="Q45">
        <f t="shared" si="1"/>
        <v>-1.4527826477169545</v>
      </c>
      <c r="R45">
        <f t="shared" si="2"/>
        <v>0.18957368320476614</v>
      </c>
    </row>
    <row r="53" spans="2:18" x14ac:dyDescent="0.3">
      <c r="B53" s="54"/>
      <c r="C53" s="55">
        <v>1</v>
      </c>
      <c r="D53" s="55">
        <v>6334</v>
      </c>
      <c r="E53" s="55">
        <v>818</v>
      </c>
      <c r="F53" s="55">
        <v>0.88562600000000002</v>
      </c>
      <c r="G53" s="55">
        <v>1</v>
      </c>
      <c r="H53" s="55">
        <v>0</v>
      </c>
      <c r="I53" s="55">
        <v>5</v>
      </c>
      <c r="J53" s="55">
        <v>10</v>
      </c>
      <c r="K53" s="55">
        <v>2.0468250000000001</v>
      </c>
      <c r="L53" s="55">
        <v>1</v>
      </c>
      <c r="M53" s="55">
        <v>-5</v>
      </c>
      <c r="N53" s="54"/>
      <c r="O53" s="54"/>
      <c r="P53" s="55">
        <v>2.0468250000000001</v>
      </c>
      <c r="Q53" s="54">
        <v>-5</v>
      </c>
      <c r="R53" s="54"/>
    </row>
    <row r="54" spans="2:18" x14ac:dyDescent="0.3">
      <c r="B54" s="54"/>
      <c r="C54" s="56">
        <v>2</v>
      </c>
      <c r="D54" s="55">
        <v>2</v>
      </c>
      <c r="E54" s="55">
        <v>5458</v>
      </c>
      <c r="F54" s="55">
        <v>366</v>
      </c>
      <c r="G54" s="55">
        <v>0.93715700000000002</v>
      </c>
      <c r="H54" s="55">
        <v>1</v>
      </c>
      <c r="I54" s="55">
        <v>0</v>
      </c>
      <c r="J54" s="55">
        <v>10</v>
      </c>
      <c r="K54" s="55">
        <v>20</v>
      </c>
      <c r="L54" s="55">
        <v>2.7022040000000001</v>
      </c>
      <c r="M54" s="55">
        <v>1</v>
      </c>
      <c r="N54" s="55">
        <v>-10</v>
      </c>
      <c r="O54" s="54"/>
      <c r="P54" s="55">
        <v>2.7022040000000001</v>
      </c>
      <c r="Q54" s="55">
        <v>-10</v>
      </c>
      <c r="R54" s="54"/>
    </row>
    <row r="55" spans="2:18" x14ac:dyDescent="0.3">
      <c r="B55" s="54"/>
      <c r="C55" s="56">
        <v>3</v>
      </c>
      <c r="D55" s="55">
        <v>3</v>
      </c>
      <c r="E55" s="55">
        <v>11955</v>
      </c>
      <c r="F55" s="55">
        <v>1238</v>
      </c>
      <c r="G55" s="55">
        <v>0.90616200000000002</v>
      </c>
      <c r="H55" s="55">
        <v>1</v>
      </c>
      <c r="I55" s="55">
        <v>0</v>
      </c>
      <c r="J55" s="55">
        <v>5</v>
      </c>
      <c r="K55" s="55">
        <v>10</v>
      </c>
      <c r="L55" s="55">
        <v>2.267652</v>
      </c>
      <c r="M55" s="55">
        <v>1</v>
      </c>
      <c r="N55" s="55">
        <v>-5</v>
      </c>
      <c r="O55" s="54"/>
      <c r="P55" s="55">
        <v>2.267652</v>
      </c>
      <c r="Q55" s="55">
        <v>-5</v>
      </c>
      <c r="R55" s="54"/>
    </row>
    <row r="56" spans="2:18" x14ac:dyDescent="0.3">
      <c r="B56" s="54"/>
      <c r="C56" s="56">
        <v>4</v>
      </c>
      <c r="D56" s="55">
        <v>4</v>
      </c>
      <c r="E56" s="55">
        <v>7288</v>
      </c>
      <c r="F56" s="55">
        <v>363</v>
      </c>
      <c r="G56" s="55">
        <v>0.95255500000000004</v>
      </c>
      <c r="H56" s="55">
        <v>1</v>
      </c>
      <c r="I56" s="55">
        <v>0</v>
      </c>
      <c r="J56" s="55">
        <v>10</v>
      </c>
      <c r="K56" s="55">
        <v>20</v>
      </c>
      <c r="L56" s="55">
        <v>2.9995820000000002</v>
      </c>
      <c r="M56" s="55">
        <v>1</v>
      </c>
      <c r="N56" s="55">
        <v>-10</v>
      </c>
      <c r="O56" s="54"/>
      <c r="P56" s="55">
        <v>2.9995820000000002</v>
      </c>
      <c r="Q56" s="55">
        <v>-10</v>
      </c>
      <c r="R56" s="54"/>
    </row>
    <row r="57" spans="2:18" x14ac:dyDescent="0.3">
      <c r="B57" s="54"/>
      <c r="C57" s="56">
        <v>5</v>
      </c>
      <c r="D57" s="55">
        <v>5</v>
      </c>
      <c r="E57" s="55">
        <v>3785</v>
      </c>
      <c r="F57" s="55">
        <v>595</v>
      </c>
      <c r="G57" s="55">
        <v>0.86415500000000001</v>
      </c>
      <c r="H57" s="55">
        <v>1</v>
      </c>
      <c r="I57" s="55">
        <v>0</v>
      </c>
      <c r="J57" s="55">
        <v>5</v>
      </c>
      <c r="K57" s="55">
        <v>10</v>
      </c>
      <c r="L57" s="55">
        <v>1.8502400000000001</v>
      </c>
      <c r="M57" s="55">
        <v>1</v>
      </c>
      <c r="N57" s="55">
        <v>-5</v>
      </c>
      <c r="O57" s="54"/>
      <c r="P57" s="55">
        <v>1.8502400000000001</v>
      </c>
      <c r="Q57" s="55">
        <v>-5</v>
      </c>
      <c r="R57" s="54"/>
    </row>
    <row r="58" spans="2:18" x14ac:dyDescent="0.3"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61" spans="2:18" x14ac:dyDescent="0.3">
      <c r="P61" cm="1">
        <f t="array" ref="P61:Q61">LINEST(P53:P57,Q53:Q57)</f>
        <v>-0.15919746666666668</v>
      </c>
      <c r="Q61">
        <v>1.2589183333333331</v>
      </c>
    </row>
  </sheetData>
  <mergeCells count="3">
    <mergeCell ref="B1:D1"/>
    <mergeCell ref="E1:F1"/>
    <mergeCell ref="G1:H1"/>
  </mergeCells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9217" r:id="rId4">
          <objectPr defaultSize="0" autoPict="0" r:id="rId5">
            <anchor moveWithCells="1">
              <from>
                <xdr:col>15</xdr:col>
                <xdr:colOff>15240</xdr:colOff>
                <xdr:row>16</xdr:row>
                <xdr:rowOff>38100</xdr:rowOff>
              </from>
              <to>
                <xdr:col>20</xdr:col>
                <xdr:colOff>335280</xdr:colOff>
                <xdr:row>23</xdr:row>
                <xdr:rowOff>114300</xdr:rowOff>
              </to>
            </anchor>
          </objectPr>
        </oleObject>
      </mc:Choice>
      <mc:Fallback>
        <oleObject progId="Equation.DSMT4" shapeId="9217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91A8-C29C-4376-9391-4BAD568D8C3C}">
  <dimension ref="A1:AB92"/>
  <sheetViews>
    <sheetView zoomScale="83" workbookViewId="0">
      <pane ySplit="1" topLeftCell="A2" activePane="bottomLeft" state="frozen"/>
      <selection pane="bottomLeft" activeCell="Y7" sqref="Y7"/>
    </sheetView>
  </sheetViews>
  <sheetFormatPr defaultColWidth="8.77734375" defaultRowHeight="14.4" x14ac:dyDescent="0.3"/>
  <cols>
    <col min="1" max="4" width="6.77734375" customWidth="1"/>
    <col min="8" max="8" width="9.88671875" customWidth="1"/>
    <col min="9" max="9" width="3.6640625" customWidth="1"/>
    <col min="10" max="16" width="5.109375" style="8" customWidth="1"/>
    <col min="17" max="20" width="8.77734375" style="8"/>
    <col min="21" max="21" width="12" style="8" bestFit="1" customWidth="1"/>
    <col min="22" max="22" width="13.44140625" style="8" bestFit="1" customWidth="1"/>
    <col min="23" max="23" width="3.77734375" customWidth="1"/>
    <col min="24" max="25" width="12.21875" customWidth="1"/>
    <col min="26" max="26" width="3.77734375" customWidth="1"/>
    <col min="27" max="28" width="12.21875" customWidth="1"/>
  </cols>
  <sheetData>
    <row r="1" spans="1:28" ht="15.6" customHeight="1" thickTop="1" thickBot="1" x14ac:dyDescent="0.4">
      <c r="A1" s="53"/>
      <c r="B1" s="109" t="s">
        <v>126</v>
      </c>
      <c r="C1" s="110"/>
      <c r="D1" s="111"/>
      <c r="E1" s="112" t="s">
        <v>125</v>
      </c>
      <c r="F1" s="113"/>
      <c r="G1" s="114" t="s">
        <v>124</v>
      </c>
      <c r="H1" s="115"/>
      <c r="J1" s="30" t="s">
        <v>123</v>
      </c>
      <c r="K1" s="30" t="s">
        <v>127</v>
      </c>
      <c r="L1" s="30" t="s">
        <v>128</v>
      </c>
      <c r="M1" s="30" t="s">
        <v>129</v>
      </c>
      <c r="N1" s="30" t="s">
        <v>130</v>
      </c>
      <c r="O1" s="30" t="s">
        <v>131</v>
      </c>
      <c r="P1" s="30" t="s">
        <v>132</v>
      </c>
      <c r="Q1" s="30" t="s">
        <v>133</v>
      </c>
      <c r="R1" s="30" t="s">
        <v>134</v>
      </c>
      <c r="S1" s="30" t="s">
        <v>135</v>
      </c>
      <c r="T1" s="30" t="s">
        <v>136</v>
      </c>
      <c r="U1" s="30" t="s">
        <v>137</v>
      </c>
      <c r="V1" s="30" t="s">
        <v>138</v>
      </c>
      <c r="X1" s="58" t="s">
        <v>139</v>
      </c>
      <c r="AA1" t="s">
        <v>140</v>
      </c>
    </row>
    <row r="2" spans="1:28" ht="16.2" thickBot="1" x14ac:dyDescent="0.4">
      <c r="A2" s="51" t="s">
        <v>123</v>
      </c>
      <c r="B2" s="50" t="s">
        <v>121</v>
      </c>
      <c r="C2" s="50" t="s">
        <v>120</v>
      </c>
      <c r="D2" s="50" t="s">
        <v>122</v>
      </c>
      <c r="E2" s="49" t="s">
        <v>121</v>
      </c>
      <c r="F2" s="49" t="s">
        <v>120</v>
      </c>
      <c r="G2" s="48" t="s">
        <v>121</v>
      </c>
      <c r="H2" s="47" t="s">
        <v>120</v>
      </c>
      <c r="J2" s="8">
        <v>1</v>
      </c>
      <c r="K2" s="8">
        <v>1</v>
      </c>
      <c r="L2" s="8">
        <f>1-K2</f>
        <v>0</v>
      </c>
      <c r="M2" s="8">
        <v>1</v>
      </c>
      <c r="N2" s="8">
        <v>0</v>
      </c>
      <c r="O2" s="8">
        <f t="shared" ref="O2:O33" si="0">VLOOKUP(J2,$A$3:$H$7,7,FALSE)</f>
        <v>12</v>
      </c>
      <c r="P2" s="8">
        <f t="shared" ref="P2:P33" si="1">VLOOKUP(J2,$A$3:$H$7,8,FALSE)</f>
        <v>52</v>
      </c>
      <c r="Q2" s="59">
        <f>M2*$Y$3+O2*$X$3</f>
        <v>-0.76264354478301677</v>
      </c>
      <c r="R2" s="59">
        <f>N2*$Y$3+P2*$X$3</f>
        <v>-2.3873006577375073</v>
      </c>
      <c r="S2" s="59">
        <f>EXP(Q2)/(EXP(Q2)+EXP(R2))</f>
        <v>0.8354364015843031</v>
      </c>
      <c r="T2" s="59">
        <f>1-S2</f>
        <v>0.1645635984156969</v>
      </c>
      <c r="U2" s="59">
        <f>IF(K2=1,S2,T2)</f>
        <v>0.8354364015843031</v>
      </c>
      <c r="V2" s="59">
        <f>LN(U2)</f>
        <v>-0.17980105403032884</v>
      </c>
      <c r="X2" s="44" t="s">
        <v>112</v>
      </c>
      <c r="Y2" s="43" t="s">
        <v>111</v>
      </c>
      <c r="AA2" s="60" t="s">
        <v>112</v>
      </c>
      <c r="AB2" s="61" t="s">
        <v>111</v>
      </c>
    </row>
    <row r="3" spans="1:28" ht="15" thickBot="1" x14ac:dyDescent="0.35">
      <c r="A3" s="51">
        <v>1</v>
      </c>
      <c r="B3" s="50">
        <v>5458</v>
      </c>
      <c r="C3" s="50">
        <v>366</v>
      </c>
      <c r="D3" s="50">
        <v>5824</v>
      </c>
      <c r="E3" s="49">
        <v>1</v>
      </c>
      <c r="F3" s="49">
        <v>0</v>
      </c>
      <c r="G3" s="48">
        <v>12</v>
      </c>
      <c r="H3" s="47">
        <v>52</v>
      </c>
      <c r="J3" s="8">
        <v>1</v>
      </c>
      <c r="K3" s="8">
        <v>1</v>
      </c>
      <c r="L3" s="8">
        <f t="shared" ref="L3:L51" si="2">1-K3</f>
        <v>0</v>
      </c>
      <c r="M3" s="8">
        <v>1</v>
      </c>
      <c r="N3" s="8">
        <v>0</v>
      </c>
      <c r="O3" s="8">
        <f t="shared" si="0"/>
        <v>12</v>
      </c>
      <c r="P3" s="8">
        <f t="shared" si="1"/>
        <v>52</v>
      </c>
      <c r="Q3" s="59">
        <f t="shared" ref="Q3:R51" si="3">M3*$Y$3+O3*$X$3</f>
        <v>-0.76264354478301677</v>
      </c>
      <c r="R3" s="59">
        <f t="shared" si="3"/>
        <v>-2.3873006577375073</v>
      </c>
      <c r="S3" s="59">
        <f t="shared" ref="S3:S51" si="4">EXP(Q3)/(EXP(Q3)+EXP(R3))</f>
        <v>0.8354364015843031</v>
      </c>
      <c r="T3" s="59">
        <f t="shared" ref="T3:T51" si="5">1-S3</f>
        <v>0.1645635984156969</v>
      </c>
      <c r="U3" s="59">
        <f t="shared" ref="U3:U51" si="6">IF(K3=1,S3,T3)</f>
        <v>0.8354364015843031</v>
      </c>
      <c r="V3" s="59">
        <f t="shared" ref="V3:V51" si="7">LN(U3)</f>
        <v>-0.17980105403032884</v>
      </c>
      <c r="X3" s="62">
        <v>-4.5909628033413599E-2</v>
      </c>
      <c r="Y3" s="63">
        <v>-0.21172800838205352</v>
      </c>
      <c r="AA3" s="64">
        <f>'Regression (2)'!P15</f>
        <v>-6.3556719917317997E-2</v>
      </c>
      <c r="AB3" s="65">
        <v>-0.20918824183563439</v>
      </c>
    </row>
    <row r="4" spans="1:28" ht="15" thickBot="1" x14ac:dyDescent="0.35">
      <c r="A4" s="51">
        <v>2</v>
      </c>
      <c r="B4" s="50">
        <v>6334</v>
      </c>
      <c r="C4" s="50">
        <v>818</v>
      </c>
      <c r="D4" s="50">
        <v>7152</v>
      </c>
      <c r="E4" s="49">
        <v>1</v>
      </c>
      <c r="F4" s="49">
        <v>0</v>
      </c>
      <c r="G4" s="48">
        <v>11</v>
      </c>
      <c r="H4" s="47">
        <v>51</v>
      </c>
      <c r="J4" s="8">
        <v>1</v>
      </c>
      <c r="K4" s="8">
        <v>1</v>
      </c>
      <c r="L4" s="8">
        <f t="shared" si="2"/>
        <v>0</v>
      </c>
      <c r="M4" s="8">
        <v>1</v>
      </c>
      <c r="N4" s="8">
        <v>0</v>
      </c>
      <c r="O4" s="8">
        <f t="shared" si="0"/>
        <v>12</v>
      </c>
      <c r="P4" s="8">
        <f t="shared" si="1"/>
        <v>52</v>
      </c>
      <c r="Q4" s="59">
        <f t="shared" si="3"/>
        <v>-0.76264354478301677</v>
      </c>
      <c r="R4" s="59">
        <f t="shared" si="3"/>
        <v>-2.3873006577375073</v>
      </c>
      <c r="S4" s="59">
        <f t="shared" si="4"/>
        <v>0.8354364015843031</v>
      </c>
      <c r="T4" s="59">
        <f t="shared" si="5"/>
        <v>0.1645635984156969</v>
      </c>
      <c r="U4" s="59">
        <f t="shared" si="6"/>
        <v>0.8354364015843031</v>
      </c>
      <c r="V4" s="59">
        <f t="shared" si="7"/>
        <v>-0.17980105403032884</v>
      </c>
    </row>
    <row r="5" spans="1:28" ht="15" thickBot="1" x14ac:dyDescent="0.35">
      <c r="A5" s="51">
        <v>3</v>
      </c>
      <c r="B5" s="50">
        <v>2109</v>
      </c>
      <c r="C5" s="50">
        <v>425</v>
      </c>
      <c r="D5" s="50">
        <v>2534</v>
      </c>
      <c r="E5" s="49">
        <v>1</v>
      </c>
      <c r="F5" s="49">
        <v>0</v>
      </c>
      <c r="G5" s="48">
        <v>10</v>
      </c>
      <c r="H5" s="47">
        <v>35</v>
      </c>
      <c r="J5" s="8">
        <v>1</v>
      </c>
      <c r="K5" s="8">
        <v>1</v>
      </c>
      <c r="L5" s="8">
        <f t="shared" si="2"/>
        <v>0</v>
      </c>
      <c r="M5" s="8">
        <v>1</v>
      </c>
      <c r="N5" s="8">
        <v>0</v>
      </c>
      <c r="O5" s="8">
        <f t="shared" si="0"/>
        <v>12</v>
      </c>
      <c r="P5" s="8">
        <f t="shared" si="1"/>
        <v>52</v>
      </c>
      <c r="Q5" s="59">
        <f t="shared" si="3"/>
        <v>-0.76264354478301677</v>
      </c>
      <c r="R5" s="59">
        <f t="shared" si="3"/>
        <v>-2.3873006577375073</v>
      </c>
      <c r="S5" s="59">
        <f t="shared" si="4"/>
        <v>0.8354364015843031</v>
      </c>
      <c r="T5" s="59">
        <f t="shared" si="5"/>
        <v>0.1645635984156969</v>
      </c>
      <c r="U5" s="59">
        <f t="shared" si="6"/>
        <v>0.8354364015843031</v>
      </c>
      <c r="V5" s="59">
        <f t="shared" si="7"/>
        <v>-0.17980105403032884</v>
      </c>
      <c r="X5" s="66" t="s">
        <v>141</v>
      </c>
      <c r="Y5" s="57">
        <f>SUM(V2:V51)</f>
        <v>-22.066100002423635</v>
      </c>
      <c r="AA5" s="66" t="s">
        <v>141</v>
      </c>
      <c r="AB5" s="57">
        <v>-22.066199999999998</v>
      </c>
    </row>
    <row r="6" spans="1:28" ht="15" thickBot="1" x14ac:dyDescent="0.35">
      <c r="A6" s="51">
        <v>4</v>
      </c>
      <c r="B6" s="50">
        <v>3111</v>
      </c>
      <c r="C6" s="50">
        <v>891</v>
      </c>
      <c r="D6" s="50">
        <v>4002</v>
      </c>
      <c r="E6" s="49">
        <v>1</v>
      </c>
      <c r="F6" s="49">
        <v>0</v>
      </c>
      <c r="G6" s="48">
        <v>8</v>
      </c>
      <c r="H6" s="47">
        <v>36</v>
      </c>
      <c r="J6" s="8">
        <v>1</v>
      </c>
      <c r="K6" s="8">
        <v>1</v>
      </c>
      <c r="L6" s="8">
        <f t="shared" si="2"/>
        <v>0</v>
      </c>
      <c r="M6" s="8">
        <v>1</v>
      </c>
      <c r="N6" s="8">
        <v>0</v>
      </c>
      <c r="O6" s="8">
        <f t="shared" si="0"/>
        <v>12</v>
      </c>
      <c r="P6" s="8">
        <f t="shared" si="1"/>
        <v>52</v>
      </c>
      <c r="Q6" s="59">
        <f t="shared" si="3"/>
        <v>-0.76264354478301677</v>
      </c>
      <c r="R6" s="59">
        <f t="shared" si="3"/>
        <v>-2.3873006577375073</v>
      </c>
      <c r="S6" s="59">
        <f t="shared" si="4"/>
        <v>0.8354364015843031</v>
      </c>
      <c r="T6" s="59">
        <f t="shared" si="5"/>
        <v>0.1645635984156969</v>
      </c>
      <c r="U6" s="59">
        <f t="shared" si="6"/>
        <v>0.8354364015843031</v>
      </c>
      <c r="V6" s="59">
        <f t="shared" si="7"/>
        <v>-0.17980105403032884</v>
      </c>
      <c r="X6" t="s">
        <v>142</v>
      </c>
    </row>
    <row r="7" spans="1:28" ht="15" thickBot="1" x14ac:dyDescent="0.35">
      <c r="A7" s="51">
        <v>5</v>
      </c>
      <c r="B7" s="50">
        <v>3785</v>
      </c>
      <c r="C7" s="50">
        <v>595</v>
      </c>
      <c r="D7" s="50">
        <v>4380</v>
      </c>
      <c r="E7" s="49">
        <v>1</v>
      </c>
      <c r="F7" s="49">
        <v>0</v>
      </c>
      <c r="G7" s="48">
        <v>10</v>
      </c>
      <c r="H7" s="47">
        <v>40</v>
      </c>
      <c r="J7" s="8">
        <v>1</v>
      </c>
      <c r="K7" s="8">
        <v>1</v>
      </c>
      <c r="L7" s="8">
        <f t="shared" si="2"/>
        <v>0</v>
      </c>
      <c r="M7" s="8">
        <v>1</v>
      </c>
      <c r="N7" s="8">
        <v>0</v>
      </c>
      <c r="O7" s="8">
        <f t="shared" si="0"/>
        <v>12</v>
      </c>
      <c r="P7" s="8">
        <f t="shared" si="1"/>
        <v>52</v>
      </c>
      <c r="Q7" s="59">
        <f t="shared" si="3"/>
        <v>-0.76264354478301677</v>
      </c>
      <c r="R7" s="59">
        <f t="shared" si="3"/>
        <v>-2.3873006577375073</v>
      </c>
      <c r="S7" s="59">
        <f t="shared" si="4"/>
        <v>0.8354364015843031</v>
      </c>
      <c r="T7" s="59">
        <f t="shared" si="5"/>
        <v>0.1645635984156969</v>
      </c>
      <c r="U7" s="59">
        <f t="shared" si="6"/>
        <v>0.8354364015843031</v>
      </c>
      <c r="V7" s="59">
        <f t="shared" si="7"/>
        <v>-0.17980105403032884</v>
      </c>
    </row>
    <row r="8" spans="1:28" x14ac:dyDescent="0.3">
      <c r="J8" s="8">
        <v>1</v>
      </c>
      <c r="K8" s="8">
        <v>1</v>
      </c>
      <c r="L8" s="8">
        <f t="shared" si="2"/>
        <v>0</v>
      </c>
      <c r="M8" s="8">
        <v>1</v>
      </c>
      <c r="N8" s="8">
        <v>0</v>
      </c>
      <c r="O8" s="8">
        <f t="shared" si="0"/>
        <v>12</v>
      </c>
      <c r="P8" s="8">
        <f t="shared" si="1"/>
        <v>52</v>
      </c>
      <c r="Q8" s="59">
        <f t="shared" si="3"/>
        <v>-0.76264354478301677</v>
      </c>
      <c r="R8" s="59">
        <f t="shared" si="3"/>
        <v>-2.3873006577375073</v>
      </c>
      <c r="S8" s="59">
        <f t="shared" si="4"/>
        <v>0.8354364015843031</v>
      </c>
      <c r="T8" s="59">
        <f t="shared" si="5"/>
        <v>0.1645635984156969</v>
      </c>
      <c r="U8" s="59">
        <f t="shared" si="6"/>
        <v>0.8354364015843031</v>
      </c>
      <c r="V8" s="59">
        <f t="shared" si="7"/>
        <v>-0.17980105403032884</v>
      </c>
    </row>
    <row r="9" spans="1:28" x14ac:dyDescent="0.3">
      <c r="J9" s="8">
        <v>1</v>
      </c>
      <c r="K9" s="8">
        <v>1</v>
      </c>
      <c r="L9" s="8">
        <f t="shared" si="2"/>
        <v>0</v>
      </c>
      <c r="M9" s="8">
        <v>1</v>
      </c>
      <c r="N9" s="8">
        <v>0</v>
      </c>
      <c r="O9" s="8">
        <f t="shared" si="0"/>
        <v>12</v>
      </c>
      <c r="P9" s="8">
        <f t="shared" si="1"/>
        <v>52</v>
      </c>
      <c r="Q9" s="59">
        <f t="shared" si="3"/>
        <v>-0.76264354478301677</v>
      </c>
      <c r="R9" s="59">
        <f t="shared" si="3"/>
        <v>-2.3873006577375073</v>
      </c>
      <c r="S9" s="59">
        <f t="shared" si="4"/>
        <v>0.8354364015843031</v>
      </c>
      <c r="T9" s="59">
        <f t="shared" si="5"/>
        <v>0.1645635984156969</v>
      </c>
      <c r="U9" s="59">
        <f t="shared" si="6"/>
        <v>0.8354364015843031</v>
      </c>
      <c r="V9" s="59">
        <f t="shared" si="7"/>
        <v>-0.17980105403032884</v>
      </c>
    </row>
    <row r="10" spans="1:28" x14ac:dyDescent="0.3">
      <c r="J10" s="8">
        <v>1</v>
      </c>
      <c r="K10" s="8">
        <v>1</v>
      </c>
      <c r="L10" s="8">
        <f t="shared" si="2"/>
        <v>0</v>
      </c>
      <c r="M10" s="8">
        <v>1</v>
      </c>
      <c r="N10" s="8">
        <v>0</v>
      </c>
      <c r="O10" s="8">
        <f t="shared" si="0"/>
        <v>12</v>
      </c>
      <c r="P10" s="8">
        <f t="shared" si="1"/>
        <v>52</v>
      </c>
      <c r="Q10" s="59">
        <f t="shared" si="3"/>
        <v>-0.76264354478301677</v>
      </c>
      <c r="R10" s="59">
        <f t="shared" si="3"/>
        <v>-2.3873006577375073</v>
      </c>
      <c r="S10" s="59">
        <f t="shared" si="4"/>
        <v>0.8354364015843031</v>
      </c>
      <c r="T10" s="59">
        <f t="shared" si="5"/>
        <v>0.1645635984156969</v>
      </c>
      <c r="U10" s="59">
        <f t="shared" si="6"/>
        <v>0.8354364015843031</v>
      </c>
      <c r="V10" s="59">
        <f t="shared" si="7"/>
        <v>-0.17980105403032884</v>
      </c>
    </row>
    <row r="11" spans="1:28" x14ac:dyDescent="0.3">
      <c r="B11">
        <f>B3/D3*100</f>
        <v>93.715659340659343</v>
      </c>
      <c r="J11" s="30">
        <v>1</v>
      </c>
      <c r="K11" s="30">
        <v>0</v>
      </c>
      <c r="L11" s="30">
        <f t="shared" si="2"/>
        <v>1</v>
      </c>
      <c r="M11" s="30">
        <v>1</v>
      </c>
      <c r="N11" s="30">
        <v>0</v>
      </c>
      <c r="O11" s="30">
        <f t="shared" si="0"/>
        <v>12</v>
      </c>
      <c r="P11" s="30">
        <f t="shared" si="1"/>
        <v>52</v>
      </c>
      <c r="Q11" s="67">
        <f t="shared" si="3"/>
        <v>-0.76264354478301677</v>
      </c>
      <c r="R11" s="67">
        <f t="shared" si="3"/>
        <v>-2.3873006577375073</v>
      </c>
      <c r="S11" s="67">
        <f t="shared" si="4"/>
        <v>0.8354364015843031</v>
      </c>
      <c r="T11" s="67">
        <f t="shared" si="5"/>
        <v>0.1645635984156969</v>
      </c>
      <c r="U11" s="67">
        <f t="shared" si="6"/>
        <v>0.1645635984156969</v>
      </c>
      <c r="V11" s="67">
        <f t="shared" si="7"/>
        <v>-1.8044581669848199</v>
      </c>
      <c r="AB11" s="27">
        <f>SUM(U2:U51)</f>
        <v>34.756708306850328</v>
      </c>
    </row>
    <row r="12" spans="1:28" x14ac:dyDescent="0.3">
      <c r="B12">
        <f t="shared" ref="B12:B15" si="8">B4/D4*100</f>
        <v>88.562639821029094</v>
      </c>
      <c r="J12" s="8">
        <v>2</v>
      </c>
      <c r="K12" s="8">
        <v>1</v>
      </c>
      <c r="L12" s="8">
        <f t="shared" si="2"/>
        <v>0</v>
      </c>
      <c r="M12" s="8">
        <v>1</v>
      </c>
      <c r="N12" s="8">
        <v>0</v>
      </c>
      <c r="O12" s="8">
        <f t="shared" si="0"/>
        <v>11</v>
      </c>
      <c r="P12" s="8">
        <f t="shared" si="1"/>
        <v>51</v>
      </c>
      <c r="Q12" s="59">
        <f t="shared" si="3"/>
        <v>-0.71673391674960307</v>
      </c>
      <c r="R12" s="59">
        <f t="shared" si="3"/>
        <v>-2.3413910297040936</v>
      </c>
      <c r="S12" s="59">
        <f t="shared" si="4"/>
        <v>0.83543640158430299</v>
      </c>
      <c r="T12" s="59">
        <f t="shared" si="5"/>
        <v>0.16456359841569701</v>
      </c>
      <c r="U12" s="59">
        <f t="shared" si="6"/>
        <v>0.83543640158430299</v>
      </c>
      <c r="V12" s="59">
        <f t="shared" si="7"/>
        <v>-0.17980105403032895</v>
      </c>
    </row>
    <row r="13" spans="1:28" x14ac:dyDescent="0.3">
      <c r="B13">
        <f t="shared" si="8"/>
        <v>83.228097868981848</v>
      </c>
      <c r="J13" s="8">
        <v>2</v>
      </c>
      <c r="K13" s="8">
        <v>1</v>
      </c>
      <c r="L13" s="8">
        <f t="shared" si="2"/>
        <v>0</v>
      </c>
      <c r="M13" s="8">
        <v>1</v>
      </c>
      <c r="N13" s="8">
        <v>0</v>
      </c>
      <c r="O13" s="8">
        <f t="shared" si="0"/>
        <v>11</v>
      </c>
      <c r="P13" s="8">
        <f t="shared" si="1"/>
        <v>51</v>
      </c>
      <c r="Q13" s="59">
        <f t="shared" si="3"/>
        <v>-0.71673391674960307</v>
      </c>
      <c r="R13" s="59">
        <f t="shared" si="3"/>
        <v>-2.3413910297040936</v>
      </c>
      <c r="S13" s="59">
        <f t="shared" si="4"/>
        <v>0.83543640158430299</v>
      </c>
      <c r="T13" s="59">
        <f t="shared" si="5"/>
        <v>0.16456359841569701</v>
      </c>
      <c r="U13" s="59">
        <f t="shared" si="6"/>
        <v>0.83543640158430299</v>
      </c>
      <c r="V13" s="59">
        <f t="shared" si="7"/>
        <v>-0.17980105403032895</v>
      </c>
    </row>
    <row r="14" spans="1:28" x14ac:dyDescent="0.3">
      <c r="B14">
        <f t="shared" si="8"/>
        <v>77.736131934032983</v>
      </c>
      <c r="J14" s="8">
        <v>2</v>
      </c>
      <c r="K14" s="8">
        <v>1</v>
      </c>
      <c r="L14" s="8">
        <f t="shared" si="2"/>
        <v>0</v>
      </c>
      <c r="M14" s="8">
        <v>1</v>
      </c>
      <c r="N14" s="8">
        <v>0</v>
      </c>
      <c r="O14" s="8">
        <f t="shared" si="0"/>
        <v>11</v>
      </c>
      <c r="P14" s="8">
        <f t="shared" si="1"/>
        <v>51</v>
      </c>
      <c r="Q14" s="59">
        <f t="shared" si="3"/>
        <v>-0.71673391674960307</v>
      </c>
      <c r="R14" s="59">
        <f t="shared" si="3"/>
        <v>-2.3413910297040936</v>
      </c>
      <c r="S14" s="59">
        <f t="shared" si="4"/>
        <v>0.83543640158430299</v>
      </c>
      <c r="T14" s="59">
        <f t="shared" si="5"/>
        <v>0.16456359841569701</v>
      </c>
      <c r="U14" s="59">
        <f t="shared" si="6"/>
        <v>0.83543640158430299</v>
      </c>
      <c r="V14" s="59">
        <f t="shared" si="7"/>
        <v>-0.17980105403032895</v>
      </c>
    </row>
    <row r="15" spans="1:28" x14ac:dyDescent="0.3">
      <c r="B15">
        <f t="shared" si="8"/>
        <v>86.415525114155258</v>
      </c>
      <c r="J15" s="8">
        <v>2</v>
      </c>
      <c r="K15" s="8">
        <v>1</v>
      </c>
      <c r="L15" s="8">
        <f t="shared" si="2"/>
        <v>0</v>
      </c>
      <c r="M15" s="8">
        <v>1</v>
      </c>
      <c r="N15" s="8">
        <v>0</v>
      </c>
      <c r="O15" s="8">
        <f t="shared" si="0"/>
        <v>11</v>
      </c>
      <c r="P15" s="8">
        <f t="shared" si="1"/>
        <v>51</v>
      </c>
      <c r="Q15" s="59">
        <f t="shared" si="3"/>
        <v>-0.71673391674960307</v>
      </c>
      <c r="R15" s="59">
        <f t="shared" si="3"/>
        <v>-2.3413910297040936</v>
      </c>
      <c r="S15" s="59">
        <f t="shared" si="4"/>
        <v>0.83543640158430299</v>
      </c>
      <c r="T15" s="59">
        <f t="shared" si="5"/>
        <v>0.16456359841569701</v>
      </c>
      <c r="U15" s="59">
        <f t="shared" si="6"/>
        <v>0.83543640158430299</v>
      </c>
      <c r="V15" s="59">
        <f t="shared" si="7"/>
        <v>-0.17980105403032895</v>
      </c>
    </row>
    <row r="16" spans="1:28" x14ac:dyDescent="0.3">
      <c r="J16" s="8">
        <v>2</v>
      </c>
      <c r="K16" s="8">
        <v>1</v>
      </c>
      <c r="L16" s="8">
        <f t="shared" si="2"/>
        <v>0</v>
      </c>
      <c r="M16" s="8">
        <v>1</v>
      </c>
      <c r="N16" s="8">
        <v>0</v>
      </c>
      <c r="O16" s="8">
        <f t="shared" si="0"/>
        <v>11</v>
      </c>
      <c r="P16" s="8">
        <f t="shared" si="1"/>
        <v>51</v>
      </c>
      <c r="Q16" s="59">
        <f t="shared" si="3"/>
        <v>-0.71673391674960307</v>
      </c>
      <c r="R16" s="59">
        <f t="shared" si="3"/>
        <v>-2.3413910297040936</v>
      </c>
      <c r="S16" s="59">
        <f t="shared" si="4"/>
        <v>0.83543640158430299</v>
      </c>
      <c r="T16" s="59">
        <f t="shared" si="5"/>
        <v>0.16456359841569701</v>
      </c>
      <c r="U16" s="59">
        <f t="shared" si="6"/>
        <v>0.83543640158430299</v>
      </c>
      <c r="V16" s="59">
        <f t="shared" si="7"/>
        <v>-0.17980105403032895</v>
      </c>
    </row>
    <row r="17" spans="10:22" x14ac:dyDescent="0.3">
      <c r="J17" s="8">
        <v>2</v>
      </c>
      <c r="K17" s="8">
        <v>1</v>
      </c>
      <c r="L17" s="8">
        <f t="shared" si="2"/>
        <v>0</v>
      </c>
      <c r="M17" s="8">
        <v>1</v>
      </c>
      <c r="N17" s="8">
        <v>0</v>
      </c>
      <c r="O17" s="8">
        <f t="shared" si="0"/>
        <v>11</v>
      </c>
      <c r="P17" s="8">
        <f t="shared" si="1"/>
        <v>51</v>
      </c>
      <c r="Q17" s="59">
        <f t="shared" si="3"/>
        <v>-0.71673391674960307</v>
      </c>
      <c r="R17" s="59">
        <f t="shared" si="3"/>
        <v>-2.3413910297040936</v>
      </c>
      <c r="S17" s="59">
        <f t="shared" si="4"/>
        <v>0.83543640158430299</v>
      </c>
      <c r="T17" s="59">
        <f t="shared" si="5"/>
        <v>0.16456359841569701</v>
      </c>
      <c r="U17" s="59">
        <f t="shared" si="6"/>
        <v>0.83543640158430299</v>
      </c>
      <c r="V17" s="59">
        <f t="shared" si="7"/>
        <v>-0.17980105403032895</v>
      </c>
    </row>
    <row r="18" spans="10:22" x14ac:dyDescent="0.3">
      <c r="J18" s="8">
        <v>2</v>
      </c>
      <c r="K18" s="8">
        <v>1</v>
      </c>
      <c r="L18" s="8">
        <f t="shared" si="2"/>
        <v>0</v>
      </c>
      <c r="M18" s="8">
        <v>1</v>
      </c>
      <c r="N18" s="8">
        <v>0</v>
      </c>
      <c r="O18" s="8">
        <f t="shared" si="0"/>
        <v>11</v>
      </c>
      <c r="P18" s="8">
        <f t="shared" si="1"/>
        <v>51</v>
      </c>
      <c r="Q18" s="59">
        <f t="shared" si="3"/>
        <v>-0.71673391674960307</v>
      </c>
      <c r="R18" s="59">
        <f t="shared" si="3"/>
        <v>-2.3413910297040936</v>
      </c>
      <c r="S18" s="59">
        <f t="shared" si="4"/>
        <v>0.83543640158430299</v>
      </c>
      <c r="T18" s="59">
        <f t="shared" si="5"/>
        <v>0.16456359841569701</v>
      </c>
      <c r="U18" s="59">
        <f t="shared" si="6"/>
        <v>0.83543640158430299</v>
      </c>
      <c r="V18" s="59">
        <f t="shared" si="7"/>
        <v>-0.17980105403032895</v>
      </c>
    </row>
    <row r="19" spans="10:22" x14ac:dyDescent="0.3">
      <c r="J19" s="8">
        <v>2</v>
      </c>
      <c r="K19" s="8">
        <v>1</v>
      </c>
      <c r="L19" s="8">
        <f t="shared" si="2"/>
        <v>0</v>
      </c>
      <c r="M19" s="8">
        <v>1</v>
      </c>
      <c r="N19" s="8">
        <v>0</v>
      </c>
      <c r="O19" s="8">
        <f t="shared" si="0"/>
        <v>11</v>
      </c>
      <c r="P19" s="8">
        <f t="shared" si="1"/>
        <v>51</v>
      </c>
      <c r="Q19" s="59">
        <f t="shared" si="3"/>
        <v>-0.71673391674960307</v>
      </c>
      <c r="R19" s="59">
        <f t="shared" si="3"/>
        <v>-2.3413910297040936</v>
      </c>
      <c r="S19" s="59">
        <f t="shared" si="4"/>
        <v>0.83543640158430299</v>
      </c>
      <c r="T19" s="59">
        <f t="shared" si="5"/>
        <v>0.16456359841569701</v>
      </c>
      <c r="U19" s="59">
        <f t="shared" si="6"/>
        <v>0.83543640158430299</v>
      </c>
      <c r="V19" s="59">
        <f t="shared" si="7"/>
        <v>-0.17980105403032895</v>
      </c>
    </row>
    <row r="20" spans="10:22" x14ac:dyDescent="0.3">
      <c r="J20" s="8">
        <v>2</v>
      </c>
      <c r="K20" s="8">
        <v>1</v>
      </c>
      <c r="L20" s="8">
        <f t="shared" si="2"/>
        <v>0</v>
      </c>
      <c r="M20" s="8">
        <v>1</v>
      </c>
      <c r="N20" s="8">
        <v>0</v>
      </c>
      <c r="O20" s="8">
        <f t="shared" si="0"/>
        <v>11</v>
      </c>
      <c r="P20" s="8">
        <f t="shared" si="1"/>
        <v>51</v>
      </c>
      <c r="Q20" s="59">
        <f t="shared" si="3"/>
        <v>-0.71673391674960307</v>
      </c>
      <c r="R20" s="59">
        <f t="shared" si="3"/>
        <v>-2.3413910297040936</v>
      </c>
      <c r="S20" s="59">
        <f t="shared" si="4"/>
        <v>0.83543640158430299</v>
      </c>
      <c r="T20" s="59">
        <f t="shared" si="5"/>
        <v>0.16456359841569701</v>
      </c>
      <c r="U20" s="59">
        <f t="shared" si="6"/>
        <v>0.83543640158430299</v>
      </c>
      <c r="V20" s="59">
        <f t="shared" si="7"/>
        <v>-0.17980105403032895</v>
      </c>
    </row>
    <row r="21" spans="10:22" x14ac:dyDescent="0.3">
      <c r="J21" s="30">
        <v>2</v>
      </c>
      <c r="K21" s="30">
        <v>0</v>
      </c>
      <c r="L21" s="30">
        <f t="shared" si="2"/>
        <v>1</v>
      </c>
      <c r="M21" s="30">
        <v>1</v>
      </c>
      <c r="N21" s="30">
        <v>0</v>
      </c>
      <c r="O21" s="30">
        <f t="shared" si="0"/>
        <v>11</v>
      </c>
      <c r="P21" s="30">
        <f t="shared" si="1"/>
        <v>51</v>
      </c>
      <c r="Q21" s="67">
        <f t="shared" si="3"/>
        <v>-0.71673391674960307</v>
      </c>
      <c r="R21" s="67">
        <f t="shared" si="3"/>
        <v>-2.3413910297040936</v>
      </c>
      <c r="S21" s="67">
        <f t="shared" si="4"/>
        <v>0.83543640158430299</v>
      </c>
      <c r="T21" s="67">
        <f t="shared" si="5"/>
        <v>0.16456359841569701</v>
      </c>
      <c r="U21" s="67">
        <f t="shared" si="6"/>
        <v>0.16456359841569701</v>
      </c>
      <c r="V21" s="67">
        <f t="shared" si="7"/>
        <v>-1.8044581669848192</v>
      </c>
    </row>
    <row r="22" spans="10:22" x14ac:dyDescent="0.3">
      <c r="J22" s="8">
        <v>3</v>
      </c>
      <c r="K22" s="8">
        <v>1</v>
      </c>
      <c r="L22" s="8">
        <f t="shared" si="2"/>
        <v>0</v>
      </c>
      <c r="M22" s="8">
        <v>1</v>
      </c>
      <c r="N22" s="8">
        <v>0</v>
      </c>
      <c r="O22" s="8">
        <f t="shared" si="0"/>
        <v>10</v>
      </c>
      <c r="P22" s="8">
        <f t="shared" si="1"/>
        <v>35</v>
      </c>
      <c r="Q22" s="59">
        <f t="shared" si="3"/>
        <v>-0.67082428871618949</v>
      </c>
      <c r="R22" s="59">
        <f t="shared" si="3"/>
        <v>-1.606836981169476</v>
      </c>
      <c r="S22" s="59">
        <f t="shared" si="4"/>
        <v>0.7182935366989982</v>
      </c>
      <c r="T22" s="59">
        <f t="shared" si="5"/>
        <v>0.2817064633010018</v>
      </c>
      <c r="U22" s="59">
        <f t="shared" si="6"/>
        <v>0.7182935366989982</v>
      </c>
      <c r="V22" s="59">
        <f t="shared" si="7"/>
        <v>-0.33087696799421218</v>
      </c>
    </row>
    <row r="23" spans="10:22" x14ac:dyDescent="0.3">
      <c r="J23" s="8">
        <v>3</v>
      </c>
      <c r="K23" s="8">
        <v>1</v>
      </c>
      <c r="L23" s="8">
        <f t="shared" si="2"/>
        <v>0</v>
      </c>
      <c r="M23" s="8">
        <v>1</v>
      </c>
      <c r="N23" s="8">
        <v>0</v>
      </c>
      <c r="O23" s="8">
        <f t="shared" si="0"/>
        <v>10</v>
      </c>
      <c r="P23" s="8">
        <f t="shared" si="1"/>
        <v>35</v>
      </c>
      <c r="Q23" s="59">
        <f t="shared" si="3"/>
        <v>-0.67082428871618949</v>
      </c>
      <c r="R23" s="59">
        <f t="shared" si="3"/>
        <v>-1.606836981169476</v>
      </c>
      <c r="S23" s="59">
        <f t="shared" si="4"/>
        <v>0.7182935366989982</v>
      </c>
      <c r="T23" s="59">
        <f t="shared" si="5"/>
        <v>0.2817064633010018</v>
      </c>
      <c r="U23" s="59">
        <f t="shared" si="6"/>
        <v>0.7182935366989982</v>
      </c>
      <c r="V23" s="59">
        <f t="shared" si="7"/>
        <v>-0.33087696799421218</v>
      </c>
    </row>
    <row r="24" spans="10:22" x14ac:dyDescent="0.3">
      <c r="J24" s="8">
        <v>3</v>
      </c>
      <c r="K24" s="8">
        <v>1</v>
      </c>
      <c r="L24" s="8">
        <f t="shared" si="2"/>
        <v>0</v>
      </c>
      <c r="M24" s="8">
        <v>1</v>
      </c>
      <c r="N24" s="8">
        <v>0</v>
      </c>
      <c r="O24" s="8">
        <f t="shared" si="0"/>
        <v>10</v>
      </c>
      <c r="P24" s="8">
        <f t="shared" si="1"/>
        <v>35</v>
      </c>
      <c r="Q24" s="59">
        <f t="shared" si="3"/>
        <v>-0.67082428871618949</v>
      </c>
      <c r="R24" s="59">
        <f t="shared" si="3"/>
        <v>-1.606836981169476</v>
      </c>
      <c r="S24" s="59">
        <f t="shared" si="4"/>
        <v>0.7182935366989982</v>
      </c>
      <c r="T24" s="59">
        <f t="shared" si="5"/>
        <v>0.2817064633010018</v>
      </c>
      <c r="U24" s="59">
        <f t="shared" si="6"/>
        <v>0.7182935366989982</v>
      </c>
      <c r="V24" s="59">
        <f t="shared" si="7"/>
        <v>-0.33087696799421218</v>
      </c>
    </row>
    <row r="25" spans="10:22" x14ac:dyDescent="0.3">
      <c r="J25" s="8">
        <v>3</v>
      </c>
      <c r="K25" s="8">
        <v>1</v>
      </c>
      <c r="L25" s="8">
        <f t="shared" si="2"/>
        <v>0</v>
      </c>
      <c r="M25" s="8">
        <v>1</v>
      </c>
      <c r="N25" s="8">
        <v>0</v>
      </c>
      <c r="O25" s="8">
        <f t="shared" si="0"/>
        <v>10</v>
      </c>
      <c r="P25" s="8">
        <f t="shared" si="1"/>
        <v>35</v>
      </c>
      <c r="Q25" s="59">
        <f t="shared" si="3"/>
        <v>-0.67082428871618949</v>
      </c>
      <c r="R25" s="59">
        <f t="shared" si="3"/>
        <v>-1.606836981169476</v>
      </c>
      <c r="S25" s="59">
        <f t="shared" si="4"/>
        <v>0.7182935366989982</v>
      </c>
      <c r="T25" s="59">
        <f t="shared" si="5"/>
        <v>0.2817064633010018</v>
      </c>
      <c r="U25" s="59">
        <f t="shared" si="6"/>
        <v>0.7182935366989982</v>
      </c>
      <c r="V25" s="59">
        <f t="shared" si="7"/>
        <v>-0.33087696799421218</v>
      </c>
    </row>
    <row r="26" spans="10:22" x14ac:dyDescent="0.3">
      <c r="J26" s="8">
        <v>3</v>
      </c>
      <c r="K26" s="8">
        <v>1</v>
      </c>
      <c r="L26" s="8">
        <f t="shared" si="2"/>
        <v>0</v>
      </c>
      <c r="M26" s="8">
        <v>1</v>
      </c>
      <c r="N26" s="8">
        <v>0</v>
      </c>
      <c r="O26" s="8">
        <f t="shared" si="0"/>
        <v>10</v>
      </c>
      <c r="P26" s="8">
        <f t="shared" si="1"/>
        <v>35</v>
      </c>
      <c r="Q26" s="59">
        <f t="shared" si="3"/>
        <v>-0.67082428871618949</v>
      </c>
      <c r="R26" s="59">
        <f t="shared" si="3"/>
        <v>-1.606836981169476</v>
      </c>
      <c r="S26" s="59">
        <f t="shared" si="4"/>
        <v>0.7182935366989982</v>
      </c>
      <c r="T26" s="59">
        <f t="shared" si="5"/>
        <v>0.2817064633010018</v>
      </c>
      <c r="U26" s="59">
        <f t="shared" si="6"/>
        <v>0.7182935366989982</v>
      </c>
      <c r="V26" s="59">
        <f t="shared" si="7"/>
        <v>-0.33087696799421218</v>
      </c>
    </row>
    <row r="27" spans="10:22" x14ac:dyDescent="0.3">
      <c r="J27" s="8">
        <v>3</v>
      </c>
      <c r="K27" s="8">
        <v>1</v>
      </c>
      <c r="L27" s="8">
        <f t="shared" si="2"/>
        <v>0</v>
      </c>
      <c r="M27" s="8">
        <v>1</v>
      </c>
      <c r="N27" s="8">
        <v>0</v>
      </c>
      <c r="O27" s="8">
        <f t="shared" si="0"/>
        <v>10</v>
      </c>
      <c r="P27" s="8">
        <f t="shared" si="1"/>
        <v>35</v>
      </c>
      <c r="Q27" s="59">
        <f t="shared" si="3"/>
        <v>-0.67082428871618949</v>
      </c>
      <c r="R27" s="59">
        <f t="shared" si="3"/>
        <v>-1.606836981169476</v>
      </c>
      <c r="S27" s="59">
        <f t="shared" si="4"/>
        <v>0.7182935366989982</v>
      </c>
      <c r="T27" s="59">
        <f t="shared" si="5"/>
        <v>0.2817064633010018</v>
      </c>
      <c r="U27" s="59">
        <f t="shared" si="6"/>
        <v>0.7182935366989982</v>
      </c>
      <c r="V27" s="59">
        <f t="shared" si="7"/>
        <v>-0.33087696799421218</v>
      </c>
    </row>
    <row r="28" spans="10:22" x14ac:dyDescent="0.3">
      <c r="J28" s="8">
        <v>3</v>
      </c>
      <c r="K28" s="8">
        <v>1</v>
      </c>
      <c r="L28" s="8">
        <f t="shared" si="2"/>
        <v>0</v>
      </c>
      <c r="M28" s="8">
        <v>1</v>
      </c>
      <c r="N28" s="8">
        <v>0</v>
      </c>
      <c r="O28" s="8">
        <f t="shared" si="0"/>
        <v>10</v>
      </c>
      <c r="P28" s="8">
        <f t="shared" si="1"/>
        <v>35</v>
      </c>
      <c r="Q28" s="59">
        <f t="shared" si="3"/>
        <v>-0.67082428871618949</v>
      </c>
      <c r="R28" s="59">
        <f t="shared" si="3"/>
        <v>-1.606836981169476</v>
      </c>
      <c r="S28" s="59">
        <f t="shared" si="4"/>
        <v>0.7182935366989982</v>
      </c>
      <c r="T28" s="59">
        <f t="shared" si="5"/>
        <v>0.2817064633010018</v>
      </c>
      <c r="U28" s="59">
        <f t="shared" si="6"/>
        <v>0.7182935366989982</v>
      </c>
      <c r="V28" s="59">
        <f t="shared" si="7"/>
        <v>-0.33087696799421218</v>
      </c>
    </row>
    <row r="29" spans="10:22" x14ac:dyDescent="0.3">
      <c r="J29" s="8">
        <v>3</v>
      </c>
      <c r="K29" s="8">
        <v>1</v>
      </c>
      <c r="L29" s="8">
        <f t="shared" si="2"/>
        <v>0</v>
      </c>
      <c r="M29" s="8">
        <v>1</v>
      </c>
      <c r="N29" s="8">
        <v>0</v>
      </c>
      <c r="O29" s="8">
        <f t="shared" si="0"/>
        <v>10</v>
      </c>
      <c r="P29" s="8">
        <f t="shared" si="1"/>
        <v>35</v>
      </c>
      <c r="Q29" s="59">
        <f t="shared" si="3"/>
        <v>-0.67082428871618949</v>
      </c>
      <c r="R29" s="59">
        <f t="shared" si="3"/>
        <v>-1.606836981169476</v>
      </c>
      <c r="S29" s="59">
        <f t="shared" si="4"/>
        <v>0.7182935366989982</v>
      </c>
      <c r="T29" s="59">
        <f t="shared" si="5"/>
        <v>0.2817064633010018</v>
      </c>
      <c r="U29" s="59">
        <f t="shared" si="6"/>
        <v>0.7182935366989982</v>
      </c>
      <c r="V29" s="59">
        <f t="shared" si="7"/>
        <v>-0.33087696799421218</v>
      </c>
    </row>
    <row r="30" spans="10:22" x14ac:dyDescent="0.3">
      <c r="J30" s="8">
        <v>3</v>
      </c>
      <c r="K30" s="8">
        <v>0</v>
      </c>
      <c r="L30" s="8">
        <f t="shared" si="2"/>
        <v>1</v>
      </c>
      <c r="M30" s="8">
        <v>1</v>
      </c>
      <c r="N30" s="8">
        <v>0</v>
      </c>
      <c r="O30" s="8">
        <f t="shared" si="0"/>
        <v>10</v>
      </c>
      <c r="P30" s="8">
        <f t="shared" si="1"/>
        <v>35</v>
      </c>
      <c r="Q30" s="59">
        <f t="shared" si="3"/>
        <v>-0.67082428871618949</v>
      </c>
      <c r="R30" s="59">
        <f t="shared" si="3"/>
        <v>-1.606836981169476</v>
      </c>
      <c r="S30" s="59">
        <f t="shared" si="4"/>
        <v>0.7182935366989982</v>
      </c>
      <c r="T30" s="59">
        <f t="shared" si="5"/>
        <v>0.2817064633010018</v>
      </c>
      <c r="U30" s="59">
        <f t="shared" si="6"/>
        <v>0.2817064633010018</v>
      </c>
      <c r="V30" s="59">
        <f t="shared" si="7"/>
        <v>-1.2668896604474984</v>
      </c>
    </row>
    <row r="31" spans="10:22" x14ac:dyDescent="0.3">
      <c r="J31" s="30">
        <v>3</v>
      </c>
      <c r="K31" s="30">
        <v>0</v>
      </c>
      <c r="L31" s="30">
        <f t="shared" si="2"/>
        <v>1</v>
      </c>
      <c r="M31" s="30">
        <v>1</v>
      </c>
      <c r="N31" s="30">
        <v>0</v>
      </c>
      <c r="O31" s="30">
        <f t="shared" si="0"/>
        <v>10</v>
      </c>
      <c r="P31" s="30">
        <f t="shared" si="1"/>
        <v>35</v>
      </c>
      <c r="Q31" s="67">
        <f t="shared" si="3"/>
        <v>-0.67082428871618949</v>
      </c>
      <c r="R31" s="67">
        <f t="shared" si="3"/>
        <v>-1.606836981169476</v>
      </c>
      <c r="S31" s="67">
        <f t="shared" si="4"/>
        <v>0.7182935366989982</v>
      </c>
      <c r="T31" s="67">
        <f t="shared" si="5"/>
        <v>0.2817064633010018</v>
      </c>
      <c r="U31" s="67">
        <f t="shared" si="6"/>
        <v>0.2817064633010018</v>
      </c>
      <c r="V31" s="67">
        <f t="shared" si="7"/>
        <v>-1.2668896604474984</v>
      </c>
    </row>
    <row r="32" spans="10:22" x14ac:dyDescent="0.3">
      <c r="J32" s="8">
        <v>4</v>
      </c>
      <c r="K32" s="8">
        <v>1</v>
      </c>
      <c r="L32" s="8">
        <f t="shared" si="2"/>
        <v>0</v>
      </c>
      <c r="M32" s="8">
        <v>1</v>
      </c>
      <c r="N32" s="8">
        <v>0</v>
      </c>
      <c r="O32" s="8">
        <f t="shared" si="0"/>
        <v>8</v>
      </c>
      <c r="P32" s="8">
        <f t="shared" si="1"/>
        <v>36</v>
      </c>
      <c r="Q32" s="59">
        <f t="shared" si="3"/>
        <v>-0.57900503264936232</v>
      </c>
      <c r="R32" s="59">
        <f t="shared" si="3"/>
        <v>-1.6527466092028895</v>
      </c>
      <c r="S32" s="59">
        <f t="shared" si="4"/>
        <v>0.74530780880574043</v>
      </c>
      <c r="T32" s="59">
        <f t="shared" si="5"/>
        <v>0.25469219119425957</v>
      </c>
      <c r="U32" s="59">
        <f t="shared" si="6"/>
        <v>0.74530780880574043</v>
      </c>
      <c r="V32" s="59">
        <f t="shared" si="7"/>
        <v>-0.29395797975001992</v>
      </c>
    </row>
    <row r="33" spans="10:22" x14ac:dyDescent="0.3">
      <c r="J33" s="8">
        <v>4</v>
      </c>
      <c r="K33" s="8">
        <v>1</v>
      </c>
      <c r="L33" s="8">
        <f t="shared" si="2"/>
        <v>0</v>
      </c>
      <c r="M33" s="8">
        <v>1</v>
      </c>
      <c r="N33" s="8">
        <v>0</v>
      </c>
      <c r="O33" s="8">
        <f t="shared" si="0"/>
        <v>8</v>
      </c>
      <c r="P33" s="8">
        <f t="shared" si="1"/>
        <v>36</v>
      </c>
      <c r="Q33" s="59">
        <f t="shared" si="3"/>
        <v>-0.57900503264936232</v>
      </c>
      <c r="R33" s="59">
        <f t="shared" si="3"/>
        <v>-1.6527466092028895</v>
      </c>
      <c r="S33" s="59">
        <f t="shared" si="4"/>
        <v>0.74530780880574043</v>
      </c>
      <c r="T33" s="59">
        <f t="shared" si="5"/>
        <v>0.25469219119425957</v>
      </c>
      <c r="U33" s="59">
        <f t="shared" si="6"/>
        <v>0.74530780880574043</v>
      </c>
      <c r="V33" s="59">
        <f t="shared" si="7"/>
        <v>-0.29395797975001992</v>
      </c>
    </row>
    <row r="34" spans="10:22" x14ac:dyDescent="0.3">
      <c r="J34" s="8">
        <v>4</v>
      </c>
      <c r="K34" s="8">
        <v>1</v>
      </c>
      <c r="L34" s="8">
        <f t="shared" si="2"/>
        <v>0</v>
      </c>
      <c r="M34" s="8">
        <v>1</v>
      </c>
      <c r="N34" s="8">
        <v>0</v>
      </c>
      <c r="O34" s="8">
        <f t="shared" ref="O34:O51" si="9">VLOOKUP(J34,$A$3:$H$7,7,FALSE)</f>
        <v>8</v>
      </c>
      <c r="P34" s="8">
        <f t="shared" ref="P34:P51" si="10">VLOOKUP(J34,$A$3:$H$7,8,FALSE)</f>
        <v>36</v>
      </c>
      <c r="Q34" s="59">
        <f t="shared" si="3"/>
        <v>-0.57900503264936232</v>
      </c>
      <c r="R34" s="59">
        <f t="shared" si="3"/>
        <v>-1.6527466092028895</v>
      </c>
      <c r="S34" s="59">
        <f t="shared" si="4"/>
        <v>0.74530780880574043</v>
      </c>
      <c r="T34" s="59">
        <f t="shared" si="5"/>
        <v>0.25469219119425957</v>
      </c>
      <c r="U34" s="59">
        <f t="shared" si="6"/>
        <v>0.74530780880574043</v>
      </c>
      <c r="V34" s="59">
        <f t="shared" si="7"/>
        <v>-0.29395797975001992</v>
      </c>
    </row>
    <row r="35" spans="10:22" x14ac:dyDescent="0.3">
      <c r="J35" s="8">
        <v>4</v>
      </c>
      <c r="K35" s="8">
        <v>1</v>
      </c>
      <c r="L35" s="8">
        <f t="shared" si="2"/>
        <v>0</v>
      </c>
      <c r="M35" s="8">
        <v>1</v>
      </c>
      <c r="N35" s="8">
        <v>0</v>
      </c>
      <c r="O35" s="8">
        <f t="shared" si="9"/>
        <v>8</v>
      </c>
      <c r="P35" s="8">
        <f t="shared" si="10"/>
        <v>36</v>
      </c>
      <c r="Q35" s="59">
        <f t="shared" si="3"/>
        <v>-0.57900503264936232</v>
      </c>
      <c r="R35" s="59">
        <f t="shared" si="3"/>
        <v>-1.6527466092028895</v>
      </c>
      <c r="S35" s="59">
        <f t="shared" si="4"/>
        <v>0.74530780880574043</v>
      </c>
      <c r="T35" s="59">
        <f t="shared" si="5"/>
        <v>0.25469219119425957</v>
      </c>
      <c r="U35" s="59">
        <f t="shared" si="6"/>
        <v>0.74530780880574043</v>
      </c>
      <c r="V35" s="59">
        <f t="shared" si="7"/>
        <v>-0.29395797975001992</v>
      </c>
    </row>
    <row r="36" spans="10:22" x14ac:dyDescent="0.3">
      <c r="J36" s="8">
        <v>4</v>
      </c>
      <c r="K36" s="8">
        <v>1</v>
      </c>
      <c r="L36" s="8">
        <f t="shared" si="2"/>
        <v>0</v>
      </c>
      <c r="M36" s="8">
        <v>1</v>
      </c>
      <c r="N36" s="8">
        <v>0</v>
      </c>
      <c r="O36" s="8">
        <f t="shared" si="9"/>
        <v>8</v>
      </c>
      <c r="P36" s="8">
        <f t="shared" si="10"/>
        <v>36</v>
      </c>
      <c r="Q36" s="59">
        <f t="shared" si="3"/>
        <v>-0.57900503264936232</v>
      </c>
      <c r="R36" s="59">
        <f t="shared" si="3"/>
        <v>-1.6527466092028895</v>
      </c>
      <c r="S36" s="59">
        <f t="shared" si="4"/>
        <v>0.74530780880574043</v>
      </c>
      <c r="T36" s="59">
        <f t="shared" si="5"/>
        <v>0.25469219119425957</v>
      </c>
      <c r="U36" s="59">
        <f t="shared" si="6"/>
        <v>0.74530780880574043</v>
      </c>
      <c r="V36" s="59">
        <f t="shared" si="7"/>
        <v>-0.29395797975001992</v>
      </c>
    </row>
    <row r="37" spans="10:22" x14ac:dyDescent="0.3">
      <c r="J37" s="8">
        <v>4</v>
      </c>
      <c r="K37" s="8">
        <v>1</v>
      </c>
      <c r="L37" s="8">
        <f t="shared" si="2"/>
        <v>0</v>
      </c>
      <c r="M37" s="8">
        <v>1</v>
      </c>
      <c r="N37" s="8">
        <v>0</v>
      </c>
      <c r="O37" s="8">
        <f t="shared" si="9"/>
        <v>8</v>
      </c>
      <c r="P37" s="8">
        <f t="shared" si="10"/>
        <v>36</v>
      </c>
      <c r="Q37" s="59">
        <f t="shared" si="3"/>
        <v>-0.57900503264936232</v>
      </c>
      <c r="R37" s="59">
        <f t="shared" si="3"/>
        <v>-1.6527466092028895</v>
      </c>
      <c r="S37" s="59">
        <f t="shared" si="4"/>
        <v>0.74530780880574043</v>
      </c>
      <c r="T37" s="59">
        <f t="shared" si="5"/>
        <v>0.25469219119425957</v>
      </c>
      <c r="U37" s="59">
        <f t="shared" si="6"/>
        <v>0.74530780880574043</v>
      </c>
      <c r="V37" s="59">
        <f t="shared" si="7"/>
        <v>-0.29395797975001992</v>
      </c>
    </row>
    <row r="38" spans="10:22" x14ac:dyDescent="0.3">
      <c r="J38" s="8">
        <v>4</v>
      </c>
      <c r="K38" s="8">
        <v>1</v>
      </c>
      <c r="L38" s="8">
        <f t="shared" si="2"/>
        <v>0</v>
      </c>
      <c r="M38" s="8">
        <v>1</v>
      </c>
      <c r="N38" s="8">
        <v>0</v>
      </c>
      <c r="O38" s="8">
        <f t="shared" si="9"/>
        <v>8</v>
      </c>
      <c r="P38" s="8">
        <f t="shared" si="10"/>
        <v>36</v>
      </c>
      <c r="Q38" s="59">
        <f t="shared" si="3"/>
        <v>-0.57900503264936232</v>
      </c>
      <c r="R38" s="59">
        <f t="shared" si="3"/>
        <v>-1.6527466092028895</v>
      </c>
      <c r="S38" s="59">
        <f t="shared" si="4"/>
        <v>0.74530780880574043</v>
      </c>
      <c r="T38" s="59">
        <f t="shared" si="5"/>
        <v>0.25469219119425957</v>
      </c>
      <c r="U38" s="59">
        <f t="shared" si="6"/>
        <v>0.74530780880574043</v>
      </c>
      <c r="V38" s="59">
        <f t="shared" si="7"/>
        <v>-0.29395797975001992</v>
      </c>
    </row>
    <row r="39" spans="10:22" x14ac:dyDescent="0.3">
      <c r="J39" s="8">
        <v>4</v>
      </c>
      <c r="K39" s="8">
        <v>0</v>
      </c>
      <c r="L39" s="8">
        <v>1</v>
      </c>
      <c r="M39" s="8">
        <v>1</v>
      </c>
      <c r="N39" s="8">
        <v>0</v>
      </c>
      <c r="O39" s="8">
        <f t="shared" si="9"/>
        <v>8</v>
      </c>
      <c r="P39" s="8">
        <f t="shared" si="10"/>
        <v>36</v>
      </c>
      <c r="Q39" s="59">
        <f t="shared" si="3"/>
        <v>-0.57900503264936232</v>
      </c>
      <c r="R39" s="59">
        <f t="shared" si="3"/>
        <v>-1.6527466092028895</v>
      </c>
      <c r="S39" s="59">
        <f t="shared" si="4"/>
        <v>0.74530780880574043</v>
      </c>
      <c r="T39" s="59">
        <f t="shared" si="5"/>
        <v>0.25469219119425957</v>
      </c>
      <c r="U39" s="59">
        <f t="shared" si="6"/>
        <v>0.25469219119425957</v>
      </c>
      <c r="V39" s="59">
        <f t="shared" si="7"/>
        <v>-1.3676995563035468</v>
      </c>
    </row>
    <row r="40" spans="10:22" x14ac:dyDescent="0.3">
      <c r="J40" s="8">
        <v>4</v>
      </c>
      <c r="K40" s="8">
        <v>0</v>
      </c>
      <c r="L40" s="8">
        <f t="shared" si="2"/>
        <v>1</v>
      </c>
      <c r="M40" s="8">
        <v>1</v>
      </c>
      <c r="N40" s="8">
        <v>0</v>
      </c>
      <c r="O40" s="8">
        <f t="shared" si="9"/>
        <v>8</v>
      </c>
      <c r="P40" s="8">
        <f t="shared" si="10"/>
        <v>36</v>
      </c>
      <c r="Q40" s="59">
        <f t="shared" si="3"/>
        <v>-0.57900503264936232</v>
      </c>
      <c r="R40" s="59">
        <f t="shared" si="3"/>
        <v>-1.6527466092028895</v>
      </c>
      <c r="S40" s="59">
        <f t="shared" si="4"/>
        <v>0.74530780880574043</v>
      </c>
      <c r="T40" s="59">
        <f t="shared" si="5"/>
        <v>0.25469219119425957</v>
      </c>
      <c r="U40" s="59">
        <f t="shared" si="6"/>
        <v>0.25469219119425957</v>
      </c>
      <c r="V40" s="59">
        <f t="shared" si="7"/>
        <v>-1.3676995563035468</v>
      </c>
    </row>
    <row r="41" spans="10:22" x14ac:dyDescent="0.3">
      <c r="J41" s="30">
        <v>4</v>
      </c>
      <c r="K41" s="30">
        <v>0</v>
      </c>
      <c r="L41" s="30">
        <f t="shared" si="2"/>
        <v>1</v>
      </c>
      <c r="M41" s="30">
        <v>1</v>
      </c>
      <c r="N41" s="30">
        <v>0</v>
      </c>
      <c r="O41" s="30">
        <f t="shared" si="9"/>
        <v>8</v>
      </c>
      <c r="P41" s="30">
        <f t="shared" si="10"/>
        <v>36</v>
      </c>
      <c r="Q41" s="67">
        <f t="shared" si="3"/>
        <v>-0.57900503264936232</v>
      </c>
      <c r="R41" s="67">
        <f t="shared" si="3"/>
        <v>-1.6527466092028895</v>
      </c>
      <c r="S41" s="67">
        <f t="shared" si="4"/>
        <v>0.74530780880574043</v>
      </c>
      <c r="T41" s="67">
        <f t="shared" si="5"/>
        <v>0.25469219119425957</v>
      </c>
      <c r="U41" s="67">
        <f t="shared" si="6"/>
        <v>0.25469219119425957</v>
      </c>
      <c r="V41" s="67">
        <f t="shared" si="7"/>
        <v>-1.3676995563035468</v>
      </c>
    </row>
    <row r="42" spans="10:22" x14ac:dyDescent="0.3">
      <c r="J42" s="8">
        <v>5</v>
      </c>
      <c r="K42" s="8">
        <v>1</v>
      </c>
      <c r="L42" s="8">
        <f t="shared" si="2"/>
        <v>0</v>
      </c>
      <c r="M42" s="8">
        <v>1</v>
      </c>
      <c r="N42" s="8">
        <v>0</v>
      </c>
      <c r="O42" s="8">
        <f t="shared" si="9"/>
        <v>10</v>
      </c>
      <c r="P42" s="8">
        <f t="shared" si="10"/>
        <v>40</v>
      </c>
      <c r="Q42" s="59">
        <f t="shared" si="3"/>
        <v>-0.67082428871618949</v>
      </c>
      <c r="R42" s="59">
        <f t="shared" si="3"/>
        <v>-1.8363851213365439</v>
      </c>
      <c r="S42" s="59">
        <f t="shared" si="4"/>
        <v>0.76234167826056642</v>
      </c>
      <c r="T42" s="59">
        <f t="shared" si="5"/>
        <v>0.23765832173943358</v>
      </c>
      <c r="U42" s="59">
        <f t="shared" si="6"/>
        <v>0.76234167826056642</v>
      </c>
      <c r="V42" s="59">
        <f t="shared" si="7"/>
        <v>-0.27136042712782504</v>
      </c>
    </row>
    <row r="43" spans="10:22" x14ac:dyDescent="0.3">
      <c r="J43" s="8">
        <v>5</v>
      </c>
      <c r="K43" s="8">
        <v>1</v>
      </c>
      <c r="L43" s="8">
        <f t="shared" si="2"/>
        <v>0</v>
      </c>
      <c r="M43" s="8">
        <v>1</v>
      </c>
      <c r="N43" s="8">
        <v>0</v>
      </c>
      <c r="O43" s="8">
        <f t="shared" si="9"/>
        <v>10</v>
      </c>
      <c r="P43" s="8">
        <f t="shared" si="10"/>
        <v>40</v>
      </c>
      <c r="Q43" s="59">
        <f t="shared" si="3"/>
        <v>-0.67082428871618949</v>
      </c>
      <c r="R43" s="59">
        <f t="shared" si="3"/>
        <v>-1.8363851213365439</v>
      </c>
      <c r="S43" s="59">
        <f t="shared" si="4"/>
        <v>0.76234167826056642</v>
      </c>
      <c r="T43" s="59">
        <f t="shared" si="5"/>
        <v>0.23765832173943358</v>
      </c>
      <c r="U43" s="59">
        <f t="shared" si="6"/>
        <v>0.76234167826056642</v>
      </c>
      <c r="V43" s="59">
        <f t="shared" si="7"/>
        <v>-0.27136042712782504</v>
      </c>
    </row>
    <row r="44" spans="10:22" x14ac:dyDescent="0.3">
      <c r="J44" s="8">
        <v>5</v>
      </c>
      <c r="K44" s="8">
        <v>1</v>
      </c>
      <c r="L44" s="8">
        <f t="shared" si="2"/>
        <v>0</v>
      </c>
      <c r="M44" s="8">
        <v>1</v>
      </c>
      <c r="N44" s="8">
        <v>0</v>
      </c>
      <c r="O44" s="8">
        <f t="shared" si="9"/>
        <v>10</v>
      </c>
      <c r="P44" s="8">
        <f t="shared" si="10"/>
        <v>40</v>
      </c>
      <c r="Q44" s="59">
        <f t="shared" si="3"/>
        <v>-0.67082428871618949</v>
      </c>
      <c r="R44" s="59">
        <f t="shared" si="3"/>
        <v>-1.8363851213365439</v>
      </c>
      <c r="S44" s="59">
        <f t="shared" si="4"/>
        <v>0.76234167826056642</v>
      </c>
      <c r="T44" s="59">
        <f t="shared" si="5"/>
        <v>0.23765832173943358</v>
      </c>
      <c r="U44" s="59">
        <f t="shared" si="6"/>
        <v>0.76234167826056642</v>
      </c>
      <c r="V44" s="59">
        <f t="shared" si="7"/>
        <v>-0.27136042712782504</v>
      </c>
    </row>
    <row r="45" spans="10:22" x14ac:dyDescent="0.3">
      <c r="J45" s="8">
        <v>5</v>
      </c>
      <c r="K45" s="8">
        <v>1</v>
      </c>
      <c r="L45" s="8">
        <f t="shared" si="2"/>
        <v>0</v>
      </c>
      <c r="M45" s="8">
        <v>1</v>
      </c>
      <c r="N45" s="8">
        <v>0</v>
      </c>
      <c r="O45" s="8">
        <f t="shared" si="9"/>
        <v>10</v>
      </c>
      <c r="P45" s="8">
        <f t="shared" si="10"/>
        <v>40</v>
      </c>
      <c r="Q45" s="59">
        <f t="shared" si="3"/>
        <v>-0.67082428871618949</v>
      </c>
      <c r="R45" s="59">
        <f t="shared" si="3"/>
        <v>-1.8363851213365439</v>
      </c>
      <c r="S45" s="59">
        <f t="shared" si="4"/>
        <v>0.76234167826056642</v>
      </c>
      <c r="T45" s="59">
        <f t="shared" si="5"/>
        <v>0.23765832173943358</v>
      </c>
      <c r="U45" s="59">
        <f t="shared" si="6"/>
        <v>0.76234167826056642</v>
      </c>
      <c r="V45" s="59">
        <f t="shared" si="7"/>
        <v>-0.27136042712782504</v>
      </c>
    </row>
    <row r="46" spans="10:22" x14ac:dyDescent="0.3">
      <c r="J46" s="8">
        <v>5</v>
      </c>
      <c r="K46" s="8">
        <v>1</v>
      </c>
      <c r="L46" s="8">
        <f t="shared" si="2"/>
        <v>0</v>
      </c>
      <c r="M46" s="8">
        <v>1</v>
      </c>
      <c r="N46" s="8">
        <v>0</v>
      </c>
      <c r="O46" s="8">
        <f t="shared" si="9"/>
        <v>10</v>
      </c>
      <c r="P46" s="8">
        <f t="shared" si="10"/>
        <v>40</v>
      </c>
      <c r="Q46" s="59">
        <f t="shared" si="3"/>
        <v>-0.67082428871618949</v>
      </c>
      <c r="R46" s="59">
        <f t="shared" si="3"/>
        <v>-1.8363851213365439</v>
      </c>
      <c r="S46" s="59">
        <f t="shared" si="4"/>
        <v>0.76234167826056642</v>
      </c>
      <c r="T46" s="59">
        <f t="shared" si="5"/>
        <v>0.23765832173943358</v>
      </c>
      <c r="U46" s="59">
        <f t="shared" si="6"/>
        <v>0.76234167826056642</v>
      </c>
      <c r="V46" s="59">
        <f t="shared" si="7"/>
        <v>-0.27136042712782504</v>
      </c>
    </row>
    <row r="47" spans="10:22" x14ac:dyDescent="0.3">
      <c r="J47" s="8">
        <v>5</v>
      </c>
      <c r="K47" s="8">
        <v>1</v>
      </c>
      <c r="L47" s="8">
        <f t="shared" si="2"/>
        <v>0</v>
      </c>
      <c r="M47" s="8">
        <v>1</v>
      </c>
      <c r="N47" s="8">
        <v>0</v>
      </c>
      <c r="O47" s="8">
        <f t="shared" si="9"/>
        <v>10</v>
      </c>
      <c r="P47" s="8">
        <f t="shared" si="10"/>
        <v>40</v>
      </c>
      <c r="Q47" s="59">
        <f t="shared" si="3"/>
        <v>-0.67082428871618949</v>
      </c>
      <c r="R47" s="59">
        <f t="shared" si="3"/>
        <v>-1.8363851213365439</v>
      </c>
      <c r="S47" s="59">
        <f t="shared" si="4"/>
        <v>0.76234167826056642</v>
      </c>
      <c r="T47" s="59">
        <f t="shared" si="5"/>
        <v>0.23765832173943358</v>
      </c>
      <c r="U47" s="59">
        <f t="shared" si="6"/>
        <v>0.76234167826056642</v>
      </c>
      <c r="V47" s="59">
        <f t="shared" si="7"/>
        <v>-0.27136042712782504</v>
      </c>
    </row>
    <row r="48" spans="10:22" x14ac:dyDescent="0.3">
      <c r="J48" s="8">
        <v>5</v>
      </c>
      <c r="K48" s="8">
        <v>1</v>
      </c>
      <c r="L48" s="8">
        <f t="shared" si="2"/>
        <v>0</v>
      </c>
      <c r="M48" s="8">
        <v>1</v>
      </c>
      <c r="N48" s="8">
        <v>0</v>
      </c>
      <c r="O48" s="8">
        <f t="shared" si="9"/>
        <v>10</v>
      </c>
      <c r="P48" s="8">
        <f t="shared" si="10"/>
        <v>40</v>
      </c>
      <c r="Q48" s="59">
        <f t="shared" si="3"/>
        <v>-0.67082428871618949</v>
      </c>
      <c r="R48" s="59">
        <f t="shared" si="3"/>
        <v>-1.8363851213365439</v>
      </c>
      <c r="S48" s="59">
        <f t="shared" si="4"/>
        <v>0.76234167826056642</v>
      </c>
      <c r="T48" s="59">
        <f t="shared" si="5"/>
        <v>0.23765832173943358</v>
      </c>
      <c r="U48" s="59">
        <f t="shared" si="6"/>
        <v>0.76234167826056642</v>
      </c>
      <c r="V48" s="59">
        <f t="shared" si="7"/>
        <v>-0.27136042712782504</v>
      </c>
    </row>
    <row r="49" spans="10:22" x14ac:dyDescent="0.3">
      <c r="J49" s="8">
        <v>5</v>
      </c>
      <c r="K49" s="8">
        <v>1</v>
      </c>
      <c r="L49" s="8">
        <f t="shared" si="2"/>
        <v>0</v>
      </c>
      <c r="M49" s="8">
        <v>1</v>
      </c>
      <c r="N49" s="8">
        <v>0</v>
      </c>
      <c r="O49" s="8">
        <f t="shared" si="9"/>
        <v>10</v>
      </c>
      <c r="P49" s="8">
        <f t="shared" si="10"/>
        <v>40</v>
      </c>
      <c r="Q49" s="59">
        <f t="shared" si="3"/>
        <v>-0.67082428871618949</v>
      </c>
      <c r="R49" s="59">
        <f t="shared" si="3"/>
        <v>-1.8363851213365439</v>
      </c>
      <c r="S49" s="59">
        <f t="shared" si="4"/>
        <v>0.76234167826056642</v>
      </c>
      <c r="T49" s="59">
        <f t="shared" si="5"/>
        <v>0.23765832173943358</v>
      </c>
      <c r="U49" s="59">
        <f t="shared" si="6"/>
        <v>0.76234167826056642</v>
      </c>
      <c r="V49" s="59">
        <f t="shared" si="7"/>
        <v>-0.27136042712782504</v>
      </c>
    </row>
    <row r="50" spans="10:22" x14ac:dyDescent="0.3">
      <c r="J50" s="8">
        <v>5</v>
      </c>
      <c r="K50" s="8">
        <v>1</v>
      </c>
      <c r="L50" s="8">
        <f t="shared" si="2"/>
        <v>0</v>
      </c>
      <c r="M50" s="8">
        <v>1</v>
      </c>
      <c r="N50" s="8">
        <v>0</v>
      </c>
      <c r="O50" s="8">
        <f t="shared" si="9"/>
        <v>10</v>
      </c>
      <c r="P50" s="8">
        <f t="shared" si="10"/>
        <v>40</v>
      </c>
      <c r="Q50" s="59">
        <f t="shared" si="3"/>
        <v>-0.67082428871618949</v>
      </c>
      <c r="R50" s="59">
        <f t="shared" si="3"/>
        <v>-1.8363851213365439</v>
      </c>
      <c r="S50" s="59">
        <f t="shared" si="4"/>
        <v>0.76234167826056642</v>
      </c>
      <c r="T50" s="59">
        <f t="shared" si="5"/>
        <v>0.23765832173943358</v>
      </c>
      <c r="U50" s="59">
        <f t="shared" si="6"/>
        <v>0.76234167826056642</v>
      </c>
      <c r="V50" s="59">
        <f t="shared" si="7"/>
        <v>-0.27136042712782504</v>
      </c>
    </row>
    <row r="51" spans="10:22" x14ac:dyDescent="0.3">
      <c r="J51" s="30">
        <v>5</v>
      </c>
      <c r="K51" s="30">
        <v>0</v>
      </c>
      <c r="L51" s="30">
        <f t="shared" si="2"/>
        <v>1</v>
      </c>
      <c r="M51" s="30">
        <v>1</v>
      </c>
      <c r="N51" s="30">
        <v>0</v>
      </c>
      <c r="O51" s="30">
        <f t="shared" si="9"/>
        <v>10</v>
      </c>
      <c r="P51" s="30">
        <f t="shared" si="10"/>
        <v>40</v>
      </c>
      <c r="Q51" s="67">
        <f t="shared" si="3"/>
        <v>-0.67082428871618949</v>
      </c>
      <c r="R51" s="67">
        <f t="shared" si="3"/>
        <v>-1.8363851213365439</v>
      </c>
      <c r="S51" s="67">
        <f t="shared" si="4"/>
        <v>0.76234167826056642</v>
      </c>
      <c r="T51" s="67">
        <f t="shared" si="5"/>
        <v>0.23765832173943358</v>
      </c>
      <c r="U51" s="67">
        <f t="shared" si="6"/>
        <v>0.23765832173943358</v>
      </c>
      <c r="V51" s="67">
        <f t="shared" si="7"/>
        <v>-1.4369212597481793</v>
      </c>
    </row>
    <row r="52" spans="10:22" x14ac:dyDescent="0.3"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0:22" x14ac:dyDescent="0.3"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0:22" x14ac:dyDescent="0.3"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0:22" x14ac:dyDescent="0.3"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0:22" x14ac:dyDescent="0.3"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0:22" x14ac:dyDescent="0.3"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0:22" x14ac:dyDescent="0.3"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0:22" x14ac:dyDescent="0.3"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0:22" x14ac:dyDescent="0.3"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0:22" x14ac:dyDescent="0.3"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0:22" x14ac:dyDescent="0.3"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0:22" x14ac:dyDescent="0.3"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0:22" x14ac:dyDescent="0.3">
      <c r="J64"/>
      <c r="K64"/>
      <c r="L64"/>
      <c r="M64"/>
      <c r="N64"/>
      <c r="O64"/>
      <c r="P64"/>
      <c r="Q64"/>
      <c r="R64"/>
      <c r="S64"/>
      <c r="T64"/>
      <c r="U64"/>
      <c r="V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</sheetData>
  <mergeCells count="3">
    <mergeCell ref="B1:D1"/>
    <mergeCell ref="E1:F1"/>
    <mergeCell ref="G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904D-54F6-4BDE-BD74-C85636AE230E}">
  <dimension ref="A1:H5"/>
  <sheetViews>
    <sheetView workbookViewId="0">
      <selection activeCell="E14" sqref="E14"/>
    </sheetView>
  </sheetViews>
  <sheetFormatPr defaultRowHeight="14.4" x14ac:dyDescent="0.3"/>
  <cols>
    <col min="2" max="2" width="10.77734375" customWidth="1"/>
    <col min="3" max="3" width="13.5546875" customWidth="1"/>
    <col min="7" max="7" width="10.77734375" customWidth="1"/>
  </cols>
  <sheetData>
    <row r="1" spans="1:8" x14ac:dyDescent="0.3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155</v>
      </c>
    </row>
    <row r="2" spans="1:8" x14ac:dyDescent="0.3">
      <c r="A2" t="s">
        <v>150</v>
      </c>
      <c r="B2" t="s">
        <v>151</v>
      </c>
      <c r="C2" s="28">
        <v>6184.5307921092808</v>
      </c>
      <c r="D2" s="28">
        <f>C2*0.25*0.25*2</f>
        <v>773.0663490136601</v>
      </c>
      <c r="E2">
        <v>10</v>
      </c>
      <c r="F2">
        <v>1E-4</v>
      </c>
      <c r="G2" s="28">
        <f>E2+F2*D2^2</f>
        <v>69.763157997731014</v>
      </c>
      <c r="H2" s="28">
        <f>G2*D2</f>
        <v>53931.549848969036</v>
      </c>
    </row>
    <row r="3" spans="1:8" x14ac:dyDescent="0.3">
      <c r="A3" t="s">
        <v>150</v>
      </c>
      <c r="B3" t="s">
        <v>152</v>
      </c>
      <c r="C3" s="28">
        <v>3400.7667973366911</v>
      </c>
      <c r="D3" s="28">
        <f t="shared" ref="D3:D5" si="0">C3*0.25*0.25*2</f>
        <v>425.09584966708638</v>
      </c>
      <c r="E3">
        <v>5</v>
      </c>
      <c r="F3">
        <v>2.0000000000000001E-4</v>
      </c>
      <c r="G3" s="28">
        <f t="shared" ref="G3:G5" si="1">E3+F3*D3^2</f>
        <v>41.141296280836421</v>
      </c>
      <c r="H3" s="28">
        <f t="shared" ref="H3:H5" si="2">G3*D3</f>
        <v>17488.994298907499</v>
      </c>
    </row>
    <row r="4" spans="1:8" x14ac:dyDescent="0.3">
      <c r="A4" t="s">
        <v>150</v>
      </c>
      <c r="B4" t="s">
        <v>153</v>
      </c>
      <c r="C4" s="28">
        <v>2412.4757090976645</v>
      </c>
      <c r="D4" s="28">
        <f t="shared" si="0"/>
        <v>301.55946363720807</v>
      </c>
      <c r="E4">
        <v>10</v>
      </c>
      <c r="F4">
        <v>1E-4</v>
      </c>
      <c r="G4" s="28">
        <f t="shared" si="1"/>
        <v>19.093811010916063</v>
      </c>
      <c r="H4" s="28">
        <f t="shared" si="2"/>
        <v>5757.919407242066</v>
      </c>
    </row>
    <row r="5" spans="1:8" x14ac:dyDescent="0.3">
      <c r="A5" t="s">
        <v>150</v>
      </c>
      <c r="B5" t="s">
        <v>154</v>
      </c>
      <c r="C5" s="28">
        <v>4091.7559729955806</v>
      </c>
      <c r="D5" s="28">
        <f t="shared" si="0"/>
        <v>511.46949662444757</v>
      </c>
      <c r="E5">
        <v>5</v>
      </c>
      <c r="F5">
        <v>2.0000000000000001E-4</v>
      </c>
      <c r="G5" s="28">
        <f t="shared" si="1"/>
        <v>57.32020919545316</v>
      </c>
      <c r="H5" s="28">
        <f t="shared" si="2"/>
        <v>29317.538543606457</v>
      </c>
    </row>
  </sheetData>
  <phoneticPr fontId="2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0161-B9C0-49E7-B84E-92FDC3B5C876}">
  <dimension ref="B1:K5"/>
  <sheetViews>
    <sheetView topLeftCell="B1" workbookViewId="0">
      <selection activeCell="I16" sqref="I16"/>
    </sheetView>
  </sheetViews>
  <sheetFormatPr defaultRowHeight="14.4" x14ac:dyDescent="0.3"/>
  <sheetData>
    <row r="1" spans="2:11" x14ac:dyDescent="0.3">
      <c r="B1" s="28" t="s">
        <v>143</v>
      </c>
      <c r="C1" s="28" t="s">
        <v>144</v>
      </c>
      <c r="D1" s="28" t="s">
        <v>145</v>
      </c>
      <c r="E1" s="28" t="s">
        <v>146</v>
      </c>
      <c r="F1" s="28" t="s">
        <v>147</v>
      </c>
      <c r="G1" s="28" t="s">
        <v>148</v>
      </c>
      <c r="H1" s="28" t="s">
        <v>149</v>
      </c>
      <c r="I1" s="28" t="s">
        <v>155</v>
      </c>
      <c r="J1" s="28" t="s">
        <v>156</v>
      </c>
      <c r="K1" s="28" t="s">
        <v>157</v>
      </c>
    </row>
    <row r="2" spans="2:11" x14ac:dyDescent="0.3">
      <c r="B2" s="28" t="s">
        <v>150</v>
      </c>
      <c r="C2" s="28" t="s">
        <v>151</v>
      </c>
      <c r="D2" s="28">
        <v>6184.5307921092808</v>
      </c>
      <c r="E2" s="28">
        <v>773.0663490136601</v>
      </c>
      <c r="F2" s="28">
        <v>10</v>
      </c>
      <c r="G2" s="28">
        <v>1E-4</v>
      </c>
      <c r="H2" s="28">
        <v>69.763157997731014</v>
      </c>
      <c r="I2" s="28">
        <v>53931.549848969036</v>
      </c>
      <c r="J2" s="28">
        <f>I2/60</f>
        <v>898.85916414948395</v>
      </c>
      <c r="K2" s="28">
        <f>J2*2</f>
        <v>1797.7183282989679</v>
      </c>
    </row>
    <row r="3" spans="2:11" x14ac:dyDescent="0.3">
      <c r="B3" s="28" t="s">
        <v>150</v>
      </c>
      <c r="C3" s="28" t="s">
        <v>152</v>
      </c>
      <c r="D3" s="28">
        <v>3400.7667973366911</v>
      </c>
      <c r="E3" s="28">
        <v>425.09584966708638</v>
      </c>
      <c r="F3" s="28">
        <v>5</v>
      </c>
      <c r="G3" s="28">
        <v>2.0000000000000001E-4</v>
      </c>
      <c r="H3" s="28">
        <v>41.141296280836421</v>
      </c>
      <c r="I3" s="28">
        <v>17488.994298907499</v>
      </c>
      <c r="J3" s="28">
        <f t="shared" ref="J3:J5" si="0">I3/60</f>
        <v>291.48323831512499</v>
      </c>
      <c r="K3" s="28">
        <f t="shared" ref="K3:K5" si="1">J3*2</f>
        <v>582.96647663024999</v>
      </c>
    </row>
    <row r="4" spans="2:11" x14ac:dyDescent="0.3">
      <c r="B4" s="28" t="s">
        <v>150</v>
      </c>
      <c r="C4" s="28" t="s">
        <v>153</v>
      </c>
      <c r="D4" s="28">
        <v>2412.4757090976645</v>
      </c>
      <c r="E4" s="28">
        <v>301.55946363720807</v>
      </c>
      <c r="F4" s="28">
        <v>10</v>
      </c>
      <c r="G4" s="28">
        <v>1E-4</v>
      </c>
      <c r="H4" s="28">
        <v>19.093811010916063</v>
      </c>
      <c r="I4" s="28">
        <v>5757.919407242066</v>
      </c>
      <c r="J4" s="28">
        <f t="shared" si="0"/>
        <v>95.965323454034433</v>
      </c>
      <c r="K4" s="28">
        <f t="shared" si="1"/>
        <v>191.93064690806887</v>
      </c>
    </row>
    <row r="5" spans="2:11" x14ac:dyDescent="0.3">
      <c r="B5" s="28" t="s">
        <v>150</v>
      </c>
      <c r="C5" s="28" t="s">
        <v>154</v>
      </c>
      <c r="D5" s="28">
        <v>4091.7559729955806</v>
      </c>
      <c r="E5" s="28">
        <v>511.46949662444757</v>
      </c>
      <c r="F5" s="28">
        <v>5</v>
      </c>
      <c r="G5" s="28">
        <v>2.0000000000000001E-4</v>
      </c>
      <c r="H5" s="28">
        <v>57.32020919545316</v>
      </c>
      <c r="I5" s="28">
        <v>29317.538543606457</v>
      </c>
      <c r="J5" s="28">
        <f t="shared" si="0"/>
        <v>488.62564239344096</v>
      </c>
      <c r="K5" s="28">
        <f t="shared" si="1"/>
        <v>977.25128478688191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692F-40BF-4462-8F69-D5D710A0754B}">
  <dimension ref="A1:J5"/>
  <sheetViews>
    <sheetView workbookViewId="0">
      <selection activeCell="I9" sqref="I9"/>
    </sheetView>
  </sheetViews>
  <sheetFormatPr defaultRowHeight="14.4" x14ac:dyDescent="0.3"/>
  <sheetData>
    <row r="1" spans="1:10" x14ac:dyDescent="0.3">
      <c r="A1" s="28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  <c r="F1" s="28" t="s">
        <v>148</v>
      </c>
      <c r="G1" s="28" t="s">
        <v>149</v>
      </c>
      <c r="H1" s="28" t="s">
        <v>155</v>
      </c>
      <c r="I1" s="28" t="s">
        <v>156</v>
      </c>
      <c r="J1" s="28" t="s">
        <v>157</v>
      </c>
    </row>
    <row r="2" spans="1:10" x14ac:dyDescent="0.3">
      <c r="A2" s="28" t="s">
        <v>150</v>
      </c>
      <c r="B2" s="28" t="s">
        <v>151</v>
      </c>
      <c r="C2" s="28">
        <v>6184.5307921092808</v>
      </c>
      <c r="D2" s="28">
        <f>773.06634901366*2</f>
        <v>1546.13269802732</v>
      </c>
      <c r="E2" s="28">
        <v>10</v>
      </c>
      <c r="F2" s="57">
        <v>1E-4</v>
      </c>
      <c r="G2" s="28">
        <f>E2+F2*D2^2</f>
        <v>249.05263199092397</v>
      </c>
      <c r="H2" s="28">
        <f>G2*D2</f>
        <v>385068.41785093251</v>
      </c>
      <c r="I2" s="28">
        <f>H2/60</f>
        <v>6417.8069641822085</v>
      </c>
      <c r="J2" s="28">
        <f>I2*2</f>
        <v>12835.613928364417</v>
      </c>
    </row>
    <row r="3" spans="1:10" x14ac:dyDescent="0.3">
      <c r="A3" s="28" t="s">
        <v>150</v>
      </c>
      <c r="B3" s="28" t="s">
        <v>152</v>
      </c>
      <c r="C3" s="28">
        <v>3400.7667973366911</v>
      </c>
      <c r="D3" s="28">
        <f>425.095849667086*2</f>
        <v>850.19169933417197</v>
      </c>
      <c r="E3" s="28">
        <v>5</v>
      </c>
      <c r="F3" s="57">
        <v>2.0000000000000001E-4</v>
      </c>
      <c r="G3" s="28">
        <f t="shared" ref="G3:G5" si="0">E3+F3*D3^2</f>
        <v>149.56518512334543</v>
      </c>
      <c r="H3" s="28">
        <f t="shared" ref="H3:H5" si="1">G3*D3</f>
        <v>127159.07890124706</v>
      </c>
      <c r="I3" s="28">
        <f t="shared" ref="I3:I5" si="2">H3/60</f>
        <v>2119.3179816874513</v>
      </c>
      <c r="J3" s="28">
        <f t="shared" ref="J3:J5" si="3">I3*2</f>
        <v>4238.6359633749025</v>
      </c>
    </row>
    <row r="4" spans="1:10" x14ac:dyDescent="0.3">
      <c r="A4" s="28" t="s">
        <v>150</v>
      </c>
      <c r="B4" s="28" t="s">
        <v>153</v>
      </c>
      <c r="C4" s="28">
        <v>2412.4757090976645</v>
      </c>
      <c r="D4" s="28">
        <f>301.559463637208*2</f>
        <v>603.11892727441602</v>
      </c>
      <c r="E4" s="28">
        <v>10</v>
      </c>
      <c r="F4" s="57">
        <v>1E-4</v>
      </c>
      <c r="G4" s="28">
        <f t="shared" si="0"/>
        <v>46.375244043664232</v>
      </c>
      <c r="H4" s="28">
        <f t="shared" si="1"/>
        <v>27969.787439704021</v>
      </c>
      <c r="I4" s="28">
        <f t="shared" si="2"/>
        <v>466.163123995067</v>
      </c>
      <c r="J4" s="28">
        <f t="shared" si="3"/>
        <v>932.32624799013399</v>
      </c>
    </row>
    <row r="5" spans="1:10" x14ac:dyDescent="0.3">
      <c r="A5" s="28" t="s">
        <v>150</v>
      </c>
      <c r="B5" s="28" t="s">
        <v>154</v>
      </c>
      <c r="C5" s="28">
        <v>4091.7559729955806</v>
      </c>
      <c r="D5" s="28">
        <f>511.469496624448*2</f>
        <v>1022.9389932488961</v>
      </c>
      <c r="E5" s="28">
        <v>5</v>
      </c>
      <c r="F5" s="57">
        <v>2.0000000000000001E-4</v>
      </c>
      <c r="G5" s="28">
        <f t="shared" si="0"/>
        <v>214.28083678181301</v>
      </c>
      <c r="H5" s="28">
        <f t="shared" si="1"/>
        <v>219196.22345011882</v>
      </c>
      <c r="I5" s="28">
        <f t="shared" si="2"/>
        <v>3653.2703908353137</v>
      </c>
      <c r="J5" s="28">
        <f t="shared" si="3"/>
        <v>7306.5407816706274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FC9-8F5E-4F40-A4E1-A4F1E6AF0F3E}">
  <dimension ref="A1:L22"/>
  <sheetViews>
    <sheetView tabSelected="1" zoomScale="68" workbookViewId="0">
      <selection activeCell="F16" sqref="F16"/>
    </sheetView>
  </sheetViews>
  <sheetFormatPr defaultColWidth="8.77734375" defaultRowHeight="14.4" x14ac:dyDescent="0.3"/>
  <cols>
    <col min="1" max="1" width="11.77734375" customWidth="1"/>
    <col min="5" max="7" width="12" customWidth="1"/>
    <col min="8" max="8" width="12.5546875" bestFit="1" customWidth="1"/>
    <col min="9" max="9" width="12.77734375" bestFit="1" customWidth="1"/>
    <col min="10" max="10" width="14.109375" bestFit="1" customWidth="1"/>
  </cols>
  <sheetData>
    <row r="1" spans="1:10" ht="15" thickBot="1" x14ac:dyDescent="0.35"/>
    <row r="2" spans="1:10" ht="16.2" thickBot="1" x14ac:dyDescent="0.35">
      <c r="A2" s="121" t="s">
        <v>159</v>
      </c>
      <c r="B2" s="122"/>
      <c r="C2" s="121" t="s">
        <v>124</v>
      </c>
      <c r="D2" s="122"/>
      <c r="E2" s="123" t="s">
        <v>160</v>
      </c>
      <c r="F2" s="125" t="s">
        <v>161</v>
      </c>
      <c r="G2" s="126"/>
      <c r="H2" s="116" t="s">
        <v>162</v>
      </c>
      <c r="I2" s="116" t="s">
        <v>163</v>
      </c>
      <c r="J2" s="116" t="s">
        <v>164</v>
      </c>
    </row>
    <row r="3" spans="1:10" ht="16.2" thickBot="1" x14ac:dyDescent="0.35">
      <c r="A3" s="69" t="s">
        <v>165</v>
      </c>
      <c r="B3" s="70" t="s">
        <v>49</v>
      </c>
      <c r="C3" s="70" t="s">
        <v>121</v>
      </c>
      <c r="D3" s="70" t="s">
        <v>166</v>
      </c>
      <c r="E3" s="124"/>
      <c r="F3" s="72" t="s">
        <v>121</v>
      </c>
      <c r="G3" s="72" t="s">
        <v>166</v>
      </c>
      <c r="H3" s="117"/>
      <c r="I3" s="117"/>
      <c r="J3" s="117"/>
    </row>
    <row r="4" spans="1:10" ht="16.2" thickBot="1" x14ac:dyDescent="0.35">
      <c r="A4" s="73" t="s">
        <v>167</v>
      </c>
      <c r="B4" s="74">
        <v>6185</v>
      </c>
      <c r="C4" s="50">
        <v>6334</v>
      </c>
      <c r="D4" s="50">
        <v>818</v>
      </c>
      <c r="E4" s="75">
        <v>1</v>
      </c>
      <c r="F4" s="74">
        <f>-0.1*C4</f>
        <v>-633.40000000000009</v>
      </c>
      <c r="G4" s="74">
        <f>-0.2*E4-0.1*D4</f>
        <v>-82.000000000000014</v>
      </c>
      <c r="H4" s="76">
        <f>EXP(G4)/(EXP(F4)+EXP(G4))</f>
        <v>1</v>
      </c>
      <c r="I4" s="77">
        <f>B4*H4</f>
        <v>6185</v>
      </c>
      <c r="J4" s="78">
        <f>I4*E4</f>
        <v>6185</v>
      </c>
    </row>
    <row r="5" spans="1:10" ht="16.2" thickBot="1" x14ac:dyDescent="0.35">
      <c r="A5" s="73" t="s">
        <v>168</v>
      </c>
      <c r="B5" s="74">
        <v>3401</v>
      </c>
      <c r="C5" s="50">
        <v>2109</v>
      </c>
      <c r="D5" s="50">
        <v>425</v>
      </c>
      <c r="E5" s="75">
        <v>1</v>
      </c>
      <c r="F5" s="74">
        <f>-0.1*C5</f>
        <v>-210.9</v>
      </c>
      <c r="G5" s="74">
        <f t="shared" ref="G5:G7" si="0">-0.2*E5-0.1*D5</f>
        <v>-42.7</v>
      </c>
      <c r="H5" s="76">
        <f t="shared" ref="H5:H7" si="1">EXP(G5)/(EXP(F5)+EXP(G5))</f>
        <v>1</v>
      </c>
      <c r="I5" s="77">
        <f t="shared" ref="I5:I7" si="2">B5*H5</f>
        <v>3401</v>
      </c>
      <c r="J5" s="78">
        <f t="shared" ref="J5:J7" si="3">I5*E5</f>
        <v>3401</v>
      </c>
    </row>
    <row r="6" spans="1:10" ht="16.2" thickBot="1" x14ac:dyDescent="0.35">
      <c r="A6" s="73" t="s">
        <v>169</v>
      </c>
      <c r="B6" s="74">
        <v>2412</v>
      </c>
      <c r="C6" s="50">
        <v>3111</v>
      </c>
      <c r="D6" s="50">
        <v>891</v>
      </c>
      <c r="E6" s="75">
        <v>1</v>
      </c>
      <c r="F6" s="74">
        <f>-0.1*C6</f>
        <v>-311.10000000000002</v>
      </c>
      <c r="G6" s="74">
        <f t="shared" si="0"/>
        <v>-89.300000000000011</v>
      </c>
      <c r="H6" s="76">
        <f t="shared" si="1"/>
        <v>1</v>
      </c>
      <c r="I6" s="77">
        <f t="shared" si="2"/>
        <v>2412</v>
      </c>
      <c r="J6" s="78">
        <f t="shared" si="3"/>
        <v>2412</v>
      </c>
    </row>
    <row r="7" spans="1:10" ht="16.2" thickBot="1" x14ac:dyDescent="0.35">
      <c r="A7" s="71" t="s">
        <v>170</v>
      </c>
      <c r="B7" s="72">
        <v>4092</v>
      </c>
      <c r="C7" s="50">
        <v>3785</v>
      </c>
      <c r="D7" s="50">
        <v>595</v>
      </c>
      <c r="E7" s="79">
        <v>1</v>
      </c>
      <c r="F7" s="72">
        <f>-0.1*C7</f>
        <v>-378.5</v>
      </c>
      <c r="G7" s="72">
        <f t="shared" si="0"/>
        <v>-59.7</v>
      </c>
      <c r="H7" s="80">
        <f t="shared" si="1"/>
        <v>1</v>
      </c>
      <c r="I7" s="81">
        <f t="shared" si="2"/>
        <v>4092</v>
      </c>
      <c r="J7" s="82">
        <f t="shared" si="3"/>
        <v>4092</v>
      </c>
    </row>
    <row r="8" spans="1:10" ht="16.2" thickBot="1" x14ac:dyDescent="0.35">
      <c r="A8" s="71" t="s">
        <v>17</v>
      </c>
      <c r="B8" s="72">
        <f>SUM(B4:B7)</f>
        <v>16090</v>
      </c>
      <c r="C8" s="72"/>
      <c r="D8" s="72"/>
      <c r="E8" s="72"/>
      <c r="F8" s="72"/>
      <c r="G8" s="72"/>
      <c r="H8" s="72"/>
      <c r="I8" s="81">
        <f>SUM(I4:I7)</f>
        <v>16090</v>
      </c>
      <c r="J8" s="83">
        <f>SUM(J4:J7)</f>
        <v>16090</v>
      </c>
    </row>
    <row r="9" spans="1:10" ht="16.2" thickBot="1" x14ac:dyDescent="0.35">
      <c r="A9" s="84"/>
      <c r="B9" s="85"/>
      <c r="C9" s="85"/>
      <c r="D9" s="85"/>
      <c r="E9" s="118" t="s">
        <v>171</v>
      </c>
      <c r="F9" s="119"/>
      <c r="G9" s="119"/>
      <c r="H9" s="120"/>
      <c r="I9" s="80">
        <f>I8/B8</f>
        <v>1</v>
      </c>
      <c r="J9" s="85"/>
    </row>
    <row r="10" spans="1:10" ht="25.2" x14ac:dyDescent="0.45">
      <c r="A10" s="68"/>
    </row>
    <row r="12" spans="1:10" ht="16.2" customHeight="1" x14ac:dyDescent="0.3"/>
    <row r="18" spans="1:12" x14ac:dyDescent="0.3">
      <c r="L18" s="86"/>
    </row>
    <row r="20" spans="1:12" ht="25.2" x14ac:dyDescent="0.45">
      <c r="A20" s="68"/>
    </row>
    <row r="22" spans="1:12" ht="16.2" customHeight="1" x14ac:dyDescent="0.3"/>
  </sheetData>
  <mergeCells count="8">
    <mergeCell ref="J2:J3"/>
    <mergeCell ref="E9:H9"/>
    <mergeCell ref="A2:B2"/>
    <mergeCell ref="C2:D2"/>
    <mergeCell ref="E2:E3"/>
    <mergeCell ref="F2:G2"/>
    <mergeCell ref="H2:H3"/>
    <mergeCell ref="I2:I3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0177-1876-40A9-95E6-C3D6604BA326}">
  <dimension ref="A1:J8"/>
  <sheetViews>
    <sheetView workbookViewId="0">
      <selection sqref="A1:J8"/>
    </sheetView>
  </sheetViews>
  <sheetFormatPr defaultRowHeight="14.4" x14ac:dyDescent="0.3"/>
  <sheetData>
    <row r="1" spans="1:10" ht="16.2" thickBot="1" x14ac:dyDescent="0.35">
      <c r="A1" s="121" t="s">
        <v>159</v>
      </c>
      <c r="B1" s="122"/>
      <c r="C1" s="121" t="s">
        <v>124</v>
      </c>
      <c r="D1" s="122"/>
      <c r="E1" s="123" t="s">
        <v>160</v>
      </c>
      <c r="F1" s="125" t="s">
        <v>161</v>
      </c>
      <c r="G1" s="126"/>
      <c r="H1" s="116" t="s">
        <v>162</v>
      </c>
      <c r="I1" s="116" t="s">
        <v>163</v>
      </c>
      <c r="J1" s="116" t="s">
        <v>164</v>
      </c>
    </row>
    <row r="2" spans="1:10" ht="31.8" thickBot="1" x14ac:dyDescent="0.35">
      <c r="A2" s="69" t="s">
        <v>165</v>
      </c>
      <c r="B2" s="70" t="s">
        <v>49</v>
      </c>
      <c r="C2" s="70" t="s">
        <v>121</v>
      </c>
      <c r="D2" s="70" t="s">
        <v>166</v>
      </c>
      <c r="E2" s="124"/>
      <c r="F2" s="72" t="s">
        <v>121</v>
      </c>
      <c r="G2" s="72" t="s">
        <v>166</v>
      </c>
      <c r="H2" s="117"/>
      <c r="I2" s="117"/>
      <c r="J2" s="117"/>
    </row>
    <row r="3" spans="1:10" ht="16.2" thickBot="1" x14ac:dyDescent="0.35">
      <c r="A3" s="73" t="s">
        <v>167</v>
      </c>
      <c r="B3" s="74">
        <v>6185</v>
      </c>
      <c r="C3" s="50">
        <v>6334</v>
      </c>
      <c r="D3" s="50">
        <v>818</v>
      </c>
      <c r="E3" s="75">
        <v>5</v>
      </c>
      <c r="F3" s="74">
        <f>-0.1*C3</f>
        <v>-633.40000000000009</v>
      </c>
      <c r="G3" s="74">
        <f>-0.2*E3-0.1*D3</f>
        <v>-82.800000000000011</v>
      </c>
      <c r="H3" s="76">
        <f>EXP(G3)/(EXP(F3)+EXP(G3))</f>
        <v>1</v>
      </c>
      <c r="I3" s="77">
        <f>B3*H3</f>
        <v>6185</v>
      </c>
      <c r="J3" s="78">
        <f>I3*E3</f>
        <v>30925</v>
      </c>
    </row>
    <row r="4" spans="1:10" ht="16.2" thickBot="1" x14ac:dyDescent="0.35">
      <c r="A4" s="73" t="s">
        <v>168</v>
      </c>
      <c r="B4" s="74">
        <v>3401</v>
      </c>
      <c r="C4" s="50">
        <v>2109</v>
      </c>
      <c r="D4" s="50">
        <v>425</v>
      </c>
      <c r="E4" s="75">
        <v>5</v>
      </c>
      <c r="F4" s="74">
        <f>-0.1*C4</f>
        <v>-210.9</v>
      </c>
      <c r="G4" s="74">
        <f>-0.2*E4-0.1*D4</f>
        <v>-43.5</v>
      </c>
      <c r="H4" s="76">
        <f>EXP(G4)/(EXP(F4)+EXP(G4))</f>
        <v>1</v>
      </c>
      <c r="I4" s="77">
        <f>B4*H4</f>
        <v>3401</v>
      </c>
      <c r="J4" s="78">
        <f>I4*E4</f>
        <v>17005</v>
      </c>
    </row>
    <row r="5" spans="1:10" ht="16.2" thickBot="1" x14ac:dyDescent="0.35">
      <c r="A5" s="73" t="s">
        <v>169</v>
      </c>
      <c r="B5" s="74">
        <v>2412</v>
      </c>
      <c r="C5" s="50">
        <v>3111</v>
      </c>
      <c r="D5" s="50">
        <v>891</v>
      </c>
      <c r="E5" s="75">
        <v>5</v>
      </c>
      <c r="F5" s="74">
        <f>-0.1*C5</f>
        <v>-311.10000000000002</v>
      </c>
      <c r="G5" s="74">
        <f>-0.2*E5-0.1*D5</f>
        <v>-90.100000000000009</v>
      </c>
      <c r="H5" s="76">
        <f>EXP(G5)/(EXP(F5)+EXP(G5))</f>
        <v>1</v>
      </c>
      <c r="I5" s="77">
        <f>B5*H5</f>
        <v>2412</v>
      </c>
      <c r="J5" s="78">
        <f>I5*E5</f>
        <v>12060</v>
      </c>
    </row>
    <row r="6" spans="1:10" ht="16.2" thickBot="1" x14ac:dyDescent="0.35">
      <c r="A6" s="71" t="s">
        <v>170</v>
      </c>
      <c r="B6" s="72">
        <v>4092</v>
      </c>
      <c r="C6" s="50">
        <v>3785</v>
      </c>
      <c r="D6" s="50">
        <v>595</v>
      </c>
      <c r="E6" s="79">
        <v>5</v>
      </c>
      <c r="F6" s="72">
        <f>-0.1*C6</f>
        <v>-378.5</v>
      </c>
      <c r="G6" s="72">
        <f>-0.2*E6-0.1*D6</f>
        <v>-60.5</v>
      </c>
      <c r="H6" s="80">
        <f>EXP(G6)/(EXP(F6)+EXP(G6))</f>
        <v>1</v>
      </c>
      <c r="I6" s="81">
        <f>B6*H6</f>
        <v>4092</v>
      </c>
      <c r="J6" s="82">
        <f>I6*E6</f>
        <v>20460</v>
      </c>
    </row>
    <row r="7" spans="1:10" ht="16.2" thickBot="1" x14ac:dyDescent="0.35">
      <c r="A7" s="71" t="s">
        <v>17</v>
      </c>
      <c r="B7" s="72">
        <f>SUM(B3:B6)</f>
        <v>16090</v>
      </c>
      <c r="C7" s="72"/>
      <c r="D7" s="72"/>
      <c r="E7" s="72"/>
      <c r="F7" s="72"/>
      <c r="G7" s="72"/>
      <c r="H7" s="72"/>
      <c r="I7" s="81">
        <f>SUM(I3:I6)</f>
        <v>16090</v>
      </c>
      <c r="J7" s="83">
        <f>SUM(J3:J6)</f>
        <v>80450</v>
      </c>
    </row>
    <row r="8" spans="1:10" ht="16.2" thickBot="1" x14ac:dyDescent="0.35">
      <c r="A8" s="84"/>
      <c r="B8" s="85"/>
      <c r="C8" s="85"/>
      <c r="D8" s="85"/>
      <c r="E8" s="118" t="s">
        <v>171</v>
      </c>
      <c r="F8" s="119"/>
      <c r="G8" s="119"/>
      <c r="H8" s="120"/>
      <c r="I8" s="80">
        <f>I7/B7</f>
        <v>1</v>
      </c>
      <c r="J8" s="85"/>
    </row>
  </sheetData>
  <mergeCells count="8">
    <mergeCell ref="J1:J2"/>
    <mergeCell ref="E8:H8"/>
    <mergeCell ref="A1:B1"/>
    <mergeCell ref="C1:D1"/>
    <mergeCell ref="E1:E2"/>
    <mergeCell ref="F1:G1"/>
    <mergeCell ref="H1:H2"/>
    <mergeCell ref="I1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2BD6-3E8D-475B-BC03-1B8D34DF5C23}">
  <dimension ref="A1:J8"/>
  <sheetViews>
    <sheetView workbookViewId="0">
      <selection sqref="A1:J8"/>
    </sheetView>
  </sheetViews>
  <sheetFormatPr defaultRowHeight="14.4" x14ac:dyDescent="0.3"/>
  <sheetData>
    <row r="1" spans="1:10" ht="16.2" thickBot="1" x14ac:dyDescent="0.35">
      <c r="A1" s="121" t="s">
        <v>159</v>
      </c>
      <c r="B1" s="122"/>
      <c r="C1" s="121" t="s">
        <v>124</v>
      </c>
      <c r="D1" s="122"/>
      <c r="E1" s="123" t="s">
        <v>160</v>
      </c>
      <c r="F1" s="125" t="s">
        <v>161</v>
      </c>
      <c r="G1" s="126"/>
      <c r="H1" s="116" t="s">
        <v>162</v>
      </c>
      <c r="I1" s="116" t="s">
        <v>163</v>
      </c>
      <c r="J1" s="116" t="s">
        <v>164</v>
      </c>
    </row>
    <row r="2" spans="1:10" ht="31.8" thickBot="1" x14ac:dyDescent="0.35">
      <c r="A2" s="69" t="s">
        <v>165</v>
      </c>
      <c r="B2" s="70" t="s">
        <v>49</v>
      </c>
      <c r="C2" s="70" t="s">
        <v>121</v>
      </c>
      <c r="D2" s="70" t="s">
        <v>166</v>
      </c>
      <c r="E2" s="124"/>
      <c r="F2" s="72" t="s">
        <v>121</v>
      </c>
      <c r="G2" s="72" t="s">
        <v>166</v>
      </c>
      <c r="H2" s="117"/>
      <c r="I2" s="117"/>
      <c r="J2" s="117"/>
    </row>
    <row r="3" spans="1:10" ht="16.2" thickBot="1" x14ac:dyDescent="0.35">
      <c r="A3" s="73" t="s">
        <v>167</v>
      </c>
      <c r="B3" s="74">
        <v>6185</v>
      </c>
      <c r="C3" s="50">
        <v>6334</v>
      </c>
      <c r="D3" s="50">
        <v>818</v>
      </c>
      <c r="E3" s="75">
        <v>10</v>
      </c>
      <c r="F3" s="74">
        <f>-0.1*C3</f>
        <v>-633.40000000000009</v>
      </c>
      <c r="G3" s="74">
        <f>-0.2*E3-0.1*D3</f>
        <v>-83.800000000000011</v>
      </c>
      <c r="H3" s="76">
        <f>EXP(G3)/(EXP(F3)+EXP(G3))</f>
        <v>1</v>
      </c>
      <c r="I3" s="77">
        <f>B3*H3</f>
        <v>6185</v>
      </c>
      <c r="J3" s="78">
        <f>I3*E3</f>
        <v>61850</v>
      </c>
    </row>
    <row r="4" spans="1:10" ht="16.2" thickBot="1" x14ac:dyDescent="0.35">
      <c r="A4" s="73" t="s">
        <v>168</v>
      </c>
      <c r="B4" s="74">
        <v>3401</v>
      </c>
      <c r="C4" s="50">
        <v>2109</v>
      </c>
      <c r="D4" s="50">
        <v>425</v>
      </c>
      <c r="E4" s="75">
        <v>10</v>
      </c>
      <c r="F4" s="74">
        <f>-0.1*C4</f>
        <v>-210.9</v>
      </c>
      <c r="G4" s="74">
        <f>-0.2*E4-0.1*D4</f>
        <v>-44.5</v>
      </c>
      <c r="H4" s="76">
        <f>EXP(G4)/(EXP(F4)+EXP(G4))</f>
        <v>1</v>
      </c>
      <c r="I4" s="77">
        <f>B4*H4</f>
        <v>3401</v>
      </c>
      <c r="J4" s="78">
        <f>I4*E4</f>
        <v>34010</v>
      </c>
    </row>
    <row r="5" spans="1:10" ht="16.2" thickBot="1" x14ac:dyDescent="0.35">
      <c r="A5" s="73" t="s">
        <v>169</v>
      </c>
      <c r="B5" s="74">
        <v>2412</v>
      </c>
      <c r="C5" s="50">
        <v>3111</v>
      </c>
      <c r="D5" s="50">
        <v>891</v>
      </c>
      <c r="E5" s="75">
        <v>10</v>
      </c>
      <c r="F5" s="74">
        <f>-0.1*C5</f>
        <v>-311.10000000000002</v>
      </c>
      <c r="G5" s="74">
        <f>-0.2*E5-0.1*D5</f>
        <v>-91.100000000000009</v>
      </c>
      <c r="H5" s="76">
        <f>EXP(G5)/(EXP(F5)+EXP(G5))</f>
        <v>1</v>
      </c>
      <c r="I5" s="77">
        <f>B5*H5</f>
        <v>2412</v>
      </c>
      <c r="J5" s="78">
        <f>I5*E5</f>
        <v>24120</v>
      </c>
    </row>
    <row r="6" spans="1:10" ht="16.2" thickBot="1" x14ac:dyDescent="0.35">
      <c r="A6" s="71" t="s">
        <v>170</v>
      </c>
      <c r="B6" s="72">
        <v>4092</v>
      </c>
      <c r="C6" s="50">
        <v>3785</v>
      </c>
      <c r="D6" s="50">
        <v>595</v>
      </c>
      <c r="E6" s="79">
        <v>10</v>
      </c>
      <c r="F6" s="72">
        <f>-0.1*C6</f>
        <v>-378.5</v>
      </c>
      <c r="G6" s="72">
        <f>-0.2*E6-0.1*D6</f>
        <v>-61.5</v>
      </c>
      <c r="H6" s="80">
        <f>EXP(G6)/(EXP(F6)+EXP(G6))</f>
        <v>1</v>
      </c>
      <c r="I6" s="81">
        <f>B6*H6</f>
        <v>4092</v>
      </c>
      <c r="J6" s="82">
        <f>I6*E6</f>
        <v>40920</v>
      </c>
    </row>
    <row r="7" spans="1:10" ht="16.2" thickBot="1" x14ac:dyDescent="0.35">
      <c r="A7" s="71" t="s">
        <v>17</v>
      </c>
      <c r="B7" s="72">
        <f>SUM(B3:B6)</f>
        <v>16090</v>
      </c>
      <c r="C7" s="72"/>
      <c r="D7" s="72"/>
      <c r="E7" s="72"/>
      <c r="F7" s="72"/>
      <c r="G7" s="72"/>
      <c r="H7" s="72"/>
      <c r="I7" s="81">
        <f>SUM(I3:I6)</f>
        <v>16090</v>
      </c>
      <c r="J7" s="83">
        <f>SUM(J3:J6)</f>
        <v>160900</v>
      </c>
    </row>
    <row r="8" spans="1:10" ht="16.2" thickBot="1" x14ac:dyDescent="0.35">
      <c r="A8" s="84"/>
      <c r="B8" s="85"/>
      <c r="C8" s="85"/>
      <c r="D8" s="85"/>
      <c r="E8" s="118" t="s">
        <v>171</v>
      </c>
      <c r="F8" s="119"/>
      <c r="G8" s="119"/>
      <c r="H8" s="120"/>
      <c r="I8" s="80">
        <f>I7/B7</f>
        <v>1</v>
      </c>
      <c r="J8" s="85"/>
    </row>
  </sheetData>
  <mergeCells count="8">
    <mergeCell ref="I1:I2"/>
    <mergeCell ref="J1:J2"/>
    <mergeCell ref="E8:H8"/>
    <mergeCell ref="A1:B1"/>
    <mergeCell ref="C1:D1"/>
    <mergeCell ref="E1:E2"/>
    <mergeCell ref="F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Calibration</vt:lpstr>
      <vt:lpstr>Forecast</vt:lpstr>
      <vt:lpstr>Generation</vt:lpstr>
      <vt:lpstr>Attraction</vt:lpstr>
      <vt:lpstr>CALIBRATIONN</vt:lpstr>
      <vt:lpstr>FORECASTT</vt:lpstr>
      <vt:lpstr>Gravity Model</vt:lpstr>
      <vt:lpstr>Furness Method</vt:lpstr>
      <vt:lpstr>Regression (2)</vt:lpstr>
      <vt:lpstr>Max Likelihood</vt:lpstr>
      <vt:lpstr>assignment</vt:lpstr>
      <vt:lpstr>cost1</vt:lpstr>
      <vt:lpstr>costdouble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</dc:creator>
  <cp:lastModifiedBy>Mohammed Fahad</cp:lastModifiedBy>
  <dcterms:created xsi:type="dcterms:W3CDTF">2015-06-05T18:17:20Z</dcterms:created>
  <dcterms:modified xsi:type="dcterms:W3CDTF">2024-04-14T08:40:45Z</dcterms:modified>
</cp:coreProperties>
</file>