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aust-my.sharepoint.com/personal/forystmj_kaust_edu_sa/Documents/Documents/RSCAD/RTDS_USER_FX/fileman/IEEE 39 Bus Power System_Michal/"/>
    </mc:Choice>
  </mc:AlternateContent>
  <xr:revisionPtr revIDLastSave="125" documentId="13_ncr:1_{948712B4-9F1A-47A9-91A5-2D0C1E39BBC8}" xr6:coauthVersionLast="47" xr6:coauthVersionMax="47" xr10:uidLastSave="{034F2106-9CDD-4746-8D97-88B70850EAF2}"/>
  <bookViews>
    <workbookView xWindow="-110" yWindow="-110" windowWidth="19420" windowHeight="10300" activeTab="1" xr2:uid="{25F43F66-12A4-441C-BEEC-B33793F70A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H2" i="2" s="1"/>
  <c r="G2" i="2"/>
  <c r="G8" i="2"/>
  <c r="H8" i="2" s="1"/>
  <c r="F8" i="2"/>
  <c r="X51" i="1"/>
  <c r="X50" i="1"/>
  <c r="X49" i="1"/>
  <c r="X48" i="1"/>
  <c r="X47" i="1"/>
  <c r="X46" i="1"/>
  <c r="X45" i="1"/>
  <c r="W51" i="1"/>
  <c r="W50" i="1"/>
  <c r="AC49" i="1"/>
  <c r="W49" i="1"/>
  <c r="W48" i="1"/>
  <c r="AC47" i="1"/>
  <c r="W47" i="1"/>
  <c r="W46" i="1"/>
  <c r="AC45" i="1"/>
  <c r="W45" i="1"/>
  <c r="W44" i="1"/>
  <c r="W12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18" i="1"/>
  <c r="W17" i="1"/>
  <c r="W16" i="1"/>
  <c r="W15" i="1"/>
  <c r="W14" i="1"/>
  <c r="W13" i="1"/>
  <c r="W11" i="1"/>
  <c r="W10" i="1"/>
  <c r="W9" i="1"/>
  <c r="W8" i="1"/>
  <c r="W7" i="1"/>
  <c r="W5" i="1"/>
  <c r="W6" i="1"/>
  <c r="W4" i="1"/>
  <c r="W22" i="1"/>
  <c r="W23" i="1"/>
  <c r="W24" i="1"/>
  <c r="W52" i="1"/>
  <c r="W53" i="1"/>
  <c r="W54" i="1"/>
  <c r="W55" i="1"/>
  <c r="W56" i="1"/>
  <c r="W57" i="1"/>
  <c r="W58" i="1"/>
  <c r="W59" i="1"/>
  <c r="W3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8" i="1"/>
  <c r="L30" i="1"/>
  <c r="L31" i="1"/>
  <c r="L32" i="1"/>
  <c r="L33" i="1"/>
  <c r="L34" i="1"/>
  <c r="L35" i="1"/>
  <c r="L36" i="1"/>
  <c r="L37" i="1"/>
  <c r="L24" i="1"/>
  <c r="L25" i="1"/>
  <c r="L26" i="1"/>
  <c r="L27" i="1"/>
  <c r="L28" i="1"/>
  <c r="L29" i="1"/>
  <c r="L21" i="1"/>
  <c r="L22" i="1"/>
  <c r="L23" i="1"/>
  <c r="L20" i="1"/>
  <c r="L9" i="1"/>
  <c r="L10" i="1"/>
  <c r="L11" i="1"/>
  <c r="L12" i="1"/>
  <c r="L13" i="1"/>
  <c r="L14" i="1"/>
  <c r="L15" i="1"/>
  <c r="L16" i="1"/>
  <c r="L17" i="1"/>
  <c r="L18" i="1"/>
  <c r="L8" i="1"/>
  <c r="L4" i="1"/>
  <c r="L5" i="1"/>
  <c r="L6" i="1"/>
  <c r="L7" i="1"/>
  <c r="L3" i="1"/>
  <c r="G17" i="1"/>
  <c r="G18" i="1"/>
  <c r="G19" i="1"/>
  <c r="G20" i="1"/>
  <c r="G21" i="1"/>
  <c r="G11" i="1"/>
  <c r="G12" i="1"/>
  <c r="G13" i="1"/>
  <c r="G14" i="1"/>
  <c r="G15" i="1"/>
  <c r="G10" i="1"/>
  <c r="G9" i="1"/>
  <c r="G7" i="1"/>
  <c r="G3" i="1"/>
  <c r="G4" i="1"/>
  <c r="G5" i="1"/>
  <c r="G6" i="1"/>
  <c r="F3" i="1"/>
  <c r="F4" i="1"/>
  <c r="F5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G2" i="1"/>
  <c r="F2" i="1"/>
  <c r="D22" i="1"/>
  <c r="E22" i="1"/>
  <c r="C22" i="1"/>
  <c r="D16" i="1"/>
  <c r="E16" i="1"/>
  <c r="C16" i="1"/>
  <c r="D8" i="1"/>
  <c r="E8" i="1"/>
  <c r="C8" i="1"/>
  <c r="Y49" i="1" l="1"/>
  <c r="Z49" i="1" s="1"/>
  <c r="Y47" i="1"/>
  <c r="Z47" i="1" s="1"/>
  <c r="Y45" i="1"/>
  <c r="Z45" i="1" s="1"/>
  <c r="F22" i="1"/>
  <c r="G16" i="1"/>
  <c r="G22" i="1"/>
  <c r="F8" i="1"/>
  <c r="G8" i="1"/>
  <c r="F16" i="1"/>
  <c r="D23" i="1"/>
  <c r="C23" i="1"/>
  <c r="E23" i="1"/>
  <c r="Y48" i="1" l="1"/>
  <c r="Z48" i="1" s="1"/>
  <c r="Y46" i="1"/>
  <c r="Z46" i="1" s="1"/>
  <c r="AC30" i="1"/>
  <c r="AC14" i="1"/>
  <c r="X14" i="1" s="1"/>
  <c r="X15" i="1" s="1"/>
  <c r="Y15" i="1" s="1"/>
  <c r="Z15" i="1" s="1"/>
  <c r="AC29" i="1"/>
  <c r="X29" i="1" s="1"/>
  <c r="Y29" i="1" s="1"/>
  <c r="Z29" i="1" s="1"/>
  <c r="AC32" i="1"/>
  <c r="X32" i="1" s="1"/>
  <c r="Y32" i="1" s="1"/>
  <c r="Z32" i="1" s="1"/>
  <c r="AC42" i="1"/>
  <c r="AC26" i="1"/>
  <c r="AC40" i="1"/>
  <c r="AC28" i="1"/>
  <c r="X28" i="1" s="1"/>
  <c r="Y28" i="1" s="1"/>
  <c r="Z28" i="1" s="1"/>
  <c r="AC38" i="1"/>
  <c r="X38" i="1" s="1"/>
  <c r="AC35" i="1"/>
  <c r="X35" i="1" s="1"/>
  <c r="X36" i="1" s="1"/>
  <c r="X37" i="1" s="1"/>
  <c r="Y37" i="1" s="1"/>
  <c r="Z37" i="1" s="1"/>
  <c r="AC25" i="1"/>
  <c r="X25" i="1" s="1"/>
  <c r="Y25" i="1" s="1"/>
  <c r="Z25" i="1" s="1"/>
  <c r="AC16" i="1"/>
  <c r="AC23" i="1"/>
  <c r="AC11" i="1"/>
  <c r="AC52" i="1"/>
  <c r="AC54" i="1"/>
  <c r="X54" i="1" s="1"/>
  <c r="Y54" i="1" s="1"/>
  <c r="Z54" i="1" s="1"/>
  <c r="AC22" i="1"/>
  <c r="X22" i="1" s="1"/>
  <c r="AC8" i="1"/>
  <c r="AC7" i="1"/>
  <c r="X7" i="1" s="1"/>
  <c r="Y7" i="1" s="1"/>
  <c r="Z7" i="1" s="1"/>
  <c r="AC57" i="1"/>
  <c r="X57" i="1" s="1"/>
  <c r="Y57" i="1" s="1"/>
  <c r="Z57" i="1" s="1"/>
  <c r="AC5" i="1"/>
  <c r="R25" i="1"/>
  <c r="AC3" i="1"/>
  <c r="H5" i="1"/>
  <c r="R12" i="1"/>
  <c r="R20" i="1"/>
  <c r="R22" i="1"/>
  <c r="R4" i="1"/>
  <c r="R29" i="1"/>
  <c r="R3" i="1"/>
  <c r="R38" i="1"/>
  <c r="R8" i="1"/>
  <c r="R6" i="1"/>
  <c r="H4" i="1"/>
  <c r="I5" i="1"/>
  <c r="H3" i="1"/>
  <c r="I23" i="1"/>
  <c r="G23" i="1"/>
  <c r="F23" i="1"/>
  <c r="I7" i="1"/>
  <c r="H23" i="1"/>
  <c r="H17" i="1"/>
  <c r="H15" i="1"/>
  <c r="I17" i="1"/>
  <c r="H14" i="1"/>
  <c r="I15" i="1"/>
  <c r="I14" i="1"/>
  <c r="H13" i="1"/>
  <c r="I20" i="1"/>
  <c r="I4" i="1"/>
  <c r="H12" i="1"/>
  <c r="H11" i="1"/>
  <c r="H21" i="1"/>
  <c r="I13" i="1"/>
  <c r="I2" i="1"/>
  <c r="H20" i="1"/>
  <c r="I6" i="1"/>
  <c r="I21" i="1"/>
  <c r="H7" i="1"/>
  <c r="H19" i="1"/>
  <c r="H6" i="1"/>
  <c r="I18" i="1"/>
  <c r="I3" i="1"/>
  <c r="H2" i="1"/>
  <c r="H10" i="1"/>
  <c r="I11" i="1"/>
  <c r="H9" i="1"/>
  <c r="I12" i="1"/>
  <c r="I10" i="1"/>
  <c r="H18" i="1"/>
  <c r="I9" i="1"/>
  <c r="I19" i="1"/>
  <c r="Y50" i="1" l="1"/>
  <c r="Z50" i="1" s="1"/>
  <c r="X42" i="1"/>
  <c r="Y42" i="1" s="1"/>
  <c r="Z42" i="1" s="1"/>
  <c r="X33" i="1"/>
  <c r="Y33" i="1" s="1"/>
  <c r="Z33" i="1" s="1"/>
  <c r="Y35" i="1"/>
  <c r="Z35" i="1" s="1"/>
  <c r="X16" i="1"/>
  <c r="X39" i="1"/>
  <c r="Y39" i="1" s="1"/>
  <c r="Z39" i="1" s="1"/>
  <c r="Y38" i="1"/>
  <c r="Z38" i="1" s="1"/>
  <c r="X40" i="1"/>
  <c r="Y40" i="1" s="1"/>
  <c r="Z40" i="1" s="1"/>
  <c r="X26" i="1"/>
  <c r="Y26" i="1" s="1"/>
  <c r="Z26" i="1" s="1"/>
  <c r="Y36" i="1"/>
  <c r="Z36" i="1" s="1"/>
  <c r="X30" i="1"/>
  <c r="Y30" i="1" s="1"/>
  <c r="Z30" i="1" s="1"/>
  <c r="X58" i="1"/>
  <c r="X59" i="1" s="1"/>
  <c r="X55" i="1"/>
  <c r="Y55" i="1" s="1"/>
  <c r="Z55" i="1" s="1"/>
  <c r="X23" i="1"/>
  <c r="Y23" i="1" s="1"/>
  <c r="Z23" i="1" s="1"/>
  <c r="X5" i="1"/>
  <c r="Y5" i="1" s="1"/>
  <c r="Z5" i="1" s="1"/>
  <c r="X8" i="1"/>
  <c r="X9" i="1" s="1"/>
  <c r="Y9" i="1" s="1"/>
  <c r="Z9" i="1" s="1"/>
  <c r="X52" i="1"/>
  <c r="Y52" i="1" s="1"/>
  <c r="Z52" i="1" s="1"/>
  <c r="X11" i="1"/>
  <c r="Y11" i="1" s="1"/>
  <c r="Z11" i="1" s="1"/>
  <c r="X3" i="1"/>
  <c r="Y3" i="1" s="1"/>
  <c r="Z3" i="1" s="1"/>
  <c r="Y22" i="1"/>
  <c r="Z22" i="1" s="1"/>
  <c r="M29" i="1"/>
  <c r="M30" i="1" s="1"/>
  <c r="M20" i="1"/>
  <c r="N20" i="1" s="1"/>
  <c r="O20" i="1" s="1"/>
  <c r="M22" i="1"/>
  <c r="N22" i="1" s="1"/>
  <c r="O22" i="1" s="1"/>
  <c r="M25" i="1"/>
  <c r="N25" i="1" s="1"/>
  <c r="O25" i="1" s="1"/>
  <c r="M38" i="1"/>
  <c r="N38" i="1" s="1"/>
  <c r="O38" i="1" s="1"/>
  <c r="M4" i="1"/>
  <c r="M3" i="1"/>
  <c r="M6" i="1"/>
  <c r="M12" i="1"/>
  <c r="N12" i="1" s="1"/>
  <c r="M8" i="1"/>
  <c r="N8" i="1" s="1"/>
  <c r="H8" i="1"/>
  <c r="I22" i="1"/>
  <c r="H16" i="1"/>
  <c r="H22" i="1"/>
  <c r="I8" i="1"/>
  <c r="I16" i="1"/>
  <c r="Y51" i="1" l="1"/>
  <c r="Z51" i="1" s="1"/>
  <c r="X12" i="1"/>
  <c r="X43" i="1"/>
  <c r="X44" i="1" s="1"/>
  <c r="Y44" i="1" s="1"/>
  <c r="Z44" i="1" s="1"/>
  <c r="X34" i="1"/>
  <c r="Y34" i="1" s="1"/>
  <c r="Z34" i="1" s="1"/>
  <c r="X31" i="1"/>
  <c r="Y31" i="1" s="1"/>
  <c r="Z31" i="1" s="1"/>
  <c r="X27" i="1"/>
  <c r="Y27" i="1" s="1"/>
  <c r="Z27" i="1" s="1"/>
  <c r="X41" i="1"/>
  <c r="Y41" i="1" s="1"/>
  <c r="Z41" i="1" s="1"/>
  <c r="Y16" i="1"/>
  <c r="Z16" i="1" s="1"/>
  <c r="X6" i="1"/>
  <c r="Y6" i="1" s="1"/>
  <c r="Z6" i="1" s="1"/>
  <c r="X17" i="1"/>
  <c r="Y17" i="1" s="1"/>
  <c r="Z17" i="1" s="1"/>
  <c r="Y58" i="1"/>
  <c r="Z58" i="1" s="1"/>
  <c r="X56" i="1"/>
  <c r="Y56" i="1" s="1"/>
  <c r="Z56" i="1" s="1"/>
  <c r="X53" i="1"/>
  <c r="Y53" i="1" s="1"/>
  <c r="Z53" i="1" s="1"/>
  <c r="Y8" i="1"/>
  <c r="Z8" i="1" s="1"/>
  <c r="X10" i="1"/>
  <c r="Y10" i="1" s="1"/>
  <c r="Z10" i="1" s="1"/>
  <c r="X24" i="1"/>
  <c r="Y24" i="1" s="1"/>
  <c r="Z24" i="1" s="1"/>
  <c r="X4" i="1"/>
  <c r="Y4" i="1" s="1"/>
  <c r="Z4" i="1" s="1"/>
  <c r="Y59" i="1"/>
  <c r="Z59" i="1" s="1"/>
  <c r="M31" i="1"/>
  <c r="M39" i="1"/>
  <c r="N39" i="1" s="1"/>
  <c r="O39" i="1" s="1"/>
  <c r="N4" i="1"/>
  <c r="O4" i="1" s="1"/>
  <c r="M26" i="1"/>
  <c r="N26" i="1" s="1"/>
  <c r="O26" i="1" s="1"/>
  <c r="M23" i="1"/>
  <c r="M21" i="1"/>
  <c r="N21" i="1" s="1"/>
  <c r="O21" i="1" s="1"/>
  <c r="N6" i="1"/>
  <c r="O6" i="1" s="1"/>
  <c r="N3" i="1"/>
  <c r="O3" i="1" s="1"/>
  <c r="M13" i="1"/>
  <c r="M9" i="1"/>
  <c r="M5" i="1"/>
  <c r="M7" i="1"/>
  <c r="O8" i="1"/>
  <c r="X13" i="1" l="1"/>
  <c r="Y13" i="1" s="1"/>
  <c r="Z13" i="1" s="1"/>
  <c r="Y12" i="1"/>
  <c r="Z12" i="1" s="1"/>
  <c r="X18" i="1"/>
  <c r="Y18" i="1" s="1"/>
  <c r="Z18" i="1" s="1"/>
  <c r="Y14" i="1"/>
  <c r="Z14" i="1" s="1"/>
  <c r="M32" i="1"/>
  <c r="M33" i="1" s="1"/>
  <c r="N7" i="1"/>
  <c r="O7" i="1" s="1"/>
  <c r="M24" i="1"/>
  <c r="N24" i="1" s="1"/>
  <c r="O24" i="1" s="1"/>
  <c r="N23" i="1"/>
  <c r="O23" i="1" s="1"/>
  <c r="M10" i="1"/>
  <c r="N9" i="1"/>
  <c r="M40" i="1"/>
  <c r="M41" i="1" s="1"/>
  <c r="N41" i="1" s="1"/>
  <c r="O41" i="1" s="1"/>
  <c r="N5" i="1"/>
  <c r="O5" i="1" s="1"/>
  <c r="M14" i="1"/>
  <c r="N13" i="1"/>
  <c r="M27" i="1"/>
  <c r="O9" i="1"/>
  <c r="M15" i="1" l="1"/>
  <c r="N14" i="1"/>
  <c r="M28" i="1"/>
  <c r="N28" i="1" s="1"/>
  <c r="O28" i="1" s="1"/>
  <c r="N27" i="1"/>
  <c r="O27" i="1" s="1"/>
  <c r="N40" i="1"/>
  <c r="O40" i="1" s="1"/>
  <c r="M42" i="1"/>
  <c r="N42" i="1" s="1"/>
  <c r="O42" i="1" s="1"/>
  <c r="M34" i="1"/>
  <c r="M35" i="1" s="1"/>
  <c r="M11" i="1"/>
  <c r="N11" i="1" s="1"/>
  <c r="N10" i="1"/>
  <c r="O12" i="1"/>
  <c r="M43" i="1" l="1"/>
  <c r="N43" i="1" s="1"/>
  <c r="O43" i="1" s="1"/>
  <c r="N15" i="1"/>
  <c r="M16" i="1"/>
  <c r="M17" i="1" s="1"/>
  <c r="N17" i="1" s="1"/>
  <c r="M36" i="1"/>
  <c r="M37" i="1" s="1"/>
  <c r="O13" i="1"/>
  <c r="M44" i="1" l="1"/>
  <c r="N44" i="1" s="1"/>
  <c r="O44" i="1" s="1"/>
  <c r="M18" i="1"/>
  <c r="N18" i="1" s="1"/>
  <c r="N16" i="1"/>
  <c r="O14" i="1"/>
  <c r="M45" i="1" l="1"/>
  <c r="M46" i="1" s="1"/>
  <c r="O15" i="1"/>
  <c r="N45" i="1" l="1"/>
  <c r="O45" i="1" s="1"/>
  <c r="N46" i="1"/>
  <c r="O46" i="1" s="1"/>
  <c r="M47" i="1"/>
  <c r="O16" i="1"/>
  <c r="M48" i="1" l="1"/>
  <c r="N47" i="1"/>
  <c r="O47" i="1" s="1"/>
  <c r="O17" i="1"/>
  <c r="M49" i="1" l="1"/>
  <c r="N48" i="1"/>
  <c r="O48" i="1" s="1"/>
  <c r="O18" i="1"/>
  <c r="M50" i="1" l="1"/>
  <c r="N49" i="1"/>
  <c r="O49" i="1" s="1"/>
  <c r="O11" i="1"/>
  <c r="O10" i="1"/>
  <c r="N29" i="1"/>
  <c r="O29" i="1" s="1"/>
  <c r="N30" i="1"/>
  <c r="O30" i="1" s="1"/>
  <c r="N35" i="1"/>
  <c r="O35" i="1" s="1"/>
  <c r="N32" i="1"/>
  <c r="O32" i="1" s="1"/>
  <c r="N36" i="1"/>
  <c r="O36" i="1" s="1"/>
  <c r="N37" i="1"/>
  <c r="O37" i="1" s="1"/>
  <c r="N33" i="1"/>
  <c r="O33" i="1" s="1"/>
  <c r="N34" i="1"/>
  <c r="O34" i="1" s="1"/>
  <c r="N31" i="1"/>
  <c r="O31" i="1" s="1"/>
  <c r="M51" i="1" l="1"/>
  <c r="N50" i="1"/>
  <c r="O50" i="1" s="1"/>
  <c r="M52" i="1" l="1"/>
  <c r="N51" i="1"/>
  <c r="O51" i="1" s="1"/>
  <c r="N52" i="1" l="1"/>
  <c r="O52" i="1" s="1"/>
  <c r="M53" i="1"/>
  <c r="M54" i="1" l="1"/>
  <c r="N53" i="1"/>
  <c r="O53" i="1" s="1"/>
  <c r="M55" i="1" l="1"/>
  <c r="N55" i="1" s="1"/>
  <c r="O55" i="1" s="1"/>
  <c r="N54" i="1"/>
  <c r="O54" i="1" s="1"/>
  <c r="Y43" i="1"/>
  <c r="Z43" i="1" s="1"/>
</calcChain>
</file>

<file path=xl/sharedStrings.xml><?xml version="1.0" encoding="utf-8"?>
<sst xmlns="http://schemas.openxmlformats.org/spreadsheetml/2006/main" count="133" uniqueCount="64">
  <si>
    <t>Bus</t>
  </si>
  <si>
    <t>Initial</t>
  </si>
  <si>
    <t>Min</t>
  </si>
  <si>
    <t>Max</t>
  </si>
  <si>
    <t>Sum</t>
  </si>
  <si>
    <t>Area 2</t>
  </si>
  <si>
    <t>Area 3</t>
  </si>
  <si>
    <t>Area1</t>
  </si>
  <si>
    <t>Total Sum</t>
  </si>
  <si>
    <t>Min %</t>
  </si>
  <si>
    <t>Max %</t>
  </si>
  <si>
    <t>Time of attack</t>
  </si>
  <si>
    <t>Load change</t>
  </si>
  <si>
    <t>To max diff</t>
  </si>
  <si>
    <t>To min diff</t>
  </si>
  <si>
    <t>Area(s)</t>
  </si>
  <si>
    <t>Reached max</t>
  </si>
  <si>
    <t>Total increase</t>
  </si>
  <si>
    <t>Added</t>
  </si>
  <si>
    <t>Total</t>
  </si>
  <si>
    <t>1,2</t>
  </si>
  <si>
    <t>1,2,3</t>
  </si>
  <si>
    <t>Simple LAAs</t>
  </si>
  <si>
    <t>Multistep LAAs</t>
  </si>
  <si>
    <t>then</t>
  </si>
  <si>
    <t>and</t>
  </si>
  <si>
    <t>Steps</t>
  </si>
  <si>
    <t>FIRST</t>
  </si>
  <si>
    <t xml:space="preserve">then </t>
  </si>
  <si>
    <t>Max areas 1, 2</t>
  </si>
  <si>
    <t>1,3</t>
  </si>
  <si>
    <t>Max areas 1, 3</t>
  </si>
  <si>
    <t>Max areas 2, 3</t>
  </si>
  <si>
    <t>2, 3</t>
  </si>
  <si>
    <t>1, 2, 3</t>
  </si>
  <si>
    <t>Max areas 1, 2, 3</t>
  </si>
  <si>
    <t>Steps in area 1</t>
  </si>
  <si>
    <t>Steps in area 2</t>
  </si>
  <si>
    <t>Steps in area 3</t>
  </si>
  <si>
    <t>Steps in all areas</t>
  </si>
  <si>
    <t>Steps in areas 1 and 2</t>
  </si>
  <si>
    <t>Steps in areas 1 and 3</t>
  </si>
  <si>
    <t>Steps in areas 2 and 3</t>
  </si>
  <si>
    <t>Max area 1</t>
  </si>
  <si>
    <t>Max area 2</t>
  </si>
  <si>
    <t>Max area 3</t>
  </si>
  <si>
    <t>Max simple LAAs</t>
  </si>
  <si>
    <t>2,3</t>
  </si>
  <si>
    <t>T34</t>
  </si>
  <si>
    <t>Line number</t>
  </si>
  <si>
    <t>Resistance</t>
  </si>
  <si>
    <t>Reactance</t>
  </si>
  <si>
    <t>Resistance (p.u.)</t>
  </si>
  <si>
    <t>Reactance (p.u.)</t>
  </si>
  <si>
    <t>Line length (km)</t>
  </si>
  <si>
    <t>28-29</t>
  </si>
  <si>
    <t>Susceptance</t>
  </si>
  <si>
    <t>L-L Buses</t>
  </si>
  <si>
    <t>G-G Buses</t>
  </si>
  <si>
    <t>Vbase</t>
  </si>
  <si>
    <t>Sbase</t>
  </si>
  <si>
    <t>Ybase</t>
  </si>
  <si>
    <t>Susceptance (p.u.)</t>
  </si>
  <si>
    <t>9-29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</si>
</sst>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7" xfId="0" applyBorder="1"/>
    <xf numFmtId="0" fontId="0" fillId="0" borderId="1" xfId="0" applyBorder="1"/>
    <xf numFmtId="0" fontId="1" fillId="0" borderId="8" xfId="0" applyFont="1" applyBorder="1"/>
    <xf numFmtId="0" fontId="1" fillId="0" borderId="9" xfId="0" applyFont="1" applyBorder="1"/>
    <xf numFmtId="9" fontId="0" fillId="0" borderId="0" xfId="0" applyNumberFormat="1"/>
    <xf numFmtId="0" fontId="1" fillId="0" borderId="7" xfId="0" applyFont="1" applyBorder="1"/>
    <xf numFmtId="0" fontId="0" fillId="0" borderId="10" xfId="0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12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/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/>
    <xf numFmtId="0" fontId="0" fillId="0" borderId="19" xfId="0" applyBorder="1"/>
    <xf numFmtId="0" fontId="0" fillId="0" borderId="16" xfId="0" applyBorder="1"/>
    <xf numFmtId="9" fontId="0" fillId="0" borderId="0" xfId="0" applyNumberFormat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/>
    <xf numFmtId="9" fontId="0" fillId="0" borderId="22" xfId="1" applyFont="1" applyBorder="1" applyAlignment="1">
      <alignment horizontal="center" vertical="center"/>
    </xf>
    <xf numFmtId="9" fontId="0" fillId="0" borderId="12" xfId="1" applyFont="1" applyFill="1" applyBorder="1" applyAlignment="1">
      <alignment horizontal="center" vertical="center"/>
    </xf>
    <xf numFmtId="0" fontId="0" fillId="0" borderId="11" xfId="0" applyBorder="1"/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" fontId="0" fillId="0" borderId="0" xfId="0" quotePrefix="1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1A9F-C9C1-466A-B246-0C3C0DC4529A}">
  <dimension ref="A1:AE59"/>
  <sheetViews>
    <sheetView zoomScale="85" zoomScaleNormal="85" workbookViewId="0">
      <selection activeCell="J8" sqref="J8"/>
    </sheetView>
  </sheetViews>
  <sheetFormatPr defaultRowHeight="14.5" x14ac:dyDescent="0.35"/>
  <cols>
    <col min="1" max="1" width="8.453125" bestFit="1" customWidth="1"/>
    <col min="2" max="2" width="8.7265625" customWidth="1"/>
    <col min="6" max="6" width="9" bestFit="1" customWidth="1"/>
    <col min="7" max="7" width="9.36328125" bestFit="1" customWidth="1"/>
    <col min="11" max="11" width="3.81640625" bestFit="1" customWidth="1"/>
    <col min="12" max="12" width="6.26953125" bestFit="1" customWidth="1"/>
    <col min="13" max="14" width="7.81640625" bestFit="1" customWidth="1"/>
    <col min="15" max="15" width="11.6328125" bestFit="1" customWidth="1"/>
    <col min="16" max="16" width="12.1796875" bestFit="1" customWidth="1"/>
    <col min="17" max="17" width="11" bestFit="1" customWidth="1"/>
    <col min="18" max="18" width="12.1796875" bestFit="1" customWidth="1"/>
    <col min="19" max="19" width="6.7265625" bestFit="1" customWidth="1"/>
    <col min="21" max="21" width="5.36328125" bestFit="1" customWidth="1"/>
    <col min="22" max="22" width="3.81640625" bestFit="1" customWidth="1"/>
    <col min="23" max="23" width="6.26953125" bestFit="1" customWidth="1"/>
    <col min="24" max="24" width="8.453125" bestFit="1" customWidth="1"/>
    <col min="25" max="25" width="9.54296875" bestFit="1" customWidth="1"/>
    <col min="26" max="26" width="11.6328125" bestFit="1" customWidth="1"/>
    <col min="27" max="27" width="12.1796875" bestFit="1" customWidth="1"/>
    <col min="28" max="28" width="11" bestFit="1" customWidth="1"/>
    <col min="29" max="29" width="12.1796875" bestFit="1" customWidth="1"/>
    <col min="30" max="30" width="6.7265625" bestFit="1" customWidth="1"/>
    <col min="31" max="31" width="19" bestFit="1" customWidth="1"/>
  </cols>
  <sheetData>
    <row r="1" spans="1:31" ht="15" thickBot="1" x14ac:dyDescent="0.4">
      <c r="A1" s="4"/>
      <c r="B1" s="5" t="s">
        <v>0</v>
      </c>
      <c r="C1" s="2" t="s">
        <v>1</v>
      </c>
      <c r="D1" s="2" t="s">
        <v>2</v>
      </c>
      <c r="E1" s="2" t="s">
        <v>3</v>
      </c>
      <c r="F1" s="2" t="s">
        <v>14</v>
      </c>
      <c r="G1" s="2" t="s">
        <v>13</v>
      </c>
      <c r="H1" s="2" t="s">
        <v>9</v>
      </c>
      <c r="I1" s="3" t="s">
        <v>10</v>
      </c>
      <c r="K1" s="46" t="s">
        <v>22</v>
      </c>
      <c r="L1" s="47"/>
      <c r="M1" s="47"/>
      <c r="N1" s="47"/>
      <c r="O1" s="47"/>
      <c r="P1" s="47"/>
      <c r="Q1" s="47"/>
      <c r="R1" s="47"/>
      <c r="S1" s="48"/>
      <c r="V1" s="46" t="s">
        <v>46</v>
      </c>
      <c r="W1" s="47"/>
      <c r="X1" s="47"/>
      <c r="Y1" s="47"/>
      <c r="Z1" s="47"/>
      <c r="AA1" s="47"/>
      <c r="AB1" s="47"/>
      <c r="AC1" s="47"/>
      <c r="AD1" s="48"/>
    </row>
    <row r="2" spans="1:31" ht="15" thickBot="1" x14ac:dyDescent="0.4">
      <c r="A2" s="59" t="s">
        <v>7</v>
      </c>
      <c r="B2" s="15">
        <v>15</v>
      </c>
      <c r="C2">
        <v>320</v>
      </c>
      <c r="D2">
        <v>160</v>
      </c>
      <c r="E2">
        <v>640</v>
      </c>
      <c r="F2">
        <f>D2-C2</f>
        <v>-160</v>
      </c>
      <c r="G2">
        <f>E2-C2</f>
        <v>320</v>
      </c>
      <c r="H2">
        <f t="shared" ref="H2:H7" si="0">(D2-C2)/$C$23</f>
        <v>-2.6281640631416418E-2</v>
      </c>
      <c r="I2" s="1">
        <f t="shared" ref="I2:I7" si="1">(E2-C2)/$C$23</f>
        <v>5.2563281262832835E-2</v>
      </c>
      <c r="K2" s="26" t="s">
        <v>0</v>
      </c>
      <c r="L2" s="27" t="s">
        <v>1</v>
      </c>
      <c r="M2" s="27" t="s">
        <v>18</v>
      </c>
      <c r="N2" s="27" t="s">
        <v>19</v>
      </c>
      <c r="O2" s="27" t="s">
        <v>16</v>
      </c>
      <c r="P2" s="27" t="s">
        <v>11</v>
      </c>
      <c r="Q2" s="27" t="s">
        <v>12</v>
      </c>
      <c r="R2" s="27" t="s">
        <v>17</v>
      </c>
      <c r="S2" s="28" t="s">
        <v>15</v>
      </c>
      <c r="V2" s="45" t="s">
        <v>0</v>
      </c>
      <c r="W2" s="35" t="s">
        <v>1</v>
      </c>
      <c r="X2" s="35" t="s">
        <v>18</v>
      </c>
      <c r="Y2" s="35" t="s">
        <v>19</v>
      </c>
      <c r="Z2" s="35" t="s">
        <v>16</v>
      </c>
      <c r="AA2" s="35" t="s">
        <v>11</v>
      </c>
      <c r="AB2" s="35" t="s">
        <v>12</v>
      </c>
      <c r="AC2" s="35" t="s">
        <v>17</v>
      </c>
      <c r="AD2" s="36" t="s">
        <v>15</v>
      </c>
    </row>
    <row r="3" spans="1:31" x14ac:dyDescent="0.35">
      <c r="A3" s="57"/>
      <c r="B3" s="15">
        <v>16</v>
      </c>
      <c r="C3">
        <v>329</v>
      </c>
      <c r="D3">
        <v>164.5</v>
      </c>
      <c r="E3">
        <v>658</v>
      </c>
      <c r="F3">
        <f t="shared" ref="F3:F23" si="2">D3-C3</f>
        <v>-164.5</v>
      </c>
      <c r="G3">
        <f t="shared" ref="G3:G7" si="3">E3-C3</f>
        <v>329</v>
      </c>
      <c r="H3">
        <f t="shared" si="0"/>
        <v>-2.7020811774175004E-2</v>
      </c>
      <c r="I3" s="1">
        <f t="shared" si="1"/>
        <v>5.4041623548350008E-2</v>
      </c>
      <c r="K3" s="13">
        <v>16</v>
      </c>
      <c r="L3">
        <f>_xlfn.XLOOKUP(K3,$B$2:$B$21,$C$2:$C$21)</f>
        <v>329</v>
      </c>
      <c r="M3" s="23">
        <f>MIN($R$3,_xlfn.XLOOKUP(K3,$B$2:$B$21,$G$2:$G$21))</f>
        <v>304.39499999999998</v>
      </c>
      <c r="N3" s="23">
        <f>L3+M3</f>
        <v>633.39499999999998</v>
      </c>
      <c r="O3" s="23" t="b">
        <f>IF(EXACT(N3,_xlfn.XLOOKUP(K3,$B$2:$B$21,$E$2:$E$21)), TRUE, FALSE)</f>
        <v>0</v>
      </c>
      <c r="P3" s="11">
        <v>30</v>
      </c>
      <c r="Q3" s="12">
        <v>0.05</v>
      </c>
      <c r="R3" s="11">
        <f>Q3*$C$23</f>
        <v>304.39499999999998</v>
      </c>
      <c r="S3" s="25">
        <v>1</v>
      </c>
      <c r="T3" s="20"/>
      <c r="V3" s="14">
        <v>16</v>
      </c>
      <c r="W3" s="30">
        <f>_xlfn.XLOOKUP(V3,$B$2:$B$21,$C$2:$C$21)</f>
        <v>329</v>
      </c>
      <c r="X3" s="23">
        <f>MIN($AC$3,_xlfn.XLOOKUP(V3,$B$2:$B$21,$G$2:$G$21))</f>
        <v>329</v>
      </c>
      <c r="Y3" s="23">
        <f>W3+X3</f>
        <v>658</v>
      </c>
      <c r="Z3" s="23" t="b">
        <f>IF(EXACT(Y3,_xlfn.XLOOKUP(V3,$B$2:$B$21,$E$2:$E$21)), TRUE, FALSE)</f>
        <v>1</v>
      </c>
      <c r="AA3" s="16">
        <v>30</v>
      </c>
      <c r="AB3" s="17">
        <v>7.0000000000000007E-2</v>
      </c>
      <c r="AC3" s="16">
        <f>AB3*$C$23</f>
        <v>426.15300000000002</v>
      </c>
      <c r="AD3" s="18">
        <v>1</v>
      </c>
      <c r="AE3" t="s">
        <v>43</v>
      </c>
    </row>
    <row r="4" spans="1:31" x14ac:dyDescent="0.35">
      <c r="A4" s="57"/>
      <c r="B4" s="15">
        <v>20</v>
      </c>
      <c r="C4">
        <v>628</v>
      </c>
      <c r="D4">
        <v>314</v>
      </c>
      <c r="E4">
        <v>1256</v>
      </c>
      <c r="F4">
        <f t="shared" si="2"/>
        <v>-314</v>
      </c>
      <c r="G4">
        <f t="shared" si="3"/>
        <v>628</v>
      </c>
      <c r="H4">
        <f t="shared" si="0"/>
        <v>-5.1577719739154718E-2</v>
      </c>
      <c r="I4" s="1">
        <f t="shared" si="1"/>
        <v>0.10315543947830944</v>
      </c>
      <c r="K4" s="14">
        <v>16</v>
      </c>
      <c r="L4" s="30">
        <f t="shared" ref="L4:L18" si="4">_xlfn.XLOOKUP(K4,$B$2:$B$21,$C$2:$C$21)</f>
        <v>329</v>
      </c>
      <c r="M4" s="23">
        <f>MIN($R$4,_xlfn.XLOOKUP(K4,$B$2:$B$21,$G$2:$G$21))</f>
        <v>329</v>
      </c>
      <c r="N4" s="23">
        <f t="shared" ref="N4:N18" si="5">L4+M4</f>
        <v>658</v>
      </c>
      <c r="O4" s="23" t="b">
        <f>IF(EXACT(N4,_xlfn.XLOOKUP(K4,$B$2:$B$21,$E$2:$E$21)), TRUE, FALSE)</f>
        <v>1</v>
      </c>
      <c r="P4" s="49">
        <v>30</v>
      </c>
      <c r="Q4" s="53">
        <v>0.1</v>
      </c>
      <c r="R4" s="49">
        <f>Q4*$C$23</f>
        <v>608.79</v>
      </c>
      <c r="S4" s="51">
        <v>1</v>
      </c>
      <c r="V4" s="13">
        <v>24</v>
      </c>
      <c r="W4" s="22">
        <f>_xlfn.XLOOKUP(V4,$B$2:$B$21,$C$2:$C$21)</f>
        <v>308.60000000000002</v>
      </c>
      <c r="X4" s="22">
        <f>MIN($AC$3-X3,_xlfn.XLOOKUP(V4,$B$2:$B$21,$G$2:$G$21))</f>
        <v>97.15300000000002</v>
      </c>
      <c r="Y4" s="22">
        <f>W4+X4</f>
        <v>405.75300000000004</v>
      </c>
      <c r="Z4" s="22" t="b">
        <f>IF(EXACT(Y4,_xlfn.XLOOKUP(V4,$B$2:$B$21,$E$2:$E$21)), TRUE, FALSE)</f>
        <v>0</v>
      </c>
      <c r="AA4" s="11"/>
      <c r="AB4" s="12"/>
      <c r="AC4" s="11"/>
      <c r="AD4" s="19"/>
    </row>
    <row r="5" spans="1:31" x14ac:dyDescent="0.35">
      <c r="A5" s="57"/>
      <c r="B5" s="15">
        <v>21</v>
      </c>
      <c r="C5">
        <v>274</v>
      </c>
      <c r="D5">
        <v>137</v>
      </c>
      <c r="E5">
        <v>548</v>
      </c>
      <c r="F5">
        <f t="shared" si="2"/>
        <v>-137</v>
      </c>
      <c r="G5">
        <f t="shared" si="3"/>
        <v>274</v>
      </c>
      <c r="H5">
        <f t="shared" si="0"/>
        <v>-2.2503654790650307E-2</v>
      </c>
      <c r="I5" s="1">
        <f t="shared" si="1"/>
        <v>4.5007309581300614E-2</v>
      </c>
      <c r="K5" s="13">
        <v>24</v>
      </c>
      <c r="L5">
        <f t="shared" si="4"/>
        <v>308.60000000000002</v>
      </c>
      <c r="M5">
        <f>MIN($R$4-M4,_xlfn.XLOOKUP(K5,$B$2:$B$21,$G$2:$G$21))</f>
        <v>279.78999999999996</v>
      </c>
      <c r="N5" s="22">
        <f t="shared" si="5"/>
        <v>588.39</v>
      </c>
      <c r="O5" s="22" t="b">
        <f>IF(EXACT(N5,_xlfn.XLOOKUP(K5,$B$2:$B$21,$E$2:$E$21)), TRUE, FALSE)</f>
        <v>0</v>
      </c>
      <c r="P5" s="50"/>
      <c r="Q5" s="54"/>
      <c r="R5" s="50"/>
      <c r="S5" s="52"/>
      <c r="T5" s="20"/>
      <c r="V5" s="30">
        <v>3</v>
      </c>
      <c r="W5" s="30">
        <f t="shared" ref="W5:W12" si="6">_xlfn.XLOOKUP(V5,$B$2:$B$21,$C$2:$C$21)</f>
        <v>322</v>
      </c>
      <c r="X5" s="23">
        <f>MIN($AC$5,_xlfn.XLOOKUP(V5,$B$2:$B$21,$G$2:$G$21))</f>
        <v>322</v>
      </c>
      <c r="Y5">
        <f t="shared" ref="Y5:Y12" si="7">W5+X5</f>
        <v>644</v>
      </c>
      <c r="Z5" t="b">
        <f t="shared" ref="Z5:Z12" si="8">IF(EXACT(Y5,_xlfn.XLOOKUP(V5,$B$2:$B$21,$E$2:$E$21)), TRUE, FALSE)</f>
        <v>1</v>
      </c>
      <c r="AA5" s="21">
        <v>30</v>
      </c>
      <c r="AB5" s="32">
        <v>7.0000000000000007E-2</v>
      </c>
      <c r="AC5" s="16">
        <f t="shared" ref="AC5" si="9">AB5*$C$23</f>
        <v>426.15300000000002</v>
      </c>
      <c r="AD5" s="21">
        <v>2</v>
      </c>
      <c r="AE5" s="20" t="s">
        <v>44</v>
      </c>
    </row>
    <row r="6" spans="1:31" x14ac:dyDescent="0.35">
      <c r="A6" s="57"/>
      <c r="B6" s="15">
        <v>23</v>
      </c>
      <c r="C6">
        <v>247.5</v>
      </c>
      <c r="D6">
        <v>123.75</v>
      </c>
      <c r="E6">
        <v>495</v>
      </c>
      <c r="F6">
        <f t="shared" si="2"/>
        <v>-123.75</v>
      </c>
      <c r="G6">
        <f t="shared" si="3"/>
        <v>247.5</v>
      </c>
      <c r="H6">
        <f t="shared" si="0"/>
        <v>-2.0327206425861135E-2</v>
      </c>
      <c r="I6" s="1">
        <f t="shared" si="1"/>
        <v>4.065441285172227E-2</v>
      </c>
      <c r="K6" s="14">
        <v>16</v>
      </c>
      <c r="L6" s="30">
        <f t="shared" si="4"/>
        <v>329</v>
      </c>
      <c r="M6" s="23">
        <f>MIN($R$6,_xlfn.XLOOKUP(K6,$B$2:$B$21,$G$2:$G$21))</f>
        <v>329</v>
      </c>
      <c r="N6" s="23">
        <f t="shared" si="5"/>
        <v>658</v>
      </c>
      <c r="O6" s="23" t="b">
        <f t="shared" ref="O6:O18" si="10">IF(EXACT(N6,_xlfn.XLOOKUP(K6,$B$2:$B$21,$E$2:$E$21)), TRUE, FALSE)</f>
        <v>1</v>
      </c>
      <c r="P6" s="49">
        <v>30</v>
      </c>
      <c r="Q6" s="53">
        <v>0.1</v>
      </c>
      <c r="R6" s="49">
        <f>Q6*$C$23</f>
        <v>608.79</v>
      </c>
      <c r="S6" s="51" t="s">
        <v>20</v>
      </c>
      <c r="V6" s="24">
        <v>27</v>
      </c>
      <c r="W6" s="24">
        <f t="shared" si="6"/>
        <v>281</v>
      </c>
      <c r="X6" s="22">
        <f>MIN($AC$5-X5,_xlfn.XLOOKUP(V6,$B$2:$B$21,$G$2:$G$21))</f>
        <v>104.15300000000002</v>
      </c>
      <c r="Y6" s="22">
        <f t="shared" si="7"/>
        <v>385.15300000000002</v>
      </c>
      <c r="Z6" s="22" t="b">
        <f t="shared" si="8"/>
        <v>0</v>
      </c>
      <c r="AA6" s="11"/>
      <c r="AB6" s="11"/>
      <c r="AC6" s="11"/>
      <c r="AD6" s="11"/>
      <c r="AE6" s="20"/>
    </row>
    <row r="7" spans="1:31" ht="15" thickBot="1" x14ac:dyDescent="0.4">
      <c r="A7" s="57"/>
      <c r="B7" s="15">
        <v>24</v>
      </c>
      <c r="C7">
        <v>308.60000000000002</v>
      </c>
      <c r="D7">
        <v>154.30000000000001</v>
      </c>
      <c r="E7">
        <v>617.20000000000005</v>
      </c>
      <c r="F7">
        <f t="shared" si="2"/>
        <v>-154.30000000000001</v>
      </c>
      <c r="G7">
        <f t="shared" si="3"/>
        <v>308.60000000000002</v>
      </c>
      <c r="H7">
        <f t="shared" si="0"/>
        <v>-2.534535718392221E-2</v>
      </c>
      <c r="I7" s="1">
        <f t="shared" si="1"/>
        <v>5.0690714367844419E-2</v>
      </c>
      <c r="K7" s="13">
        <v>27</v>
      </c>
      <c r="L7">
        <f t="shared" si="4"/>
        <v>281</v>
      </c>
      <c r="M7">
        <f>MIN($R$6-M6,_xlfn.XLOOKUP(K7,$B$2:$B$21,$G$2:$G$21))</f>
        <v>279.78999999999996</v>
      </c>
      <c r="N7" s="22">
        <f t="shared" si="5"/>
        <v>560.79</v>
      </c>
      <c r="O7" t="b">
        <f t="shared" si="10"/>
        <v>0</v>
      </c>
      <c r="P7" s="50"/>
      <c r="Q7" s="54"/>
      <c r="R7" s="50"/>
      <c r="S7" s="52"/>
      <c r="V7" s="39">
        <v>4</v>
      </c>
      <c r="W7" s="39">
        <f t="shared" si="6"/>
        <v>500</v>
      </c>
      <c r="X7" s="29">
        <f>MIN($AC$7,_xlfn.XLOOKUP(V7,$B$2:$B$21,$G$2:$G$21))</f>
        <v>487.03199999999998</v>
      </c>
      <c r="Y7" s="29">
        <f t="shared" si="7"/>
        <v>987.03199999999993</v>
      </c>
      <c r="Z7" s="29" t="b">
        <f t="shared" si="8"/>
        <v>0</v>
      </c>
      <c r="AA7" s="37">
        <v>30</v>
      </c>
      <c r="AB7" s="40">
        <v>0.08</v>
      </c>
      <c r="AC7" s="37">
        <f>AB7*$C$23</f>
        <v>487.03199999999998</v>
      </c>
      <c r="AD7" s="38">
        <v>3</v>
      </c>
      <c r="AE7" t="s">
        <v>45</v>
      </c>
    </row>
    <row r="8" spans="1:31" ht="15" thickBot="1" x14ac:dyDescent="0.4">
      <c r="A8" s="58"/>
      <c r="B8" s="5" t="s">
        <v>4</v>
      </c>
      <c r="C8" s="2">
        <f>SUM(C2:C7)</f>
        <v>2107.1</v>
      </c>
      <c r="D8" s="2">
        <f t="shared" ref="D8:E8" si="11">SUM(D2:D7)</f>
        <v>1053.55</v>
      </c>
      <c r="E8" s="2">
        <f t="shared" si="11"/>
        <v>4214.2</v>
      </c>
      <c r="F8" s="2">
        <f>SUM(F2:F7)</f>
        <v>-1053.55</v>
      </c>
      <c r="G8" s="2">
        <f>SUM(G2:G7)</f>
        <v>2107.1</v>
      </c>
      <c r="H8" s="2">
        <f>SUM(H2:H7)</f>
        <v>-0.17305639054517979</v>
      </c>
      <c r="I8" s="3">
        <f>SUM(I2:I7)</f>
        <v>0.34611278109035959</v>
      </c>
      <c r="K8" s="14">
        <v>16</v>
      </c>
      <c r="L8" s="30">
        <f t="shared" si="4"/>
        <v>329</v>
      </c>
      <c r="M8" s="23">
        <f>MIN($R$8,_xlfn.XLOOKUP(K8,$B$2:$B$21,$G$2:$G$21))</f>
        <v>329</v>
      </c>
      <c r="N8" s="23">
        <f t="shared" si="5"/>
        <v>658</v>
      </c>
      <c r="O8" s="23" t="b">
        <f t="shared" si="10"/>
        <v>1</v>
      </c>
      <c r="P8" s="49">
        <v>30</v>
      </c>
      <c r="Q8" s="53">
        <v>0.2</v>
      </c>
      <c r="R8" s="49">
        <f>Q8*$C$23</f>
        <v>1217.58</v>
      </c>
      <c r="S8" s="51" t="s">
        <v>20</v>
      </c>
      <c r="T8" s="9"/>
      <c r="V8" s="30">
        <v>16</v>
      </c>
      <c r="W8" s="30">
        <f t="shared" si="6"/>
        <v>329</v>
      </c>
      <c r="X8" s="23">
        <f>MIN($AC$8,_xlfn.XLOOKUP(V8,$B$2:$B$21,$G$2:$G$21))</f>
        <v>329</v>
      </c>
      <c r="Y8" s="23">
        <f t="shared" si="7"/>
        <v>658</v>
      </c>
      <c r="Z8" s="23" t="b">
        <f t="shared" si="8"/>
        <v>1</v>
      </c>
      <c r="AA8" s="16">
        <v>30</v>
      </c>
      <c r="AB8" s="41">
        <v>0.13</v>
      </c>
      <c r="AC8" s="16">
        <f>AB8*$C$23</f>
        <v>791.42700000000002</v>
      </c>
      <c r="AD8" s="18" t="s">
        <v>20</v>
      </c>
      <c r="AE8" t="s">
        <v>29</v>
      </c>
    </row>
    <row r="9" spans="1:31" x14ac:dyDescent="0.35">
      <c r="A9" s="57" t="s">
        <v>5</v>
      </c>
      <c r="B9" s="15">
        <v>3</v>
      </c>
      <c r="C9">
        <v>322</v>
      </c>
      <c r="D9">
        <v>161</v>
      </c>
      <c r="E9">
        <v>644</v>
      </c>
      <c r="F9">
        <f t="shared" si="2"/>
        <v>-161</v>
      </c>
      <c r="G9">
        <f>E9-C9</f>
        <v>322</v>
      </c>
      <c r="H9">
        <f t="shared" ref="H9:H15" si="12">(D9-C9)/$C$23</f>
        <v>-2.6445900885362771E-2</v>
      </c>
      <c r="I9" s="1">
        <f t="shared" ref="I9:I15" si="13">(E9-C9)/$C$23</f>
        <v>5.2891801770725541E-2</v>
      </c>
      <c r="J9" s="15"/>
      <c r="K9" s="31">
        <v>24</v>
      </c>
      <c r="L9">
        <f t="shared" si="4"/>
        <v>308.60000000000002</v>
      </c>
      <c r="M9">
        <f>MIN($R$8-SUM($M$8:M8),_xlfn.XLOOKUP(K9,$B$2:$B$21,$G$2:$G$21))</f>
        <v>308.60000000000002</v>
      </c>
      <c r="N9">
        <f t="shared" si="5"/>
        <v>617.20000000000005</v>
      </c>
      <c r="O9" t="b">
        <f t="shared" si="10"/>
        <v>1</v>
      </c>
      <c r="P9" s="55"/>
      <c r="Q9" s="60"/>
      <c r="R9" s="55"/>
      <c r="S9" s="56"/>
      <c r="T9" s="9"/>
      <c r="V9" s="20">
        <v>27</v>
      </c>
      <c r="W9" s="20">
        <f t="shared" si="6"/>
        <v>281</v>
      </c>
      <c r="X9">
        <f>MIN($AC$8-X8,_xlfn.XLOOKUP(V9,$B$2:$B$21,$G$2:$G$21))</f>
        <v>281</v>
      </c>
      <c r="Y9">
        <f t="shared" si="7"/>
        <v>562</v>
      </c>
      <c r="Z9" t="b">
        <f t="shared" si="8"/>
        <v>1</v>
      </c>
      <c r="AD9" s="34"/>
    </row>
    <row r="10" spans="1:31" x14ac:dyDescent="0.35">
      <c r="A10" s="57"/>
      <c r="B10" s="15">
        <v>18</v>
      </c>
      <c r="C10">
        <v>158</v>
      </c>
      <c r="D10">
        <v>79</v>
      </c>
      <c r="E10">
        <v>316</v>
      </c>
      <c r="F10">
        <f t="shared" si="2"/>
        <v>-79</v>
      </c>
      <c r="G10">
        <f>E10-C10</f>
        <v>158</v>
      </c>
      <c r="H10">
        <f t="shared" si="12"/>
        <v>-1.2976560061761856E-2</v>
      </c>
      <c r="I10" s="1">
        <f t="shared" si="13"/>
        <v>2.5953120123523712E-2</v>
      </c>
      <c r="K10" s="31">
        <v>3</v>
      </c>
      <c r="L10">
        <f t="shared" si="4"/>
        <v>322</v>
      </c>
      <c r="M10">
        <f>MIN($R$8-SUM($M$8:M9),_xlfn.XLOOKUP(K10,$B$2:$B$21,$G$2:$G$21))</f>
        <v>322</v>
      </c>
      <c r="N10">
        <f t="shared" si="5"/>
        <v>644</v>
      </c>
      <c r="O10" t="b">
        <f t="shared" si="10"/>
        <v>1</v>
      </c>
      <c r="P10" s="55"/>
      <c r="Q10" s="60"/>
      <c r="R10" s="55"/>
      <c r="S10" s="56"/>
      <c r="T10" s="9"/>
      <c r="V10" s="24">
        <v>29</v>
      </c>
      <c r="W10" s="24">
        <f t="shared" si="6"/>
        <v>283.5</v>
      </c>
      <c r="X10" s="22">
        <f>MIN($AC$8-SUM($X$8:X9),_xlfn.XLOOKUP(V10,$B$2:$B$21,$G$2:$G$21))</f>
        <v>181.42700000000002</v>
      </c>
      <c r="Y10" s="22">
        <f t="shared" si="7"/>
        <v>464.92700000000002</v>
      </c>
      <c r="Z10" s="22" t="b">
        <f t="shared" si="8"/>
        <v>0</v>
      </c>
      <c r="AA10" s="22"/>
      <c r="AB10" s="22"/>
      <c r="AC10" s="22"/>
      <c r="AD10" s="42"/>
    </row>
    <row r="11" spans="1:31" x14ac:dyDescent="0.35">
      <c r="A11" s="57"/>
      <c r="B11" s="15">
        <v>25</v>
      </c>
      <c r="C11">
        <v>224</v>
      </c>
      <c r="D11">
        <v>112</v>
      </c>
      <c r="E11">
        <v>448</v>
      </c>
      <c r="F11">
        <f t="shared" si="2"/>
        <v>-112</v>
      </c>
      <c r="G11">
        <f t="shared" ref="G11:G23" si="14">E11-C11</f>
        <v>224</v>
      </c>
      <c r="H11">
        <f t="shared" si="12"/>
        <v>-1.8397148441991494E-2</v>
      </c>
      <c r="I11" s="1">
        <f t="shared" si="13"/>
        <v>3.6794296883982988E-2</v>
      </c>
      <c r="K11" s="31">
        <v>27</v>
      </c>
      <c r="L11">
        <f t="shared" si="4"/>
        <v>281</v>
      </c>
      <c r="M11">
        <f>MIN($R$8-SUM($M$8:M10),_xlfn.XLOOKUP(K11,$B$2:$B$21,$G$2:$G$21))</f>
        <v>257.9799999999999</v>
      </c>
      <c r="N11">
        <f t="shared" si="5"/>
        <v>538.9799999999999</v>
      </c>
      <c r="O11" t="b">
        <f t="shared" si="10"/>
        <v>0</v>
      </c>
      <c r="P11" s="55"/>
      <c r="Q11" s="60"/>
      <c r="R11" s="50"/>
      <c r="S11" s="56"/>
      <c r="T11" s="9"/>
      <c r="V11" s="30">
        <v>16</v>
      </c>
      <c r="W11" s="30">
        <f t="shared" si="6"/>
        <v>329</v>
      </c>
      <c r="X11" s="23">
        <f>MIN($AC$11,_xlfn.XLOOKUP(V11,$B$2:$B$21,$G$2:$G$21))</f>
        <v>329</v>
      </c>
      <c r="Y11" s="23">
        <f t="shared" si="7"/>
        <v>658</v>
      </c>
      <c r="Z11" s="23" t="b">
        <f t="shared" si="8"/>
        <v>1</v>
      </c>
      <c r="AA11" s="16">
        <v>30</v>
      </c>
      <c r="AB11" s="17">
        <v>0.15</v>
      </c>
      <c r="AC11" s="16">
        <f>AB11*$C$23</f>
        <v>913.18499999999995</v>
      </c>
      <c r="AD11" s="18" t="s">
        <v>30</v>
      </c>
      <c r="AE11" t="s">
        <v>31</v>
      </c>
    </row>
    <row r="12" spans="1:31" x14ac:dyDescent="0.35">
      <c r="A12" s="57"/>
      <c r="B12" s="15">
        <v>26</v>
      </c>
      <c r="C12">
        <v>139</v>
      </c>
      <c r="D12">
        <v>69.5</v>
      </c>
      <c r="E12">
        <v>278</v>
      </c>
      <c r="F12">
        <f t="shared" si="2"/>
        <v>-69.5</v>
      </c>
      <c r="G12">
        <f t="shared" si="14"/>
        <v>139</v>
      </c>
      <c r="H12">
        <f t="shared" si="12"/>
        <v>-1.1416087649271506E-2</v>
      </c>
      <c r="I12" s="1">
        <f t="shared" si="13"/>
        <v>2.2832175298543013E-2</v>
      </c>
      <c r="K12" s="14">
        <v>16</v>
      </c>
      <c r="L12" s="23">
        <f t="shared" si="4"/>
        <v>329</v>
      </c>
      <c r="M12" s="23">
        <f>MIN($R$12,_xlfn.XLOOKUP(K12,$B$2:$B$21,$G$2:$G$21))</f>
        <v>329</v>
      </c>
      <c r="N12" s="23">
        <f t="shared" si="5"/>
        <v>658</v>
      </c>
      <c r="O12" s="23" t="b">
        <f t="shared" si="10"/>
        <v>1</v>
      </c>
      <c r="P12" s="49">
        <v>30</v>
      </c>
      <c r="Q12" s="53">
        <v>0.5</v>
      </c>
      <c r="R12" s="49">
        <f t="shared" ref="R12" si="15">Q12*$C$23</f>
        <v>3043.95</v>
      </c>
      <c r="S12" s="51" t="s">
        <v>21</v>
      </c>
      <c r="V12" s="20">
        <v>4</v>
      </c>
      <c r="W12" s="20">
        <f t="shared" si="6"/>
        <v>500</v>
      </c>
      <c r="X12">
        <f>MIN($AC$11-X11,_xlfn.XLOOKUP(V12,$B$2:$B$21,$G$2:$G$21))</f>
        <v>500</v>
      </c>
      <c r="Y12">
        <f t="shared" si="7"/>
        <v>1000</v>
      </c>
      <c r="Z12" t="b">
        <f t="shared" si="8"/>
        <v>1</v>
      </c>
      <c r="AE12" s="20"/>
    </row>
    <row r="13" spans="1:31" x14ac:dyDescent="0.35">
      <c r="A13" s="57"/>
      <c r="B13" s="15">
        <v>27</v>
      </c>
      <c r="C13">
        <v>281</v>
      </c>
      <c r="D13">
        <v>140.5</v>
      </c>
      <c r="E13">
        <v>562</v>
      </c>
      <c r="F13">
        <f t="shared" si="2"/>
        <v>-140.5</v>
      </c>
      <c r="G13">
        <f t="shared" si="14"/>
        <v>281</v>
      </c>
      <c r="H13">
        <f t="shared" si="12"/>
        <v>-2.3078565679462541E-2</v>
      </c>
      <c r="I13" s="1">
        <f t="shared" si="13"/>
        <v>4.6157131358925081E-2</v>
      </c>
      <c r="K13" s="31">
        <v>24</v>
      </c>
      <c r="L13">
        <f t="shared" si="4"/>
        <v>308.60000000000002</v>
      </c>
      <c r="M13">
        <f>MIN($R$12-SUM($M$12:M12),_xlfn.XLOOKUP(K13,$B$2:$B$21,$G$2:$G$21))</f>
        <v>308.60000000000002</v>
      </c>
      <c r="N13">
        <f t="shared" si="5"/>
        <v>617.20000000000005</v>
      </c>
      <c r="O13" t="b">
        <f t="shared" si="10"/>
        <v>1</v>
      </c>
      <c r="P13" s="55"/>
      <c r="Q13" s="60"/>
      <c r="R13" s="55"/>
      <c r="S13" s="56"/>
      <c r="V13" s="24">
        <v>24</v>
      </c>
      <c r="W13" s="24">
        <f t="shared" ref="W13:W18" si="16">_xlfn.XLOOKUP(V13,$B$2:$B$21,$C$2:$C$21)</f>
        <v>308.60000000000002</v>
      </c>
      <c r="X13" s="22">
        <f>MIN($AC$11-SUM($X$11:X12),_xlfn.XLOOKUP(V13,$B$2:$B$21,$G$2:$G$21))</f>
        <v>84.184999999999945</v>
      </c>
      <c r="Y13" s="22">
        <f t="shared" ref="Y13:Y18" si="17">W13+X13</f>
        <v>392.78499999999997</v>
      </c>
      <c r="Z13" s="22" t="b">
        <f t="shared" ref="Z13:Z18" si="18">IF(EXACT(Y13,_xlfn.XLOOKUP(V13,$B$2:$B$21,$E$2:$E$21)), TRUE, FALSE)</f>
        <v>0</v>
      </c>
      <c r="AA13" s="22"/>
      <c r="AB13" s="22"/>
      <c r="AC13" s="22"/>
      <c r="AD13" s="42"/>
    </row>
    <row r="14" spans="1:31" x14ac:dyDescent="0.35">
      <c r="A14" s="57"/>
      <c r="B14" s="15">
        <v>28</v>
      </c>
      <c r="C14">
        <v>206</v>
      </c>
      <c r="D14">
        <v>103</v>
      </c>
      <c r="E14">
        <v>412</v>
      </c>
      <c r="F14">
        <f t="shared" si="2"/>
        <v>-103</v>
      </c>
      <c r="G14">
        <f t="shared" si="14"/>
        <v>206</v>
      </c>
      <c r="H14">
        <f t="shared" si="12"/>
        <v>-1.6918806156474318E-2</v>
      </c>
      <c r="I14" s="1">
        <f t="shared" si="13"/>
        <v>3.3837612312948635E-2</v>
      </c>
      <c r="K14" s="31">
        <v>3</v>
      </c>
      <c r="L14">
        <f t="shared" si="4"/>
        <v>322</v>
      </c>
      <c r="M14">
        <f>MIN($R$12-SUM($M$12:M13),_xlfn.XLOOKUP(K14,$B$2:$B$21,$G$2:$G$21))</f>
        <v>322</v>
      </c>
      <c r="N14">
        <f t="shared" si="5"/>
        <v>644</v>
      </c>
      <c r="O14" t="b">
        <f t="shared" si="10"/>
        <v>1</v>
      </c>
      <c r="P14" s="55"/>
      <c r="Q14" s="60"/>
      <c r="R14" s="55"/>
      <c r="S14" s="56"/>
      <c r="V14" s="30">
        <v>27</v>
      </c>
      <c r="W14" s="30">
        <f t="shared" si="16"/>
        <v>281</v>
      </c>
      <c r="X14" s="23">
        <f>MIN($AC$14,_xlfn.XLOOKUP(V14,$B$2:$B$21,$G$2:$G$21))</f>
        <v>281</v>
      </c>
      <c r="Y14" s="23">
        <f t="shared" si="17"/>
        <v>562</v>
      </c>
      <c r="Z14" s="23" t="b">
        <f t="shared" si="18"/>
        <v>1</v>
      </c>
      <c r="AA14" s="16">
        <v>30</v>
      </c>
      <c r="AB14" s="17">
        <v>0.1</v>
      </c>
      <c r="AC14" s="16">
        <f>AB14*$C$23</f>
        <v>608.79</v>
      </c>
      <c r="AD14" s="18" t="s">
        <v>33</v>
      </c>
      <c r="AE14" t="s">
        <v>32</v>
      </c>
    </row>
    <row r="15" spans="1:31" ht="15" thickBot="1" x14ac:dyDescent="0.4">
      <c r="A15" s="57"/>
      <c r="B15" s="15">
        <v>29</v>
      </c>
      <c r="C15">
        <v>283.5</v>
      </c>
      <c r="D15">
        <v>141.75</v>
      </c>
      <c r="E15">
        <v>567</v>
      </c>
      <c r="F15">
        <f t="shared" si="2"/>
        <v>-141.75</v>
      </c>
      <c r="G15">
        <f t="shared" si="14"/>
        <v>283.5</v>
      </c>
      <c r="H15">
        <f t="shared" si="12"/>
        <v>-2.3283890996895481E-2</v>
      </c>
      <c r="I15" s="1">
        <f t="shared" si="13"/>
        <v>4.6567781993790962E-2</v>
      </c>
      <c r="K15" s="31">
        <v>27</v>
      </c>
      <c r="L15">
        <f t="shared" si="4"/>
        <v>281</v>
      </c>
      <c r="M15">
        <f>MIN($R$12-SUM($M$12:M14),_xlfn.XLOOKUP(K15,$B$2:$B$21,$G$2:$G$21))</f>
        <v>281</v>
      </c>
      <c r="N15">
        <f t="shared" si="5"/>
        <v>562</v>
      </c>
      <c r="O15" t="b">
        <f t="shared" si="10"/>
        <v>1</v>
      </c>
      <c r="P15" s="55"/>
      <c r="Q15" s="60"/>
      <c r="R15" s="55"/>
      <c r="S15" s="56"/>
      <c r="V15" s="24">
        <v>4</v>
      </c>
      <c r="W15" s="24">
        <f t="shared" si="16"/>
        <v>500</v>
      </c>
      <c r="X15" s="22">
        <f>MIN($AC$14-X14,_xlfn.XLOOKUP(V15,$B$2:$B$21,$G$2:$G$21))</f>
        <v>327.78999999999996</v>
      </c>
      <c r="Y15" s="22">
        <f t="shared" si="17"/>
        <v>827.79</v>
      </c>
      <c r="Z15" s="22" t="b">
        <f t="shared" si="18"/>
        <v>0</v>
      </c>
      <c r="AA15" s="22"/>
      <c r="AB15" s="22"/>
      <c r="AC15" s="22"/>
      <c r="AD15" s="42"/>
    </row>
    <row r="16" spans="1:31" ht="15" thickBot="1" x14ac:dyDescent="0.4">
      <c r="A16" s="58"/>
      <c r="B16" s="5" t="s">
        <v>4</v>
      </c>
      <c r="C16" s="2">
        <f>SUM(C9:C15)</f>
        <v>1613.5</v>
      </c>
      <c r="D16" s="2">
        <f t="shared" ref="D16:E16" si="19">SUM(D9:D15)</f>
        <v>806.75</v>
      </c>
      <c r="E16" s="2">
        <f t="shared" si="19"/>
        <v>3227</v>
      </c>
      <c r="F16" s="2">
        <f t="shared" ref="F16" si="20">SUM(F9:F15)</f>
        <v>-806.75</v>
      </c>
      <c r="G16" s="2">
        <f t="shared" ref="G16" si="21">SUM(G9:G15)</f>
        <v>1613.5</v>
      </c>
      <c r="H16" s="2">
        <f t="shared" ref="H16" si="22">SUM(H9:H15)</f>
        <v>-0.13251695987121995</v>
      </c>
      <c r="I16" s="3">
        <f t="shared" ref="I16" si="23">SUM(I9:I15)</f>
        <v>0.26503391974243989</v>
      </c>
      <c r="K16" s="31">
        <v>4</v>
      </c>
      <c r="L16">
        <f t="shared" si="4"/>
        <v>500</v>
      </c>
      <c r="M16">
        <f>MIN($R$12-SUM($M$12:M15),_xlfn.XLOOKUP(K16,$B$2:$B$21,$G$2:$G$21))</f>
        <v>500</v>
      </c>
      <c r="N16">
        <f t="shared" si="5"/>
        <v>1000</v>
      </c>
      <c r="O16" t="b">
        <f t="shared" si="10"/>
        <v>1</v>
      </c>
      <c r="P16" s="55"/>
      <c r="Q16" s="60"/>
      <c r="R16" s="55"/>
      <c r="S16" s="56"/>
      <c r="V16" s="30">
        <v>16</v>
      </c>
      <c r="W16" s="30">
        <f t="shared" si="16"/>
        <v>329</v>
      </c>
      <c r="X16" s="23">
        <f>MIN($AC$16,_xlfn.XLOOKUP(V16,$B$2:$B$21,$G$2:$G$21))</f>
        <v>329</v>
      </c>
      <c r="Y16" s="23">
        <f t="shared" si="17"/>
        <v>658</v>
      </c>
      <c r="Z16" s="23" t="b">
        <f t="shared" si="18"/>
        <v>1</v>
      </c>
      <c r="AA16" s="16">
        <v>30</v>
      </c>
      <c r="AB16" s="17">
        <v>0.16</v>
      </c>
      <c r="AC16" s="16">
        <f>AB16*$C$23</f>
        <v>974.06399999999996</v>
      </c>
      <c r="AD16" s="18" t="s">
        <v>34</v>
      </c>
      <c r="AE16" t="s">
        <v>35</v>
      </c>
    </row>
    <row r="17" spans="1:31" x14ac:dyDescent="0.35">
      <c r="A17" s="59" t="s">
        <v>6</v>
      </c>
      <c r="B17" s="15">
        <v>4</v>
      </c>
      <c r="C17">
        <v>500</v>
      </c>
      <c r="D17">
        <v>250</v>
      </c>
      <c r="E17">
        <v>1000</v>
      </c>
      <c r="F17">
        <f t="shared" si="2"/>
        <v>-250</v>
      </c>
      <c r="G17">
        <f>E17-C17</f>
        <v>500</v>
      </c>
      <c r="H17">
        <f>(D17-C17)/$C$23</f>
        <v>-4.1065063486588151E-2</v>
      </c>
      <c r="I17" s="1">
        <f>(E17-C17)/$C$23</f>
        <v>8.2130126973176301E-2</v>
      </c>
      <c r="K17" s="31">
        <v>7</v>
      </c>
      <c r="L17">
        <f t="shared" si="4"/>
        <v>233.8</v>
      </c>
      <c r="M17">
        <f>MIN($R$12-SUM($M$12:M16),_xlfn.XLOOKUP(K17,$B$2:$B$21,$G$2:$G$21))</f>
        <v>233.8</v>
      </c>
      <c r="N17">
        <f t="shared" si="5"/>
        <v>467.6</v>
      </c>
      <c r="O17" t="b">
        <f t="shared" si="10"/>
        <v>1</v>
      </c>
      <c r="P17" s="55"/>
      <c r="Q17" s="60"/>
      <c r="R17" s="55"/>
      <c r="S17" s="56"/>
      <c r="V17" s="20">
        <v>27</v>
      </c>
      <c r="W17" s="20">
        <f t="shared" si="16"/>
        <v>281</v>
      </c>
      <c r="X17">
        <f>MIN($AC$16-X16,_xlfn.XLOOKUP(V17,$B$2:$B$21,$G$2:$G$21))</f>
        <v>281</v>
      </c>
      <c r="Y17">
        <f t="shared" si="17"/>
        <v>562</v>
      </c>
      <c r="Z17" t="b">
        <f t="shared" si="18"/>
        <v>1</v>
      </c>
      <c r="AA17" s="21"/>
      <c r="AB17" s="21"/>
      <c r="AC17" s="21"/>
      <c r="AD17" s="33"/>
    </row>
    <row r="18" spans="1:31" x14ac:dyDescent="0.35">
      <c r="A18" s="57"/>
      <c r="B18" s="15">
        <v>7</v>
      </c>
      <c r="C18">
        <v>233.8</v>
      </c>
      <c r="D18">
        <v>116.9</v>
      </c>
      <c r="E18">
        <v>467.6</v>
      </c>
      <c r="F18">
        <f t="shared" si="2"/>
        <v>-116.9</v>
      </c>
      <c r="G18">
        <f t="shared" si="14"/>
        <v>233.8</v>
      </c>
      <c r="H18">
        <f>(D18-C18)/$C$23</f>
        <v>-1.9202023686328621E-2</v>
      </c>
      <c r="I18" s="1">
        <f>(E18-C18)/$C$23</f>
        <v>3.8404047372657242E-2</v>
      </c>
      <c r="K18" s="13">
        <v>39</v>
      </c>
      <c r="L18" s="22">
        <f t="shared" si="4"/>
        <v>1104</v>
      </c>
      <c r="M18" s="22">
        <f>MIN($R$12-SUM($M$12:M17),_xlfn.XLOOKUP(K18,$B$2:$B$21,$G$2:$G$21))</f>
        <v>1069.55</v>
      </c>
      <c r="N18">
        <f t="shared" si="5"/>
        <v>2173.5500000000002</v>
      </c>
      <c r="O18" s="22" t="b">
        <f t="shared" si="10"/>
        <v>0</v>
      </c>
      <c r="P18" s="50"/>
      <c r="Q18" s="54"/>
      <c r="R18" s="50"/>
      <c r="S18" s="52"/>
      <c r="V18" s="24">
        <v>39</v>
      </c>
      <c r="W18" s="24">
        <f t="shared" si="16"/>
        <v>1104</v>
      </c>
      <c r="X18" s="22">
        <f>MIN($AC$16-SUM($X$16:X17),_xlfn.XLOOKUP(V18,$B$2:$B$21,$G$2:$G$21))</f>
        <v>364.06399999999996</v>
      </c>
      <c r="Y18" s="22">
        <f t="shared" si="17"/>
        <v>1468.0639999999999</v>
      </c>
      <c r="Z18" s="22" t="b">
        <f t="shared" si="18"/>
        <v>0</v>
      </c>
      <c r="AA18" s="11"/>
      <c r="AB18" s="11"/>
      <c r="AC18" s="11"/>
      <c r="AD18" s="19"/>
    </row>
    <row r="19" spans="1:31" ht="15" thickBot="1" x14ac:dyDescent="0.4">
      <c r="A19" s="57"/>
      <c r="B19" s="15">
        <v>8</v>
      </c>
      <c r="C19">
        <v>522</v>
      </c>
      <c r="D19">
        <v>261</v>
      </c>
      <c r="E19">
        <v>1044</v>
      </c>
      <c r="F19">
        <f t="shared" si="2"/>
        <v>-261</v>
      </c>
      <c r="G19">
        <f t="shared" si="14"/>
        <v>522</v>
      </c>
      <c r="H19">
        <f>(D19-C19)/$C$23</f>
        <v>-4.2871926279998029E-2</v>
      </c>
      <c r="I19" s="1">
        <f>(E19-C19)/$C$23</f>
        <v>8.5743852559996059E-2</v>
      </c>
      <c r="N19" s="29"/>
    </row>
    <row r="20" spans="1:31" ht="15" thickBot="1" x14ac:dyDescent="0.4">
      <c r="A20" s="57"/>
      <c r="B20" s="15">
        <v>12</v>
      </c>
      <c r="C20">
        <v>7.5</v>
      </c>
      <c r="D20">
        <v>3.75</v>
      </c>
      <c r="E20">
        <v>15</v>
      </c>
      <c r="F20">
        <f t="shared" si="2"/>
        <v>-3.75</v>
      </c>
      <c r="G20">
        <f t="shared" si="14"/>
        <v>7.5</v>
      </c>
      <c r="H20">
        <f>(D20-C20)/$C$23</f>
        <v>-6.1597595229882232E-4</v>
      </c>
      <c r="I20" s="1">
        <f>(E20-C20)/$C$23</f>
        <v>1.2319519045976446E-3</v>
      </c>
      <c r="K20" s="30">
        <v>16</v>
      </c>
      <c r="L20" s="23">
        <f>_xlfn.XLOOKUP(K20,$B$2:$B$21,$C$2:$C$21)</f>
        <v>329</v>
      </c>
      <c r="M20" s="23">
        <f>MAX($R$20,_xlfn.XLOOKUP(K20,$B$2:$B$21,$F$2:$F$21))</f>
        <v>-164.5</v>
      </c>
      <c r="N20" s="23">
        <f>L20+M20</f>
        <v>164.5</v>
      </c>
      <c r="O20" s="23" t="b">
        <f>IF(EXACT(N20,_xlfn.XLOOKUP(K20,$B$2:$B$21,$D$2:$D$21)), TRUE, FALSE)</f>
        <v>1</v>
      </c>
      <c r="P20" s="49">
        <v>30</v>
      </c>
      <c r="Q20" s="53">
        <v>-0.05</v>
      </c>
      <c r="R20" s="49">
        <f>Q20*$C$23</f>
        <v>-304.39499999999998</v>
      </c>
      <c r="S20" s="51">
        <v>1</v>
      </c>
      <c r="V20" s="46" t="s">
        <v>23</v>
      </c>
      <c r="W20" s="47"/>
      <c r="X20" s="47"/>
      <c r="Y20" s="47"/>
      <c r="Z20" s="47"/>
      <c r="AA20" s="47"/>
      <c r="AB20" s="47"/>
      <c r="AC20" s="47"/>
      <c r="AD20" s="48"/>
    </row>
    <row r="21" spans="1:31" ht="15" thickBot="1" x14ac:dyDescent="0.4">
      <c r="A21" s="57"/>
      <c r="B21" s="15">
        <v>39</v>
      </c>
      <c r="C21">
        <v>1104</v>
      </c>
      <c r="D21">
        <v>552</v>
      </c>
      <c r="E21">
        <v>2208</v>
      </c>
      <c r="F21">
        <f t="shared" si="2"/>
        <v>-552</v>
      </c>
      <c r="G21">
        <f t="shared" si="14"/>
        <v>1104</v>
      </c>
      <c r="H21">
        <f>(D21-C21)/$C$23</f>
        <v>-9.067166017838664E-2</v>
      </c>
      <c r="I21" s="1">
        <f>(E21-C21)/$C$23</f>
        <v>0.18134332035677328</v>
      </c>
      <c r="K21" s="24">
        <v>24</v>
      </c>
      <c r="L21" s="22">
        <f t="shared" ref="L21:L55" si="24">_xlfn.XLOOKUP(K21,$B$2:$B$21,$C$2:$C$21)</f>
        <v>308.60000000000002</v>
      </c>
      <c r="M21" s="22">
        <f>MAX($R$20-M20,_xlfn.XLOOKUP(K21,$B$2:$B$21,$F$2:$F$21))</f>
        <v>-139.89499999999998</v>
      </c>
      <c r="N21" s="22">
        <f>L21+M21</f>
        <v>168.70500000000004</v>
      </c>
      <c r="O21" s="22" t="b">
        <f t="shared" ref="O21:O55" si="25">IF(EXACT(N21,_xlfn.XLOOKUP(K21,$B$2:$B$21,$D$2:$D$21)), TRUE, FALSE)</f>
        <v>0</v>
      </c>
      <c r="P21" s="50"/>
      <c r="Q21" s="54"/>
      <c r="R21" s="50"/>
      <c r="S21" s="52"/>
      <c r="U21" s="21" t="s">
        <v>26</v>
      </c>
      <c r="V21" s="44" t="s">
        <v>0</v>
      </c>
      <c r="W21" s="11" t="s">
        <v>1</v>
      </c>
      <c r="X21" s="11" t="s">
        <v>18</v>
      </c>
      <c r="Y21" s="11" t="s">
        <v>19</v>
      </c>
      <c r="Z21" s="11" t="s">
        <v>16</v>
      </c>
      <c r="AA21" s="11" t="s">
        <v>11</v>
      </c>
      <c r="AB21" s="11" t="s">
        <v>12</v>
      </c>
      <c r="AC21" s="11" t="s">
        <v>17</v>
      </c>
      <c r="AD21" s="19" t="s">
        <v>15</v>
      </c>
    </row>
    <row r="22" spans="1:31" ht="15" thickBot="1" x14ac:dyDescent="0.4">
      <c r="A22" s="58"/>
      <c r="B22" s="5" t="s">
        <v>4</v>
      </c>
      <c r="C22" s="2">
        <f>SUM(C17:C21)</f>
        <v>2367.3000000000002</v>
      </c>
      <c r="D22" s="2">
        <f t="shared" ref="D22:E22" si="26">SUM(D17:D21)</f>
        <v>1183.6500000000001</v>
      </c>
      <c r="E22" s="2">
        <f t="shared" si="26"/>
        <v>4734.6000000000004</v>
      </c>
      <c r="F22" s="2">
        <f t="shared" ref="F22" si="27">SUM(F17:F21)</f>
        <v>-1183.6500000000001</v>
      </c>
      <c r="G22" s="2">
        <f t="shared" ref="G22" si="28">SUM(G17:G21)</f>
        <v>2367.3000000000002</v>
      </c>
      <c r="H22" s="2">
        <f t="shared" ref="H22" si="29">SUM(H17:H21)</f>
        <v>-0.19442664958360029</v>
      </c>
      <c r="I22" s="3">
        <f t="shared" ref="I22" si="30">SUM(I17:I21)</f>
        <v>0.38885329916720057</v>
      </c>
      <c r="K22" s="30">
        <v>15</v>
      </c>
      <c r="L22" s="23">
        <f t="shared" si="24"/>
        <v>320</v>
      </c>
      <c r="M22" s="23">
        <f>MAX($R$22,_xlfn.XLOOKUP(K22,$B$2:$B$21,$F$2:$F$21))</f>
        <v>-160</v>
      </c>
      <c r="N22" s="23">
        <f t="shared" ref="N22:N55" si="31">L22+M22</f>
        <v>160</v>
      </c>
      <c r="O22" s="23" t="b">
        <f t="shared" si="25"/>
        <v>1</v>
      </c>
      <c r="P22" s="49">
        <v>30</v>
      </c>
      <c r="Q22" s="53">
        <v>-0.1</v>
      </c>
      <c r="R22" s="49">
        <f>Q22*$C$23</f>
        <v>-608.79</v>
      </c>
      <c r="S22" s="51">
        <v>1</v>
      </c>
      <c r="U22" t="s">
        <v>27</v>
      </c>
      <c r="V22" s="31">
        <v>16</v>
      </c>
      <c r="W22">
        <f t="shared" ref="W22:W59" si="32">_xlfn.XLOOKUP(V22,$B$2:$B$21,$C$2:$C$21)</f>
        <v>329</v>
      </c>
      <c r="X22">
        <f>MIN($AC$22,_xlfn.XLOOKUP(V22,$B$2:$B$21,$G$2:$G$21))</f>
        <v>304.39499999999998</v>
      </c>
      <c r="Y22">
        <f t="shared" ref="Y22:Y59" si="33">W22+X22</f>
        <v>633.39499999999998</v>
      </c>
      <c r="Z22" t="b">
        <f t="shared" ref="Z22:Z59" si="34">IF(EXACT(Y22,_xlfn.XLOOKUP(V22,$B$2:$B$21,$E$2:$E$21)), TRUE, FALSE)</f>
        <v>0</v>
      </c>
      <c r="AA22" s="21">
        <v>30</v>
      </c>
      <c r="AB22" s="32">
        <v>0.05</v>
      </c>
      <c r="AC22" s="21">
        <f>AB22*$C$23</f>
        <v>304.39499999999998</v>
      </c>
      <c r="AD22" s="33">
        <v>1</v>
      </c>
      <c r="AE22" t="s">
        <v>36</v>
      </c>
    </row>
    <row r="23" spans="1:31" ht="15" thickBot="1" x14ac:dyDescent="0.4">
      <c r="A23" s="6"/>
      <c r="B23" s="10" t="s">
        <v>8</v>
      </c>
      <c r="C23" s="7">
        <f>SUM(C8,C16,C22)</f>
        <v>6087.9</v>
      </c>
      <c r="D23" s="7">
        <f>SUM(D8,D16,D22)</f>
        <v>3043.95</v>
      </c>
      <c r="E23" s="7">
        <f>SUM(E8,E16,E22)</f>
        <v>12175.8</v>
      </c>
      <c r="F23" s="7">
        <f t="shared" si="2"/>
        <v>-3043.95</v>
      </c>
      <c r="G23" s="7">
        <f t="shared" si="14"/>
        <v>6087.9</v>
      </c>
      <c r="H23" s="7">
        <f>D23/C23</f>
        <v>0.5</v>
      </c>
      <c r="I23" s="8">
        <f>E23/C23</f>
        <v>2</v>
      </c>
      <c r="K23" s="20">
        <v>16</v>
      </c>
      <c r="L23">
        <f t="shared" si="24"/>
        <v>329</v>
      </c>
      <c r="M23">
        <f>MAX($R$22-SUM($M$22:M22),_xlfn.XLOOKUP(K23,$B$2:$B$21,$F$2:$F$21))</f>
        <v>-164.5</v>
      </c>
      <c r="N23">
        <f t="shared" si="31"/>
        <v>164.5</v>
      </c>
      <c r="O23" t="b">
        <f t="shared" si="25"/>
        <v>1</v>
      </c>
      <c r="P23" s="55"/>
      <c r="Q23" s="60"/>
      <c r="R23" s="55"/>
      <c r="S23" s="56"/>
      <c r="U23" t="s">
        <v>24</v>
      </c>
      <c r="V23" s="31">
        <v>16</v>
      </c>
      <c r="W23">
        <f t="shared" si="32"/>
        <v>329</v>
      </c>
      <c r="X23">
        <f>MIN($AC$23,_xlfn.XLOOKUP(V23,$B$2:$B$21,$G$2:$G$21))</f>
        <v>329</v>
      </c>
      <c r="Y23">
        <f t="shared" si="33"/>
        <v>658</v>
      </c>
      <c r="Z23" t="b">
        <f t="shared" si="34"/>
        <v>1</v>
      </c>
      <c r="AA23" s="21">
        <v>150</v>
      </c>
      <c r="AB23" s="32">
        <v>7.0000000000000007E-2</v>
      </c>
      <c r="AC23" s="21">
        <f>AB23*$C$23</f>
        <v>426.15300000000002</v>
      </c>
      <c r="AD23" s="33"/>
    </row>
    <row r="24" spans="1:31" x14ac:dyDescent="0.35">
      <c r="K24" s="24">
        <v>20</v>
      </c>
      <c r="L24" s="22">
        <f t="shared" si="24"/>
        <v>628</v>
      </c>
      <c r="M24" s="22">
        <f>MAX($R$22-SUM($M$22:M23),_xlfn.XLOOKUP(K24,$B$2:$B$21,$F$2:$F$21))</f>
        <v>-284.28999999999996</v>
      </c>
      <c r="N24" s="22">
        <f t="shared" si="31"/>
        <v>343.71000000000004</v>
      </c>
      <c r="O24" s="22" t="b">
        <f t="shared" si="25"/>
        <v>0</v>
      </c>
      <c r="P24" s="50"/>
      <c r="Q24" s="54"/>
      <c r="R24" s="50"/>
      <c r="S24" s="52"/>
      <c r="U24" t="s">
        <v>25</v>
      </c>
      <c r="V24" s="13">
        <v>24</v>
      </c>
      <c r="W24" s="22">
        <f t="shared" si="32"/>
        <v>308.60000000000002</v>
      </c>
      <c r="X24" s="22">
        <f>MIN($AC$23-X23,_xlfn.XLOOKUP(V24,$B$2:$B$21,$G$2:$G$21))</f>
        <v>97.15300000000002</v>
      </c>
      <c r="Y24" s="22">
        <f t="shared" si="33"/>
        <v>405.75300000000004</v>
      </c>
      <c r="Z24" s="22" t="b">
        <f t="shared" si="34"/>
        <v>0</v>
      </c>
      <c r="AA24" s="11"/>
      <c r="AB24" s="12"/>
      <c r="AC24" s="11"/>
      <c r="AD24" s="19"/>
    </row>
    <row r="25" spans="1:31" x14ac:dyDescent="0.35">
      <c r="K25" s="30">
        <v>16</v>
      </c>
      <c r="L25" s="23">
        <f t="shared" si="24"/>
        <v>329</v>
      </c>
      <c r="M25" s="23">
        <f>MAX($R$25,_xlfn.XLOOKUP(K25,$B$2:$B$21,$F$2:$F$21))</f>
        <v>-164.5</v>
      </c>
      <c r="N25" s="23">
        <f t="shared" si="31"/>
        <v>164.5</v>
      </c>
      <c r="O25" s="23" t="b">
        <f t="shared" si="25"/>
        <v>1</v>
      </c>
      <c r="P25" s="49">
        <v>30</v>
      </c>
      <c r="Q25" s="53">
        <v>-0.1</v>
      </c>
      <c r="R25" s="49">
        <f>Q25*$C$23</f>
        <v>-608.79</v>
      </c>
      <c r="S25" s="51" t="s">
        <v>20</v>
      </c>
      <c r="U25" t="s">
        <v>27</v>
      </c>
      <c r="V25" s="31">
        <v>3</v>
      </c>
      <c r="W25">
        <f t="shared" si="32"/>
        <v>322</v>
      </c>
      <c r="X25">
        <f>MIN($AC$25,_xlfn.XLOOKUP(V25,$B$2:$B$21,$G$2:$G$21))</f>
        <v>304.39499999999998</v>
      </c>
      <c r="Y25">
        <f t="shared" si="33"/>
        <v>626.39499999999998</v>
      </c>
      <c r="Z25" t="b">
        <f t="shared" si="34"/>
        <v>0</v>
      </c>
      <c r="AA25" s="21">
        <v>30</v>
      </c>
      <c r="AB25" s="32">
        <v>0.05</v>
      </c>
      <c r="AC25" s="21">
        <f>AB25*$C$23</f>
        <v>304.39499999999998</v>
      </c>
      <c r="AD25" s="33">
        <v>2</v>
      </c>
      <c r="AE25" t="s">
        <v>37</v>
      </c>
    </row>
    <row r="26" spans="1:31" x14ac:dyDescent="0.35">
      <c r="K26" s="20">
        <v>24</v>
      </c>
      <c r="L26">
        <f t="shared" si="24"/>
        <v>308.60000000000002</v>
      </c>
      <c r="M26">
        <f>MAX($R$25-SUM($M$25:M25),_xlfn.XLOOKUP(K26,$B$2:$B$21,$F$2:$F$21))</f>
        <v>-154.30000000000001</v>
      </c>
      <c r="N26">
        <f t="shared" si="31"/>
        <v>154.30000000000001</v>
      </c>
      <c r="O26" t="b">
        <f t="shared" si="25"/>
        <v>1</v>
      </c>
      <c r="P26" s="55"/>
      <c r="Q26" s="60"/>
      <c r="R26" s="55"/>
      <c r="S26" s="56"/>
      <c r="U26" t="s">
        <v>24</v>
      </c>
      <c r="V26" s="31">
        <v>3</v>
      </c>
      <c r="W26">
        <f t="shared" si="32"/>
        <v>322</v>
      </c>
      <c r="X26">
        <f>MIN($AC$26,_xlfn.XLOOKUP(V26,$B$2:$B$21,$G$2:$G$21))</f>
        <v>322</v>
      </c>
      <c r="Y26">
        <f t="shared" si="33"/>
        <v>644</v>
      </c>
      <c r="Z26" t="b">
        <f t="shared" si="34"/>
        <v>1</v>
      </c>
      <c r="AA26" s="21">
        <v>150</v>
      </c>
      <c r="AB26" s="32">
        <v>7.0000000000000007E-2</v>
      </c>
      <c r="AC26" s="21">
        <f>AB26*$C$23</f>
        <v>426.15300000000002</v>
      </c>
      <c r="AD26" s="33"/>
    </row>
    <row r="27" spans="1:31" x14ac:dyDescent="0.35">
      <c r="K27" s="20">
        <v>3</v>
      </c>
      <c r="L27">
        <f t="shared" si="24"/>
        <v>322</v>
      </c>
      <c r="M27">
        <f>MAX($R$25-SUM($M$25:M26),_xlfn.XLOOKUP(K27,$B$2:$B$21,$F$2:$F$21))</f>
        <v>-161</v>
      </c>
      <c r="N27">
        <f t="shared" si="31"/>
        <v>161</v>
      </c>
      <c r="O27" t="b">
        <f t="shared" si="25"/>
        <v>1</v>
      </c>
      <c r="P27" s="55"/>
      <c r="Q27" s="60"/>
      <c r="R27" s="55"/>
      <c r="S27" s="56"/>
      <c r="U27" t="s">
        <v>25</v>
      </c>
      <c r="V27" s="13">
        <v>27</v>
      </c>
      <c r="W27" s="22">
        <f t="shared" si="32"/>
        <v>281</v>
      </c>
      <c r="X27" s="22">
        <f>MIN($AC$26-X26,_xlfn.XLOOKUP(V27,$B$2:$B$21,$G$2:$G$21))</f>
        <v>104.15300000000002</v>
      </c>
      <c r="Y27" s="22">
        <f t="shared" si="33"/>
        <v>385.15300000000002</v>
      </c>
      <c r="Z27" s="22" t="b">
        <f t="shared" si="34"/>
        <v>0</v>
      </c>
      <c r="AA27" s="11"/>
      <c r="AB27" s="12"/>
      <c r="AC27" s="11"/>
      <c r="AD27" s="19"/>
    </row>
    <row r="28" spans="1:31" x14ac:dyDescent="0.35">
      <c r="K28" s="24">
        <v>27</v>
      </c>
      <c r="L28" s="22">
        <f t="shared" si="24"/>
        <v>281</v>
      </c>
      <c r="M28" s="22">
        <f>MAX($R$25-SUM($M$25:M27),_xlfn.XLOOKUP(K28,$B$2:$B$21,$F$2:$F$21))</f>
        <v>-128.98999999999995</v>
      </c>
      <c r="N28" s="22">
        <f t="shared" si="31"/>
        <v>152.01000000000005</v>
      </c>
      <c r="O28" s="22" t="b">
        <f t="shared" si="25"/>
        <v>0</v>
      </c>
      <c r="P28" s="50"/>
      <c r="Q28" s="54"/>
      <c r="R28" s="50"/>
      <c r="S28" s="52"/>
      <c r="U28" t="s">
        <v>27</v>
      </c>
      <c r="V28" s="43">
        <v>4</v>
      </c>
      <c r="W28" s="16">
        <f t="shared" si="32"/>
        <v>500</v>
      </c>
      <c r="X28" s="16">
        <f>MIN($AC$28,_xlfn.XLOOKUP(V28,$B$2:$B$21,$G$2:$G$21))</f>
        <v>304.39499999999998</v>
      </c>
      <c r="Y28" s="16">
        <f t="shared" si="33"/>
        <v>804.39499999999998</v>
      </c>
      <c r="Z28" s="16" t="b">
        <f t="shared" si="34"/>
        <v>0</v>
      </c>
      <c r="AA28" s="16">
        <v>30</v>
      </c>
      <c r="AB28" s="17">
        <v>0.05</v>
      </c>
      <c r="AC28" s="16">
        <f>AB28*$C$23</f>
        <v>304.39499999999998</v>
      </c>
      <c r="AD28" s="18">
        <v>3</v>
      </c>
      <c r="AE28" t="s">
        <v>38</v>
      </c>
    </row>
    <row r="29" spans="1:31" x14ac:dyDescent="0.35">
      <c r="K29" s="30">
        <v>15</v>
      </c>
      <c r="L29" s="23">
        <f t="shared" si="24"/>
        <v>320</v>
      </c>
      <c r="M29" s="23">
        <f>MAX($R$29,_xlfn.XLOOKUP(K29,$B$2:$B$21,$F$2:$F$21))</f>
        <v>-160</v>
      </c>
      <c r="N29" s="23">
        <f t="shared" si="31"/>
        <v>160</v>
      </c>
      <c r="O29" s="23" t="b">
        <f t="shared" si="25"/>
        <v>1</v>
      </c>
      <c r="P29" s="49">
        <v>30</v>
      </c>
      <c r="Q29" s="53">
        <v>-0.2</v>
      </c>
      <c r="R29" s="49">
        <f>Q29*$C$23</f>
        <v>-1217.58</v>
      </c>
      <c r="S29" s="51" t="s">
        <v>20</v>
      </c>
      <c r="U29" t="s">
        <v>24</v>
      </c>
      <c r="V29" s="44">
        <v>4</v>
      </c>
      <c r="W29" s="11">
        <f t="shared" si="32"/>
        <v>500</v>
      </c>
      <c r="X29" s="11">
        <f>MIN($AC$29,_xlfn.XLOOKUP(V29,$B$2:$B$21,$G$2:$G$21))</f>
        <v>487.03199999999998</v>
      </c>
      <c r="Y29" s="11">
        <f t="shared" si="33"/>
        <v>987.03199999999993</v>
      </c>
      <c r="Z29" s="11" t="b">
        <f t="shared" si="34"/>
        <v>0</v>
      </c>
      <c r="AA29" s="11">
        <v>150</v>
      </c>
      <c r="AB29" s="12">
        <v>0.08</v>
      </c>
      <c r="AC29" s="11">
        <f>AB29*$C$23</f>
        <v>487.03199999999998</v>
      </c>
      <c r="AD29" s="19"/>
    </row>
    <row r="30" spans="1:31" x14ac:dyDescent="0.35">
      <c r="K30" s="20">
        <v>16</v>
      </c>
      <c r="L30">
        <f t="shared" si="24"/>
        <v>329</v>
      </c>
      <c r="M30">
        <f>MAX($R$29-SUM($M$29:M29),_xlfn.XLOOKUP(K30,$B$2:$B$21,$F$2:$F$21))</f>
        <v>-164.5</v>
      </c>
      <c r="N30">
        <f t="shared" si="31"/>
        <v>164.5</v>
      </c>
      <c r="O30" t="b">
        <f t="shared" si="25"/>
        <v>1</v>
      </c>
      <c r="P30" s="55"/>
      <c r="Q30" s="60"/>
      <c r="R30" s="55"/>
      <c r="S30" s="56"/>
      <c r="U30" t="s">
        <v>27</v>
      </c>
      <c r="V30" s="14">
        <v>16</v>
      </c>
      <c r="W30" s="23">
        <f t="shared" si="32"/>
        <v>329</v>
      </c>
      <c r="X30" s="23">
        <f>MIN($AC$30,_xlfn.XLOOKUP(V30,$B$2:$B$21,$G$2:$G$21))</f>
        <v>329</v>
      </c>
      <c r="Y30" s="23">
        <f t="shared" si="33"/>
        <v>658</v>
      </c>
      <c r="Z30" s="23" t="b">
        <f t="shared" si="34"/>
        <v>1</v>
      </c>
      <c r="AA30" s="16">
        <v>30</v>
      </c>
      <c r="AB30" s="17">
        <v>0.1</v>
      </c>
      <c r="AC30" s="16">
        <f>AB30*$C$23</f>
        <v>608.79</v>
      </c>
      <c r="AD30" s="18" t="s">
        <v>20</v>
      </c>
      <c r="AE30" t="s">
        <v>40</v>
      </c>
    </row>
    <row r="31" spans="1:31" x14ac:dyDescent="0.35">
      <c r="K31" s="20">
        <v>20</v>
      </c>
      <c r="L31">
        <f t="shared" si="24"/>
        <v>628</v>
      </c>
      <c r="M31">
        <f>MAX($R$29-SUM($M$29:M30),_xlfn.XLOOKUP(K31,$B$2:$B$21,$F$2:$F$21))</f>
        <v>-314</v>
      </c>
      <c r="N31">
        <f t="shared" si="31"/>
        <v>314</v>
      </c>
      <c r="O31" t="b">
        <f t="shared" si="25"/>
        <v>1</v>
      </c>
      <c r="P31" s="55"/>
      <c r="Q31" s="60"/>
      <c r="R31" s="55"/>
      <c r="S31" s="56"/>
      <c r="U31" t="s">
        <v>25</v>
      </c>
      <c r="V31" s="31">
        <v>27</v>
      </c>
      <c r="W31">
        <f t="shared" si="32"/>
        <v>281</v>
      </c>
      <c r="X31">
        <f>MIN($AC$30-X30,_xlfn.XLOOKUP(V31,$B$2:$B$21,$G$2:$G$21))</f>
        <v>279.78999999999996</v>
      </c>
      <c r="Y31">
        <f t="shared" si="33"/>
        <v>560.79</v>
      </c>
      <c r="Z31" t="b">
        <f t="shared" si="34"/>
        <v>0</v>
      </c>
      <c r="AA31" s="21"/>
      <c r="AB31" s="32"/>
      <c r="AC31" s="21"/>
      <c r="AD31" s="33"/>
    </row>
    <row r="32" spans="1:31" x14ac:dyDescent="0.35">
      <c r="K32" s="20">
        <v>21</v>
      </c>
      <c r="L32">
        <f t="shared" si="24"/>
        <v>274</v>
      </c>
      <c r="M32">
        <f>MAX($R$29-SUM($M$29:M31),_xlfn.XLOOKUP(K32,$B$2:$B$21,$F$2:$F$21))</f>
        <v>-137</v>
      </c>
      <c r="N32">
        <f t="shared" si="31"/>
        <v>137</v>
      </c>
      <c r="O32" t="b">
        <f t="shared" si="25"/>
        <v>1</v>
      </c>
      <c r="P32" s="55"/>
      <c r="Q32" s="60"/>
      <c r="R32" s="55"/>
      <c r="S32" s="56"/>
      <c r="U32" t="s">
        <v>24</v>
      </c>
      <c r="V32" s="31">
        <v>16</v>
      </c>
      <c r="W32">
        <f t="shared" si="32"/>
        <v>329</v>
      </c>
      <c r="X32">
        <f>MIN($AC$32,_xlfn.XLOOKUP(V32,$B$2:$B$21,$G$2:$G$21))</f>
        <v>329</v>
      </c>
      <c r="Y32">
        <f t="shared" si="33"/>
        <v>658</v>
      </c>
      <c r="Z32" t="b">
        <f t="shared" si="34"/>
        <v>1</v>
      </c>
      <c r="AA32" s="21">
        <v>150</v>
      </c>
      <c r="AB32" s="32">
        <v>0.11</v>
      </c>
      <c r="AC32" s="21">
        <f>AB32*$C$23</f>
        <v>669.66899999999998</v>
      </c>
      <c r="AD32" s="33"/>
    </row>
    <row r="33" spans="11:31" x14ac:dyDescent="0.35">
      <c r="K33" s="20">
        <v>3</v>
      </c>
      <c r="L33">
        <f t="shared" si="24"/>
        <v>322</v>
      </c>
      <c r="M33">
        <f>MAX($R$29-SUM($M$29:M32),_xlfn.XLOOKUP(K33,$B$2:$B$21,$F$2:$F$21))</f>
        <v>-161</v>
      </c>
      <c r="N33">
        <f t="shared" si="31"/>
        <v>161</v>
      </c>
      <c r="O33" t="b">
        <f t="shared" si="25"/>
        <v>1</v>
      </c>
      <c r="P33" s="55"/>
      <c r="Q33" s="60"/>
      <c r="R33" s="55"/>
      <c r="S33" s="56"/>
      <c r="U33" t="s">
        <v>25</v>
      </c>
      <c r="V33" s="31">
        <v>27</v>
      </c>
      <c r="W33" s="20">
        <f t="shared" si="32"/>
        <v>281</v>
      </c>
      <c r="X33">
        <f>MIN($AC$32-X32,_xlfn.XLOOKUP(V33,$B$2:$B$21,$G$2:$G$21))</f>
        <v>281</v>
      </c>
      <c r="Y33">
        <f t="shared" si="33"/>
        <v>562</v>
      </c>
      <c r="Z33" t="b">
        <f t="shared" si="34"/>
        <v>1</v>
      </c>
      <c r="AA33" s="21"/>
      <c r="AB33" s="32"/>
      <c r="AC33" s="21"/>
      <c r="AD33" s="33"/>
    </row>
    <row r="34" spans="11:31" x14ac:dyDescent="0.35">
      <c r="K34" s="20">
        <v>18</v>
      </c>
      <c r="L34">
        <f t="shared" si="24"/>
        <v>158</v>
      </c>
      <c r="M34">
        <f>MAX($R$29-SUM($M$29:M33),_xlfn.XLOOKUP(K34,$B$2:$B$21,$F$2:$F$21))</f>
        <v>-79</v>
      </c>
      <c r="N34">
        <f t="shared" si="31"/>
        <v>79</v>
      </c>
      <c r="O34" t="b">
        <f t="shared" si="25"/>
        <v>1</v>
      </c>
      <c r="P34" s="55"/>
      <c r="Q34" s="60"/>
      <c r="R34" s="55"/>
      <c r="S34" s="56"/>
      <c r="U34" t="s">
        <v>25</v>
      </c>
      <c r="V34" s="31">
        <v>29</v>
      </c>
      <c r="W34" s="20">
        <f t="shared" si="32"/>
        <v>283.5</v>
      </c>
      <c r="X34">
        <f>MIN($AC$32-SUM($X$32:X33),_xlfn.XLOOKUP(V34,$B$2:$B$21,$G$2:$G$21))</f>
        <v>59.668999999999983</v>
      </c>
      <c r="Y34">
        <f t="shared" si="33"/>
        <v>343.16899999999998</v>
      </c>
      <c r="Z34" t="b">
        <f t="shared" si="34"/>
        <v>0</v>
      </c>
      <c r="AA34" s="21"/>
      <c r="AB34" s="32"/>
      <c r="AC34" s="21"/>
      <c r="AD34" s="33"/>
    </row>
    <row r="35" spans="11:31" x14ac:dyDescent="0.35">
      <c r="K35" s="20">
        <v>25</v>
      </c>
      <c r="L35">
        <f t="shared" si="24"/>
        <v>224</v>
      </c>
      <c r="M35">
        <f>MAX($R$29-SUM($M$29:M34),_xlfn.XLOOKUP(K35,$B$2:$B$21,$F$2:$F$21))</f>
        <v>-112</v>
      </c>
      <c r="N35">
        <f t="shared" si="31"/>
        <v>112</v>
      </c>
      <c r="O35" t="b">
        <f t="shared" si="25"/>
        <v>1</v>
      </c>
      <c r="P35" s="55"/>
      <c r="Q35" s="60"/>
      <c r="R35" s="55"/>
      <c r="S35" s="56"/>
      <c r="U35" t="s">
        <v>24</v>
      </c>
      <c r="V35" s="31">
        <v>16</v>
      </c>
      <c r="W35">
        <f t="shared" si="32"/>
        <v>329</v>
      </c>
      <c r="X35">
        <f>MIN($AC$35,_xlfn.XLOOKUP(V35,$B$2:$B$21,$G$2:$G$21))</f>
        <v>329</v>
      </c>
      <c r="Y35">
        <f t="shared" si="33"/>
        <v>658</v>
      </c>
      <c r="Z35" t="b">
        <f t="shared" si="34"/>
        <v>1</v>
      </c>
      <c r="AA35" s="21">
        <v>300</v>
      </c>
      <c r="AB35" s="32">
        <v>0.13</v>
      </c>
      <c r="AC35" s="21">
        <f>AB35*$C$23</f>
        <v>791.42700000000002</v>
      </c>
      <c r="AD35" s="33"/>
    </row>
    <row r="36" spans="11:31" x14ac:dyDescent="0.35">
      <c r="K36" s="20">
        <v>26</v>
      </c>
      <c r="L36">
        <f t="shared" si="24"/>
        <v>139</v>
      </c>
      <c r="M36">
        <f>MAX($R$29-SUM($M$29:M35),_xlfn.XLOOKUP(K36,$B$2:$B$21,$F$2:$F$21))</f>
        <v>-69.5</v>
      </c>
      <c r="N36">
        <f t="shared" si="31"/>
        <v>69.5</v>
      </c>
      <c r="O36" t="b">
        <f t="shared" si="25"/>
        <v>1</v>
      </c>
      <c r="P36" s="55"/>
      <c r="Q36" s="60"/>
      <c r="R36" s="55"/>
      <c r="S36" s="56"/>
      <c r="U36" t="s">
        <v>25</v>
      </c>
      <c r="V36" s="31">
        <v>27</v>
      </c>
      <c r="W36" s="20">
        <f t="shared" si="32"/>
        <v>281</v>
      </c>
      <c r="X36">
        <f>MIN($AC$35-X35,_xlfn.XLOOKUP(V36,$B$2:$B$21,$G$2:$G$21))</f>
        <v>281</v>
      </c>
      <c r="Y36">
        <f t="shared" si="33"/>
        <v>562</v>
      </c>
      <c r="Z36" t="b">
        <f t="shared" si="34"/>
        <v>1</v>
      </c>
      <c r="AA36" s="21"/>
      <c r="AB36" s="32"/>
      <c r="AC36" s="21"/>
      <c r="AD36" s="33"/>
    </row>
    <row r="37" spans="11:31" x14ac:dyDescent="0.35">
      <c r="K37" s="24">
        <v>27</v>
      </c>
      <c r="L37" s="22">
        <f t="shared" si="24"/>
        <v>281</v>
      </c>
      <c r="M37" s="22">
        <f>MAX($R$29-SUM($M$29:M36),_xlfn.XLOOKUP(K37,$B$2:$B$21,$F$2:$F$21))</f>
        <v>-20.579999999999927</v>
      </c>
      <c r="N37" s="22">
        <f t="shared" si="31"/>
        <v>260.42000000000007</v>
      </c>
      <c r="O37" s="22" t="b">
        <f t="shared" si="25"/>
        <v>0</v>
      </c>
      <c r="P37" s="50"/>
      <c r="Q37" s="54"/>
      <c r="R37" s="50"/>
      <c r="S37" s="52"/>
      <c r="U37" t="s">
        <v>25</v>
      </c>
      <c r="V37" s="13">
        <v>29</v>
      </c>
      <c r="W37" s="24">
        <f t="shared" si="32"/>
        <v>283.5</v>
      </c>
      <c r="X37" s="22">
        <f>MIN($AC$35-SUM($X$35:X36),_xlfn.XLOOKUP(V37,$B$2:$B$21,$G$2:$G$21))</f>
        <v>181.42700000000002</v>
      </c>
      <c r="Y37" s="22">
        <f t="shared" si="33"/>
        <v>464.92700000000002</v>
      </c>
      <c r="Z37" s="22" t="b">
        <f t="shared" si="34"/>
        <v>0</v>
      </c>
      <c r="AA37" s="11"/>
      <c r="AB37" s="12"/>
      <c r="AC37" s="11"/>
      <c r="AD37" s="19"/>
    </row>
    <row r="38" spans="11:31" x14ac:dyDescent="0.35">
      <c r="K38" s="30">
        <v>15</v>
      </c>
      <c r="L38" s="23">
        <f t="shared" si="24"/>
        <v>320</v>
      </c>
      <c r="M38" s="23">
        <f>MAX($R$38,_xlfn.XLOOKUP(K38,$B$2:$B$21,$F$2:$F$21))</f>
        <v>-160</v>
      </c>
      <c r="N38" s="23">
        <f t="shared" si="31"/>
        <v>160</v>
      </c>
      <c r="O38" s="23" t="b">
        <f t="shared" si="25"/>
        <v>1</v>
      </c>
      <c r="P38" s="49">
        <v>30</v>
      </c>
      <c r="Q38" s="53">
        <v>-0.5</v>
      </c>
      <c r="R38" s="49">
        <f>Q38*$C$23</f>
        <v>-3043.95</v>
      </c>
      <c r="S38" s="51" t="s">
        <v>21</v>
      </c>
      <c r="U38" t="s">
        <v>27</v>
      </c>
      <c r="V38" s="14">
        <v>16</v>
      </c>
      <c r="W38" s="23">
        <f t="shared" si="32"/>
        <v>329</v>
      </c>
      <c r="X38" s="23">
        <f>MIN($AC$38,_xlfn.XLOOKUP(V38,$B$2:$B$21,$G$2:$G$21))</f>
        <v>329</v>
      </c>
      <c r="Y38" s="23">
        <f t="shared" si="33"/>
        <v>658</v>
      </c>
      <c r="Z38" s="23" t="b">
        <f t="shared" si="34"/>
        <v>1</v>
      </c>
      <c r="AA38" s="16">
        <v>30</v>
      </c>
      <c r="AB38" s="17">
        <v>0.1</v>
      </c>
      <c r="AC38" s="16">
        <f>AB38*$C$23</f>
        <v>608.79</v>
      </c>
      <c r="AD38" s="18" t="s">
        <v>30</v>
      </c>
      <c r="AE38" t="s">
        <v>41</v>
      </c>
    </row>
    <row r="39" spans="11:31" x14ac:dyDescent="0.35">
      <c r="K39" s="20">
        <v>16</v>
      </c>
      <c r="L39">
        <f t="shared" si="24"/>
        <v>329</v>
      </c>
      <c r="M39">
        <f>MAX($R$38-SUM($M$38:M38),_xlfn.XLOOKUP(K39,$B$2:$B$21,$F$2:$F$21))</f>
        <v>-164.5</v>
      </c>
      <c r="N39">
        <f t="shared" si="31"/>
        <v>164.5</v>
      </c>
      <c r="O39" t="b">
        <f t="shared" si="25"/>
        <v>1</v>
      </c>
      <c r="P39" s="55"/>
      <c r="Q39" s="60"/>
      <c r="R39" s="55"/>
      <c r="S39" s="56"/>
      <c r="U39" t="s">
        <v>25</v>
      </c>
      <c r="V39" s="31">
        <v>4</v>
      </c>
      <c r="W39">
        <f t="shared" si="32"/>
        <v>500</v>
      </c>
      <c r="X39">
        <f>MIN($AC$38-X38,_xlfn.XLOOKUP(V39,$B$2:$B$21,$G$2:$G$21))</f>
        <v>279.78999999999996</v>
      </c>
      <c r="Y39">
        <f t="shared" si="33"/>
        <v>779.79</v>
      </c>
      <c r="Z39" t="b">
        <f t="shared" si="34"/>
        <v>0</v>
      </c>
      <c r="AA39" s="21"/>
      <c r="AB39" s="32"/>
      <c r="AC39" s="21"/>
      <c r="AD39" s="33"/>
    </row>
    <row r="40" spans="11:31" x14ac:dyDescent="0.35">
      <c r="K40" s="20">
        <v>20</v>
      </c>
      <c r="L40">
        <f t="shared" si="24"/>
        <v>628</v>
      </c>
      <c r="M40">
        <f>MAX($R$38-SUM($M$38:M39),_xlfn.XLOOKUP(K40,$B$2:$B$21,$F$2:$F$21))</f>
        <v>-314</v>
      </c>
      <c r="N40">
        <f t="shared" si="31"/>
        <v>314</v>
      </c>
      <c r="O40" t="b">
        <f t="shared" si="25"/>
        <v>1</v>
      </c>
      <c r="P40" s="55"/>
      <c r="Q40" s="60"/>
      <c r="R40" s="55"/>
      <c r="S40" s="56"/>
      <c r="U40" t="s">
        <v>24</v>
      </c>
      <c r="V40" s="31">
        <v>16</v>
      </c>
      <c r="W40">
        <f t="shared" si="32"/>
        <v>329</v>
      </c>
      <c r="X40">
        <f>MIN($AC$40,_xlfn.XLOOKUP(V40,$B$2:$B$21,$G$2:$G$21))</f>
        <v>329</v>
      </c>
      <c r="Y40">
        <f t="shared" si="33"/>
        <v>658</v>
      </c>
      <c r="Z40" t="b">
        <f t="shared" si="34"/>
        <v>1</v>
      </c>
      <c r="AA40" s="21">
        <v>150</v>
      </c>
      <c r="AB40" s="32">
        <v>0.13</v>
      </c>
      <c r="AC40" s="21">
        <f>AB40*$C$23</f>
        <v>791.42700000000002</v>
      </c>
      <c r="AD40" s="33"/>
    </row>
    <row r="41" spans="11:31" x14ac:dyDescent="0.35">
      <c r="K41" s="20">
        <v>21</v>
      </c>
      <c r="L41">
        <f t="shared" si="24"/>
        <v>274</v>
      </c>
      <c r="M41">
        <f>MAX($R$38-SUM($M$38:M40),_xlfn.XLOOKUP(K41,$B$2:$B$21,$F$2:$F$21))</f>
        <v>-137</v>
      </c>
      <c r="N41">
        <f t="shared" si="31"/>
        <v>137</v>
      </c>
      <c r="O41" t="b">
        <f t="shared" si="25"/>
        <v>1</v>
      </c>
      <c r="P41" s="55"/>
      <c r="Q41" s="60"/>
      <c r="R41" s="55"/>
      <c r="S41" s="56"/>
      <c r="U41" t="s">
        <v>25</v>
      </c>
      <c r="V41" s="31">
        <v>4</v>
      </c>
      <c r="W41" s="20">
        <f t="shared" si="32"/>
        <v>500</v>
      </c>
      <c r="X41">
        <f>MIN($AC$40-SUM($X$40:X40),_xlfn.XLOOKUP(V41,$B$2:$B$21,$G$2:$G$21))</f>
        <v>462.42700000000002</v>
      </c>
      <c r="Y41">
        <f t="shared" si="33"/>
        <v>962.42700000000002</v>
      </c>
      <c r="Z41" t="b">
        <f t="shared" si="34"/>
        <v>0</v>
      </c>
      <c r="AA41" s="21"/>
      <c r="AB41" s="32"/>
      <c r="AC41" s="21"/>
      <c r="AD41" s="33"/>
    </row>
    <row r="42" spans="11:31" x14ac:dyDescent="0.35">
      <c r="K42" s="20">
        <v>23</v>
      </c>
      <c r="L42">
        <f t="shared" si="24"/>
        <v>247.5</v>
      </c>
      <c r="M42">
        <f>MAX($R$38-SUM($M$38:M41),_xlfn.XLOOKUP(K42,$B$2:$B$21,$F$2:$F$21))</f>
        <v>-123.75</v>
      </c>
      <c r="N42">
        <f t="shared" si="31"/>
        <v>123.75</v>
      </c>
      <c r="O42" t="b">
        <f t="shared" si="25"/>
        <v>1</v>
      </c>
      <c r="P42" s="55"/>
      <c r="Q42" s="60"/>
      <c r="R42" s="55"/>
      <c r="S42" s="56"/>
      <c r="U42" t="s">
        <v>24</v>
      </c>
      <c r="V42" s="31">
        <v>16</v>
      </c>
      <c r="W42">
        <f t="shared" si="32"/>
        <v>329</v>
      </c>
      <c r="X42">
        <f>MIN($AC$42,_xlfn.XLOOKUP(V42,$B$2:$B$21,$G$2:$G$21))</f>
        <v>329</v>
      </c>
      <c r="Y42">
        <f t="shared" si="33"/>
        <v>658</v>
      </c>
      <c r="Z42" t="b">
        <f t="shared" si="34"/>
        <v>1</v>
      </c>
      <c r="AA42" s="21">
        <v>300</v>
      </c>
      <c r="AB42" s="32">
        <v>0.15</v>
      </c>
      <c r="AC42" s="21">
        <f>AB42*$C$23</f>
        <v>913.18499999999995</v>
      </c>
      <c r="AD42" s="33"/>
    </row>
    <row r="43" spans="11:31" x14ac:dyDescent="0.35">
      <c r="K43" s="20">
        <v>24</v>
      </c>
      <c r="L43">
        <f t="shared" si="24"/>
        <v>308.60000000000002</v>
      </c>
      <c r="M43">
        <f>MAX($R$38-SUM($M$38:M42),_xlfn.XLOOKUP(K43,$B$2:$B$21,$F$2:$F$21))</f>
        <v>-154.30000000000001</v>
      </c>
      <c r="N43">
        <f t="shared" si="31"/>
        <v>154.30000000000001</v>
      </c>
      <c r="O43" t="b">
        <f t="shared" si="25"/>
        <v>1</v>
      </c>
      <c r="P43" s="55"/>
      <c r="Q43" s="60"/>
      <c r="R43" s="55"/>
      <c r="S43" s="56"/>
      <c r="U43" t="s">
        <v>25</v>
      </c>
      <c r="V43" s="31">
        <v>4</v>
      </c>
      <c r="W43" s="20">
        <f t="shared" si="32"/>
        <v>500</v>
      </c>
      <c r="X43">
        <f>MIN($AC$42-SUM($X$42:X42),_xlfn.XLOOKUP(V43,$B$2:$B$21,$G$2:$G$21))</f>
        <v>500</v>
      </c>
      <c r="Y43">
        <f t="shared" si="33"/>
        <v>1000</v>
      </c>
      <c r="Z43" t="b">
        <f t="shared" si="34"/>
        <v>1</v>
      </c>
      <c r="AA43" s="21"/>
      <c r="AB43" s="32"/>
      <c r="AC43" s="21"/>
      <c r="AD43" s="33"/>
    </row>
    <row r="44" spans="11:31" x14ac:dyDescent="0.35">
      <c r="K44" s="20">
        <v>3</v>
      </c>
      <c r="L44">
        <f t="shared" si="24"/>
        <v>322</v>
      </c>
      <c r="M44">
        <f>MAX($R$38-SUM($M$38:M43),_xlfn.XLOOKUP(K44,$B$2:$B$21,$F$2:$F$21))</f>
        <v>-161</v>
      </c>
      <c r="N44">
        <f t="shared" si="31"/>
        <v>161</v>
      </c>
      <c r="O44" t="b">
        <f t="shared" si="25"/>
        <v>1</v>
      </c>
      <c r="P44" s="55"/>
      <c r="Q44" s="60"/>
      <c r="R44" s="55"/>
      <c r="S44" s="56"/>
      <c r="U44" t="s">
        <v>25</v>
      </c>
      <c r="V44" s="13">
        <v>24</v>
      </c>
      <c r="W44" s="24">
        <f t="shared" si="32"/>
        <v>308.60000000000002</v>
      </c>
      <c r="X44" s="22">
        <f>MIN($AC$42-SUM($X$42:X43),_xlfn.XLOOKUP(V44,$B$2:$B$21,$G$2:$G$21))</f>
        <v>84.184999999999945</v>
      </c>
      <c r="Y44" s="22">
        <f t="shared" si="33"/>
        <v>392.78499999999997</v>
      </c>
      <c r="Z44" s="22" t="b">
        <f t="shared" si="34"/>
        <v>0</v>
      </c>
      <c r="AA44" s="22"/>
      <c r="AB44" s="22"/>
      <c r="AC44" s="22"/>
      <c r="AD44" s="42"/>
    </row>
    <row r="45" spans="11:31" x14ac:dyDescent="0.35">
      <c r="K45" s="20">
        <v>18</v>
      </c>
      <c r="L45">
        <f t="shared" si="24"/>
        <v>158</v>
      </c>
      <c r="M45">
        <f>MAX($R$38-SUM($M$38:M44),_xlfn.XLOOKUP(K45,$B$2:$B$21,$F$2:$F$21))</f>
        <v>-79</v>
      </c>
      <c r="N45">
        <f t="shared" si="31"/>
        <v>79</v>
      </c>
      <c r="O45" t="b">
        <f t="shared" si="25"/>
        <v>1</v>
      </c>
      <c r="P45" s="55"/>
      <c r="Q45" s="60"/>
      <c r="R45" s="55"/>
      <c r="S45" s="56"/>
      <c r="U45" t="s">
        <v>27</v>
      </c>
      <c r="V45" s="31">
        <v>3</v>
      </c>
      <c r="W45">
        <f t="shared" si="32"/>
        <v>322</v>
      </c>
      <c r="X45">
        <f>MIN($AC$45,_xlfn.XLOOKUP(V45,$B$2:$B$21,$G$2:$G$21))</f>
        <v>322</v>
      </c>
      <c r="Y45">
        <f t="shared" si="33"/>
        <v>644</v>
      </c>
      <c r="Z45" t="b">
        <f t="shared" si="34"/>
        <v>1</v>
      </c>
      <c r="AA45" s="21">
        <v>30</v>
      </c>
      <c r="AB45" s="32">
        <v>0.1</v>
      </c>
      <c r="AC45" s="21">
        <f>AB45*$C$23</f>
        <v>608.79</v>
      </c>
      <c r="AD45" s="33" t="s">
        <v>47</v>
      </c>
      <c r="AE45" t="s">
        <v>42</v>
      </c>
    </row>
    <row r="46" spans="11:31" x14ac:dyDescent="0.35">
      <c r="K46" s="20">
        <v>25</v>
      </c>
      <c r="L46">
        <f t="shared" si="24"/>
        <v>224</v>
      </c>
      <c r="M46">
        <f>MAX($R$38-SUM($M$38:M45),_xlfn.XLOOKUP(K46,$B$2:$B$21,$F$2:$F$21))</f>
        <v>-112</v>
      </c>
      <c r="N46">
        <f t="shared" si="31"/>
        <v>112</v>
      </c>
      <c r="O46" t="b">
        <f t="shared" si="25"/>
        <v>1</v>
      </c>
      <c r="P46" s="55"/>
      <c r="Q46" s="60"/>
      <c r="R46" s="55"/>
      <c r="S46" s="56"/>
      <c r="U46" t="s">
        <v>25</v>
      </c>
      <c r="V46" s="31">
        <v>4</v>
      </c>
      <c r="W46">
        <f t="shared" si="32"/>
        <v>500</v>
      </c>
      <c r="X46">
        <f>MIN($AC$45-X45,_xlfn.XLOOKUP(V46,$B$2:$B$21,$G$2:$G$21))</f>
        <v>286.78999999999996</v>
      </c>
      <c r="Y46">
        <f t="shared" si="33"/>
        <v>786.79</v>
      </c>
      <c r="Z46" t="b">
        <f t="shared" si="34"/>
        <v>0</v>
      </c>
      <c r="AA46" s="21"/>
      <c r="AB46" s="32"/>
      <c r="AC46" s="21"/>
      <c r="AD46" s="33"/>
    </row>
    <row r="47" spans="11:31" x14ac:dyDescent="0.35">
      <c r="K47" s="20">
        <v>26</v>
      </c>
      <c r="L47">
        <f t="shared" si="24"/>
        <v>139</v>
      </c>
      <c r="M47">
        <f>MAX($R$38-SUM($M$38:M46),_xlfn.XLOOKUP(K47,$B$2:$B$21,$F$2:$F$21))</f>
        <v>-69.5</v>
      </c>
      <c r="N47">
        <f t="shared" si="31"/>
        <v>69.5</v>
      </c>
      <c r="O47" t="b">
        <f t="shared" si="25"/>
        <v>1</v>
      </c>
      <c r="P47" s="55"/>
      <c r="Q47" s="60"/>
      <c r="R47" s="55"/>
      <c r="S47" s="56"/>
      <c r="U47" t="s">
        <v>24</v>
      </c>
      <c r="V47" s="31">
        <v>3</v>
      </c>
      <c r="W47">
        <f t="shared" si="32"/>
        <v>322</v>
      </c>
      <c r="X47">
        <f>MIN($AC$47,_xlfn.XLOOKUP(V47,$B$2:$B$21,$G$2:$G$21))</f>
        <v>322</v>
      </c>
      <c r="Y47">
        <f t="shared" si="33"/>
        <v>644</v>
      </c>
      <c r="Z47" t="b">
        <f t="shared" si="34"/>
        <v>1</v>
      </c>
      <c r="AA47" s="21">
        <v>150</v>
      </c>
      <c r="AB47" s="32">
        <v>0.13</v>
      </c>
      <c r="AC47" s="21">
        <f>AB47*$C$23</f>
        <v>791.42700000000002</v>
      </c>
      <c r="AD47" s="33"/>
    </row>
    <row r="48" spans="11:31" x14ac:dyDescent="0.35">
      <c r="K48" s="20">
        <v>27</v>
      </c>
      <c r="L48">
        <f t="shared" si="24"/>
        <v>281</v>
      </c>
      <c r="M48">
        <f>MAX($R$38-SUM($M$38:M47),_xlfn.XLOOKUP(K48,$B$2:$B$21,$F$2:$F$21))</f>
        <v>-140.5</v>
      </c>
      <c r="N48">
        <f t="shared" si="31"/>
        <v>140.5</v>
      </c>
      <c r="O48" t="b">
        <f t="shared" si="25"/>
        <v>1</v>
      </c>
      <c r="P48" s="55"/>
      <c r="Q48" s="60"/>
      <c r="R48" s="55"/>
      <c r="S48" s="56"/>
      <c r="U48" t="s">
        <v>25</v>
      </c>
      <c r="V48" s="31">
        <v>4</v>
      </c>
      <c r="W48" s="20">
        <f t="shared" si="32"/>
        <v>500</v>
      </c>
      <c r="X48">
        <f>MIN($AC$47-SUM($X$47:X47),_xlfn.XLOOKUP(V48,$B$2:$B$21,$G$2:$G$21))</f>
        <v>469.42700000000002</v>
      </c>
      <c r="Y48">
        <f t="shared" si="33"/>
        <v>969.42700000000002</v>
      </c>
      <c r="Z48" t="b">
        <f t="shared" si="34"/>
        <v>0</v>
      </c>
      <c r="AA48" s="21"/>
      <c r="AB48" s="32"/>
      <c r="AC48" s="21"/>
      <c r="AD48" s="33"/>
    </row>
    <row r="49" spans="11:31" x14ac:dyDescent="0.35">
      <c r="K49" s="20">
        <v>28</v>
      </c>
      <c r="L49">
        <f t="shared" si="24"/>
        <v>206</v>
      </c>
      <c r="M49">
        <f>MAX($R$38-SUM($M$38:M48),_xlfn.XLOOKUP(K49,$B$2:$B$21,$F$2:$F$21))</f>
        <v>-103</v>
      </c>
      <c r="N49">
        <f t="shared" si="31"/>
        <v>103</v>
      </c>
      <c r="O49" t="b">
        <f t="shared" si="25"/>
        <v>1</v>
      </c>
      <c r="P49" s="55"/>
      <c r="Q49" s="60"/>
      <c r="R49" s="55"/>
      <c r="S49" s="56"/>
      <c r="U49" t="s">
        <v>24</v>
      </c>
      <c r="V49" s="31">
        <v>3</v>
      </c>
      <c r="W49">
        <f t="shared" si="32"/>
        <v>322</v>
      </c>
      <c r="X49">
        <f>MIN($AC$49,_xlfn.XLOOKUP(V49,$B$2:$B$21,$G$2:$G$21))</f>
        <v>322</v>
      </c>
      <c r="Y49">
        <f t="shared" si="33"/>
        <v>644</v>
      </c>
      <c r="Z49" t="b">
        <f t="shared" si="34"/>
        <v>1</v>
      </c>
      <c r="AA49" s="21">
        <v>300</v>
      </c>
      <c r="AB49" s="32">
        <v>0.15</v>
      </c>
      <c r="AC49" s="21">
        <f>AB49*$C$23</f>
        <v>913.18499999999995</v>
      </c>
      <c r="AD49" s="33"/>
    </row>
    <row r="50" spans="11:31" x14ac:dyDescent="0.35">
      <c r="K50" s="20">
        <v>29</v>
      </c>
      <c r="L50">
        <f t="shared" si="24"/>
        <v>283.5</v>
      </c>
      <c r="M50">
        <f>MAX($R$38-SUM($M$38:M49),_xlfn.XLOOKUP(K50,$B$2:$B$21,$F$2:$F$21))</f>
        <v>-141.75</v>
      </c>
      <c r="N50">
        <f t="shared" si="31"/>
        <v>141.75</v>
      </c>
      <c r="O50" t="b">
        <f t="shared" si="25"/>
        <v>1</v>
      </c>
      <c r="P50" s="55"/>
      <c r="Q50" s="60"/>
      <c r="R50" s="55"/>
      <c r="S50" s="56"/>
      <c r="U50" t="s">
        <v>25</v>
      </c>
      <c r="V50" s="31">
        <v>4</v>
      </c>
      <c r="W50" s="20">
        <f t="shared" si="32"/>
        <v>500</v>
      </c>
      <c r="X50">
        <f>MIN($AC$49-SUM($X$49:X49),_xlfn.XLOOKUP(V50,$B$2:$B$21,$G$2:$G$21))</f>
        <v>500</v>
      </c>
      <c r="Y50">
        <f t="shared" si="33"/>
        <v>1000</v>
      </c>
      <c r="Z50" t="b">
        <f t="shared" si="34"/>
        <v>1</v>
      </c>
      <c r="AA50" s="21"/>
      <c r="AB50" s="32"/>
      <c r="AC50" s="21"/>
      <c r="AD50" s="33"/>
    </row>
    <row r="51" spans="11:31" x14ac:dyDescent="0.35">
      <c r="K51" s="20">
        <v>4</v>
      </c>
      <c r="L51">
        <f t="shared" si="24"/>
        <v>500</v>
      </c>
      <c r="M51">
        <f>MAX($R$38-SUM($M$38:M50),_xlfn.XLOOKUP(K51,$B$2:$B$21,$F$2:$F$21))</f>
        <v>-250</v>
      </c>
      <c r="N51">
        <f t="shared" si="31"/>
        <v>250</v>
      </c>
      <c r="O51" t="b">
        <f t="shared" si="25"/>
        <v>1</v>
      </c>
      <c r="P51" s="55"/>
      <c r="Q51" s="60"/>
      <c r="R51" s="55"/>
      <c r="S51" s="56"/>
      <c r="U51" t="s">
        <v>25</v>
      </c>
      <c r="V51" s="31">
        <v>27</v>
      </c>
      <c r="W51" s="20">
        <f t="shared" si="32"/>
        <v>281</v>
      </c>
      <c r="X51">
        <f>MIN($AC$49-SUM($X$49:X50),_xlfn.XLOOKUP(V51,$B$2:$B$21,$G$2:$G$21))</f>
        <v>91.184999999999945</v>
      </c>
      <c r="Y51">
        <f t="shared" si="33"/>
        <v>372.18499999999995</v>
      </c>
      <c r="Z51" t="b">
        <f t="shared" si="34"/>
        <v>0</v>
      </c>
      <c r="AE51" s="20"/>
    </row>
    <row r="52" spans="11:31" x14ac:dyDescent="0.35">
      <c r="K52" s="20">
        <v>7</v>
      </c>
      <c r="L52">
        <f t="shared" si="24"/>
        <v>233.8</v>
      </c>
      <c r="M52">
        <f>MAX($R$38-SUM($M$38:M51),_xlfn.XLOOKUP(K52,$B$2:$B$21,$F$2:$F$21))</f>
        <v>-116.9</v>
      </c>
      <c r="N52">
        <f t="shared" si="31"/>
        <v>116.9</v>
      </c>
      <c r="O52" t="b">
        <f t="shared" si="25"/>
        <v>1</v>
      </c>
      <c r="P52" s="55"/>
      <c r="Q52" s="60"/>
      <c r="R52" s="55"/>
      <c r="S52" s="56"/>
      <c r="U52" t="s">
        <v>27</v>
      </c>
      <c r="V52" s="14">
        <v>16</v>
      </c>
      <c r="W52" s="23">
        <f t="shared" si="32"/>
        <v>329</v>
      </c>
      <c r="X52" s="23">
        <f>MIN($AC$52,_xlfn.XLOOKUP(V52,$B$2:$B$21,$G$2:$G$21))</f>
        <v>329</v>
      </c>
      <c r="Y52" s="23">
        <f t="shared" si="33"/>
        <v>658</v>
      </c>
      <c r="Z52" s="23" t="b">
        <f t="shared" si="34"/>
        <v>1</v>
      </c>
      <c r="AA52" s="16">
        <v>30</v>
      </c>
      <c r="AB52" s="17">
        <v>0.1</v>
      </c>
      <c r="AC52" s="16">
        <f>AB52*$C$23</f>
        <v>608.79</v>
      </c>
      <c r="AD52" s="18" t="s">
        <v>20</v>
      </c>
      <c r="AE52" t="s">
        <v>39</v>
      </c>
    </row>
    <row r="53" spans="11:31" x14ac:dyDescent="0.35">
      <c r="K53" s="20">
        <v>8</v>
      </c>
      <c r="L53">
        <f t="shared" si="24"/>
        <v>522</v>
      </c>
      <c r="M53">
        <f>MAX($R$38-SUM($M$38:M52),_xlfn.XLOOKUP(K53,$B$2:$B$21,$F$2:$F$21))</f>
        <v>-261</v>
      </c>
      <c r="N53">
        <f t="shared" si="31"/>
        <v>261</v>
      </c>
      <c r="O53" t="b">
        <f t="shared" si="25"/>
        <v>1</v>
      </c>
      <c r="P53" s="55"/>
      <c r="Q53" s="60"/>
      <c r="R53" s="55"/>
      <c r="S53" s="56"/>
      <c r="U53" t="s">
        <v>25</v>
      </c>
      <c r="V53" s="31">
        <v>27</v>
      </c>
      <c r="W53">
        <f t="shared" si="32"/>
        <v>281</v>
      </c>
      <c r="X53">
        <f>MIN($AC$52-X52,_xlfn.XLOOKUP(V53,$B$2:$B$21,$G$2:$G$21))</f>
        <v>279.78999999999996</v>
      </c>
      <c r="Y53">
        <f t="shared" si="33"/>
        <v>560.79</v>
      </c>
      <c r="Z53" t="b">
        <f t="shared" si="34"/>
        <v>0</v>
      </c>
      <c r="AA53" s="21"/>
      <c r="AB53" s="32"/>
      <c r="AC53" s="21"/>
      <c r="AD53" s="33"/>
    </row>
    <row r="54" spans="11:31" x14ac:dyDescent="0.35">
      <c r="K54" s="20">
        <v>12</v>
      </c>
      <c r="L54">
        <f t="shared" si="24"/>
        <v>7.5</v>
      </c>
      <c r="M54">
        <f>MAX($R$38-SUM($M$38:M53),_xlfn.XLOOKUP(K54,$B$2:$B$21,$F$2:$F$21))</f>
        <v>-3.75</v>
      </c>
      <c r="N54">
        <f t="shared" si="31"/>
        <v>3.75</v>
      </c>
      <c r="O54" t="b">
        <f t="shared" si="25"/>
        <v>1</v>
      </c>
      <c r="P54" s="55"/>
      <c r="Q54" s="60"/>
      <c r="R54" s="55"/>
      <c r="S54" s="56"/>
      <c r="U54" s="9" t="s">
        <v>24</v>
      </c>
      <c r="V54" s="31">
        <v>16</v>
      </c>
      <c r="W54">
        <f t="shared" si="32"/>
        <v>329</v>
      </c>
      <c r="X54">
        <f>MIN($AC$54,_xlfn.XLOOKUP(V54,$B$2:$B$21,$G$2:$G$21))</f>
        <v>329</v>
      </c>
      <c r="Y54">
        <f t="shared" si="33"/>
        <v>658</v>
      </c>
      <c r="Z54" t="b">
        <f t="shared" si="34"/>
        <v>1</v>
      </c>
      <c r="AA54" s="21">
        <v>150</v>
      </c>
      <c r="AB54" s="32">
        <v>0.15</v>
      </c>
      <c r="AC54" s="21">
        <f>AB54*$C$23</f>
        <v>913.18499999999995</v>
      </c>
      <c r="AD54" s="33" t="s">
        <v>21</v>
      </c>
    </row>
    <row r="55" spans="11:31" x14ac:dyDescent="0.35">
      <c r="K55" s="24">
        <v>39</v>
      </c>
      <c r="L55" s="22">
        <f t="shared" si="24"/>
        <v>1104</v>
      </c>
      <c r="M55" s="22">
        <f>MAX($R$38-SUM($M$38:M54),_xlfn.XLOOKUP(K55,$B$2:$B$21,$F$2:$F$21))</f>
        <v>-551.99999999999955</v>
      </c>
      <c r="N55" s="22">
        <f t="shared" si="31"/>
        <v>552.00000000000045</v>
      </c>
      <c r="O55" s="22" t="b">
        <f t="shared" si="25"/>
        <v>1</v>
      </c>
      <c r="P55" s="50"/>
      <c r="Q55" s="54"/>
      <c r="R55" s="50"/>
      <c r="S55" s="52"/>
      <c r="U55" s="9" t="s">
        <v>25</v>
      </c>
      <c r="V55" s="31">
        <v>27</v>
      </c>
      <c r="W55">
        <f t="shared" si="32"/>
        <v>281</v>
      </c>
      <c r="X55">
        <f>MIN($AC$54-X54,_xlfn.XLOOKUP(V55,$B$2:$B$21,$G$2:$G$21))</f>
        <v>281</v>
      </c>
      <c r="Y55">
        <f t="shared" si="33"/>
        <v>562</v>
      </c>
      <c r="Z55" t="b">
        <f t="shared" si="34"/>
        <v>1</v>
      </c>
      <c r="AA55" s="21"/>
      <c r="AB55" s="32"/>
      <c r="AC55" s="21"/>
      <c r="AD55" s="33"/>
    </row>
    <row r="56" spans="11:31" x14ac:dyDescent="0.35">
      <c r="U56" s="9" t="s">
        <v>25</v>
      </c>
      <c r="V56" s="31">
        <v>4</v>
      </c>
      <c r="W56">
        <f t="shared" si="32"/>
        <v>500</v>
      </c>
      <c r="X56">
        <f>MIN($AC$54-SUM(X54:X55),_xlfn.XLOOKUP(V56,$B$2:$B$21,$G$2:$G$21))</f>
        <v>303.18499999999995</v>
      </c>
      <c r="Y56">
        <f t="shared" si="33"/>
        <v>803.18499999999995</v>
      </c>
      <c r="Z56" t="b">
        <f t="shared" si="34"/>
        <v>0</v>
      </c>
      <c r="AA56" s="21"/>
      <c r="AB56" s="32"/>
      <c r="AC56" s="21"/>
      <c r="AD56" s="33"/>
    </row>
    <row r="57" spans="11:31" x14ac:dyDescent="0.35">
      <c r="U57" s="9" t="s">
        <v>28</v>
      </c>
      <c r="V57" s="31">
        <v>16</v>
      </c>
      <c r="W57" s="20">
        <f t="shared" si="32"/>
        <v>329</v>
      </c>
      <c r="X57">
        <f>MIN($AC$57,_xlfn.XLOOKUP(V57,$B$2:$B$21,$G$2:$G$21))</f>
        <v>329</v>
      </c>
      <c r="Y57">
        <f t="shared" si="33"/>
        <v>658</v>
      </c>
      <c r="Z57" t="b">
        <f t="shared" si="34"/>
        <v>1</v>
      </c>
      <c r="AA57" s="21">
        <v>300</v>
      </c>
      <c r="AB57" s="32">
        <v>0.17</v>
      </c>
      <c r="AC57" s="21">
        <f>AB57*$C$23</f>
        <v>1034.943</v>
      </c>
      <c r="AD57" s="33" t="s">
        <v>21</v>
      </c>
    </row>
    <row r="58" spans="11:31" x14ac:dyDescent="0.35">
      <c r="U58" s="9" t="s">
        <v>25</v>
      </c>
      <c r="V58" s="31">
        <v>27</v>
      </c>
      <c r="W58">
        <f t="shared" si="32"/>
        <v>281</v>
      </c>
      <c r="X58">
        <f>MIN($AC$57-SUM($X$57:X57),_xlfn.XLOOKUP(V58,$B$2:$B$21,$G$2:$G$21))</f>
        <v>281</v>
      </c>
      <c r="Y58">
        <f t="shared" si="33"/>
        <v>562</v>
      </c>
      <c r="Z58" t="b">
        <f t="shared" si="34"/>
        <v>1</v>
      </c>
      <c r="AA58" s="21"/>
      <c r="AB58" s="32"/>
      <c r="AC58" s="21"/>
      <c r="AD58" s="33"/>
    </row>
    <row r="59" spans="11:31" x14ac:dyDescent="0.35">
      <c r="U59" s="9" t="s">
        <v>25</v>
      </c>
      <c r="V59" s="13">
        <v>4</v>
      </c>
      <c r="W59" s="22">
        <f t="shared" si="32"/>
        <v>500</v>
      </c>
      <c r="X59" s="22">
        <f>MIN($AC$57-SUM($X$57:X58),_xlfn.XLOOKUP(V59,$B$2:$B$21,$G$2:$G$21))</f>
        <v>424.94299999999998</v>
      </c>
      <c r="Y59" s="22">
        <f t="shared" si="33"/>
        <v>924.94299999999998</v>
      </c>
      <c r="Z59" s="22" t="b">
        <f t="shared" si="34"/>
        <v>0</v>
      </c>
      <c r="AA59" s="11"/>
      <c r="AB59" s="12"/>
      <c r="AC59" s="11"/>
      <c r="AD59" s="19"/>
    </row>
  </sheetData>
  <mergeCells count="42">
    <mergeCell ref="R22:R24"/>
    <mergeCell ref="S22:S24"/>
    <mergeCell ref="P38:P55"/>
    <mergeCell ref="Q38:Q55"/>
    <mergeCell ref="R38:R55"/>
    <mergeCell ref="S38:S55"/>
    <mergeCell ref="P25:P28"/>
    <mergeCell ref="Q25:Q28"/>
    <mergeCell ref="R25:R28"/>
    <mergeCell ref="S25:S28"/>
    <mergeCell ref="P29:P37"/>
    <mergeCell ref="Q29:Q37"/>
    <mergeCell ref="R29:R37"/>
    <mergeCell ref="S29:S37"/>
    <mergeCell ref="A9:A16"/>
    <mergeCell ref="A17:A22"/>
    <mergeCell ref="A2:A8"/>
    <mergeCell ref="P4:P5"/>
    <mergeCell ref="Q4:Q5"/>
    <mergeCell ref="Q8:Q11"/>
    <mergeCell ref="P8:P11"/>
    <mergeCell ref="P12:P18"/>
    <mergeCell ref="Q12:Q18"/>
    <mergeCell ref="P20:P21"/>
    <mergeCell ref="Q20:Q21"/>
    <mergeCell ref="P22:P24"/>
    <mergeCell ref="Q22:Q24"/>
    <mergeCell ref="V20:AD20"/>
    <mergeCell ref="V1:AD1"/>
    <mergeCell ref="R4:R5"/>
    <mergeCell ref="K1:S1"/>
    <mergeCell ref="S4:S5"/>
    <mergeCell ref="Q6:Q7"/>
    <mergeCell ref="P6:P7"/>
    <mergeCell ref="R6:R7"/>
    <mergeCell ref="S6:S7"/>
    <mergeCell ref="R8:R11"/>
    <mergeCell ref="S8:S11"/>
    <mergeCell ref="R12:R18"/>
    <mergeCell ref="S12:S18"/>
    <mergeCell ref="R20:R21"/>
    <mergeCell ref="S20:S21"/>
  </mergeCells>
  <phoneticPr fontId="3" type="noConversion"/>
  <pageMargins left="0.7" right="0.7" top="0.75" bottom="0.75" header="0.3" footer="0.3"/>
  <pageSetup orientation="portrait" r:id="rId1"/>
  <ignoredErrors>
    <ignoredError sqref="F8:I8 F16:I16 F22:G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108BE-56B9-49FB-A0AB-612A1346C702}">
  <dimension ref="A1:H8"/>
  <sheetViews>
    <sheetView tabSelected="1" workbookViewId="0">
      <selection activeCell="B2" sqref="B2"/>
    </sheetView>
  </sheetViews>
  <sheetFormatPr defaultRowHeight="14.5" x14ac:dyDescent="0.35"/>
  <cols>
    <col min="1" max="1" width="9.26953125" bestFit="1" customWidth="1"/>
    <col min="2" max="2" width="10.7265625" bestFit="1" customWidth="1"/>
    <col min="3" max="3" width="13.7265625" bestFit="1" customWidth="1"/>
    <col min="4" max="5" width="14.6328125" bestFit="1" customWidth="1"/>
    <col min="6" max="6" width="14.36328125" bestFit="1" customWidth="1"/>
    <col min="7" max="7" width="16.1796875" bestFit="1" customWidth="1"/>
    <col min="8" max="8" width="12.453125" bestFit="1" customWidth="1"/>
    <col min="9" max="9" width="11.36328125" bestFit="1" customWidth="1"/>
    <col min="10" max="10" width="12.453125" bestFit="1" customWidth="1"/>
  </cols>
  <sheetData>
    <row r="1" spans="1:8" x14ac:dyDescent="0.35">
      <c r="A1" t="s">
        <v>58</v>
      </c>
      <c r="B1" t="s">
        <v>59</v>
      </c>
      <c r="C1" t="s">
        <v>60</v>
      </c>
      <c r="D1" t="s">
        <v>61</v>
      </c>
      <c r="E1" t="s">
        <v>52</v>
      </c>
      <c r="F1" t="s">
        <v>53</v>
      </c>
      <c r="G1" t="s">
        <v>62</v>
      </c>
      <c r="H1" t="s">
        <v>56</v>
      </c>
    </row>
    <row r="2" spans="1:8" x14ac:dyDescent="0.35">
      <c r="A2" s="61" t="s">
        <v>63</v>
      </c>
      <c r="B2">
        <v>345000</v>
      </c>
      <c r="C2">
        <v>100000000</v>
      </c>
      <c r="D2">
        <f>C2/B2^2</f>
        <v>8.4015963032976261E-4</v>
      </c>
      <c r="E2">
        <v>8.0000000000000004E-4</v>
      </c>
      <c r="F2">
        <v>1.5599999999999999E-2</v>
      </c>
      <c r="G2">
        <f>-F2/(E2^2+F2^2)</f>
        <v>-63.934426229508205</v>
      </c>
      <c r="H2">
        <f>G2*D2</f>
        <v>-5.3715123906329092E-2</v>
      </c>
    </row>
    <row r="7" spans="1:8" x14ac:dyDescent="0.35">
      <c r="A7" t="s">
        <v>57</v>
      </c>
      <c r="B7" t="s">
        <v>49</v>
      </c>
      <c r="C7" t="s">
        <v>54</v>
      </c>
      <c r="D7" t="s">
        <v>52</v>
      </c>
      <c r="E7" t="s">
        <v>53</v>
      </c>
      <c r="F7" t="s">
        <v>50</v>
      </c>
      <c r="G7" t="s">
        <v>51</v>
      </c>
      <c r="H7" t="s">
        <v>56</v>
      </c>
    </row>
    <row r="8" spans="1:8" x14ac:dyDescent="0.35">
      <c r="A8" s="62" t="s">
        <v>55</v>
      </c>
      <c r="B8" t="s">
        <v>48</v>
      </c>
      <c r="C8">
        <v>100</v>
      </c>
      <c r="D8">
        <v>1.4E-3</v>
      </c>
      <c r="E8">
        <v>1.5100000000000001E-2</v>
      </c>
      <c r="F8">
        <f>D8*$C8</f>
        <v>0.13999999999999999</v>
      </c>
      <c r="G8">
        <f>E8*$C8</f>
        <v>1.51</v>
      </c>
      <c r="H8">
        <f>-G8/(F8^2+G8^2)</f>
        <v>-0.65660738357177018</v>
      </c>
    </row>
  </sheetData>
  <pageMargins left="0.7" right="0.7" top="0.75" bottom="0.75" header="0.3" footer="0.3"/>
  <ignoredErrors>
    <ignoredError sqref="A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Aftab</dc:creator>
  <cp:lastModifiedBy>Michal Forystek</cp:lastModifiedBy>
  <dcterms:created xsi:type="dcterms:W3CDTF">2024-06-12T07:24:54Z</dcterms:created>
  <dcterms:modified xsi:type="dcterms:W3CDTF">2024-10-31T21:40:08Z</dcterms:modified>
</cp:coreProperties>
</file>