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gsgrupa-my.sharepoint.com/personal/edo_seifried_mgs-grupa_com/Documents/MUP - kalkulativni elementi/"/>
    </mc:Choice>
  </mc:AlternateContent>
  <xr:revisionPtr revIDLastSave="10" documentId="13_ncr:1_{435C2F61-D5A7-49F9-8EB5-53A52313DED9}" xr6:coauthVersionLast="46" xr6:coauthVersionMax="46" xr10:uidLastSave="{6AC3ABC9-A569-4382-8640-A5BF4C70B233}"/>
  <bookViews>
    <workbookView xWindow="-120" yWindow="-120" windowWidth="29040" windowHeight="15840" activeTab="2" xr2:uid="{CF5DECD4-CE16-4E28-AA26-F5B142E659A9}"/>
  </bookViews>
  <sheets>
    <sheet name="Tuzemni dobavljači faza 2" sheetId="5" r:id="rId1"/>
    <sheet name="Inozemni dobavljači faza 2" sheetId="7" r:id="rId2"/>
    <sheet name="cash flow" sheetId="8" r:id="rId3"/>
  </sheets>
  <externalReferences>
    <externalReference r:id="rId4"/>
    <externalReference r:id="rId5"/>
  </externalReferences>
  <definedNames>
    <definedName name="_xlnm.Print_Titles" localSheetId="1">'Inozemni dobavljači faza 2'!$2:$2</definedName>
    <definedName name="_xlnm.Print_Titles" localSheetId="0">'Tuzemni dobavljači faza 2'!$2:$2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0" i="8" l="1"/>
  <c r="X41" i="8" s="1"/>
  <c r="V30" i="8"/>
  <c r="X30" i="8"/>
  <c r="X36" i="8" s="1"/>
  <c r="T50" i="8"/>
  <c r="T49" i="8"/>
  <c r="S50" i="8"/>
  <c r="S49" i="8"/>
  <c r="R50" i="8"/>
  <c r="R49" i="8"/>
  <c r="Q50" i="8"/>
  <c r="Q49" i="8"/>
  <c r="T29" i="8"/>
  <c r="T28" i="8"/>
  <c r="T30" i="8" s="1"/>
  <c r="S35" i="8"/>
  <c r="D44" i="5"/>
  <c r="R28" i="8" s="1"/>
  <c r="R30" i="8" s="1"/>
  <c r="U40" i="8"/>
  <c r="U41" i="8" s="1"/>
  <c r="R35" i="8"/>
  <c r="Q35" i="8"/>
  <c r="Q30" i="8"/>
  <c r="Q29" i="8"/>
  <c r="P29" i="8"/>
  <c r="P30" i="8"/>
  <c r="P28" i="8"/>
  <c r="Q41" i="8"/>
  <c r="Q28" i="8"/>
  <c r="S29" i="8"/>
  <c r="S28" i="8"/>
  <c r="S30" i="8" s="1"/>
  <c r="R40" i="8"/>
  <c r="R41" i="8"/>
  <c r="R29" i="8"/>
  <c r="E5" i="7"/>
  <c r="Y30" i="8"/>
  <c r="Q40" i="8"/>
  <c r="K7" i="8"/>
  <c r="K8" i="8" s="1"/>
  <c r="D8" i="8"/>
  <c r="H8" i="8"/>
  <c r="D10" i="8"/>
  <c r="G19" i="8"/>
  <c r="L19" i="8"/>
  <c r="Q19" i="8"/>
  <c r="L21" i="8"/>
  <c r="Q21" i="8"/>
  <c r="F28" i="8"/>
  <c r="I28" i="8"/>
  <c r="J28" i="8"/>
  <c r="K28" i="8"/>
  <c r="K30" i="8" s="1"/>
  <c r="E30" i="8"/>
  <c r="G30" i="8"/>
  <c r="H30" i="8"/>
  <c r="I30" i="8"/>
  <c r="J30" i="8"/>
  <c r="K35" i="8" s="1"/>
  <c r="L30" i="8"/>
  <c r="M30" i="8"/>
  <c r="N30" i="8"/>
  <c r="O30" i="8"/>
  <c r="Y36" i="8"/>
  <c r="F31" i="8"/>
  <c r="G20" i="8" s="1"/>
  <c r="G31" i="8"/>
  <c r="H31" i="8"/>
  <c r="I31" i="8"/>
  <c r="J31" i="8"/>
  <c r="K31" i="8"/>
  <c r="L31" i="8"/>
  <c r="L36" i="8" s="1"/>
  <c r="M31" i="8"/>
  <c r="M36" i="8" s="1"/>
  <c r="N31" i="8"/>
  <c r="N36" i="8" s="1"/>
  <c r="O31" i="8"/>
  <c r="L20" i="8"/>
  <c r="Q20" i="8"/>
  <c r="Q22" i="8" s="1"/>
  <c r="F33" i="8"/>
  <c r="G21" i="8" s="1"/>
  <c r="F34" i="8"/>
  <c r="G34" i="8"/>
  <c r="G36" i="8" s="1"/>
  <c r="H34" i="8"/>
  <c r="H36" i="8" s="1"/>
  <c r="N35" i="8"/>
  <c r="O35" i="8"/>
  <c r="E36" i="8"/>
  <c r="E49" i="8" s="1"/>
  <c r="I36" i="8"/>
  <c r="J36" i="8"/>
  <c r="O36" i="8"/>
  <c r="I40" i="8"/>
  <c r="I41" i="8" s="1"/>
  <c r="J35" i="8" s="1"/>
  <c r="K40" i="8"/>
  <c r="V40" i="8"/>
  <c r="V41" i="8" s="1"/>
  <c r="Y40" i="8"/>
  <c r="Y41" i="8" s="1"/>
  <c r="G41" i="8"/>
  <c r="H41" i="8"/>
  <c r="I35" i="8" s="1"/>
  <c r="J41" i="8"/>
  <c r="K41" i="8"/>
  <c r="L35" i="8" s="1"/>
  <c r="L41" i="8"/>
  <c r="M35" i="8" s="1"/>
  <c r="M41" i="8"/>
  <c r="N41" i="8"/>
  <c r="O41" i="8"/>
  <c r="S41" i="8"/>
  <c r="T41" i="8"/>
  <c r="W41" i="8"/>
  <c r="E50" i="8"/>
  <c r="E51" i="5"/>
  <c r="D45" i="5"/>
  <c r="D43" i="5"/>
  <c r="E43" i="5" s="1"/>
  <c r="D42" i="5"/>
  <c r="E42" i="5" s="1"/>
  <c r="D47" i="5"/>
  <c r="E47" i="5" s="1"/>
  <c r="D46" i="5"/>
  <c r="E46" i="5" s="1"/>
  <c r="D38" i="5"/>
  <c r="W30" i="8" l="1"/>
  <c r="W36" i="8" s="1"/>
  <c r="U30" i="8"/>
  <c r="U36" i="8" s="1"/>
  <c r="U49" i="8" s="1"/>
  <c r="R36" i="8"/>
  <c r="E44" i="5"/>
  <c r="Q36" i="8"/>
  <c r="V36" i="8"/>
  <c r="L22" i="8"/>
  <c r="H35" i="8"/>
  <c r="F49" i="8"/>
  <c r="G49" i="8" s="1"/>
  <c r="H49" i="8" s="1"/>
  <c r="I49" i="8" s="1"/>
  <c r="J49" i="8" s="1"/>
  <c r="K49" i="8" s="1"/>
  <c r="L49" i="8" s="1"/>
  <c r="M49" i="8" s="1"/>
  <c r="G22" i="8"/>
  <c r="F36" i="8"/>
  <c r="F50" i="8" s="1"/>
  <c r="G50" i="8" s="1"/>
  <c r="H50" i="8" s="1"/>
  <c r="I50" i="8" s="1"/>
  <c r="J50" i="8" s="1"/>
  <c r="K50" i="8" s="1"/>
  <c r="L50" i="8" s="1"/>
  <c r="M50" i="8" s="1"/>
  <c r="P36" i="8"/>
  <c r="P50" i="8" s="1"/>
  <c r="F30" i="8"/>
  <c r="G35" i="8" s="1"/>
  <c r="T36" i="8"/>
  <c r="S36" i="8"/>
  <c r="K36" i="8"/>
  <c r="E14" i="7"/>
  <c r="E15" i="7"/>
  <c r="E17" i="7"/>
  <c r="E18" i="7"/>
  <c r="E13" i="7"/>
  <c r="E9" i="7"/>
  <c r="E10" i="7"/>
  <c r="E8" i="7"/>
  <c r="E39" i="5"/>
  <c r="E40" i="5"/>
  <c r="E41" i="5"/>
  <c r="E38" i="5"/>
  <c r="E27" i="5"/>
  <c r="E28" i="5"/>
  <c r="E29" i="5"/>
  <c r="E30" i="5"/>
  <c r="E31" i="5"/>
  <c r="E32" i="5"/>
  <c r="E33" i="5"/>
  <c r="E34" i="5"/>
  <c r="E25" i="5"/>
  <c r="E16" i="5"/>
  <c r="E7" i="5"/>
  <c r="E19" i="5"/>
  <c r="E21" i="5"/>
  <c r="E12" i="5"/>
  <c r="E17" i="5"/>
  <c r="E8" i="5"/>
  <c r="E9" i="5"/>
  <c r="E10" i="5"/>
  <c r="E13" i="5"/>
  <c r="E14" i="5"/>
  <c r="E20" i="5"/>
  <c r="E11" i="5"/>
  <c r="E15" i="5"/>
  <c r="E45" i="5"/>
  <c r="D26" i="5"/>
  <c r="E26" i="5" s="1"/>
  <c r="D18" i="5"/>
  <c r="E18" i="5" s="1"/>
  <c r="D6" i="5"/>
  <c r="E6" i="5" s="1"/>
  <c r="D22" i="7"/>
  <c r="F22" i="7" s="1"/>
  <c r="F18" i="7"/>
  <c r="U18" i="7" s="1"/>
  <c r="F17" i="7"/>
  <c r="U17" i="7" s="1"/>
  <c r="D16" i="7"/>
  <c r="F16" i="7" s="1"/>
  <c r="U16" i="7" s="1"/>
  <c r="F15" i="7"/>
  <c r="U15" i="7" s="1"/>
  <c r="F14" i="7"/>
  <c r="U14" i="7" s="1"/>
  <c r="F13" i="7"/>
  <c r="U13" i="7" s="1"/>
  <c r="R10" i="7"/>
  <c r="D7" i="7"/>
  <c r="F7" i="7" s="1"/>
  <c r="U9" i="7" s="1"/>
  <c r="D6" i="7"/>
  <c r="F6" i="7" s="1"/>
  <c r="D5" i="7"/>
  <c r="F5" i="7" s="1"/>
  <c r="T7" i="7" s="1"/>
  <c r="S6" i="7"/>
  <c r="R6" i="7"/>
  <c r="F9" i="7"/>
  <c r="R5" i="7"/>
  <c r="F8" i="7"/>
  <c r="V49" i="8" l="1"/>
  <c r="U50" i="8"/>
  <c r="S8" i="7"/>
  <c r="E7" i="7"/>
  <c r="E22" i="7"/>
  <c r="E16" i="7"/>
  <c r="E6" i="7"/>
  <c r="R38" i="5"/>
  <c r="W49" i="8" l="1"/>
  <c r="V50" i="8"/>
  <c r="Y38" i="5"/>
  <c r="S38" i="5"/>
  <c r="V38" i="5"/>
  <c r="Q49" i="5"/>
  <c r="T49" i="5" s="1"/>
  <c r="S43" i="5"/>
  <c r="T34" i="5"/>
  <c r="R33" i="5"/>
  <c r="U33" i="5" s="1"/>
  <c r="T32" i="5"/>
  <c r="W32" i="5" s="1"/>
  <c r="T31" i="5"/>
  <c r="W31" i="5" s="1"/>
  <c r="T30" i="5"/>
  <c r="W30" i="5" s="1"/>
  <c r="T29" i="5"/>
  <c r="W29" i="5" s="1"/>
  <c r="T28" i="5"/>
  <c r="W28" i="5" s="1"/>
  <c r="T27" i="5"/>
  <c r="W27" i="5" s="1"/>
  <c r="T25" i="5"/>
  <c r="W25" i="5" s="1"/>
  <c r="R21" i="5"/>
  <c r="U21" i="5" s="1"/>
  <c r="R19" i="5"/>
  <c r="U19" i="5" s="1"/>
  <c r="R18" i="5"/>
  <c r="U18" i="5" s="1"/>
  <c r="R17" i="5"/>
  <c r="U17" i="5" s="1"/>
  <c r="O16" i="5"/>
  <c r="R16" i="5"/>
  <c r="U16" i="5" s="1"/>
  <c r="R15" i="5"/>
  <c r="U15" i="5" s="1"/>
  <c r="S14" i="5"/>
  <c r="V14" i="5" s="1"/>
  <c r="R13" i="5"/>
  <c r="U13" i="5" s="1"/>
  <c r="T11" i="5"/>
  <c r="W11" i="5" s="1"/>
  <c r="R9" i="5"/>
  <c r="U9" i="5" s="1"/>
  <c r="S8" i="5"/>
  <c r="V8" i="5" s="1"/>
  <c r="R7" i="5"/>
  <c r="U7" i="5" s="1"/>
  <c r="R6" i="5"/>
  <c r="U6" i="5" s="1"/>
  <c r="X49" i="8" l="1"/>
  <c r="W50" i="8"/>
  <c r="R49" i="5"/>
  <c r="U49" i="5" s="1"/>
  <c r="S10" i="5"/>
  <c r="V10" i="5" s="1"/>
  <c r="T26" i="5"/>
  <c r="W26" i="5" s="1"/>
  <c r="Y49" i="8" l="1"/>
  <c r="Y50" i="8" s="1"/>
  <c r="X5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tc={FAA48251-EF78-4A70-9C71-B23A152C5136}</author>
  </authors>
  <commentList>
    <comment ref="M30" authorId="0" shapeId="0" xr:uid="{FAA48251-EF78-4A70-9C71-B23A152C5136}">
      <text>
        <t>[Threaded comment]
Your version of Excel allows you to read this threaded comment; however, any edits to it will get removed if the file is opened in a newer version of Excel. Learn more: https://go.microsoft.com/fwlink/?linkid=870924
Comment:
    Ovo mi je plaćanje šasija sa cijelim PDV-om</t>
      </text>
    </comment>
  </commentList>
</comments>
</file>

<file path=xl/sharedStrings.xml><?xml version="1.0" encoding="utf-8"?>
<sst xmlns="http://schemas.openxmlformats.org/spreadsheetml/2006/main" count="208" uniqueCount="170">
  <si>
    <t>M1</t>
  </si>
  <si>
    <t>Zahtjev NO.</t>
  </si>
  <si>
    <t>Kupac/Dobavljač</t>
  </si>
  <si>
    <t>Roba</t>
  </si>
  <si>
    <t>cijena bez pdv</t>
  </si>
  <si>
    <t>Cijena s pdv</t>
  </si>
  <si>
    <t>datum plaćanja</t>
  </si>
  <si>
    <t>postotak placanja - narudžba</t>
  </si>
  <si>
    <t>ostatak plaćanja</t>
  </si>
  <si>
    <t>Postotak uplate</t>
  </si>
  <si>
    <t>Isporuka u danima</t>
  </si>
  <si>
    <t>Kada je potrebno da roba bude koda nas</t>
  </si>
  <si>
    <t>IX</t>
  </si>
  <si>
    <t>X</t>
  </si>
  <si>
    <t>XI</t>
  </si>
  <si>
    <t>XII</t>
  </si>
  <si>
    <t>I</t>
  </si>
  <si>
    <t>II</t>
  </si>
  <si>
    <t>III</t>
  </si>
  <si>
    <t>IV</t>
  </si>
  <si>
    <t>V</t>
  </si>
  <si>
    <t>VI</t>
  </si>
  <si>
    <t>VII</t>
  </si>
  <si>
    <t>VIII</t>
  </si>
  <si>
    <t>Repromaterijal</t>
  </si>
  <si>
    <t>KACIN METALIKA</t>
  </si>
  <si>
    <t>amortizeri i kvake</t>
  </si>
  <si>
    <t>TRGOAUTO V</t>
  </si>
  <si>
    <t>rasvjeta</t>
  </si>
  <si>
    <t>METAL PLUS</t>
  </si>
  <si>
    <t>ventili i pneumatika</t>
  </si>
  <si>
    <t>7. EURO</t>
  </si>
  <si>
    <t xml:space="preserve">Kovac Čelik </t>
  </si>
  <si>
    <t>razno</t>
  </si>
  <si>
    <t>Intermobil</t>
  </si>
  <si>
    <t>kardani</t>
  </si>
  <si>
    <t>Mold d.o.o.</t>
  </si>
  <si>
    <t>plastika za soške</t>
  </si>
  <si>
    <t>FORCH</t>
  </si>
  <si>
    <t>ljepilo za nadogradnju</t>
  </si>
  <si>
    <t>8. KUNSKI</t>
  </si>
  <si>
    <t>4X4 PERFORMANC</t>
  </si>
  <si>
    <t>vinč</t>
  </si>
  <si>
    <t>K.L.I.K.CUTTING d.o.o.</t>
  </si>
  <si>
    <t>tokarski dio</t>
  </si>
  <si>
    <t>Liktin</t>
  </si>
  <si>
    <t>amortizeri za spremnik + gume za polušasiju-šasiju</t>
  </si>
  <si>
    <t>Control Engineering d.o.o.</t>
  </si>
  <si>
    <t>za motorolu</t>
  </si>
  <si>
    <t>Atrio d.o.o.</t>
  </si>
  <si>
    <t>protuklizni premaz</t>
  </si>
  <si>
    <t>Lumbertrans / englez</t>
  </si>
  <si>
    <t>gumeni nosači za opremu</t>
  </si>
  <si>
    <t>3 mj</t>
  </si>
  <si>
    <t>BIJUK HPC</t>
  </si>
  <si>
    <t>hidraulični priključci</t>
  </si>
  <si>
    <t>Strojopromet</t>
  </si>
  <si>
    <t>Mariterm</t>
  </si>
  <si>
    <t>kompenzator</t>
  </si>
  <si>
    <t>2 mj</t>
  </si>
  <si>
    <t>Oprema</t>
  </si>
  <si>
    <t>DRAGER</t>
  </si>
  <si>
    <t>dišni aparati</t>
  </si>
  <si>
    <t>ERGOTEHNIKA</t>
  </si>
  <si>
    <t>ventilatori+lampe+čizme</t>
  </si>
  <si>
    <t>Zvončica</t>
  </si>
  <si>
    <t>stihl + ostala oprema</t>
  </si>
  <si>
    <t>15-60</t>
  </si>
  <si>
    <t>TAPESS</t>
  </si>
  <si>
    <t>sanitarni dio</t>
  </si>
  <si>
    <t>KSA</t>
  </si>
  <si>
    <t>motalica + reflektor</t>
  </si>
  <si>
    <t>Berner</t>
  </si>
  <si>
    <t>brusilica</t>
  </si>
  <si>
    <t>CIAK TRUCK d.o.o.</t>
  </si>
  <si>
    <t>gabaritne trake</t>
  </si>
  <si>
    <t>Intercars</t>
  </si>
  <si>
    <t>podmetači</t>
  </si>
  <si>
    <t>Nežić</t>
  </si>
  <si>
    <t>boja za polušasiju</t>
  </si>
  <si>
    <t>Brenntag Hrvatska d.o.o.</t>
  </si>
  <si>
    <t>kanisteri za pjenilo</t>
  </si>
  <si>
    <t>Kooperanti</t>
  </si>
  <si>
    <t>VOLVO - 3 šasije</t>
  </si>
  <si>
    <t>VOLVO - 4 šasija</t>
  </si>
  <si>
    <t>VOLVO - 7 šasija</t>
  </si>
  <si>
    <t>VOLVO- 7 šasija</t>
  </si>
  <si>
    <t>Autoprijevoznički obrt "Adut", vl. Dubravko Franolić</t>
  </si>
  <si>
    <t>pjeskarenje polušasija</t>
  </si>
  <si>
    <t>MOBI TOY, vl- Ivica Zbašnik</t>
  </si>
  <si>
    <t>plastificiranje</t>
  </si>
  <si>
    <t>Šilica</t>
  </si>
  <si>
    <t>trake</t>
  </si>
  <si>
    <t>PLASTIKA NOVA</t>
  </si>
  <si>
    <t>spremnici 4 kom</t>
  </si>
  <si>
    <t>spremnici 3 kom</t>
  </si>
  <si>
    <t>spremnici 7 kom</t>
  </si>
  <si>
    <t>30/70-100</t>
  </si>
  <si>
    <t>MIČETIĆ - 1 nadogradnja</t>
  </si>
  <si>
    <t>Deviza</t>
  </si>
  <si>
    <t>Cijena ponude za 7 vozila u kn</t>
  </si>
  <si>
    <t>HAFELE</t>
  </si>
  <si>
    <t>vodilice</t>
  </si>
  <si>
    <t>02 mj</t>
  </si>
  <si>
    <t>MALECO</t>
  </si>
  <si>
    <t>pumpa</t>
  </si>
  <si>
    <t>sredinom 02 mj</t>
  </si>
  <si>
    <t>MCD</t>
  </si>
  <si>
    <t>rolete</t>
  </si>
  <si>
    <t>50-100</t>
  </si>
  <si>
    <t>Emitter</t>
  </si>
  <si>
    <t>nivokaz+timer</t>
  </si>
  <si>
    <t>CRI REELS</t>
  </si>
  <si>
    <t>vitla</t>
  </si>
  <si>
    <t>kraj 03 / početak 04 mj</t>
  </si>
  <si>
    <t>Epark (shenzhen) Technology Ltd.</t>
  </si>
  <si>
    <t>kamere</t>
  </si>
  <si>
    <t>GAMAT</t>
  </si>
  <si>
    <t>agregat</t>
  </si>
  <si>
    <t>DELTA FIRE</t>
  </si>
  <si>
    <t>turbo mlaznice</t>
  </si>
  <si>
    <t xml:space="preserve">Dönges </t>
  </si>
  <si>
    <t>oprema</t>
  </si>
  <si>
    <t>Protiplam</t>
  </si>
  <si>
    <t>JUST</t>
  </si>
  <si>
    <t>ljestve</t>
  </si>
  <si>
    <t>VIP TEHNIKA</t>
  </si>
  <si>
    <t>membranska pumpa</t>
  </si>
  <si>
    <t>SU-AD</t>
  </si>
  <si>
    <t>nadogradnja</t>
  </si>
  <si>
    <t>14/15 nadogradnja 05.02. / zadnjih 7 u 4 mj</t>
  </si>
  <si>
    <t>CASH FLOW</t>
  </si>
  <si>
    <t>ZABA - Revolving Kredit</t>
  </si>
  <si>
    <t>ZABA - Revolving</t>
  </si>
  <si>
    <t>Vlastita sredstva /plaćanje po projektu</t>
  </si>
  <si>
    <t>predviđanje prihoda 2020</t>
  </si>
  <si>
    <t>Rashod ukupno:</t>
  </si>
  <si>
    <t>PDV za platiti državi</t>
  </si>
  <si>
    <t>Razno/kooperanti</t>
  </si>
  <si>
    <t>Ostali troškovi ZABA ( naknade, drugi krediti, itd…)</t>
  </si>
  <si>
    <t>zavisni trošak</t>
  </si>
  <si>
    <t>trošak rada</t>
  </si>
  <si>
    <t>PDV</t>
  </si>
  <si>
    <t>Trošak izrade projekta MUP 21 autocisterna</t>
  </si>
  <si>
    <t>ukupno trošak</t>
  </si>
  <si>
    <t>zavisni (4 mjeseci)</t>
  </si>
  <si>
    <t>zavisni (3 mjeseci)</t>
  </si>
  <si>
    <t>zavisni (10 mjeseci)</t>
  </si>
  <si>
    <t>Rad (4 mjeseci)</t>
  </si>
  <si>
    <t>Rad (3 mjeseci)</t>
  </si>
  <si>
    <t>Rad (10 mjeseci)</t>
  </si>
  <si>
    <t>trošak materijala</t>
  </si>
  <si>
    <t>Trošak proizvoda 7 kom</t>
  </si>
  <si>
    <t>Trošak proizvoda 4 kom</t>
  </si>
  <si>
    <t>Trošak proizvoda 10 kom</t>
  </si>
  <si>
    <t>isporuka (12 mjesec)</t>
  </si>
  <si>
    <t>nadogradnja (10 mjesec)</t>
  </si>
  <si>
    <t>šasija (6 mjesec)</t>
  </si>
  <si>
    <t>potpis (5 mjesec)</t>
  </si>
  <si>
    <t>treće vozilo</t>
  </si>
  <si>
    <t>isporuka 60 dana od kraka</t>
  </si>
  <si>
    <t>60 dana od nadog.</t>
  </si>
  <si>
    <t>60 dana od šasije</t>
  </si>
  <si>
    <t>90 dana od potpisa</t>
  </si>
  <si>
    <t>22,5%</t>
  </si>
  <si>
    <t>dva vozila</t>
  </si>
  <si>
    <t>Materijal MUP tuzemno</t>
  </si>
  <si>
    <t>materijal - inozemno</t>
  </si>
  <si>
    <t>naš novac sa novcem na poreznoj</t>
  </si>
  <si>
    <t>naš novac na žiro računu kraj mjeseca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</si>
</sst>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\ _k_n_-;\-* #,##0.00\ _k_n_-;_-* &quot;-&quot;??\ _k_n_-;_-@_-"/>
    <numFmt numFmtId="165" formatCode="#,##0.00\ &quot;kn&quot;"/>
    <numFmt numFmtId="166" formatCode="00000"/>
    <numFmt numFmtId="167" formatCode="d/m/;@"/>
    <numFmt numFmtId="168" formatCode="#,##0.00\ _k_n"/>
    <numFmt numFmtId="169" formatCode="dd/mm/yy/;@"/>
    <numFmt numFmtId="170" formatCode="[$-41A]mmmm\-yy;@"/>
    <numFmt numFmtId="171" formatCode="[$-F800]dddd\,\ mmmm\ dd\,\ yyyy"/>
  </numFmts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color rgb="FF660033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name val="Arial"/>
      <family val="2"/>
    </font>
    <font>
      <sz val="10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3" fillId="0" borderId="0" applyBorder="0"/>
  </cellStyleXfs>
  <cellXfs count="32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65" fontId="0" fillId="0" borderId="5" xfId="0" applyNumberFormat="1" applyBorder="1" applyAlignment="1">
      <alignment horizontal="right"/>
    </xf>
    <xf numFmtId="0" fontId="1" fillId="0" borderId="2" xfId="0" applyFont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6" xfId="0" applyNumberFormat="1" applyBorder="1" applyAlignment="1">
      <alignment horizontal="right"/>
    </xf>
    <xf numFmtId="165" fontId="0" fillId="0" borderId="0" xfId="0" applyNumberFormat="1"/>
    <xf numFmtId="0" fontId="0" fillId="0" borderId="5" xfId="0" applyBorder="1"/>
    <xf numFmtId="0" fontId="0" fillId="0" borderId="27" xfId="0" applyBorder="1"/>
    <xf numFmtId="0" fontId="0" fillId="2" borderId="0" xfId="0" applyFill="1" applyAlignment="1">
      <alignment horizontal="center" vertical="center"/>
    </xf>
    <xf numFmtId="0" fontId="1" fillId="0" borderId="32" xfId="0" applyFont="1" applyFill="1" applyBorder="1" applyAlignment="1">
      <alignment horizontal="center" wrapText="1"/>
    </xf>
    <xf numFmtId="10" fontId="0" fillId="0" borderId="16" xfId="0" applyNumberFormat="1" applyBorder="1"/>
    <xf numFmtId="10" fontId="0" fillId="0" borderId="24" xfId="0" applyNumberFormat="1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3" xfId="0" applyBorder="1"/>
    <xf numFmtId="0" fontId="0" fillId="0" borderId="13" xfId="0" applyBorder="1"/>
    <xf numFmtId="165" fontId="0" fillId="0" borderId="0" xfId="0" applyNumberFormat="1" applyBorder="1"/>
    <xf numFmtId="165" fontId="0" fillId="0" borderId="13" xfId="0" applyNumberFormat="1" applyBorder="1"/>
    <xf numFmtId="0" fontId="4" fillId="0" borderId="0" xfId="0" applyFont="1"/>
    <xf numFmtId="165" fontId="4" fillId="0" borderId="0" xfId="0" applyNumberFormat="1" applyFont="1"/>
    <xf numFmtId="0" fontId="0" fillId="0" borderId="33" xfId="0" applyBorder="1"/>
    <xf numFmtId="0" fontId="0" fillId="0" borderId="34" xfId="0" applyBorder="1"/>
    <xf numFmtId="0" fontId="0" fillId="0" borderId="9" xfId="0" applyBorder="1"/>
    <xf numFmtId="165" fontId="4" fillId="0" borderId="0" xfId="0" applyNumberFormat="1" applyFont="1" applyBorder="1"/>
    <xf numFmtId="165" fontId="0" fillId="0" borderId="33" xfId="0" applyNumberFormat="1" applyBorder="1"/>
    <xf numFmtId="165" fontId="0" fillId="0" borderId="34" xfId="0" applyNumberFormat="1" applyBorder="1"/>
    <xf numFmtId="0" fontId="0" fillId="0" borderId="0" xfId="0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30" xfId="0" applyBorder="1"/>
    <xf numFmtId="0" fontId="0" fillId="0" borderId="36" xfId="0" applyBorder="1"/>
    <xf numFmtId="10" fontId="0" fillId="0" borderId="5" xfId="0" applyNumberFormat="1" applyBorder="1"/>
    <xf numFmtId="0" fontId="1" fillId="0" borderId="10" xfId="0" applyFont="1" applyBorder="1" applyAlignment="1">
      <alignment vertical="center" textRotation="90"/>
    </xf>
    <xf numFmtId="0" fontId="0" fillId="0" borderId="3" xfId="0" applyBorder="1" applyAlignment="1">
      <alignment vertical="center" textRotation="90"/>
    </xf>
    <xf numFmtId="0" fontId="0" fillId="0" borderId="0" xfId="0" applyNumberFormat="1"/>
    <xf numFmtId="0" fontId="1" fillId="0" borderId="2" xfId="0" applyFont="1" applyBorder="1" applyAlignment="1">
      <alignment horizontal="right" wrapText="1"/>
    </xf>
    <xf numFmtId="0" fontId="1" fillId="0" borderId="32" xfId="0" applyNumberFormat="1" applyFont="1" applyFill="1" applyBorder="1" applyAlignment="1">
      <alignment horizontal="center" wrapText="1"/>
    </xf>
    <xf numFmtId="0" fontId="0" fillId="0" borderId="16" xfId="0" applyNumberFormat="1" applyBorder="1"/>
    <xf numFmtId="0" fontId="0" fillId="0" borderId="24" xfId="0" applyNumberFormat="1" applyBorder="1"/>
    <xf numFmtId="0" fontId="0" fillId="5" borderId="11" xfId="0" applyFill="1" applyBorder="1"/>
    <xf numFmtId="0" fontId="0" fillId="6" borderId="20" xfId="0" applyFill="1" applyBorder="1"/>
    <xf numFmtId="0" fontId="3" fillId="6" borderId="20" xfId="0" applyFont="1" applyFill="1" applyBorder="1" applyAlignment="1">
      <alignment vertical="center" wrapText="1"/>
    </xf>
    <xf numFmtId="0" fontId="3" fillId="6" borderId="12" xfId="0" applyFont="1" applyFill="1" applyBorder="1" applyAlignment="1">
      <alignment vertical="center" wrapText="1"/>
    </xf>
    <xf numFmtId="0" fontId="0" fillId="6" borderId="5" xfId="0" applyFill="1" applyBorder="1"/>
    <xf numFmtId="0" fontId="3" fillId="6" borderId="5" xfId="0" applyFont="1" applyFill="1" applyBorder="1" applyAlignment="1">
      <alignment vertical="center" wrapText="1"/>
    </xf>
    <xf numFmtId="164" fontId="3" fillId="2" borderId="15" xfId="1" applyFont="1" applyFill="1" applyBorder="1" applyAlignment="1">
      <alignment horizontal="right" vertical="center" wrapText="1"/>
    </xf>
    <xf numFmtId="165" fontId="0" fillId="0" borderId="20" xfId="0" applyNumberFormat="1" applyBorder="1" applyAlignment="1">
      <alignment horizontal="right"/>
    </xf>
    <xf numFmtId="0" fontId="0" fillId="0" borderId="5" xfId="0" applyNumberFormat="1" applyBorder="1"/>
    <xf numFmtId="10" fontId="0" fillId="3" borderId="5" xfId="0" applyNumberFormat="1" applyFill="1" applyBorder="1"/>
    <xf numFmtId="10" fontId="0" fillId="0" borderId="4" xfId="0" applyNumberFormat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3" borderId="27" xfId="0" applyNumberFormat="1" applyFill="1" applyBorder="1"/>
    <xf numFmtId="0" fontId="0" fillId="5" borderId="28" xfId="0" applyFill="1" applyBorder="1"/>
    <xf numFmtId="0" fontId="0" fillId="6" borderId="35" xfId="0" applyFill="1" applyBorder="1"/>
    <xf numFmtId="0" fontId="3" fillId="6" borderId="35" xfId="0" applyFont="1" applyFill="1" applyBorder="1" applyAlignment="1">
      <alignment vertical="center" wrapText="1"/>
    </xf>
    <xf numFmtId="0" fontId="0" fillId="6" borderId="17" xfId="0" applyFill="1" applyBorder="1"/>
    <xf numFmtId="0" fontId="0" fillId="6" borderId="15" xfId="0" applyFill="1" applyBorder="1"/>
    <xf numFmtId="0" fontId="0" fillId="6" borderId="0" xfId="0" applyFill="1" applyBorder="1"/>
    <xf numFmtId="0" fontId="0" fillId="7" borderId="27" xfId="0" applyNumberFormat="1" applyFill="1" applyBorder="1"/>
    <xf numFmtId="0" fontId="0" fillId="5" borderId="20" xfId="0" applyFill="1" applyBorder="1"/>
    <xf numFmtId="0" fontId="0" fillId="5" borderId="29" xfId="0" applyFill="1" applyBorder="1"/>
    <xf numFmtId="167" fontId="0" fillId="0" borderId="11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26" xfId="0" applyNumberFormat="1" applyBorder="1" applyAlignment="1">
      <alignment horizontal="center" vertical="center"/>
    </xf>
    <xf numFmtId="168" fontId="0" fillId="0" borderId="20" xfId="0" applyNumberFormat="1" applyBorder="1" applyAlignment="1">
      <alignment horizontal="center" vertical="center"/>
    </xf>
    <xf numFmtId="168" fontId="0" fillId="2" borderId="20" xfId="0" applyNumberFormat="1" applyFill="1" applyBorder="1" applyAlignment="1">
      <alignment horizontal="center" vertical="center"/>
    </xf>
    <xf numFmtId="168" fontId="0" fillId="0" borderId="0" xfId="0" applyNumberFormat="1"/>
    <xf numFmtId="169" fontId="0" fillId="0" borderId="0" xfId="0" applyNumberFormat="1" applyAlignment="1">
      <alignment horizontal="left"/>
    </xf>
    <xf numFmtId="169" fontId="1" fillId="0" borderId="32" xfId="0" applyNumberFormat="1" applyFont="1" applyFill="1" applyBorder="1" applyAlignment="1">
      <alignment horizontal="center" vertical="center" wrapText="1"/>
    </xf>
    <xf numFmtId="168" fontId="4" fillId="0" borderId="0" xfId="0" applyNumberFormat="1" applyFont="1"/>
    <xf numFmtId="168" fontId="0" fillId="0" borderId="5" xfId="0" applyNumberFormat="1" applyBorder="1" applyAlignment="1">
      <alignment horizontal="center" vertical="center"/>
    </xf>
    <xf numFmtId="168" fontId="0" fillId="0" borderId="27" xfId="0" applyNumberForma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8" fontId="0" fillId="0" borderId="31" xfId="0" applyNumberFormat="1" applyBorder="1"/>
    <xf numFmtId="168" fontId="0" fillId="0" borderId="11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18" xfId="0" applyNumberFormat="1" applyBorder="1" applyAlignment="1">
      <alignment horizontal="center" vertical="center"/>
    </xf>
    <xf numFmtId="168" fontId="0" fillId="0" borderId="15" xfId="0" applyNumberFormat="1" applyBorder="1" applyAlignment="1">
      <alignment horizontal="center" vertical="center"/>
    </xf>
    <xf numFmtId="168" fontId="0" fillId="0" borderId="19" xfId="0" applyNumberFormat="1" applyBorder="1" applyAlignment="1">
      <alignment horizontal="center" vertical="center"/>
    </xf>
    <xf numFmtId="164" fontId="3" fillId="2" borderId="35" xfId="1" applyFont="1" applyFill="1" applyBorder="1" applyAlignment="1">
      <alignment horizontal="right" vertical="center" wrapText="1"/>
    </xf>
    <xf numFmtId="0" fontId="1" fillId="0" borderId="33" xfId="0" applyFont="1" applyBorder="1" applyAlignment="1">
      <alignment horizontal="right" wrapText="1"/>
    </xf>
    <xf numFmtId="165" fontId="0" fillId="0" borderId="0" xfId="0" applyNumberFormat="1" applyBorder="1" applyAlignment="1">
      <alignment horizontal="right"/>
    </xf>
    <xf numFmtId="165" fontId="0" fillId="0" borderId="41" xfId="0" applyNumberFormat="1" applyBorder="1" applyAlignment="1">
      <alignment horizontal="right"/>
    </xf>
    <xf numFmtId="165" fontId="0" fillId="0" borderId="37" xfId="0" applyNumberFormat="1" applyBorder="1" applyAlignment="1">
      <alignment horizontal="right"/>
    </xf>
    <xf numFmtId="165" fontId="0" fillId="0" borderId="35" xfId="0" applyNumberFormat="1" applyBorder="1" applyAlignment="1">
      <alignment horizontal="right"/>
    </xf>
    <xf numFmtId="165" fontId="0" fillId="0" borderId="29" xfId="0" applyNumberFormat="1" applyBorder="1" applyAlignment="1">
      <alignment horizontal="right"/>
    </xf>
    <xf numFmtId="164" fontId="0" fillId="0" borderId="0" xfId="1" applyFont="1"/>
    <xf numFmtId="164" fontId="1" fillId="0" borderId="2" xfId="1" applyFont="1" applyBorder="1" applyAlignment="1">
      <alignment wrapText="1"/>
    </xf>
    <xf numFmtId="164" fontId="0" fillId="0" borderId="4" xfId="1" applyFont="1" applyBorder="1" applyAlignment="1">
      <alignment horizontal="center"/>
    </xf>
    <xf numFmtId="164" fontId="0" fillId="0" borderId="5" xfId="1" applyFont="1" applyBorder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33" xfId="0" applyNumberFormat="1" applyFont="1" applyBorder="1" applyAlignment="1">
      <alignment horizontal="right" wrapText="1"/>
    </xf>
    <xf numFmtId="14" fontId="0" fillId="0" borderId="0" xfId="0" applyNumberFormat="1" applyBorder="1" applyAlignment="1">
      <alignment horizontal="right"/>
    </xf>
    <xf numFmtId="14" fontId="0" fillId="0" borderId="41" xfId="0" applyNumberFormat="1" applyBorder="1" applyAlignment="1">
      <alignment horizontal="right"/>
    </xf>
    <xf numFmtId="14" fontId="0" fillId="0" borderId="37" xfId="0" applyNumberFormat="1" applyBorder="1" applyAlignment="1">
      <alignment horizontal="right"/>
    </xf>
    <xf numFmtId="14" fontId="0" fillId="0" borderId="35" xfId="0" applyNumberFormat="1" applyBorder="1" applyAlignment="1">
      <alignment horizontal="right"/>
    </xf>
    <xf numFmtId="14" fontId="0" fillId="0" borderId="39" xfId="0" applyNumberFormat="1" applyBorder="1" applyAlignment="1">
      <alignment horizontal="right"/>
    </xf>
    <xf numFmtId="14" fontId="0" fillId="0" borderId="29" xfId="0" applyNumberFormat="1" applyBorder="1" applyAlignment="1">
      <alignment horizontal="right"/>
    </xf>
    <xf numFmtId="14" fontId="0" fillId="3" borderId="5" xfId="0" applyNumberFormat="1" applyFill="1" applyBorder="1" applyAlignment="1">
      <alignment horizontal="right"/>
    </xf>
    <xf numFmtId="14" fontId="0" fillId="2" borderId="5" xfId="0" applyNumberFormat="1" applyFill="1" applyBorder="1" applyAlignment="1">
      <alignment horizontal="right"/>
    </xf>
    <xf numFmtId="0" fontId="1" fillId="0" borderId="32" xfId="0" applyNumberFormat="1" applyFont="1" applyFill="1" applyBorder="1" applyAlignment="1">
      <alignment horizontal="left" wrapText="1"/>
    </xf>
    <xf numFmtId="0" fontId="0" fillId="0" borderId="16" xfId="0" applyNumberFormat="1" applyBorder="1" applyAlignment="1">
      <alignment horizontal="left"/>
    </xf>
    <xf numFmtId="0" fontId="0" fillId="0" borderId="24" xfId="0" applyNumberFormat="1" applyBorder="1" applyAlignment="1">
      <alignment horizontal="left"/>
    </xf>
    <xf numFmtId="0" fontId="5" fillId="3" borderId="5" xfId="0" applyNumberFormat="1" applyFont="1" applyFill="1" applyBorder="1" applyAlignment="1">
      <alignment horizontal="left"/>
    </xf>
    <xf numFmtId="0" fontId="0" fillId="3" borderId="5" xfId="0" applyNumberFormat="1" applyFill="1" applyBorder="1" applyAlignment="1">
      <alignment horizontal="left"/>
    </xf>
    <xf numFmtId="0" fontId="0" fillId="5" borderId="5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164" fontId="3" fillId="2" borderId="5" xfId="1" applyFont="1" applyFill="1" applyBorder="1" applyAlignment="1">
      <alignment horizontal="right" vertical="center" wrapText="1"/>
    </xf>
    <xf numFmtId="14" fontId="0" fillId="0" borderId="5" xfId="0" applyNumberFormat="1" applyBorder="1" applyAlignment="1">
      <alignment horizontal="right"/>
    </xf>
    <xf numFmtId="0" fontId="5" fillId="7" borderId="5" xfId="0" applyNumberFormat="1" applyFont="1" applyFill="1" applyBorder="1"/>
    <xf numFmtId="0" fontId="0" fillId="7" borderId="5" xfId="0" applyNumberFormat="1" applyFill="1" applyBorder="1"/>
    <xf numFmtId="0" fontId="0" fillId="0" borderId="5" xfId="0" applyNumberFormat="1" applyFill="1" applyBorder="1"/>
    <xf numFmtId="10" fontId="0" fillId="0" borderId="5" xfId="0" applyNumberFormat="1" applyBorder="1" applyAlignment="1">
      <alignment horizontal="right"/>
    </xf>
    <xf numFmtId="0" fontId="0" fillId="5" borderId="43" xfId="0" applyFill="1" applyBorder="1"/>
    <xf numFmtId="0" fontId="0" fillId="5" borderId="44" xfId="0" applyFill="1" applyBorder="1"/>
    <xf numFmtId="164" fontId="0" fillId="0" borderId="8" xfId="1" applyFont="1" applyBorder="1" applyAlignment="1">
      <alignment horizontal="center"/>
    </xf>
    <xf numFmtId="0" fontId="0" fillId="6" borderId="4" xfId="0" applyFill="1" applyBorder="1"/>
    <xf numFmtId="0" fontId="0" fillId="6" borderId="18" xfId="0" applyFill="1" applyBorder="1"/>
    <xf numFmtId="164" fontId="3" fillId="2" borderId="4" xfId="1" applyFont="1" applyFill="1" applyBorder="1" applyAlignment="1">
      <alignment horizontal="right" vertical="center" wrapText="1"/>
    </xf>
    <xf numFmtId="14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0" fillId="7" borderId="26" xfId="0" applyNumberFormat="1" applyFill="1" applyBorder="1"/>
    <xf numFmtId="0" fontId="3" fillId="6" borderId="6" xfId="0" applyFont="1" applyFill="1" applyBorder="1" applyAlignment="1">
      <alignment vertical="center" wrapText="1"/>
    </xf>
    <xf numFmtId="164" fontId="3" fillId="2" borderId="6" xfId="1" applyFont="1" applyFill="1" applyBorder="1" applyAlignment="1">
      <alignment horizontal="right" vertical="center" wrapText="1"/>
    </xf>
    <xf numFmtId="4" fontId="0" fillId="2" borderId="6" xfId="0" applyNumberFormat="1" applyFill="1" applyBorder="1" applyAlignment="1">
      <alignment horizontal="right"/>
    </xf>
    <xf numFmtId="10" fontId="0" fillId="0" borderId="6" xfId="0" applyNumberFormat="1" applyBorder="1"/>
    <xf numFmtId="0" fontId="5" fillId="3" borderId="7" xfId="0" applyNumberFormat="1" applyFont="1" applyFill="1" applyBorder="1"/>
    <xf numFmtId="14" fontId="0" fillId="5" borderId="6" xfId="0" applyNumberFormat="1" applyFill="1" applyBorder="1" applyAlignment="1">
      <alignment horizontal="right"/>
    </xf>
    <xf numFmtId="14" fontId="0" fillId="5" borderId="5" xfId="0" applyNumberFormat="1" applyFill="1" applyBorder="1" applyAlignment="1">
      <alignment horizontal="right"/>
    </xf>
    <xf numFmtId="10" fontId="0" fillId="5" borderId="5" xfId="0" applyNumberFormat="1" applyFill="1" applyBorder="1" applyAlignment="1">
      <alignment horizontal="right"/>
    </xf>
    <xf numFmtId="10" fontId="0" fillId="5" borderId="6" xfId="0" applyNumberFormat="1" applyFill="1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167" fontId="0" fillId="0" borderId="29" xfId="0" applyNumberFormat="1" applyBorder="1" applyAlignment="1">
      <alignment horizontal="left" vertical="center"/>
    </xf>
    <xf numFmtId="167" fontId="0" fillId="0" borderId="35" xfId="0" applyNumberFormat="1" applyBorder="1" applyAlignment="1">
      <alignment horizontal="left" vertical="center"/>
    </xf>
    <xf numFmtId="166" fontId="0" fillId="5" borderId="39" xfId="0" applyNumberFormat="1" applyFill="1" applyBorder="1" applyAlignment="1">
      <alignment horizontal="center" vertical="center" wrapText="1"/>
    </xf>
    <xf numFmtId="10" fontId="0" fillId="0" borderId="29" xfId="0" applyNumberFormat="1" applyBorder="1"/>
    <xf numFmtId="0" fontId="0" fillId="0" borderId="29" xfId="0" applyBorder="1"/>
    <xf numFmtId="10" fontId="0" fillId="0" borderId="29" xfId="0" applyNumberFormat="1" applyFill="1" applyBorder="1"/>
    <xf numFmtId="0" fontId="0" fillId="5" borderId="45" xfId="0" applyFill="1" applyBorder="1"/>
    <xf numFmtId="0" fontId="0" fillId="5" borderId="42" xfId="0" applyFill="1" applyBorder="1"/>
    <xf numFmtId="164" fontId="0" fillId="0" borderId="14" xfId="1" applyFont="1" applyBorder="1" applyAlignment="1">
      <alignment horizontal="center"/>
    </xf>
    <xf numFmtId="10" fontId="0" fillId="0" borderId="39" xfId="0" applyNumberFormat="1" applyBorder="1" applyAlignment="1">
      <alignment horizontal="right"/>
    </xf>
    <xf numFmtId="0" fontId="0" fillId="6" borderId="11" xfId="0" applyFill="1" applyBorder="1"/>
    <xf numFmtId="14" fontId="0" fillId="5" borderId="4" xfId="0" applyNumberFormat="1" applyFill="1" applyBorder="1" applyAlignment="1">
      <alignment horizontal="right"/>
    </xf>
    <xf numFmtId="10" fontId="0" fillId="5" borderId="4" xfId="0" applyNumberFormat="1" applyFill="1" applyBorder="1" applyAlignment="1">
      <alignment horizontal="right"/>
    </xf>
    <xf numFmtId="10" fontId="0" fillId="5" borderId="26" xfId="0" applyNumberFormat="1" applyFill="1" applyBorder="1" applyAlignment="1">
      <alignment horizontal="right"/>
    </xf>
    <xf numFmtId="10" fontId="0" fillId="5" borderId="27" xfId="0" applyNumberFormat="1" applyFill="1" applyBorder="1" applyAlignment="1">
      <alignment horizontal="right"/>
    </xf>
    <xf numFmtId="0" fontId="0" fillId="6" borderId="12" xfId="0" applyFill="1" applyBorder="1"/>
    <xf numFmtId="0" fontId="0" fillId="6" borderId="6" xfId="0" applyFill="1" applyBorder="1"/>
    <xf numFmtId="0" fontId="0" fillId="3" borderId="29" xfId="0" applyFill="1" applyBorder="1"/>
    <xf numFmtId="164" fontId="0" fillId="0" borderId="18" xfId="1" applyFont="1" applyBorder="1"/>
    <xf numFmtId="164" fontId="0" fillId="0" borderId="15" xfId="1" applyFont="1" applyBorder="1"/>
    <xf numFmtId="164" fontId="0" fillId="0" borderId="19" xfId="1" applyFont="1" applyBorder="1"/>
    <xf numFmtId="14" fontId="0" fillId="5" borderId="11" xfId="0" applyNumberFormat="1" applyFill="1" applyBorder="1" applyAlignment="1">
      <alignment horizontal="right"/>
    </xf>
    <xf numFmtId="14" fontId="0" fillId="5" borderId="20" xfId="0" applyNumberFormat="1" applyFill="1" applyBorder="1" applyAlignment="1">
      <alignment horizontal="right"/>
    </xf>
    <xf numFmtId="14" fontId="0" fillId="5" borderId="12" xfId="0" applyNumberFormat="1" applyFill="1" applyBorder="1" applyAlignment="1">
      <alignment horizontal="right"/>
    </xf>
    <xf numFmtId="10" fontId="0" fillId="5" borderId="7" xfId="0" applyNumberFormat="1" applyFill="1" applyBorder="1" applyAlignment="1">
      <alignment horizontal="right"/>
    </xf>
    <xf numFmtId="0" fontId="0" fillId="6" borderId="41" xfId="0" applyFill="1" applyBorder="1"/>
    <xf numFmtId="10" fontId="0" fillId="0" borderId="26" xfId="0" applyNumberFormat="1" applyBorder="1" applyAlignment="1">
      <alignment horizontal="right"/>
    </xf>
    <xf numFmtId="10" fontId="0" fillId="0" borderId="27" xfId="0" applyNumberFormat="1" applyBorder="1" applyAlignment="1">
      <alignment horizontal="right"/>
    </xf>
    <xf numFmtId="0" fontId="0" fillId="6" borderId="43" xfId="0" applyFill="1" applyBorder="1"/>
    <xf numFmtId="0" fontId="0" fillId="6" borderId="19" xfId="0" applyFill="1" applyBorder="1"/>
    <xf numFmtId="14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10" fontId="0" fillId="0" borderId="7" xfId="0" applyNumberFormat="1" applyBorder="1" applyAlignment="1">
      <alignment horizontal="right"/>
    </xf>
    <xf numFmtId="168" fontId="0" fillId="0" borderId="0" xfId="1" applyNumberFormat="1" applyFont="1"/>
    <xf numFmtId="168" fontId="1" fillId="0" borderId="2" xfId="1" applyNumberFormat="1" applyFont="1" applyBorder="1" applyAlignment="1">
      <alignment wrapText="1"/>
    </xf>
    <xf numFmtId="168" fontId="0" fillId="0" borderId="4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3" borderId="4" xfId="0" applyNumberFormat="1" applyFill="1" applyBorder="1" applyAlignment="1">
      <alignment horizontal="right"/>
    </xf>
    <xf numFmtId="168" fontId="0" fillId="2" borderId="5" xfId="0" applyNumberFormat="1" applyFill="1" applyBorder="1" applyAlignment="1">
      <alignment horizontal="right"/>
    </xf>
    <xf numFmtId="168" fontId="0" fillId="3" borderId="5" xfId="0" applyNumberFormat="1" applyFill="1" applyBorder="1" applyAlignment="1">
      <alignment horizontal="right"/>
    </xf>
    <xf numFmtId="168" fontId="0" fillId="2" borderId="6" xfId="0" applyNumberFormat="1" applyFill="1" applyBorder="1" applyAlignment="1">
      <alignment horizontal="right"/>
    </xf>
    <xf numFmtId="168" fontId="0" fillId="0" borderId="8" xfId="1" applyNumberFormat="1" applyFont="1" applyBorder="1" applyAlignment="1">
      <alignment horizontal="center"/>
    </xf>
    <xf numFmtId="168" fontId="0" fillId="0" borderId="0" xfId="1" applyNumberFormat="1" applyFont="1" applyBorder="1"/>
    <xf numFmtId="168" fontId="0" fillId="2" borderId="4" xfId="0" applyNumberFormat="1" applyFill="1" applyBorder="1" applyAlignment="1">
      <alignment horizontal="right"/>
    </xf>
    <xf numFmtId="168" fontId="0" fillId="5" borderId="39" xfId="0" applyNumberFormat="1" applyFill="1" applyBorder="1" applyAlignment="1">
      <alignment horizontal="center" vertical="center" wrapText="1"/>
    </xf>
    <xf numFmtId="168" fontId="0" fillId="0" borderId="0" xfId="0" applyNumberFormat="1" applyBorder="1"/>
    <xf numFmtId="14" fontId="0" fillId="5" borderId="45" xfId="0" applyNumberFormat="1" applyFill="1" applyBorder="1" applyAlignment="1">
      <alignment horizontal="right"/>
    </xf>
    <xf numFmtId="10" fontId="0" fillId="5" borderId="14" xfId="0" applyNumberFormat="1" applyFill="1" applyBorder="1" applyAlignment="1">
      <alignment horizontal="right"/>
    </xf>
    <xf numFmtId="10" fontId="0" fillId="5" borderId="46" xfId="0" applyNumberFormat="1" applyFill="1" applyBorder="1" applyAlignment="1">
      <alignment horizontal="right"/>
    </xf>
    <xf numFmtId="0" fontId="0" fillId="5" borderId="12" xfId="0" applyFill="1" applyBorder="1"/>
    <xf numFmtId="0" fontId="0" fillId="5" borderId="6" xfId="0" applyFill="1" applyBorder="1"/>
    <xf numFmtId="168" fontId="0" fillId="5" borderId="6" xfId="0" applyNumberFormat="1" applyFill="1" applyBorder="1" applyAlignment="1">
      <alignment horizontal="right"/>
    </xf>
    <xf numFmtId="164" fontId="0" fillId="5" borderId="19" xfId="1" applyFont="1" applyFill="1" applyBorder="1"/>
    <xf numFmtId="14" fontId="0" fillId="3" borderId="6" xfId="0" applyNumberFormat="1" applyFill="1" applyBorder="1" applyAlignment="1">
      <alignment horizontal="right"/>
    </xf>
    <xf numFmtId="43" fontId="0" fillId="0" borderId="0" xfId="0" applyNumberFormat="1"/>
    <xf numFmtId="164" fontId="0" fillId="0" borderId="0" xfId="0" applyNumberFormat="1"/>
    <xf numFmtId="164" fontId="0" fillId="8" borderId="5" xfId="0" applyNumberFormat="1" applyFill="1" applyBorder="1"/>
    <xf numFmtId="164" fontId="5" fillId="9" borderId="5" xfId="1" applyFont="1" applyFill="1" applyBorder="1"/>
    <xf numFmtId="170" fontId="0" fillId="0" borderId="5" xfId="0" applyNumberFormat="1" applyBorder="1"/>
    <xf numFmtId="170" fontId="0" fillId="10" borderId="5" xfId="0" applyNumberFormat="1" applyFill="1" applyBorder="1"/>
    <xf numFmtId="170" fontId="0" fillId="11" borderId="5" xfId="0" applyNumberFormat="1" applyFill="1" applyBorder="1"/>
    <xf numFmtId="164" fontId="7" fillId="12" borderId="5" xfId="1" applyFont="1" applyFill="1" applyBorder="1"/>
    <xf numFmtId="164" fontId="5" fillId="12" borderId="5" xfId="1" applyFont="1" applyFill="1" applyBorder="1"/>
    <xf numFmtId="164" fontId="4" fillId="12" borderId="5" xfId="1" applyFont="1" applyFill="1" applyBorder="1"/>
    <xf numFmtId="164" fontId="8" fillId="12" borderId="5" xfId="1" applyFont="1" applyFill="1" applyBorder="1"/>
    <xf numFmtId="164" fontId="5" fillId="0" borderId="5" xfId="1" applyFont="1" applyBorder="1"/>
    <xf numFmtId="164" fontId="0" fillId="2" borderId="5" xfId="1" applyFont="1" applyFill="1" applyBorder="1"/>
    <xf numFmtId="164" fontId="5" fillId="2" borderId="5" xfId="1" applyFont="1" applyFill="1" applyBorder="1"/>
    <xf numFmtId="0" fontId="0" fillId="0" borderId="47" xfId="0" applyBorder="1"/>
    <xf numFmtId="164" fontId="9" fillId="3" borderId="44" xfId="0" applyNumberFormat="1" applyFont="1" applyFill="1" applyBorder="1"/>
    <xf numFmtId="164" fontId="5" fillId="0" borderId="49" xfId="1" applyFont="1" applyBorder="1"/>
    <xf numFmtId="164" fontId="10" fillId="0" borderId="49" xfId="1" applyFont="1" applyBorder="1"/>
    <xf numFmtId="164" fontId="9" fillId="0" borderId="49" xfId="1" applyFont="1" applyBorder="1"/>
    <xf numFmtId="164" fontId="0" fillId="0" borderId="50" xfId="1" applyFont="1" applyBorder="1"/>
    <xf numFmtId="164" fontId="0" fillId="0" borderId="5" xfId="1" applyFont="1" applyFill="1" applyBorder="1"/>
    <xf numFmtId="164" fontId="0" fillId="10" borderId="5" xfId="1" applyFont="1" applyFill="1" applyBorder="1"/>
    <xf numFmtId="164" fontId="0" fillId="11" borderId="5" xfId="1" applyFont="1" applyFill="1" applyBorder="1"/>
    <xf numFmtId="164" fontId="0" fillId="0" borderId="5" xfId="1" applyFont="1" applyBorder="1"/>
    <xf numFmtId="164" fontId="0" fillId="0" borderId="29" xfId="1" applyFont="1" applyBorder="1"/>
    <xf numFmtId="164" fontId="11" fillId="11" borderId="5" xfId="1" applyFont="1" applyFill="1" applyBorder="1"/>
    <xf numFmtId="164" fontId="11" fillId="0" borderId="5" xfId="1" applyFont="1" applyBorder="1"/>
    <xf numFmtId="0" fontId="0" fillId="10" borderId="5" xfId="0" applyFill="1" applyBorder="1"/>
    <xf numFmtId="0" fontId="6" fillId="0" borderId="29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2" fillId="0" borderId="5" xfId="2" applyFont="1" applyBorder="1"/>
    <xf numFmtId="9" fontId="12" fillId="0" borderId="5" xfId="2" applyNumberFormat="1" applyFont="1" applyBorder="1"/>
    <xf numFmtId="0" fontId="12" fillId="0" borderId="0" xfId="2" applyFont="1"/>
    <xf numFmtId="171" fontId="0" fillId="0" borderId="0" xfId="0" applyNumberFormat="1"/>
    <xf numFmtId="10" fontId="12" fillId="0" borderId="5" xfId="2" applyNumberFormat="1" applyFont="1" applyBorder="1"/>
    <xf numFmtId="10" fontId="12" fillId="0" borderId="5" xfId="1" applyNumberFormat="1" applyFont="1" applyBorder="1"/>
    <xf numFmtId="9" fontId="0" fillId="0" borderId="0" xfId="0" applyNumberFormat="1"/>
    <xf numFmtId="0" fontId="0" fillId="0" borderId="5" xfId="0" applyBorder="1" applyAlignment="1">
      <alignment vertical="center"/>
    </xf>
    <xf numFmtId="168" fontId="0" fillId="7" borderId="6" xfId="0" applyNumberFormat="1" applyFill="1" applyBorder="1" applyAlignment="1">
      <alignment horizontal="right"/>
    </xf>
    <xf numFmtId="0" fontId="3" fillId="6" borderId="11" xfId="0" applyFont="1" applyFill="1" applyBorder="1" applyAlignment="1">
      <alignment vertical="center" wrapText="1"/>
    </xf>
    <xf numFmtId="0" fontId="3" fillId="5" borderId="12" xfId="0" applyFont="1" applyFill="1" applyBorder="1" applyAlignment="1">
      <alignment vertical="center" wrapText="1"/>
    </xf>
    <xf numFmtId="0" fontId="0" fillId="6" borderId="45" xfId="0" applyFill="1" applyBorder="1"/>
    <xf numFmtId="0" fontId="3" fillId="6" borderId="4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0" fillId="6" borderId="14" xfId="0" applyFill="1" applyBorder="1"/>
    <xf numFmtId="168" fontId="0" fillId="2" borderId="14" xfId="0" applyNumberFormat="1" applyFill="1" applyBorder="1" applyAlignment="1">
      <alignment horizontal="right"/>
    </xf>
    <xf numFmtId="164" fontId="0" fillId="0" borderId="21" xfId="1" applyFont="1" applyBorder="1"/>
    <xf numFmtId="14" fontId="0" fillId="3" borderId="20" xfId="0" applyNumberFormat="1" applyFill="1" applyBorder="1" applyAlignment="1">
      <alignment horizontal="right"/>
    </xf>
    <xf numFmtId="14" fontId="0" fillId="3" borderId="14" xfId="0" applyNumberFormat="1" applyFill="1" applyBorder="1" applyAlignment="1">
      <alignment horizontal="right"/>
    </xf>
    <xf numFmtId="164" fontId="0" fillId="13" borderId="5" xfId="0" applyNumberFormat="1" applyFill="1" applyBorder="1"/>
    <xf numFmtId="164" fontId="5" fillId="12" borderId="49" xfId="1" applyFont="1" applyFill="1" applyBorder="1"/>
    <xf numFmtId="164" fontId="10" fillId="12" borderId="49" xfId="1" applyFont="1" applyFill="1" applyBorder="1"/>
    <xf numFmtId="0" fontId="1" fillId="0" borderId="9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1" fillId="0" borderId="38" xfId="0" applyFont="1" applyBorder="1" applyAlignment="1">
      <alignment horizontal="center" vertical="center" textRotation="90" wrapText="1"/>
    </xf>
    <xf numFmtId="0" fontId="1" fillId="0" borderId="40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166" fontId="0" fillId="4" borderId="35" xfId="0" applyNumberFormat="1" applyFill="1" applyBorder="1" applyAlignment="1">
      <alignment horizontal="center" vertical="center" wrapText="1"/>
    </xf>
    <xf numFmtId="166" fontId="0" fillId="4" borderId="23" xfId="0" applyNumberForma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166" fontId="0" fillId="4" borderId="39" xfId="0" applyNumberFormat="1" applyFill="1" applyBorder="1" applyAlignment="1">
      <alignment horizontal="center" vertical="center" wrapText="1"/>
    </xf>
    <xf numFmtId="166" fontId="0" fillId="4" borderId="22" xfId="0" applyNumberForma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51" xfId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164" fontId="0" fillId="0" borderId="8" xfId="1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5" xfId="1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21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21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47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6" fillId="0" borderId="15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164" fontId="12" fillId="0" borderId="14" xfId="1" applyFont="1" applyBorder="1" applyAlignment="1">
      <alignment horizontal="center" vertical="center"/>
    </xf>
    <xf numFmtId="164" fontId="12" fillId="0" borderId="8" xfId="1" applyFont="1" applyBorder="1" applyAlignment="1">
      <alignment horizontal="center" vertical="center"/>
    </xf>
    <xf numFmtId="0" fontId="12" fillId="0" borderId="5" xfId="2" applyFont="1" applyBorder="1" applyAlignment="1">
      <alignment horizontal="center"/>
    </xf>
    <xf numFmtId="164" fontId="12" fillId="0" borderId="5" xfId="1" applyFont="1" applyBorder="1" applyAlignment="1">
      <alignment horizontal="center" vertical="center"/>
    </xf>
    <xf numFmtId="164" fontId="14" fillId="0" borderId="14" xfId="1" applyFont="1" applyBorder="1" applyAlignment="1">
      <alignment horizontal="center" vertical="center"/>
    </xf>
    <xf numFmtId="164" fontId="14" fillId="0" borderId="52" xfId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 2" xfId="2" xr:uid="{4350B5BD-A3D0-4EBB-A2CB-3E1BEC15D4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MGS%20Grupa\2018\JANAF\Kalkulacija%20-%20%20zavrsno%20V3-za%20bank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alkulacija%20MUP%20cister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lkulacija"/>
      <sheetName val="MATERIJAL"/>
      <sheetName val="RAD"/>
      <sheetName val="NEPOSREDNI"/>
      <sheetName val="POSREDNI"/>
      <sheetName val="banka i sranja koja su trošak"/>
      <sheetName val="REKAPITULACIJA"/>
      <sheetName val="Sheet3"/>
      <sheetName val="Sheet2"/>
      <sheetName val="Sheet 4"/>
      <sheetName val="Sheet5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E13">
            <v>7747147.665</v>
          </cell>
        </row>
        <row r="57">
          <cell r="H57">
            <v>224750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fikacija"/>
      <sheetName val="Raščlamba"/>
      <sheetName val="MATERIJAL"/>
      <sheetName val="RAD"/>
      <sheetName val="NEPOSREDNI"/>
      <sheetName val="POSREDNI"/>
      <sheetName val="REKAPITULACIJA"/>
      <sheetName val="cash flow bez pdv-a"/>
      <sheetName val="neka računica"/>
      <sheetName val="cash flow bez šasija"/>
      <sheetName val="Sheet2"/>
      <sheetName val="Sheet3"/>
    </sheetNames>
    <sheetDataSet>
      <sheetData sheetId="0"/>
      <sheetData sheetId="1">
        <row r="14">
          <cell r="D14">
            <v>2800</v>
          </cell>
          <cell r="E14">
            <v>2300</v>
          </cell>
        </row>
        <row r="15">
          <cell r="D15">
            <v>1500</v>
          </cell>
          <cell r="E15">
            <v>5000</v>
          </cell>
        </row>
        <row r="18">
          <cell r="D18">
            <v>10000</v>
          </cell>
        </row>
        <row r="19">
          <cell r="D19">
            <v>6200</v>
          </cell>
        </row>
        <row r="21">
          <cell r="D21">
            <v>11000</v>
          </cell>
        </row>
        <row r="34">
          <cell r="E34">
            <v>62000</v>
          </cell>
        </row>
        <row r="41">
          <cell r="F41">
            <v>40000</v>
          </cell>
        </row>
      </sheetData>
      <sheetData sheetId="2">
        <row r="4">
          <cell r="C4">
            <v>477750</v>
          </cell>
        </row>
        <row r="5">
          <cell r="C5">
            <v>10750</v>
          </cell>
        </row>
        <row r="6">
          <cell r="C6">
            <v>107964.50714285714</v>
          </cell>
        </row>
        <row r="7">
          <cell r="C7">
            <v>74600</v>
          </cell>
        </row>
        <row r="8">
          <cell r="C8">
            <v>32560</v>
          </cell>
        </row>
        <row r="9">
          <cell r="C9">
            <v>75989.78571428571</v>
          </cell>
        </row>
        <row r="10">
          <cell r="C10">
            <v>73445</v>
          </cell>
        </row>
        <row r="13">
          <cell r="C13">
            <v>11100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do Seifried" id="{93FF2D1C-2E9C-415E-A47E-1090FC4FC737}" userId="S-1-5-21-4183133845-2513518004-1943695315-111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0" dT="2019-02-01T17:21:18.46" personId="{93FF2D1C-2E9C-415E-A47E-1090FC4FC737}" id="{FAA48251-EF78-4A70-9C71-B23A152C5136}">
    <text>Ovo mi je plaćanje šasija sa cijelim PDV-om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C767-A2B6-44FD-860E-AE33E372B6F4}">
  <sheetPr>
    <pageSetUpPr fitToPage="1"/>
  </sheetPr>
  <dimension ref="A1:AI52"/>
  <sheetViews>
    <sheetView zoomScale="85" zoomScaleNormal="85" workbookViewId="0">
      <pane ySplit="2" topLeftCell="A3" activePane="bottomLeft" state="frozen"/>
      <selection activeCell="H1" sqref="H1"/>
      <selection pane="bottomLeft" activeCell="D45" sqref="D45"/>
    </sheetView>
  </sheetViews>
  <sheetFormatPr defaultRowHeight="24.95" customHeight="1" x14ac:dyDescent="0.25"/>
  <cols>
    <col min="1" max="1" width="11.42578125" hidden="1" customWidth="1"/>
    <col min="2" max="2" width="28" bestFit="1" customWidth="1"/>
    <col min="3" max="3" width="23.42578125" customWidth="1"/>
    <col min="4" max="4" width="14.5703125" style="176" bestFit="1" customWidth="1"/>
    <col min="5" max="5" width="16" style="96" bestFit="1" customWidth="1"/>
    <col min="6" max="6" width="16.42578125" style="100" bestFit="1" customWidth="1"/>
    <col min="7" max="7" width="9.42578125" style="33" bestFit="1" customWidth="1"/>
    <col min="8" max="8" width="14.140625" style="100" bestFit="1" customWidth="1"/>
    <col min="9" max="9" width="14.42578125" style="33" customWidth="1"/>
    <col min="10" max="10" width="18.42578125" hidden="1" customWidth="1"/>
    <col min="11" max="11" width="11.140625" style="117" hidden="1" customWidth="1"/>
    <col min="12" max="12" width="21.5703125" style="74" hidden="1" customWidth="1"/>
    <col min="13" max="13" width="2.7109375" hidden="1" customWidth="1"/>
    <col min="14" max="14" width="5.85546875" hidden="1" customWidth="1"/>
    <col min="15" max="15" width="10.7109375" hidden="1" customWidth="1"/>
    <col min="16" max="16" width="11.7109375" hidden="1" customWidth="1"/>
    <col min="17" max="17" width="16.85546875" hidden="1" customWidth="1"/>
    <col min="18" max="19" width="16" hidden="1" customWidth="1"/>
    <col min="20" max="20" width="15.85546875" hidden="1" customWidth="1"/>
    <col min="21" max="21" width="14.42578125" hidden="1" customWidth="1"/>
    <col min="22" max="22" width="15.42578125" hidden="1" customWidth="1"/>
    <col min="23" max="24" width="14.42578125" hidden="1" customWidth="1"/>
    <col min="25" max="25" width="15.42578125" hidden="1" customWidth="1"/>
    <col min="26" max="26" width="15.42578125" bestFit="1" customWidth="1"/>
    <col min="35" max="35" width="9.140625" hidden="1" customWidth="1"/>
  </cols>
  <sheetData>
    <row r="1" spans="1:35" ht="19.5" customHeight="1" thickBot="1" x14ac:dyDescent="0.3">
      <c r="A1" s="11" t="s">
        <v>0</v>
      </c>
      <c r="J1" s="266"/>
      <c r="K1" s="266"/>
      <c r="M1" s="250">
        <v>2020</v>
      </c>
      <c r="N1" s="251"/>
      <c r="O1" s="251"/>
      <c r="P1" s="252"/>
      <c r="Q1" s="253">
        <v>2021</v>
      </c>
      <c r="R1" s="254"/>
      <c r="S1" s="254"/>
      <c r="T1" s="254"/>
      <c r="U1" s="254"/>
      <c r="V1" s="254"/>
      <c r="W1" s="254"/>
      <c r="X1" s="255"/>
    </row>
    <row r="2" spans="1:35" ht="57" customHeight="1" thickBot="1" x14ac:dyDescent="0.3">
      <c r="A2" s="1" t="s">
        <v>1</v>
      </c>
      <c r="B2" s="2" t="s">
        <v>2</v>
      </c>
      <c r="C2" s="2" t="s">
        <v>3</v>
      </c>
      <c r="D2" s="177" t="s">
        <v>4</v>
      </c>
      <c r="E2" s="97" t="s">
        <v>5</v>
      </c>
      <c r="F2" s="101" t="s">
        <v>6</v>
      </c>
      <c r="G2" s="90" t="s">
        <v>7</v>
      </c>
      <c r="H2" s="101" t="s">
        <v>6</v>
      </c>
      <c r="I2" s="90" t="s">
        <v>8</v>
      </c>
      <c r="J2" s="12" t="s">
        <v>9</v>
      </c>
      <c r="K2" s="110" t="s">
        <v>10</v>
      </c>
      <c r="L2" s="75" t="s">
        <v>11</v>
      </c>
      <c r="M2" s="15" t="s">
        <v>12</v>
      </c>
      <c r="N2" s="16" t="s">
        <v>13</v>
      </c>
      <c r="O2" s="16" t="s">
        <v>14</v>
      </c>
      <c r="P2" s="17" t="s">
        <v>15</v>
      </c>
      <c r="Q2" s="15" t="s">
        <v>16</v>
      </c>
      <c r="R2" s="16" t="s">
        <v>17</v>
      </c>
      <c r="S2" s="16" t="s">
        <v>18</v>
      </c>
      <c r="T2" s="18" t="s">
        <v>19</v>
      </c>
      <c r="U2" s="15" t="s">
        <v>20</v>
      </c>
      <c r="V2" s="16" t="s">
        <v>21</v>
      </c>
      <c r="W2" s="16" t="s">
        <v>22</v>
      </c>
      <c r="X2" s="18" t="s">
        <v>23</v>
      </c>
      <c r="Y2" s="82" t="s">
        <v>12</v>
      </c>
    </row>
    <row r="3" spans="1:35" ht="15.75" thickBot="1" x14ac:dyDescent="0.3">
      <c r="A3" s="256"/>
      <c r="B3" s="45"/>
      <c r="C3" s="59"/>
      <c r="D3" s="178"/>
      <c r="E3" s="98"/>
      <c r="F3" s="103"/>
      <c r="G3" s="92"/>
      <c r="H3" s="103"/>
      <c r="I3" s="92"/>
      <c r="J3" s="13"/>
      <c r="K3" s="111"/>
      <c r="M3" s="29"/>
      <c r="N3" s="27"/>
      <c r="O3" s="27"/>
      <c r="P3" s="32"/>
      <c r="Q3" s="29"/>
      <c r="R3" s="27"/>
      <c r="S3" s="31"/>
      <c r="T3" s="28"/>
      <c r="U3" s="29"/>
      <c r="V3" s="27"/>
      <c r="W3" s="31"/>
      <c r="X3" s="28"/>
      <c r="Y3" s="26"/>
      <c r="AI3">
        <v>1.25</v>
      </c>
    </row>
    <row r="4" spans="1:35" ht="24.95" customHeight="1" x14ac:dyDescent="0.25">
      <c r="A4" s="257"/>
      <c r="B4" s="259" t="s">
        <v>24</v>
      </c>
      <c r="C4" s="259"/>
      <c r="D4" s="259"/>
      <c r="E4" s="259"/>
      <c r="F4" s="259"/>
      <c r="G4" s="259"/>
      <c r="H4" s="259"/>
      <c r="I4" s="259"/>
      <c r="J4" s="259"/>
      <c r="K4" s="260"/>
      <c r="M4" s="19"/>
      <c r="N4" s="20"/>
      <c r="O4" s="20"/>
      <c r="P4" s="23"/>
      <c r="Q4" s="84"/>
      <c r="R4" s="85"/>
      <c r="S4" s="85"/>
      <c r="T4" s="86"/>
      <c r="U4" s="68"/>
      <c r="V4" s="69"/>
      <c r="W4" s="69"/>
      <c r="X4" s="70"/>
      <c r="Y4" s="26"/>
    </row>
    <row r="5" spans="1:35" ht="24.95" customHeight="1" thickBot="1" x14ac:dyDescent="0.3">
      <c r="A5" s="257"/>
      <c r="B5" s="149"/>
      <c r="C5" s="150"/>
      <c r="D5" s="179"/>
      <c r="E5" s="151"/>
      <c r="F5" s="106"/>
      <c r="G5" s="152"/>
      <c r="H5" s="106"/>
      <c r="I5" s="152"/>
      <c r="J5" s="14"/>
      <c r="K5" s="112"/>
      <c r="M5" s="19"/>
      <c r="N5" s="20"/>
      <c r="O5" s="20"/>
      <c r="P5" s="20"/>
      <c r="Q5" s="71"/>
      <c r="R5" s="77"/>
      <c r="S5" s="77"/>
      <c r="T5" s="87"/>
      <c r="U5" s="71"/>
      <c r="V5" s="77"/>
      <c r="W5" s="77"/>
      <c r="X5" s="78"/>
      <c r="Z5" s="76"/>
    </row>
    <row r="6" spans="1:35" ht="24.95" customHeight="1" x14ac:dyDescent="0.25">
      <c r="A6" s="258"/>
      <c r="B6" s="153" t="s">
        <v>25</v>
      </c>
      <c r="C6" s="127" t="s">
        <v>26</v>
      </c>
      <c r="D6" s="180">
        <f>5736.37+1320+630+2250</f>
        <v>9936.369999999999</v>
      </c>
      <c r="E6" s="161">
        <f>D6*AI3</f>
        <v>12420.462499999998</v>
      </c>
      <c r="F6" s="164"/>
      <c r="G6" s="155"/>
      <c r="H6" s="154">
        <v>44221</v>
      </c>
      <c r="I6" s="156">
        <v>1</v>
      </c>
      <c r="J6" s="146">
        <v>1</v>
      </c>
      <c r="K6" s="113">
        <v>15</v>
      </c>
      <c r="L6" s="74">
        <v>44242</v>
      </c>
      <c r="M6" s="19"/>
      <c r="N6" s="20"/>
      <c r="O6" s="20"/>
      <c r="P6" s="20"/>
      <c r="Q6" s="71"/>
      <c r="R6" s="77">
        <f>E6</f>
        <v>12420.462499999998</v>
      </c>
      <c r="S6" s="77"/>
      <c r="T6" s="87"/>
      <c r="U6" s="71">
        <f>R6</f>
        <v>12420.462499999998</v>
      </c>
      <c r="V6" s="77"/>
      <c r="W6" s="77"/>
      <c r="X6" s="10"/>
      <c r="Y6" s="25"/>
    </row>
    <row r="7" spans="1:35" ht="24.95" customHeight="1" x14ac:dyDescent="0.25">
      <c r="A7" s="258"/>
      <c r="B7" s="46" t="s">
        <v>32</v>
      </c>
      <c r="C7" s="49" t="s">
        <v>33</v>
      </c>
      <c r="D7" s="182">
        <v>12000</v>
      </c>
      <c r="E7" s="162">
        <f t="shared" ref="E7:E21" si="0">D7*$AI$3</f>
        <v>15000</v>
      </c>
      <c r="F7" s="165"/>
      <c r="G7" s="140"/>
      <c r="H7" s="139">
        <v>44232</v>
      </c>
      <c r="I7" s="157">
        <v>1</v>
      </c>
      <c r="J7" s="146">
        <v>1</v>
      </c>
      <c r="K7" s="114">
        <v>30</v>
      </c>
      <c r="L7" s="74">
        <v>44256</v>
      </c>
      <c r="M7" s="19"/>
      <c r="N7" s="23"/>
      <c r="O7" s="23"/>
      <c r="P7" s="23"/>
      <c r="Q7" s="71"/>
      <c r="R7" s="77">
        <f>E7</f>
        <v>15000</v>
      </c>
      <c r="S7" s="77"/>
      <c r="T7" s="87"/>
      <c r="U7" s="71">
        <f>R7</f>
        <v>15000</v>
      </c>
      <c r="V7" s="77"/>
      <c r="W7" s="77"/>
      <c r="X7" s="10"/>
      <c r="Y7" s="26"/>
    </row>
    <row r="8" spans="1:35" ht="24.95" customHeight="1" thickBot="1" x14ac:dyDescent="0.3">
      <c r="A8" s="258"/>
      <c r="B8" s="47" t="s">
        <v>45</v>
      </c>
      <c r="C8" s="50" t="s">
        <v>46</v>
      </c>
      <c r="D8" s="181">
        <v>30000</v>
      </c>
      <c r="E8" s="162">
        <f t="shared" si="0"/>
        <v>37500</v>
      </c>
      <c r="F8" s="165"/>
      <c r="G8" s="140"/>
      <c r="H8" s="139">
        <v>44232</v>
      </c>
      <c r="I8" s="157">
        <v>1</v>
      </c>
      <c r="J8" s="146">
        <v>1</v>
      </c>
      <c r="K8" s="115">
        <v>30</v>
      </c>
      <c r="L8" s="74">
        <v>44265</v>
      </c>
      <c r="M8" s="19"/>
      <c r="N8" s="23"/>
      <c r="O8" s="23"/>
      <c r="P8" s="23"/>
      <c r="Q8" s="71"/>
      <c r="R8" s="77"/>
      <c r="S8" s="77">
        <f>E8</f>
        <v>37500</v>
      </c>
      <c r="T8" s="87"/>
      <c r="U8" s="71"/>
      <c r="V8" s="77">
        <f>S8</f>
        <v>37500</v>
      </c>
      <c r="W8" s="77"/>
      <c r="X8" s="10"/>
      <c r="Y8" s="30"/>
    </row>
    <row r="9" spans="1:35" ht="24.95" customHeight="1" x14ac:dyDescent="0.25">
      <c r="A9" s="261" t="s">
        <v>31</v>
      </c>
      <c r="B9" s="47" t="s">
        <v>47</v>
      </c>
      <c r="C9" s="50" t="s">
        <v>48</v>
      </c>
      <c r="D9" s="182">
        <v>5200</v>
      </c>
      <c r="E9" s="162">
        <f t="shared" si="0"/>
        <v>6500</v>
      </c>
      <c r="F9" s="165"/>
      <c r="G9" s="140"/>
      <c r="H9" s="139">
        <v>44232</v>
      </c>
      <c r="I9" s="157">
        <v>1</v>
      </c>
      <c r="J9" s="146">
        <v>1</v>
      </c>
      <c r="K9" s="116">
        <v>10</v>
      </c>
      <c r="M9" s="19"/>
      <c r="N9" s="20"/>
      <c r="O9" s="20"/>
      <c r="P9" s="20"/>
      <c r="Q9" s="71"/>
      <c r="R9" s="77">
        <f>E9</f>
        <v>6500</v>
      </c>
      <c r="S9" s="77"/>
      <c r="T9" s="87"/>
      <c r="U9" s="71">
        <f>R9</f>
        <v>6500</v>
      </c>
      <c r="V9" s="77"/>
      <c r="W9" s="77"/>
      <c r="X9" s="10"/>
      <c r="Y9" s="25"/>
    </row>
    <row r="10" spans="1:35" ht="24.95" customHeight="1" x14ac:dyDescent="0.25">
      <c r="A10" s="262"/>
      <c r="B10" s="47" t="s">
        <v>49</v>
      </c>
      <c r="C10" s="50" t="s">
        <v>50</v>
      </c>
      <c r="D10" s="181">
        <v>3600</v>
      </c>
      <c r="E10" s="162">
        <f t="shared" si="0"/>
        <v>4500</v>
      </c>
      <c r="F10" s="165"/>
      <c r="G10" s="140"/>
      <c r="H10" s="139">
        <v>44232</v>
      </c>
      <c r="I10" s="157">
        <v>1</v>
      </c>
      <c r="J10" s="146">
        <v>1</v>
      </c>
      <c r="K10" s="116">
        <v>15</v>
      </c>
      <c r="L10" s="143">
        <v>44279</v>
      </c>
      <c r="M10" s="19"/>
      <c r="N10" s="20"/>
      <c r="O10" s="20"/>
      <c r="P10" s="20"/>
      <c r="Q10" s="71"/>
      <c r="R10" s="77"/>
      <c r="S10" s="77">
        <f>E10</f>
        <v>4500</v>
      </c>
      <c r="T10" s="87"/>
      <c r="U10" s="71"/>
      <c r="V10" s="77">
        <f>S10</f>
        <v>4500</v>
      </c>
      <c r="W10" s="77"/>
      <c r="X10" s="10"/>
      <c r="Y10" s="25"/>
    </row>
    <row r="11" spans="1:35" ht="24.95" customHeight="1" x14ac:dyDescent="0.25">
      <c r="A11" s="262"/>
      <c r="B11" s="46" t="s">
        <v>57</v>
      </c>
      <c r="C11" s="49" t="s">
        <v>58</v>
      </c>
      <c r="D11" s="181">
        <v>3590</v>
      </c>
      <c r="E11" s="162">
        <f t="shared" si="0"/>
        <v>4487.5</v>
      </c>
      <c r="F11" s="165"/>
      <c r="G11" s="140"/>
      <c r="H11" s="139">
        <v>44232</v>
      </c>
      <c r="I11" s="157">
        <v>1</v>
      </c>
      <c r="J11" s="146">
        <v>1</v>
      </c>
      <c r="K11" s="114">
        <v>30</v>
      </c>
      <c r="L11" s="144">
        <v>44296</v>
      </c>
      <c r="M11" s="19"/>
      <c r="N11" s="20"/>
      <c r="O11" s="20"/>
      <c r="P11" s="23"/>
      <c r="Q11" s="71"/>
      <c r="R11" s="77"/>
      <c r="S11" s="77"/>
      <c r="T11" s="87">
        <f>E11</f>
        <v>4487.5</v>
      </c>
      <c r="U11" s="71"/>
      <c r="V11" s="77"/>
      <c r="W11" s="77">
        <f>T11</f>
        <v>4487.5</v>
      </c>
      <c r="X11" s="10"/>
      <c r="Y11" s="26"/>
    </row>
    <row r="12" spans="1:35" ht="24.95" customHeight="1" thickBot="1" x14ac:dyDescent="0.3">
      <c r="A12" s="263"/>
      <c r="B12" s="46" t="s">
        <v>41</v>
      </c>
      <c r="C12" s="49" t="s">
        <v>42</v>
      </c>
      <c r="D12" s="181">
        <v>48356</v>
      </c>
      <c r="E12" s="162">
        <f t="shared" si="0"/>
        <v>60445</v>
      </c>
      <c r="F12" s="165"/>
      <c r="G12" s="140"/>
      <c r="H12" s="139">
        <v>44237</v>
      </c>
      <c r="I12" s="157">
        <v>1</v>
      </c>
      <c r="J12" s="147"/>
      <c r="K12" s="116"/>
      <c r="M12" s="19"/>
      <c r="N12" s="20"/>
      <c r="O12" s="20"/>
      <c r="P12" s="20"/>
      <c r="Q12" s="71"/>
      <c r="R12" s="77"/>
      <c r="S12" s="77"/>
      <c r="T12" s="87"/>
      <c r="U12" s="71"/>
      <c r="V12" s="77"/>
      <c r="W12" s="77"/>
      <c r="X12" s="78"/>
      <c r="Y12" s="25"/>
    </row>
    <row r="13" spans="1:35" ht="24.95" customHeight="1" x14ac:dyDescent="0.25">
      <c r="A13" s="261" t="s">
        <v>40</v>
      </c>
      <c r="B13" s="47" t="s">
        <v>51</v>
      </c>
      <c r="C13" s="50" t="s">
        <v>52</v>
      </c>
      <c r="D13" s="182">
        <v>5000</v>
      </c>
      <c r="E13" s="162">
        <f t="shared" si="0"/>
        <v>6250</v>
      </c>
      <c r="F13" s="165"/>
      <c r="G13" s="140"/>
      <c r="H13" s="139">
        <v>44242</v>
      </c>
      <c r="I13" s="157">
        <v>1</v>
      </c>
      <c r="J13" s="148">
        <v>1</v>
      </c>
      <c r="K13" s="116">
        <v>15</v>
      </c>
      <c r="L13" s="143">
        <v>44242</v>
      </c>
      <c r="M13" s="19"/>
      <c r="N13" s="20"/>
      <c r="O13" s="20"/>
      <c r="P13" s="20"/>
      <c r="Q13" s="71"/>
      <c r="R13" s="77">
        <f>E13</f>
        <v>6250</v>
      </c>
      <c r="S13" s="77"/>
      <c r="T13" s="87"/>
      <c r="U13" s="71">
        <f>R13</f>
        <v>6250</v>
      </c>
      <c r="V13" s="77"/>
      <c r="W13" s="9"/>
      <c r="X13" s="78"/>
      <c r="Y13" s="25"/>
    </row>
    <row r="14" spans="1:35" ht="24.95" customHeight="1" x14ac:dyDescent="0.25">
      <c r="A14" s="262"/>
      <c r="B14" s="46" t="s">
        <v>54</v>
      </c>
      <c r="C14" s="49" t="s">
        <v>55</v>
      </c>
      <c r="D14" s="182">
        <v>7000</v>
      </c>
      <c r="E14" s="162">
        <f t="shared" si="0"/>
        <v>8750</v>
      </c>
      <c r="F14" s="165"/>
      <c r="G14" s="140"/>
      <c r="H14" s="139">
        <v>44242</v>
      </c>
      <c r="I14" s="157">
        <v>1</v>
      </c>
      <c r="J14" s="147"/>
      <c r="K14" s="114">
        <v>15</v>
      </c>
      <c r="L14" s="143">
        <v>44270</v>
      </c>
      <c r="M14" s="19"/>
      <c r="N14" s="20"/>
      <c r="O14" s="20"/>
      <c r="P14" s="20"/>
      <c r="Q14" s="71"/>
      <c r="R14" s="77"/>
      <c r="S14" s="77">
        <f>E14</f>
        <v>8750</v>
      </c>
      <c r="T14" s="87"/>
      <c r="U14" s="71"/>
      <c r="V14" s="77">
        <f>S14</f>
        <v>8750</v>
      </c>
      <c r="W14" s="9"/>
      <c r="X14" s="78"/>
      <c r="Y14" s="25"/>
    </row>
    <row r="15" spans="1:35" ht="24.95" customHeight="1" x14ac:dyDescent="0.25">
      <c r="A15" s="262"/>
      <c r="B15" s="46" t="s">
        <v>27</v>
      </c>
      <c r="C15" s="49" t="s">
        <v>28</v>
      </c>
      <c r="D15" s="181">
        <v>70350</v>
      </c>
      <c r="E15" s="162">
        <f t="shared" si="0"/>
        <v>87937.5</v>
      </c>
      <c r="F15" s="165"/>
      <c r="G15" s="140"/>
      <c r="H15" s="139">
        <v>44256</v>
      </c>
      <c r="I15" s="157">
        <v>1</v>
      </c>
      <c r="J15" s="146"/>
      <c r="K15" s="114">
        <v>20</v>
      </c>
      <c r="L15" s="143">
        <v>44238</v>
      </c>
      <c r="M15" s="19"/>
      <c r="N15" s="20"/>
      <c r="O15" s="20"/>
      <c r="P15" s="20"/>
      <c r="Q15" s="71"/>
      <c r="R15" s="77">
        <f>E15</f>
        <v>87937.5</v>
      </c>
      <c r="S15" s="77"/>
      <c r="T15" s="87"/>
      <c r="U15" s="71">
        <f>R15</f>
        <v>87937.5</v>
      </c>
      <c r="V15" s="77"/>
      <c r="W15" s="9"/>
      <c r="X15" s="78"/>
      <c r="Y15" s="25"/>
    </row>
    <row r="16" spans="1:35" ht="24.95" customHeight="1" x14ac:dyDescent="0.25">
      <c r="A16" s="262"/>
      <c r="B16" s="46" t="s">
        <v>29</v>
      </c>
      <c r="C16" s="49" t="s">
        <v>30</v>
      </c>
      <c r="D16" s="182">
        <v>74640</v>
      </c>
      <c r="E16" s="162">
        <f t="shared" si="0"/>
        <v>93300</v>
      </c>
      <c r="F16" s="165"/>
      <c r="G16" s="140"/>
      <c r="H16" s="139">
        <v>44256</v>
      </c>
      <c r="I16" s="157">
        <v>1</v>
      </c>
      <c r="J16" s="146"/>
      <c r="K16" s="116"/>
      <c r="M16" s="19"/>
      <c r="N16" s="23"/>
      <c r="O16" s="23" t="e">
        <f>#REF!</f>
        <v>#REF!</v>
      </c>
      <c r="P16" s="23"/>
      <c r="Q16" s="71"/>
      <c r="R16" s="77">
        <f>E16</f>
        <v>93300</v>
      </c>
      <c r="S16" s="77"/>
      <c r="T16" s="87"/>
      <c r="U16" s="71">
        <f t="shared" ref="U16:U19" si="1">R16</f>
        <v>93300</v>
      </c>
      <c r="V16" s="77"/>
      <c r="W16" s="9"/>
      <c r="X16" s="78"/>
      <c r="Y16" s="26"/>
    </row>
    <row r="17" spans="1:26" ht="24.95" customHeight="1" x14ac:dyDescent="0.25">
      <c r="A17" s="262"/>
      <c r="B17" s="47" t="s">
        <v>43</v>
      </c>
      <c r="C17" s="50" t="s">
        <v>44</v>
      </c>
      <c r="D17" s="181">
        <v>14000</v>
      </c>
      <c r="E17" s="162">
        <f t="shared" si="0"/>
        <v>17500</v>
      </c>
      <c r="F17" s="165"/>
      <c r="G17" s="140"/>
      <c r="H17" s="139">
        <v>44265</v>
      </c>
      <c r="I17" s="157">
        <v>1</v>
      </c>
      <c r="J17" s="146"/>
      <c r="K17" s="116"/>
      <c r="L17" s="143">
        <v>44238</v>
      </c>
      <c r="M17" s="19"/>
      <c r="N17" s="20"/>
      <c r="O17" s="20"/>
      <c r="P17" s="20"/>
      <c r="Q17" s="71"/>
      <c r="R17" s="77">
        <f>E17</f>
        <v>17500</v>
      </c>
      <c r="S17" s="77"/>
      <c r="T17" s="87"/>
      <c r="U17" s="71">
        <f t="shared" si="1"/>
        <v>17500</v>
      </c>
      <c r="V17" s="77"/>
      <c r="W17" s="9"/>
      <c r="X17" s="78"/>
      <c r="Y17" s="25"/>
    </row>
    <row r="18" spans="1:26" ht="24.95" customHeight="1" x14ac:dyDescent="0.25">
      <c r="A18" s="262"/>
      <c r="B18" s="46" t="s">
        <v>34</v>
      </c>
      <c r="C18" s="49" t="s">
        <v>35</v>
      </c>
      <c r="D18" s="181">
        <f>6921.85*7</f>
        <v>48452.950000000004</v>
      </c>
      <c r="E18" s="162">
        <f t="shared" si="0"/>
        <v>60566.187500000007</v>
      </c>
      <c r="F18" s="165"/>
      <c r="G18" s="140"/>
      <c r="H18" s="139">
        <v>44270</v>
      </c>
      <c r="I18" s="157">
        <v>1</v>
      </c>
      <c r="J18" s="147"/>
      <c r="K18" s="116"/>
      <c r="L18" s="74" t="s">
        <v>53</v>
      </c>
      <c r="M18" s="19"/>
      <c r="N18" s="20"/>
      <c r="O18" s="20"/>
      <c r="P18" s="20"/>
      <c r="Q18" s="71"/>
      <c r="R18" s="77">
        <f>E18</f>
        <v>60566.187500000007</v>
      </c>
      <c r="S18" s="77"/>
      <c r="T18" s="87"/>
      <c r="U18" s="71">
        <f t="shared" si="1"/>
        <v>60566.187500000007</v>
      </c>
      <c r="V18" s="77"/>
      <c r="W18" s="9"/>
      <c r="X18" s="78"/>
      <c r="Y18" s="25"/>
    </row>
    <row r="19" spans="1:26" ht="24.95" customHeight="1" x14ac:dyDescent="0.25">
      <c r="A19" s="262"/>
      <c r="B19" s="47" t="s">
        <v>36</v>
      </c>
      <c r="C19" s="50" t="s">
        <v>37</v>
      </c>
      <c r="D19" s="181">
        <v>13320</v>
      </c>
      <c r="E19" s="162">
        <f t="shared" si="0"/>
        <v>16650</v>
      </c>
      <c r="F19" s="165"/>
      <c r="G19" s="140"/>
      <c r="H19" s="139">
        <v>44287</v>
      </c>
      <c r="I19" s="157">
        <v>1</v>
      </c>
      <c r="J19" s="147"/>
      <c r="K19" s="116"/>
      <c r="L19" s="144">
        <v>44287</v>
      </c>
      <c r="M19" s="19"/>
      <c r="N19" s="20"/>
      <c r="O19" s="20"/>
      <c r="P19" s="20"/>
      <c r="Q19" s="71"/>
      <c r="R19" s="77">
        <f>E19</f>
        <v>16650</v>
      </c>
      <c r="S19" s="77"/>
      <c r="T19" s="87"/>
      <c r="U19" s="71">
        <f t="shared" si="1"/>
        <v>16650</v>
      </c>
      <c r="V19" s="77"/>
      <c r="W19" s="9"/>
      <c r="X19" s="78"/>
      <c r="Y19" s="25"/>
    </row>
    <row r="20" spans="1:26" ht="24.95" customHeight="1" x14ac:dyDescent="0.25">
      <c r="A20" s="262"/>
      <c r="B20" s="46" t="s">
        <v>56</v>
      </c>
      <c r="C20" s="49"/>
      <c r="D20" s="182">
        <v>600000</v>
      </c>
      <c r="E20" s="162">
        <f t="shared" si="0"/>
        <v>750000</v>
      </c>
      <c r="F20" s="165"/>
      <c r="G20" s="140"/>
      <c r="H20" s="108">
        <v>44459</v>
      </c>
      <c r="I20" s="157">
        <v>1</v>
      </c>
      <c r="J20" s="147"/>
      <c r="K20" s="116"/>
      <c r="L20" s="144">
        <v>44287</v>
      </c>
      <c r="M20" s="19"/>
      <c r="N20" s="20"/>
      <c r="O20" s="20"/>
      <c r="P20" s="20"/>
      <c r="Q20" s="71"/>
      <c r="R20" s="77"/>
      <c r="S20" s="77"/>
      <c r="T20" s="87"/>
      <c r="U20" s="71"/>
      <c r="V20" s="77"/>
      <c r="W20" s="9"/>
      <c r="X20" s="78"/>
      <c r="Y20" s="25"/>
    </row>
    <row r="21" spans="1:26" ht="24.95" customHeight="1" thickBot="1" x14ac:dyDescent="0.3">
      <c r="A21" s="262"/>
      <c r="B21" s="158" t="s">
        <v>38</v>
      </c>
      <c r="C21" s="159" t="s">
        <v>39</v>
      </c>
      <c r="D21" s="236">
        <v>10000</v>
      </c>
      <c r="E21" s="163">
        <f t="shared" si="0"/>
        <v>12500</v>
      </c>
      <c r="F21" s="166"/>
      <c r="G21" s="141"/>
      <c r="H21" s="138"/>
      <c r="I21" s="167"/>
      <c r="J21" s="147"/>
      <c r="K21" s="116"/>
      <c r="L21" s="74" t="s">
        <v>59</v>
      </c>
      <c r="M21" s="19"/>
      <c r="N21" s="20"/>
      <c r="O21" s="20"/>
      <c r="P21" s="20"/>
      <c r="Q21" s="71"/>
      <c r="R21" s="77">
        <f>E21</f>
        <v>12500</v>
      </c>
      <c r="S21" s="77"/>
      <c r="T21" s="87"/>
      <c r="U21" s="71">
        <f>R21</f>
        <v>12500</v>
      </c>
      <c r="V21" s="77"/>
      <c r="W21" s="9"/>
      <c r="X21" s="78"/>
      <c r="Y21" s="25"/>
    </row>
    <row r="22" spans="1:26" ht="24.95" customHeight="1" x14ac:dyDescent="0.25">
      <c r="A22" s="262"/>
      <c r="B22" s="124"/>
      <c r="C22" s="125"/>
      <c r="D22" s="184"/>
      <c r="E22" s="126"/>
      <c r="F22" s="104"/>
      <c r="G22" s="93"/>
      <c r="H22" s="104"/>
      <c r="I22" s="93"/>
      <c r="J22" s="14"/>
      <c r="K22" s="112"/>
      <c r="M22" s="19"/>
      <c r="N22" s="20"/>
      <c r="O22" s="20"/>
      <c r="P22" s="20"/>
      <c r="Q22" s="71"/>
      <c r="R22" s="77"/>
      <c r="S22" s="77"/>
      <c r="T22" s="87"/>
      <c r="U22" s="71"/>
      <c r="V22" s="77"/>
      <c r="W22" s="77"/>
      <c r="X22" s="78"/>
      <c r="Y22" s="76"/>
      <c r="Z22" s="8"/>
    </row>
    <row r="23" spans="1:26" ht="24.95" customHeight="1" x14ac:dyDescent="0.25">
      <c r="A23" s="262"/>
      <c r="B23" s="264" t="s">
        <v>60</v>
      </c>
      <c r="C23" s="264"/>
      <c r="D23" s="264"/>
      <c r="E23" s="264"/>
      <c r="F23" s="264"/>
      <c r="G23" s="264"/>
      <c r="H23" s="264"/>
      <c r="I23" s="264"/>
      <c r="J23" s="264"/>
      <c r="K23" s="265"/>
      <c r="M23" s="19"/>
      <c r="N23" s="20"/>
      <c r="O23" s="20"/>
      <c r="P23" s="20"/>
      <c r="Q23" s="71"/>
      <c r="R23" s="77"/>
      <c r="S23" s="77"/>
      <c r="T23" s="87"/>
      <c r="U23" s="71"/>
      <c r="V23" s="77"/>
      <c r="W23" s="77"/>
      <c r="X23" s="78"/>
      <c r="Y23" s="25"/>
    </row>
    <row r="24" spans="1:26" ht="24.95" customHeight="1" thickBot="1" x14ac:dyDescent="0.3">
      <c r="A24" s="20"/>
      <c r="D24" s="185"/>
      <c r="F24" s="102"/>
      <c r="G24" s="91"/>
      <c r="H24" s="102"/>
      <c r="I24" s="91"/>
      <c r="M24" s="20"/>
      <c r="N24" s="20"/>
      <c r="O24" s="23"/>
      <c r="P24" s="20"/>
      <c r="Q24" s="71"/>
      <c r="R24" s="77"/>
      <c r="S24" s="77"/>
      <c r="T24" s="87"/>
      <c r="U24" s="71"/>
      <c r="V24" s="77"/>
      <c r="W24" s="77"/>
      <c r="X24" s="78"/>
      <c r="Y24" s="73"/>
      <c r="Z24" s="73"/>
    </row>
    <row r="25" spans="1:26" ht="24.95" customHeight="1" x14ac:dyDescent="0.25">
      <c r="A25" s="20"/>
      <c r="B25" s="153" t="s">
        <v>61</v>
      </c>
      <c r="C25" s="127" t="s">
        <v>62</v>
      </c>
      <c r="D25" s="186">
        <v>299676.15999999997</v>
      </c>
      <c r="E25" s="161">
        <f t="shared" ref="E25:E34" si="2">D25*$AI$3</f>
        <v>374595.19999999995</v>
      </c>
      <c r="F25" s="164"/>
      <c r="G25" s="155"/>
      <c r="H25" s="154">
        <v>44301</v>
      </c>
      <c r="I25" s="156">
        <v>1</v>
      </c>
      <c r="J25" s="146">
        <v>1</v>
      </c>
      <c r="K25" s="113">
        <v>15</v>
      </c>
      <c r="L25" s="74">
        <v>44301</v>
      </c>
      <c r="M25" s="20"/>
      <c r="N25" s="20"/>
      <c r="O25" s="23"/>
      <c r="P25" s="20"/>
      <c r="Q25" s="71"/>
      <c r="R25" s="77"/>
      <c r="S25" s="77"/>
      <c r="T25" s="87">
        <f t="shared" ref="T25:T32" si="3">E25</f>
        <v>374595.19999999995</v>
      </c>
      <c r="U25" s="71"/>
      <c r="V25" s="77"/>
      <c r="W25" s="77">
        <f>T25</f>
        <v>374595.19999999995</v>
      </c>
      <c r="X25" s="10"/>
    </row>
    <row r="26" spans="1:26" ht="24.95" customHeight="1" x14ac:dyDescent="0.25">
      <c r="B26" s="46" t="s">
        <v>63</v>
      </c>
      <c r="C26" s="49" t="s">
        <v>64</v>
      </c>
      <c r="D26" s="181">
        <f>112560+19936+6489</f>
        <v>138985</v>
      </c>
      <c r="E26" s="162">
        <f t="shared" si="2"/>
        <v>173731.25</v>
      </c>
      <c r="F26" s="165"/>
      <c r="G26" s="140"/>
      <c r="H26" s="139">
        <v>44301</v>
      </c>
      <c r="I26" s="157">
        <v>1</v>
      </c>
      <c r="J26" s="146">
        <v>1</v>
      </c>
      <c r="K26" s="116">
        <v>15</v>
      </c>
      <c r="L26" s="74">
        <v>44301</v>
      </c>
      <c r="Q26" s="71"/>
      <c r="R26" s="77"/>
      <c r="S26" s="77"/>
      <c r="T26" s="87">
        <f t="shared" si="3"/>
        <v>173731.25</v>
      </c>
      <c r="U26" s="71"/>
      <c r="V26" s="77"/>
      <c r="W26" s="77">
        <f t="shared" ref="W26:W32" si="4">T26</f>
        <v>173731.25</v>
      </c>
      <c r="X26" s="10"/>
    </row>
    <row r="27" spans="1:26" ht="24.95" customHeight="1" x14ac:dyDescent="0.25">
      <c r="B27" s="46" t="s">
        <v>65</v>
      </c>
      <c r="C27" s="49" t="s">
        <v>66</v>
      </c>
      <c r="D27" s="182">
        <v>39550</v>
      </c>
      <c r="E27" s="162">
        <f t="shared" si="2"/>
        <v>49437.5</v>
      </c>
      <c r="F27" s="165"/>
      <c r="G27" s="140"/>
      <c r="H27" s="139">
        <v>44301</v>
      </c>
      <c r="I27" s="157">
        <v>1</v>
      </c>
      <c r="J27" s="146">
        <v>1</v>
      </c>
      <c r="K27" s="116" t="s">
        <v>67</v>
      </c>
      <c r="L27" s="74">
        <v>44301</v>
      </c>
      <c r="Q27" s="71"/>
      <c r="R27" s="77"/>
      <c r="S27" s="77"/>
      <c r="T27" s="87">
        <f t="shared" si="3"/>
        <v>49437.5</v>
      </c>
      <c r="U27" s="71"/>
      <c r="V27" s="77"/>
      <c r="W27" s="77">
        <f t="shared" si="4"/>
        <v>49437.5</v>
      </c>
      <c r="X27" s="10"/>
    </row>
    <row r="28" spans="1:26" ht="24.95" customHeight="1" x14ac:dyDescent="0.25">
      <c r="B28" s="46" t="s">
        <v>68</v>
      </c>
      <c r="C28" s="49" t="s">
        <v>69</v>
      </c>
      <c r="D28" s="181">
        <v>1750</v>
      </c>
      <c r="E28" s="162">
        <f t="shared" si="2"/>
        <v>2187.5</v>
      </c>
      <c r="F28" s="165"/>
      <c r="G28" s="140"/>
      <c r="H28" s="139">
        <v>44301</v>
      </c>
      <c r="I28" s="157">
        <v>1</v>
      </c>
      <c r="J28" s="146">
        <v>1</v>
      </c>
      <c r="K28" s="116">
        <v>7</v>
      </c>
      <c r="L28" s="74">
        <v>44301</v>
      </c>
      <c r="Q28" s="71"/>
      <c r="R28" s="77"/>
      <c r="S28" s="77"/>
      <c r="T28" s="87">
        <f t="shared" si="3"/>
        <v>2187.5</v>
      </c>
      <c r="U28" s="71"/>
      <c r="V28" s="77"/>
      <c r="W28" s="77">
        <f t="shared" si="4"/>
        <v>2187.5</v>
      </c>
      <c r="X28" s="10"/>
    </row>
    <row r="29" spans="1:26" ht="24" customHeight="1" x14ac:dyDescent="0.25">
      <c r="B29" s="46" t="s">
        <v>70</v>
      </c>
      <c r="C29" s="49" t="s">
        <v>71</v>
      </c>
      <c r="D29" s="181">
        <v>16400</v>
      </c>
      <c r="E29" s="162">
        <f t="shared" si="2"/>
        <v>20500</v>
      </c>
      <c r="F29" s="165"/>
      <c r="G29" s="140"/>
      <c r="H29" s="139">
        <v>44301</v>
      </c>
      <c r="I29" s="157">
        <v>1</v>
      </c>
      <c r="J29" s="148">
        <v>1</v>
      </c>
      <c r="K29" s="116">
        <v>15</v>
      </c>
      <c r="L29" s="74">
        <v>44301</v>
      </c>
      <c r="Q29" s="71"/>
      <c r="R29" s="77"/>
      <c r="S29" s="77"/>
      <c r="T29" s="87">
        <f t="shared" si="3"/>
        <v>20500</v>
      </c>
      <c r="U29" s="71"/>
      <c r="V29" s="77"/>
      <c r="W29" s="77">
        <f t="shared" si="4"/>
        <v>20500</v>
      </c>
      <c r="X29" s="10"/>
    </row>
    <row r="30" spans="1:26" ht="24.95" customHeight="1" x14ac:dyDescent="0.25">
      <c r="B30" s="47" t="s">
        <v>72</v>
      </c>
      <c r="C30" s="50" t="s">
        <v>73</v>
      </c>
      <c r="D30" s="181">
        <v>10500</v>
      </c>
      <c r="E30" s="162">
        <f t="shared" si="2"/>
        <v>13125</v>
      </c>
      <c r="F30" s="165"/>
      <c r="G30" s="140"/>
      <c r="H30" s="139">
        <v>44301</v>
      </c>
      <c r="I30" s="157">
        <v>1</v>
      </c>
      <c r="J30" s="147"/>
      <c r="K30" s="142">
        <v>7</v>
      </c>
      <c r="L30" s="74">
        <v>44301</v>
      </c>
      <c r="Q30" s="71"/>
      <c r="R30" s="77"/>
      <c r="S30" s="77"/>
      <c r="T30" s="87">
        <f t="shared" si="3"/>
        <v>13125</v>
      </c>
      <c r="U30" s="71"/>
      <c r="V30" s="77"/>
      <c r="W30" s="77">
        <f t="shared" si="4"/>
        <v>13125</v>
      </c>
      <c r="X30" s="10"/>
    </row>
    <row r="31" spans="1:26" ht="24.95" customHeight="1" x14ac:dyDescent="0.25">
      <c r="B31" s="47" t="s">
        <v>74</v>
      </c>
      <c r="C31" s="50" t="s">
        <v>75</v>
      </c>
      <c r="D31" s="181">
        <v>3000</v>
      </c>
      <c r="E31" s="162">
        <f t="shared" si="2"/>
        <v>3750</v>
      </c>
      <c r="F31" s="165"/>
      <c r="G31" s="140"/>
      <c r="H31" s="139">
        <v>44301</v>
      </c>
      <c r="I31" s="157">
        <v>1</v>
      </c>
      <c r="J31" s="147"/>
      <c r="K31" s="142">
        <v>7</v>
      </c>
      <c r="Q31" s="71"/>
      <c r="R31" s="77"/>
      <c r="S31" s="77"/>
      <c r="T31" s="87">
        <f t="shared" si="3"/>
        <v>3750</v>
      </c>
      <c r="U31" s="71"/>
      <c r="V31" s="77"/>
      <c r="W31" s="77">
        <f t="shared" si="4"/>
        <v>3750</v>
      </c>
      <c r="X31" s="10"/>
    </row>
    <row r="32" spans="1:26" ht="24.95" customHeight="1" x14ac:dyDescent="0.25">
      <c r="B32" s="47" t="s">
        <v>76</v>
      </c>
      <c r="C32" s="50" t="s">
        <v>77</v>
      </c>
      <c r="D32" s="181">
        <v>3000</v>
      </c>
      <c r="E32" s="162">
        <f t="shared" si="2"/>
        <v>3750</v>
      </c>
      <c r="F32" s="165"/>
      <c r="G32" s="140"/>
      <c r="H32" s="139">
        <v>44301</v>
      </c>
      <c r="I32" s="157">
        <v>1</v>
      </c>
      <c r="J32" s="146"/>
      <c r="K32" s="114">
        <v>7</v>
      </c>
      <c r="L32" s="74">
        <v>44301</v>
      </c>
      <c r="Q32" s="71"/>
      <c r="R32" s="77"/>
      <c r="S32" s="77"/>
      <c r="T32" s="87">
        <f t="shared" si="3"/>
        <v>3750</v>
      </c>
      <c r="U32" s="71"/>
      <c r="V32" s="77"/>
      <c r="W32" s="77">
        <f t="shared" si="4"/>
        <v>3750</v>
      </c>
      <c r="X32" s="10"/>
    </row>
    <row r="33" spans="2:26" ht="24.95" customHeight="1" x14ac:dyDescent="0.25">
      <c r="B33" s="47" t="s">
        <v>78</v>
      </c>
      <c r="C33" s="50" t="s">
        <v>79</v>
      </c>
      <c r="D33" s="181">
        <v>5000</v>
      </c>
      <c r="E33" s="162">
        <f t="shared" si="2"/>
        <v>6250</v>
      </c>
      <c r="F33" s="165"/>
      <c r="G33" s="140"/>
      <c r="H33" s="139">
        <v>44301</v>
      </c>
      <c r="I33" s="157">
        <v>1</v>
      </c>
      <c r="J33" s="147"/>
      <c r="K33" s="142">
        <v>7</v>
      </c>
      <c r="Q33" s="71"/>
      <c r="R33" s="77">
        <f>E33</f>
        <v>6250</v>
      </c>
      <c r="S33" s="77"/>
      <c r="T33" s="87"/>
      <c r="U33" s="71">
        <f>R33</f>
        <v>6250</v>
      </c>
      <c r="V33" s="9"/>
      <c r="W33" s="77"/>
      <c r="X33" s="78"/>
    </row>
    <row r="34" spans="2:26" ht="24.95" customHeight="1" thickBot="1" x14ac:dyDescent="0.3">
      <c r="B34" s="48" t="s">
        <v>80</v>
      </c>
      <c r="C34" s="133" t="s">
        <v>81</v>
      </c>
      <c r="D34" s="183">
        <v>6258</v>
      </c>
      <c r="E34" s="163">
        <f t="shared" si="2"/>
        <v>7822.5</v>
      </c>
      <c r="F34" s="166"/>
      <c r="G34" s="141"/>
      <c r="H34" s="138">
        <v>44301</v>
      </c>
      <c r="I34" s="167">
        <v>1</v>
      </c>
      <c r="J34" s="148">
        <v>1</v>
      </c>
      <c r="K34" s="116">
        <v>20</v>
      </c>
      <c r="L34" s="74">
        <v>44301</v>
      </c>
      <c r="Q34" s="71"/>
      <c r="R34" s="77"/>
      <c r="S34" s="77"/>
      <c r="T34" s="87">
        <f>E34</f>
        <v>7822.5</v>
      </c>
      <c r="U34" s="71"/>
      <c r="V34" s="77"/>
      <c r="W34" s="77"/>
      <c r="X34" s="10"/>
    </row>
    <row r="35" spans="2:26" ht="24.95" customHeight="1" x14ac:dyDescent="0.25">
      <c r="Q35" s="71"/>
      <c r="R35" s="77"/>
      <c r="S35" s="77"/>
      <c r="T35" s="87"/>
      <c r="U35" s="71"/>
      <c r="V35" s="77"/>
      <c r="W35" s="77"/>
      <c r="X35" s="78"/>
      <c r="Y35" s="73"/>
    </row>
    <row r="36" spans="2:26" ht="24.95" customHeight="1" x14ac:dyDescent="0.25">
      <c r="B36" s="264" t="s">
        <v>82</v>
      </c>
      <c r="C36" s="264"/>
      <c r="D36" s="264"/>
      <c r="E36" s="264"/>
      <c r="F36" s="264"/>
      <c r="G36" s="264"/>
      <c r="H36" s="264"/>
      <c r="I36" s="264"/>
      <c r="J36" s="264"/>
      <c r="K36" s="265"/>
      <c r="Q36" s="71"/>
      <c r="R36" s="77"/>
      <c r="S36" s="77"/>
      <c r="T36" s="87"/>
      <c r="U36" s="71"/>
      <c r="V36" s="77"/>
      <c r="W36" s="77"/>
      <c r="X36" s="78"/>
    </row>
    <row r="37" spans="2:26" ht="24.95" customHeight="1" thickBot="1" x14ac:dyDescent="0.3">
      <c r="B37" s="145"/>
      <c r="C37" s="145"/>
      <c r="D37" s="187"/>
      <c r="E37" s="145"/>
      <c r="F37" s="145"/>
      <c r="G37" s="145"/>
      <c r="H37" s="145"/>
      <c r="I37" s="145"/>
      <c r="J37" s="145"/>
      <c r="K37" s="145"/>
      <c r="Q37" s="71"/>
      <c r="R37" s="77"/>
      <c r="S37" s="77"/>
      <c r="T37" s="87"/>
      <c r="U37" s="71"/>
      <c r="V37" s="77"/>
      <c r="W37" s="77"/>
      <c r="X37" s="78"/>
    </row>
    <row r="38" spans="2:26" ht="24.95" customHeight="1" thickBot="1" x14ac:dyDescent="0.3">
      <c r="B38" s="153" t="s">
        <v>83</v>
      </c>
      <c r="C38" s="127"/>
      <c r="D38" s="186">
        <f>480000*3</f>
        <v>1440000</v>
      </c>
      <c r="E38" s="161">
        <f t="shared" ref="E38:E47" si="5">D38*$AI$3</f>
        <v>1800000</v>
      </c>
      <c r="F38" s="164"/>
      <c r="G38" s="155"/>
      <c r="H38" s="154">
        <v>44232</v>
      </c>
      <c r="I38" s="156">
        <v>1</v>
      </c>
      <c r="J38" s="147"/>
      <c r="K38" s="116"/>
      <c r="M38" s="20"/>
      <c r="N38" s="20"/>
      <c r="O38" s="23"/>
      <c r="P38" s="20"/>
      <c r="Q38" s="71"/>
      <c r="R38" s="77">
        <f>E38*3</f>
        <v>5400000</v>
      </c>
      <c r="S38" s="77">
        <f>E38*5</f>
        <v>9000000</v>
      </c>
      <c r="T38" s="87"/>
      <c r="U38" s="71"/>
      <c r="V38" s="77">
        <f>E38*6</f>
        <v>10800000</v>
      </c>
      <c r="W38" s="77"/>
      <c r="X38" s="78"/>
      <c r="Y38" s="83">
        <f>E38*7</f>
        <v>12600000</v>
      </c>
      <c r="Z38" s="73"/>
    </row>
    <row r="39" spans="2:26" ht="24.95" customHeight="1" thickBot="1" x14ac:dyDescent="0.3">
      <c r="B39" s="237" t="s">
        <v>87</v>
      </c>
      <c r="C39" s="240" t="s">
        <v>88</v>
      </c>
      <c r="D39" s="186">
        <v>7000</v>
      </c>
      <c r="E39" s="161">
        <f t="shared" si="5"/>
        <v>8750</v>
      </c>
      <c r="F39" s="164"/>
      <c r="G39" s="155"/>
      <c r="H39" s="154">
        <v>44232</v>
      </c>
      <c r="I39" s="156">
        <v>1</v>
      </c>
      <c r="J39" s="147"/>
      <c r="K39" s="116"/>
      <c r="M39" s="20"/>
      <c r="N39" s="20"/>
      <c r="O39" s="23"/>
      <c r="P39" s="20"/>
      <c r="Q39" s="71"/>
      <c r="R39" s="77"/>
      <c r="S39" s="77"/>
      <c r="T39" s="87"/>
      <c r="U39" s="71"/>
      <c r="V39" s="77"/>
      <c r="W39" s="77"/>
      <c r="X39" s="78"/>
      <c r="Y39" s="188"/>
      <c r="Z39" s="73"/>
    </row>
    <row r="40" spans="2:26" ht="24.95" customHeight="1" thickBot="1" x14ac:dyDescent="0.3">
      <c r="B40" s="237" t="s">
        <v>89</v>
      </c>
      <c r="C40" s="240" t="s">
        <v>90</v>
      </c>
      <c r="D40" s="180">
        <v>15000</v>
      </c>
      <c r="E40" s="161">
        <f t="shared" si="5"/>
        <v>18750</v>
      </c>
      <c r="F40" s="164"/>
      <c r="G40" s="155"/>
      <c r="H40" s="154">
        <v>44232</v>
      </c>
      <c r="I40" s="156">
        <v>1</v>
      </c>
      <c r="J40" s="147"/>
      <c r="K40" s="116"/>
      <c r="M40" s="20"/>
      <c r="N40" s="20"/>
      <c r="O40" s="23"/>
      <c r="P40" s="20"/>
      <c r="Q40" s="71"/>
      <c r="R40" s="77"/>
      <c r="S40" s="77"/>
      <c r="T40" s="87"/>
      <c r="U40" s="71"/>
      <c r="V40" s="77"/>
      <c r="W40" s="77"/>
      <c r="X40" s="78"/>
      <c r="Y40" s="188"/>
      <c r="Z40" s="73"/>
    </row>
    <row r="41" spans="2:26" ht="24.95" customHeight="1" thickBot="1" x14ac:dyDescent="0.3">
      <c r="B41" s="237" t="s">
        <v>91</v>
      </c>
      <c r="C41" s="240" t="s">
        <v>92</v>
      </c>
      <c r="D41" s="180">
        <v>3000</v>
      </c>
      <c r="E41" s="161">
        <f t="shared" si="5"/>
        <v>3750</v>
      </c>
      <c r="F41" s="164"/>
      <c r="G41" s="155"/>
      <c r="H41" s="154">
        <v>44232</v>
      </c>
      <c r="I41" s="156">
        <v>1</v>
      </c>
      <c r="J41" s="147"/>
      <c r="K41" s="116"/>
      <c r="M41" s="20"/>
      <c r="N41" s="20"/>
      <c r="O41" s="23"/>
      <c r="P41" s="20"/>
      <c r="Q41" s="71"/>
      <c r="R41" s="77"/>
      <c r="S41" s="77"/>
      <c r="T41" s="87"/>
      <c r="U41" s="71"/>
      <c r="V41" s="77"/>
      <c r="W41" s="77"/>
      <c r="X41" s="78"/>
      <c r="Y41" s="188"/>
      <c r="Z41" s="73"/>
    </row>
    <row r="42" spans="2:26" ht="24.95" customHeight="1" thickBot="1" x14ac:dyDescent="0.3">
      <c r="B42" s="153" t="s">
        <v>93</v>
      </c>
      <c r="C42" s="127" t="s">
        <v>94</v>
      </c>
      <c r="D42" s="186">
        <f>62300*4</f>
        <v>249200</v>
      </c>
      <c r="E42" s="161">
        <f t="shared" si="5"/>
        <v>311500</v>
      </c>
      <c r="F42" s="164">
        <v>44216</v>
      </c>
      <c r="G42" s="155">
        <v>0.3</v>
      </c>
      <c r="H42" s="154">
        <v>44239</v>
      </c>
      <c r="I42" s="156">
        <v>0.7</v>
      </c>
      <c r="J42" s="147"/>
      <c r="K42" s="116"/>
      <c r="M42" s="20"/>
      <c r="N42" s="20"/>
      <c r="O42" s="23"/>
      <c r="P42" s="20"/>
      <c r="Q42" s="71"/>
      <c r="R42" s="77"/>
      <c r="S42" s="77"/>
      <c r="T42" s="87"/>
      <c r="U42" s="71"/>
      <c r="V42" s="77"/>
      <c r="W42" s="77"/>
      <c r="X42" s="78"/>
      <c r="Y42" s="188"/>
      <c r="Z42" s="73"/>
    </row>
    <row r="43" spans="2:26" ht="24.95" customHeight="1" x14ac:dyDescent="0.25">
      <c r="B43" s="46" t="s">
        <v>93</v>
      </c>
      <c r="C43" s="49" t="s">
        <v>95</v>
      </c>
      <c r="D43" s="186">
        <f>62300*3</f>
        <v>186900</v>
      </c>
      <c r="E43" s="162">
        <f t="shared" si="5"/>
        <v>233625</v>
      </c>
      <c r="F43" s="245">
        <v>44239</v>
      </c>
      <c r="G43" s="140">
        <v>0.3</v>
      </c>
      <c r="H43" s="108">
        <v>44260</v>
      </c>
      <c r="I43" s="157">
        <v>0.7</v>
      </c>
      <c r="J43" s="148"/>
      <c r="K43" s="116"/>
      <c r="Q43" s="71"/>
      <c r="R43" s="77"/>
      <c r="S43" s="77" t="e">
        <f>#REF!</f>
        <v>#REF!</v>
      </c>
      <c r="T43" s="87"/>
      <c r="U43" s="71"/>
      <c r="V43" s="77">
        <v>7000</v>
      </c>
      <c r="W43" s="77"/>
      <c r="X43" s="10"/>
    </row>
    <row r="44" spans="2:26" ht="24.95" customHeight="1" x14ac:dyDescent="0.25">
      <c r="B44" s="46" t="s">
        <v>84</v>
      </c>
      <c r="C44" s="49"/>
      <c r="D44" s="181">
        <f>482000*5</f>
        <v>2410000</v>
      </c>
      <c r="E44" s="162">
        <f t="shared" si="5"/>
        <v>3012500</v>
      </c>
      <c r="F44" s="165"/>
      <c r="G44" s="140"/>
      <c r="H44" s="108">
        <v>44275</v>
      </c>
      <c r="I44" s="157">
        <v>1</v>
      </c>
      <c r="J44" s="147"/>
      <c r="K44" s="116"/>
      <c r="Q44" s="71"/>
      <c r="R44" s="77"/>
      <c r="S44" s="77"/>
      <c r="T44" s="87"/>
      <c r="U44" s="71"/>
      <c r="V44" s="77"/>
      <c r="W44" s="77"/>
      <c r="X44" s="78"/>
    </row>
    <row r="45" spans="2:26" ht="24.95" customHeight="1" x14ac:dyDescent="0.25">
      <c r="B45" s="46" t="s">
        <v>93</v>
      </c>
      <c r="C45" s="49" t="s">
        <v>96</v>
      </c>
      <c r="D45" s="181">
        <f>62300*7</f>
        <v>436100</v>
      </c>
      <c r="E45" s="162">
        <f t="shared" si="5"/>
        <v>545125</v>
      </c>
      <c r="F45" s="245">
        <v>44301</v>
      </c>
      <c r="G45" s="140">
        <v>0.3</v>
      </c>
      <c r="H45" s="108">
        <v>44331</v>
      </c>
      <c r="I45" s="157">
        <v>0.7</v>
      </c>
      <c r="J45" s="147"/>
      <c r="K45" s="116"/>
      <c r="Q45" s="71"/>
      <c r="R45" s="77"/>
      <c r="S45" s="77"/>
      <c r="T45" s="87"/>
      <c r="U45" s="71"/>
      <c r="V45" s="77"/>
      <c r="W45" s="77"/>
      <c r="X45" s="78"/>
    </row>
    <row r="46" spans="2:26" ht="24.95" customHeight="1" x14ac:dyDescent="0.25">
      <c r="B46" s="239" t="s">
        <v>85</v>
      </c>
      <c r="C46" s="242"/>
      <c r="D46" s="243">
        <f>480000*7</f>
        <v>3360000</v>
      </c>
      <c r="E46" s="244">
        <f t="shared" si="5"/>
        <v>4200000</v>
      </c>
      <c r="F46" s="189"/>
      <c r="G46" s="190"/>
      <c r="H46" s="246">
        <v>44367</v>
      </c>
      <c r="I46" s="191">
        <v>1</v>
      </c>
      <c r="J46" s="147"/>
      <c r="K46" s="116"/>
      <c r="Q46" s="71"/>
      <c r="R46" s="77"/>
      <c r="S46" s="77"/>
      <c r="T46" s="87"/>
      <c r="U46" s="71"/>
      <c r="V46" s="77"/>
      <c r="W46" s="77"/>
      <c r="X46" s="78"/>
    </row>
    <row r="47" spans="2:26" ht="24.95" customHeight="1" thickBot="1" x14ac:dyDescent="0.3">
      <c r="B47" s="158" t="s">
        <v>86</v>
      </c>
      <c r="C47" s="159"/>
      <c r="D47" s="183">
        <f>480000*7</f>
        <v>3360000</v>
      </c>
      <c r="E47" s="163">
        <f t="shared" si="5"/>
        <v>4200000</v>
      </c>
      <c r="F47" s="166"/>
      <c r="G47" s="141"/>
      <c r="H47" s="196">
        <v>44459</v>
      </c>
      <c r="I47" s="167">
        <v>1</v>
      </c>
      <c r="J47" s="147"/>
      <c r="K47" s="116"/>
      <c r="Q47" s="71"/>
      <c r="R47" s="77"/>
      <c r="S47" s="77"/>
      <c r="T47" s="87"/>
      <c r="U47" s="71"/>
      <c r="V47" s="77"/>
      <c r="W47" s="77"/>
      <c r="X47" s="78"/>
    </row>
    <row r="48" spans="2:26" ht="24.95" customHeight="1" thickBot="1" x14ac:dyDescent="0.3">
      <c r="B48" s="192"/>
      <c r="C48" s="193"/>
      <c r="D48" s="194"/>
      <c r="E48" s="195"/>
      <c r="F48" s="166"/>
      <c r="G48" s="141"/>
      <c r="H48" s="138"/>
      <c r="I48" s="167"/>
      <c r="J48" s="147"/>
      <c r="K48" s="116"/>
      <c r="Q48" s="71"/>
      <c r="R48" s="77"/>
      <c r="S48" s="77"/>
      <c r="T48" s="87"/>
      <c r="U48" s="71"/>
      <c r="V48" s="77"/>
      <c r="W48" s="77"/>
      <c r="X48" s="78"/>
    </row>
    <row r="49" spans="2:26" ht="24.95" customHeight="1" thickBot="1" x14ac:dyDescent="0.3">
      <c r="B49" s="238"/>
      <c r="C49" s="241"/>
      <c r="D49" s="194"/>
      <c r="E49" s="195"/>
      <c r="F49" s="166"/>
      <c r="G49" s="141"/>
      <c r="H49" s="138"/>
      <c r="I49" s="167"/>
      <c r="J49" s="160" t="s">
        <v>97</v>
      </c>
      <c r="K49" s="114">
        <v>60</v>
      </c>
      <c r="L49" s="74">
        <v>44242</v>
      </c>
      <c r="Q49" s="71" t="e">
        <f>130830*#REF!</f>
        <v>#REF!</v>
      </c>
      <c r="R49" s="77" t="e">
        <f>E49-Q49</f>
        <v>#REF!</v>
      </c>
      <c r="S49" s="77"/>
      <c r="T49" s="87" t="e">
        <f>Q49</f>
        <v>#REF!</v>
      </c>
      <c r="U49" s="71" t="e">
        <f>R49</f>
        <v>#REF!</v>
      </c>
      <c r="V49" s="9"/>
      <c r="W49" s="77"/>
      <c r="X49" s="78"/>
      <c r="Y49" s="73"/>
    </row>
    <row r="50" spans="2:26" ht="24.95" customHeight="1" thickBot="1" x14ac:dyDescent="0.3">
      <c r="B50" s="192"/>
      <c r="C50" s="193"/>
      <c r="D50" s="194"/>
      <c r="E50" s="195"/>
      <c r="F50" s="166"/>
      <c r="G50" s="141"/>
      <c r="H50" s="138"/>
      <c r="I50" s="167"/>
      <c r="Q50" s="71"/>
      <c r="R50" s="77"/>
      <c r="S50" s="77"/>
      <c r="T50" s="87"/>
      <c r="U50" s="71"/>
      <c r="V50" s="77"/>
      <c r="W50" s="77"/>
      <c r="X50" s="78"/>
    </row>
    <row r="51" spans="2:26" ht="24.95" customHeight="1" x14ac:dyDescent="0.25">
      <c r="B51" s="46" t="s">
        <v>98</v>
      </c>
      <c r="C51" s="49"/>
      <c r="D51" s="186">
        <v>35875</v>
      </c>
      <c r="E51" s="162">
        <f>D51*$AI$3</f>
        <v>44843.75</v>
      </c>
      <c r="F51" s="165"/>
      <c r="G51" s="140"/>
      <c r="H51" s="139"/>
      <c r="I51" s="157">
        <v>1</v>
      </c>
      <c r="R51" s="73"/>
      <c r="S51" s="73"/>
      <c r="T51" s="73"/>
      <c r="U51" s="73"/>
      <c r="V51" s="73"/>
      <c r="W51" s="73"/>
      <c r="X51" s="73"/>
      <c r="Z51" s="8"/>
    </row>
    <row r="52" spans="2:26" ht="24.95" customHeight="1" x14ac:dyDescent="0.25">
      <c r="R52" s="73"/>
      <c r="S52" s="73"/>
      <c r="T52" s="73"/>
      <c r="U52" s="73"/>
      <c r="V52" s="73"/>
      <c r="W52" s="73"/>
      <c r="X52" s="73"/>
      <c r="Z52" s="8"/>
    </row>
  </sheetData>
  <sortState xmlns:xlrd2="http://schemas.microsoft.com/office/spreadsheetml/2017/richdata2" ref="B38:I51">
    <sortCondition ref="H38:H51"/>
  </sortState>
  <mergeCells count="9">
    <mergeCell ref="A13:A23"/>
    <mergeCell ref="B23:K23"/>
    <mergeCell ref="B36:K36"/>
    <mergeCell ref="J1:K1"/>
    <mergeCell ref="M1:P1"/>
    <mergeCell ref="Q1:X1"/>
    <mergeCell ref="A3:A8"/>
    <mergeCell ref="B4:K4"/>
    <mergeCell ref="A9:A12"/>
  </mergeCells>
  <pageMargins left="0.70866141732283461" right="0.70866141732283461" top="0.74803149606299213" bottom="0.74803149606299213" header="0.31496062992125984" footer="0.31496062992125984"/>
  <pageSetup paperSize="8" scale="69" fitToHeight="0" orientation="landscape" r:id="rId1"/>
  <headerFooter>
    <oddHeader xml:space="preserve">&amp;CPo osnovu odobrenog kredita
 broj: 3276598450
&amp;RKreditor: 
ZAGREBAČKA BANKA d.d.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3254-FE1C-4048-B113-FD7F07A0E392}">
  <sheetPr>
    <pageSetUpPr fitToPage="1"/>
  </sheetPr>
  <dimension ref="A1:AH24"/>
  <sheetViews>
    <sheetView topLeftCell="B1" zoomScale="85" zoomScaleNormal="85" workbookViewId="0">
      <pane ySplit="2" topLeftCell="A3" activePane="bottomLeft" state="frozen"/>
      <selection activeCell="H1" sqref="H1"/>
      <selection pane="bottomLeft" activeCell="D22" sqref="D22"/>
    </sheetView>
  </sheetViews>
  <sheetFormatPr defaultRowHeight="24.95" customHeight="1" x14ac:dyDescent="0.25"/>
  <cols>
    <col min="1" max="1" width="11.42578125" hidden="1" customWidth="1"/>
    <col min="2" max="2" width="28" bestFit="1" customWidth="1"/>
    <col min="3" max="3" width="23.42578125" customWidth="1"/>
    <col min="4" max="4" width="13.28515625" bestFit="1" customWidth="1"/>
    <col min="5" max="5" width="13.28515625" style="96" customWidth="1"/>
    <col min="6" max="6" width="14.42578125" style="33" hidden="1" customWidth="1"/>
    <col min="7" max="7" width="16.42578125" style="100" bestFit="1" customWidth="1"/>
    <col min="8" max="8" width="9.42578125" style="33" bestFit="1" customWidth="1"/>
    <col min="9" max="9" width="14.140625" style="100" bestFit="1" customWidth="1"/>
    <col min="10" max="10" width="14.42578125" style="33" customWidth="1"/>
    <col min="11" max="11" width="18.42578125" hidden="1" customWidth="1"/>
    <col min="12" max="12" width="29.42578125" style="40" hidden="1" customWidth="1"/>
    <col min="13" max="13" width="21.5703125" style="74" hidden="1" customWidth="1"/>
    <col min="14" max="14" width="2.7109375" hidden="1" customWidth="1"/>
    <col min="15" max="15" width="5.85546875" hidden="1" customWidth="1"/>
    <col min="16" max="16" width="10.7109375" hidden="1" customWidth="1"/>
    <col min="17" max="17" width="11.7109375" hidden="1" customWidth="1"/>
    <col min="18" max="18" width="16.85546875" hidden="1" customWidth="1"/>
    <col min="19" max="20" width="16" hidden="1" customWidth="1"/>
    <col min="21" max="21" width="15.85546875" hidden="1" customWidth="1"/>
    <col min="22" max="22" width="14.42578125" hidden="1" customWidth="1"/>
    <col min="23" max="23" width="15.42578125" hidden="1" customWidth="1"/>
    <col min="24" max="25" width="14.42578125" hidden="1" customWidth="1"/>
    <col min="26" max="26" width="15.42578125" hidden="1" customWidth="1"/>
    <col min="27" max="27" width="15.42578125" bestFit="1" customWidth="1"/>
    <col min="34" max="34" width="9.140625" customWidth="1"/>
  </cols>
  <sheetData>
    <row r="1" spans="1:34" ht="19.5" customHeight="1" thickBot="1" x14ac:dyDescent="0.3">
      <c r="A1" s="11" t="s">
        <v>0</v>
      </c>
      <c r="K1" s="266"/>
      <c r="L1" s="266"/>
      <c r="N1" s="250">
        <v>2020</v>
      </c>
      <c r="O1" s="251"/>
      <c r="P1" s="251"/>
      <c r="Q1" s="252"/>
      <c r="R1" s="253">
        <v>2021</v>
      </c>
      <c r="S1" s="254"/>
      <c r="T1" s="254"/>
      <c r="U1" s="254"/>
      <c r="V1" s="254"/>
      <c r="W1" s="254"/>
      <c r="X1" s="254"/>
      <c r="Y1" s="255"/>
    </row>
    <row r="2" spans="1:34" ht="57" customHeight="1" thickBot="1" x14ac:dyDescent="0.3">
      <c r="A2" s="1" t="s">
        <v>1</v>
      </c>
      <c r="B2" s="2" t="s">
        <v>2</v>
      </c>
      <c r="C2" s="2" t="s">
        <v>3</v>
      </c>
      <c r="D2" s="4" t="s">
        <v>99</v>
      </c>
      <c r="E2" s="97" t="s">
        <v>4</v>
      </c>
      <c r="F2" s="41" t="s">
        <v>100</v>
      </c>
      <c r="G2" s="101" t="s">
        <v>6</v>
      </c>
      <c r="H2" s="90" t="s">
        <v>7</v>
      </c>
      <c r="I2" s="101" t="s">
        <v>6</v>
      </c>
      <c r="J2" s="90" t="s">
        <v>8</v>
      </c>
      <c r="K2" s="12" t="s">
        <v>9</v>
      </c>
      <c r="L2" s="42" t="s">
        <v>10</v>
      </c>
      <c r="M2" s="75" t="s">
        <v>11</v>
      </c>
      <c r="N2" s="15" t="s">
        <v>12</v>
      </c>
      <c r="O2" s="16" t="s">
        <v>13</v>
      </c>
      <c r="P2" s="16" t="s">
        <v>14</v>
      </c>
      <c r="Q2" s="17" t="s">
        <v>15</v>
      </c>
      <c r="R2" s="15" t="s">
        <v>16</v>
      </c>
      <c r="S2" s="16" t="s">
        <v>17</v>
      </c>
      <c r="T2" s="16" t="s">
        <v>18</v>
      </c>
      <c r="U2" s="18" t="s">
        <v>19</v>
      </c>
      <c r="V2" s="15" t="s">
        <v>20</v>
      </c>
      <c r="W2" s="16" t="s">
        <v>21</v>
      </c>
      <c r="X2" s="16" t="s">
        <v>22</v>
      </c>
      <c r="Y2" s="18" t="s">
        <v>23</v>
      </c>
      <c r="Z2" s="82" t="s">
        <v>12</v>
      </c>
    </row>
    <row r="3" spans="1:34" ht="15.75" thickBot="1" x14ac:dyDescent="0.3">
      <c r="A3" s="256"/>
      <c r="B3" s="45"/>
      <c r="C3" s="59"/>
      <c r="D3" s="6"/>
      <c r="E3" s="98"/>
      <c r="F3" s="34"/>
      <c r="G3" s="103"/>
      <c r="H3" s="92"/>
      <c r="I3" s="103"/>
      <c r="J3" s="92"/>
      <c r="K3" s="13"/>
      <c r="L3" s="43"/>
      <c r="N3" s="29"/>
      <c r="O3" s="27"/>
      <c r="P3" s="27"/>
      <c r="Q3" s="32"/>
      <c r="R3" s="29"/>
      <c r="S3" s="27"/>
      <c r="T3" s="31"/>
      <c r="U3" s="28"/>
      <c r="V3" s="29"/>
      <c r="W3" s="27"/>
      <c r="X3" s="31"/>
      <c r="Y3" s="28"/>
      <c r="Z3" s="26"/>
      <c r="AH3">
        <v>7.6</v>
      </c>
    </row>
    <row r="4" spans="1:34" ht="24.95" customHeight="1" thickBot="1" x14ac:dyDescent="0.3">
      <c r="A4" s="257"/>
      <c r="B4" s="264" t="s">
        <v>24</v>
      </c>
      <c r="C4" s="264"/>
      <c r="D4" s="264"/>
      <c r="E4" s="264"/>
      <c r="F4" s="264"/>
      <c r="G4" s="264"/>
      <c r="H4" s="264"/>
      <c r="I4" s="264"/>
      <c r="J4" s="264"/>
      <c r="K4" s="264"/>
      <c r="L4" s="265"/>
      <c r="N4" s="19"/>
      <c r="O4" s="20"/>
      <c r="P4" s="20"/>
      <c r="Q4" s="23"/>
      <c r="R4" s="84"/>
      <c r="S4" s="85"/>
      <c r="T4" s="85"/>
      <c r="U4" s="86"/>
      <c r="V4" s="68"/>
      <c r="W4" s="69"/>
      <c r="X4" s="69"/>
      <c r="Y4" s="70"/>
      <c r="Z4" s="26"/>
    </row>
    <row r="5" spans="1:34" ht="24.95" customHeight="1" x14ac:dyDescent="0.25">
      <c r="A5" s="258"/>
      <c r="B5" s="127" t="s">
        <v>107</v>
      </c>
      <c r="C5" s="128" t="s">
        <v>108</v>
      </c>
      <c r="D5" s="129">
        <f>2524.16*7</f>
        <v>17669.12</v>
      </c>
      <c r="E5" s="129">
        <f t="shared" ref="E5:E10" si="0">D5*$AH$3</f>
        <v>134285.31199999998</v>
      </c>
      <c r="F5" s="34" t="e">
        <f>#REF!*D5</f>
        <v>#REF!</v>
      </c>
      <c r="G5" s="130"/>
      <c r="H5" s="131"/>
      <c r="I5" s="130">
        <v>44242</v>
      </c>
      <c r="J5" s="131">
        <v>1</v>
      </c>
      <c r="K5" s="55">
        <v>1</v>
      </c>
      <c r="L5" s="132">
        <v>30</v>
      </c>
      <c r="M5" s="74" t="s">
        <v>103</v>
      </c>
      <c r="N5" s="19"/>
      <c r="O5" s="20"/>
      <c r="P5" s="20"/>
      <c r="Q5" s="20"/>
      <c r="R5" s="71">
        <f>1060*7.6</f>
        <v>8056</v>
      </c>
      <c r="S5" s="77"/>
      <c r="T5" s="77"/>
      <c r="U5" s="87">
        <v>8056</v>
      </c>
      <c r="V5" s="71"/>
      <c r="W5" s="77"/>
      <c r="X5" s="9"/>
      <c r="Y5" s="78"/>
      <c r="Z5" s="25"/>
    </row>
    <row r="6" spans="1:34" ht="24.95" customHeight="1" x14ac:dyDescent="0.25">
      <c r="A6" s="258"/>
      <c r="B6" s="49" t="s">
        <v>110</v>
      </c>
      <c r="C6" s="63" t="s">
        <v>111</v>
      </c>
      <c r="D6" s="118">
        <f>1750+585</f>
        <v>2335</v>
      </c>
      <c r="E6" s="118">
        <f t="shared" si="0"/>
        <v>17746</v>
      </c>
      <c r="F6" s="3" t="e">
        <f>#REF!*D6</f>
        <v>#REF!</v>
      </c>
      <c r="G6" s="119">
        <v>44221</v>
      </c>
      <c r="H6" s="123">
        <v>0.3</v>
      </c>
      <c r="I6" s="119">
        <v>44270</v>
      </c>
      <c r="J6" s="123">
        <v>0.7</v>
      </c>
      <c r="K6" s="37">
        <v>0.3</v>
      </c>
      <c r="L6" s="65">
        <v>60</v>
      </c>
      <c r="M6" s="74" t="s">
        <v>106</v>
      </c>
      <c r="N6" s="19"/>
      <c r="O6" s="20"/>
      <c r="P6" s="20"/>
      <c r="Q6" s="20"/>
      <c r="R6" s="72">
        <f>11510*7.6</f>
        <v>87476</v>
      </c>
      <c r="S6" s="77">
        <f>26853.5*7.6</f>
        <v>204086.59999999998</v>
      </c>
      <c r="T6" s="77"/>
      <c r="U6" s="87">
        <v>87476</v>
      </c>
      <c r="V6" s="71">
        <v>204086.59999999998</v>
      </c>
      <c r="W6" s="77"/>
      <c r="X6" s="9"/>
      <c r="Y6" s="78"/>
      <c r="Z6" s="25"/>
    </row>
    <row r="7" spans="1:34" ht="24.95" customHeight="1" x14ac:dyDescent="0.25">
      <c r="A7" s="258"/>
      <c r="B7" s="49" t="s">
        <v>112</v>
      </c>
      <c r="C7" s="63" t="s">
        <v>113</v>
      </c>
      <c r="D7" s="118">
        <f>1370*7</f>
        <v>9590</v>
      </c>
      <c r="E7" s="118">
        <f t="shared" si="0"/>
        <v>72884</v>
      </c>
      <c r="F7" s="3" t="e">
        <f>#REF!*D7</f>
        <v>#REF!</v>
      </c>
      <c r="G7" s="139"/>
      <c r="H7" s="140"/>
      <c r="I7" s="139">
        <v>44270</v>
      </c>
      <c r="J7" s="140">
        <v>1</v>
      </c>
      <c r="K7" s="54" t="s">
        <v>109</v>
      </c>
      <c r="L7" s="57">
        <v>30</v>
      </c>
      <c r="M7" s="74">
        <v>44265</v>
      </c>
      <c r="N7" s="19"/>
      <c r="O7" s="20"/>
      <c r="P7" s="20"/>
      <c r="Q7" s="20"/>
      <c r="R7" s="71"/>
      <c r="S7" s="77"/>
      <c r="T7" s="77" t="e">
        <f>F7</f>
        <v>#REF!</v>
      </c>
      <c r="U7" s="87"/>
      <c r="V7" s="71"/>
      <c r="W7" s="77">
        <v>134285.31199999998</v>
      </c>
      <c r="X7" s="9"/>
      <c r="Y7" s="78"/>
      <c r="Z7" s="25"/>
    </row>
    <row r="8" spans="1:34" ht="24.95" customHeight="1" x14ac:dyDescent="0.25">
      <c r="A8" s="258"/>
      <c r="B8" s="49" t="s">
        <v>101</v>
      </c>
      <c r="C8" s="64" t="s">
        <v>102</v>
      </c>
      <c r="D8" s="118">
        <v>1059</v>
      </c>
      <c r="E8" s="118">
        <f t="shared" si="0"/>
        <v>8048.4</v>
      </c>
      <c r="F8" s="3" t="e">
        <f>#REF!*D8</f>
        <v>#REF!</v>
      </c>
      <c r="G8" s="119">
        <v>44221</v>
      </c>
      <c r="H8" s="123">
        <v>1</v>
      </c>
      <c r="I8" s="119"/>
      <c r="J8" s="123"/>
      <c r="K8" s="9"/>
      <c r="L8" s="56"/>
      <c r="M8" s="74">
        <v>44287</v>
      </c>
      <c r="N8" s="19"/>
      <c r="O8" s="20"/>
      <c r="P8" s="20"/>
      <c r="Q8" s="20"/>
      <c r="R8" s="71"/>
      <c r="S8" s="77" t="e">
        <f>F8</f>
        <v>#REF!</v>
      </c>
      <c r="T8" s="77"/>
      <c r="U8" s="87"/>
      <c r="V8" s="71">
        <v>17746</v>
      </c>
      <c r="W8" s="77"/>
      <c r="X8" s="9"/>
      <c r="Y8" s="78"/>
      <c r="Z8" s="25"/>
    </row>
    <row r="9" spans="1:34" ht="24.95" customHeight="1" x14ac:dyDescent="0.25">
      <c r="A9" s="258"/>
      <c r="B9" s="49" t="s">
        <v>104</v>
      </c>
      <c r="C9" s="63" t="s">
        <v>105</v>
      </c>
      <c r="D9" s="118">
        <v>38263.5</v>
      </c>
      <c r="E9" s="118">
        <f t="shared" si="0"/>
        <v>290802.59999999998</v>
      </c>
      <c r="F9" s="3" t="e">
        <f>#REF!*D9</f>
        <v>#REF!</v>
      </c>
      <c r="G9" s="109">
        <v>44214</v>
      </c>
      <c r="H9" s="123">
        <v>0.3</v>
      </c>
      <c r="I9" s="119"/>
      <c r="J9" s="123">
        <v>0.7</v>
      </c>
      <c r="K9" s="37">
        <v>1</v>
      </c>
      <c r="L9" s="65">
        <v>60</v>
      </c>
      <c r="M9" s="74" t="s">
        <v>114</v>
      </c>
      <c r="N9" s="19"/>
      <c r="O9" s="20"/>
      <c r="P9" s="20"/>
      <c r="Q9" s="20"/>
      <c r="R9" s="71"/>
      <c r="S9" s="77"/>
      <c r="T9" s="9"/>
      <c r="U9" s="87" t="e">
        <f>F9</f>
        <v>#REF!</v>
      </c>
      <c r="V9" s="71"/>
      <c r="W9" s="77"/>
      <c r="X9" s="77">
        <v>72884</v>
      </c>
      <c r="Y9" s="10"/>
      <c r="Z9" s="25"/>
    </row>
    <row r="10" spans="1:34" ht="24.95" customHeight="1" thickBot="1" x14ac:dyDescent="0.3">
      <c r="A10" s="258"/>
      <c r="B10" s="133" t="s">
        <v>115</v>
      </c>
      <c r="C10" s="133" t="s">
        <v>116</v>
      </c>
      <c r="D10" s="118">
        <v>800</v>
      </c>
      <c r="E10" s="134">
        <f t="shared" si="0"/>
        <v>6080</v>
      </c>
      <c r="F10" s="135">
        <v>6000</v>
      </c>
      <c r="G10" s="138">
        <v>44221</v>
      </c>
      <c r="H10" s="141">
        <v>1</v>
      </c>
      <c r="I10" s="138"/>
      <c r="J10" s="141"/>
      <c r="K10" s="136"/>
      <c r="L10" s="137"/>
      <c r="M10" s="74" t="s">
        <v>59</v>
      </c>
      <c r="N10" s="19"/>
      <c r="O10" s="20"/>
      <c r="P10" s="20"/>
      <c r="Q10" s="20"/>
      <c r="R10" s="71">
        <f>F10</f>
        <v>6000</v>
      </c>
      <c r="S10" s="77"/>
      <c r="T10" s="77"/>
      <c r="U10" s="87"/>
      <c r="V10" s="71"/>
      <c r="W10" s="77"/>
      <c r="X10" s="77"/>
      <c r="Y10" s="78"/>
      <c r="Z10" s="25"/>
    </row>
    <row r="11" spans="1:34" ht="24.95" customHeight="1" x14ac:dyDescent="0.25">
      <c r="A11" s="262"/>
      <c r="B11" s="66"/>
      <c r="C11" s="67"/>
      <c r="D11" s="5"/>
      <c r="E11" s="99"/>
      <c r="F11" s="3"/>
      <c r="G11" s="105"/>
      <c r="H11" s="94"/>
      <c r="I11" s="105"/>
      <c r="J11" s="94"/>
      <c r="K11" s="14"/>
      <c r="L11" s="44"/>
      <c r="N11" s="19"/>
      <c r="O11" s="20"/>
      <c r="P11" s="20"/>
      <c r="Q11" s="20"/>
      <c r="R11" s="71"/>
      <c r="S11" s="77"/>
      <c r="T11" s="77"/>
      <c r="U11" s="87"/>
      <c r="V11" s="71"/>
      <c r="W11" s="77"/>
      <c r="X11" s="77"/>
      <c r="Y11" s="78"/>
      <c r="Z11" s="76"/>
      <c r="AA11" s="8"/>
    </row>
    <row r="12" spans="1:34" ht="24.95" customHeight="1" thickBot="1" x14ac:dyDescent="0.3">
      <c r="A12" s="262"/>
      <c r="B12" s="264" t="s">
        <v>60</v>
      </c>
      <c r="C12" s="264"/>
      <c r="D12" s="264"/>
      <c r="E12" s="264"/>
      <c r="F12" s="264"/>
      <c r="G12" s="264"/>
      <c r="H12" s="264"/>
      <c r="I12" s="264"/>
      <c r="J12" s="264"/>
      <c r="K12" s="264"/>
      <c r="L12" s="265"/>
      <c r="N12" s="19"/>
      <c r="O12" s="20"/>
      <c r="P12" s="20"/>
      <c r="Q12" s="20"/>
      <c r="R12" s="71"/>
      <c r="S12" s="77"/>
      <c r="T12" s="77"/>
      <c r="U12" s="87"/>
      <c r="V12" s="71"/>
      <c r="W12" s="77"/>
      <c r="X12" s="77"/>
      <c r="Y12" s="78"/>
      <c r="Z12" s="25"/>
    </row>
    <row r="13" spans="1:34" ht="24.95" customHeight="1" x14ac:dyDescent="0.25">
      <c r="A13" s="38"/>
      <c r="B13" s="153" t="s">
        <v>117</v>
      </c>
      <c r="C13" s="168" t="s">
        <v>118</v>
      </c>
      <c r="D13" s="129">
        <v>22559.599999999999</v>
      </c>
      <c r="E13" s="129">
        <f t="shared" ref="E13:E18" si="1">D13*$AH$3</f>
        <v>171452.96</v>
      </c>
      <c r="F13" s="34" t="e">
        <f>#REF!*D13</f>
        <v>#REF!</v>
      </c>
      <c r="G13" s="130">
        <v>44232</v>
      </c>
      <c r="H13" s="131">
        <v>0.3</v>
      </c>
      <c r="I13" s="130">
        <v>44301</v>
      </c>
      <c r="J13" s="169">
        <v>0.7</v>
      </c>
      <c r="K13" s="146">
        <v>0.3</v>
      </c>
      <c r="L13" s="120">
        <v>60</v>
      </c>
      <c r="M13" s="74">
        <v>44301</v>
      </c>
      <c r="N13" s="19"/>
      <c r="O13" s="20"/>
      <c r="P13" s="23"/>
      <c r="Q13" s="20"/>
      <c r="R13" s="71">
        <v>51435.89</v>
      </c>
      <c r="S13" s="77"/>
      <c r="T13" s="77"/>
      <c r="U13" s="87" t="e">
        <f>F13-R13+51435.89</f>
        <v>#REF!</v>
      </c>
      <c r="V13" s="71"/>
      <c r="W13" s="77"/>
      <c r="X13" s="77">
        <v>120017.06999999999</v>
      </c>
      <c r="Y13" s="10"/>
      <c r="Z13" s="26"/>
    </row>
    <row r="14" spans="1:34" ht="15.75" thickBot="1" x14ac:dyDescent="0.3">
      <c r="A14" s="39"/>
      <c r="B14" s="46" t="s">
        <v>119</v>
      </c>
      <c r="C14" s="60" t="s">
        <v>120</v>
      </c>
      <c r="D14" s="118">
        <v>9982.48</v>
      </c>
      <c r="E14" s="118">
        <f t="shared" si="1"/>
        <v>75866.847999999998</v>
      </c>
      <c r="F14" s="3" t="e">
        <f>#REF!*D14</f>
        <v>#REF!</v>
      </c>
      <c r="G14" s="119">
        <v>44232</v>
      </c>
      <c r="H14" s="123">
        <v>0.3</v>
      </c>
      <c r="I14" s="119">
        <v>44301</v>
      </c>
      <c r="J14" s="170">
        <v>0.7</v>
      </c>
      <c r="K14" s="146">
        <v>0.3</v>
      </c>
      <c r="L14" s="121">
        <v>45</v>
      </c>
      <c r="M14" s="74">
        <v>44301</v>
      </c>
      <c r="N14" s="19"/>
      <c r="O14" s="20"/>
      <c r="P14" s="23"/>
      <c r="Q14" s="20"/>
      <c r="R14" s="71">
        <v>22760.01</v>
      </c>
      <c r="S14" s="77"/>
      <c r="T14" s="77"/>
      <c r="U14" s="87" t="e">
        <f>F14-R14+22760.01</f>
        <v>#REF!</v>
      </c>
      <c r="V14" s="71"/>
      <c r="W14" s="77"/>
      <c r="X14" s="77">
        <v>53106.838000000003</v>
      </c>
      <c r="Y14" s="10"/>
      <c r="Z14" s="26"/>
    </row>
    <row r="15" spans="1:34" ht="24.95" customHeight="1" x14ac:dyDescent="0.25">
      <c r="A15" s="35"/>
      <c r="B15" s="47" t="s">
        <v>121</v>
      </c>
      <c r="C15" s="61" t="s">
        <v>122</v>
      </c>
      <c r="D15" s="118">
        <v>10049.73</v>
      </c>
      <c r="E15" s="118">
        <f t="shared" si="1"/>
        <v>76377.947999999989</v>
      </c>
      <c r="F15" s="3" t="e">
        <f>#REF!*D15</f>
        <v>#REF!</v>
      </c>
      <c r="G15" s="119"/>
      <c r="H15" s="123"/>
      <c r="I15" s="119">
        <v>44301</v>
      </c>
      <c r="J15" s="170">
        <v>1</v>
      </c>
      <c r="K15" s="146">
        <v>1</v>
      </c>
      <c r="L15" s="53">
        <v>20</v>
      </c>
      <c r="M15" s="74">
        <v>44301</v>
      </c>
      <c r="N15" s="19"/>
      <c r="O15" s="20"/>
      <c r="P15" s="23"/>
      <c r="Q15" s="20"/>
      <c r="R15" s="71"/>
      <c r="S15" s="77"/>
      <c r="T15" s="77"/>
      <c r="U15" s="87" t="e">
        <f>F15</f>
        <v>#REF!</v>
      </c>
      <c r="V15" s="71"/>
      <c r="W15" s="77"/>
      <c r="X15" s="77">
        <v>76377.947999999989</v>
      </c>
      <c r="Y15" s="10"/>
    </row>
    <row r="16" spans="1:34" ht="24.95" customHeight="1" thickBot="1" x14ac:dyDescent="0.3">
      <c r="A16" s="36"/>
      <c r="B16" s="47" t="s">
        <v>123</v>
      </c>
      <c r="C16" s="50" t="s">
        <v>122</v>
      </c>
      <c r="D16" s="118">
        <f>3450*7</f>
        <v>24150</v>
      </c>
      <c r="E16" s="118">
        <f t="shared" si="1"/>
        <v>183540</v>
      </c>
      <c r="F16" s="3" t="e">
        <f>#REF!*D16</f>
        <v>#REF!</v>
      </c>
      <c r="G16" s="119"/>
      <c r="H16" s="123"/>
      <c r="I16" s="119">
        <v>44301</v>
      </c>
      <c r="J16" s="170">
        <v>1</v>
      </c>
      <c r="K16" s="146">
        <v>1</v>
      </c>
      <c r="L16" s="53">
        <v>15</v>
      </c>
      <c r="M16" s="74">
        <v>44301</v>
      </c>
      <c r="N16" s="21"/>
      <c r="O16" s="22"/>
      <c r="P16" s="24"/>
      <c r="Q16" s="22"/>
      <c r="R16" s="71"/>
      <c r="S16" s="77"/>
      <c r="T16" s="77"/>
      <c r="U16" s="87" t="e">
        <f>F16</f>
        <v>#REF!</v>
      </c>
      <c r="V16" s="71"/>
      <c r="W16" s="77"/>
      <c r="X16" s="77">
        <v>183540</v>
      </c>
      <c r="Y16" s="10"/>
    </row>
    <row r="17" spans="1:27" ht="24.95" customHeight="1" x14ac:dyDescent="0.25">
      <c r="A17" s="20"/>
      <c r="B17" s="171" t="s">
        <v>124</v>
      </c>
      <c r="C17" s="62" t="s">
        <v>125</v>
      </c>
      <c r="D17" s="118">
        <v>2465.33</v>
      </c>
      <c r="E17" s="118">
        <f t="shared" si="1"/>
        <v>18736.507999999998</v>
      </c>
      <c r="F17" s="3" t="e">
        <f>#REF!*D17</f>
        <v>#REF!</v>
      </c>
      <c r="G17" s="119"/>
      <c r="H17" s="123"/>
      <c r="I17" s="119">
        <v>44301</v>
      </c>
      <c r="J17" s="170">
        <v>1</v>
      </c>
      <c r="K17" s="146">
        <v>1</v>
      </c>
      <c r="L17" s="122">
        <v>15</v>
      </c>
      <c r="M17" s="74">
        <v>44301</v>
      </c>
      <c r="N17" s="20"/>
      <c r="O17" s="20"/>
      <c r="P17" s="23"/>
      <c r="Q17" s="20"/>
      <c r="R17" s="71"/>
      <c r="S17" s="77"/>
      <c r="T17" s="77"/>
      <c r="U17" s="87" t="e">
        <f>F17</f>
        <v>#REF!</v>
      </c>
      <c r="V17" s="71"/>
      <c r="W17" s="77"/>
      <c r="X17" s="77">
        <v>18736.507999999998</v>
      </c>
      <c r="Y17" s="10"/>
    </row>
    <row r="18" spans="1:27" ht="24.95" customHeight="1" thickBot="1" x14ac:dyDescent="0.3">
      <c r="A18" s="20"/>
      <c r="B18" s="158" t="s">
        <v>126</v>
      </c>
      <c r="C18" s="172" t="s">
        <v>127</v>
      </c>
      <c r="D18" s="134">
        <v>8575</v>
      </c>
      <c r="E18" s="134">
        <f t="shared" si="1"/>
        <v>65170</v>
      </c>
      <c r="F18" s="7" t="e">
        <f>#REF!*D18</f>
        <v>#REF!</v>
      </c>
      <c r="G18" s="173">
        <v>44256</v>
      </c>
      <c r="H18" s="174">
        <v>0.3</v>
      </c>
      <c r="I18" s="173">
        <v>44301</v>
      </c>
      <c r="J18" s="175">
        <v>0.7</v>
      </c>
      <c r="K18" s="146">
        <v>0.3</v>
      </c>
      <c r="L18" s="122">
        <v>30</v>
      </c>
      <c r="M18" s="74">
        <v>44301</v>
      </c>
      <c r="N18" s="20"/>
      <c r="O18" s="20"/>
      <c r="P18" s="23"/>
      <c r="Q18" s="20"/>
      <c r="R18" s="71"/>
      <c r="S18" s="77">
        <v>19551</v>
      </c>
      <c r="T18" s="77"/>
      <c r="U18" s="87" t="e">
        <f>F18-S18</f>
        <v>#REF!</v>
      </c>
      <c r="V18" s="71">
        <v>19551</v>
      </c>
      <c r="W18" s="9"/>
      <c r="X18" s="77">
        <v>45619</v>
      </c>
      <c r="Y18" s="10"/>
    </row>
    <row r="19" spans="1:27" ht="24.95" customHeight="1" x14ac:dyDescent="0.25">
      <c r="R19" s="71"/>
      <c r="S19" s="77"/>
      <c r="T19" s="77"/>
      <c r="U19" s="87"/>
      <c r="V19" s="71"/>
      <c r="W19" s="77"/>
      <c r="X19" s="77"/>
      <c r="Y19" s="78"/>
      <c r="Z19" s="73"/>
    </row>
    <row r="20" spans="1:27" ht="24.95" customHeight="1" x14ac:dyDescent="0.25">
      <c r="B20" s="264" t="s">
        <v>82</v>
      </c>
      <c r="C20" s="264"/>
      <c r="D20" s="264"/>
      <c r="E20" s="264"/>
      <c r="F20" s="264"/>
      <c r="G20" s="264"/>
      <c r="H20" s="264"/>
      <c r="I20" s="264"/>
      <c r="J20" s="264"/>
      <c r="K20" s="264"/>
      <c r="L20" s="265"/>
      <c r="R20" s="71"/>
      <c r="S20" s="77"/>
      <c r="T20" s="77"/>
      <c r="U20" s="87"/>
      <c r="V20" s="71"/>
      <c r="W20" s="77"/>
      <c r="X20" s="77"/>
      <c r="Y20" s="78"/>
    </row>
    <row r="21" spans="1:27" ht="24.95" customHeight="1" x14ac:dyDescent="0.25">
      <c r="R21" s="71"/>
      <c r="S21" s="77"/>
      <c r="T21" s="77"/>
      <c r="U21" s="87"/>
      <c r="V21" s="71"/>
      <c r="W21" s="77"/>
      <c r="X21" s="77"/>
      <c r="Y21" s="78"/>
    </row>
    <row r="22" spans="1:27" ht="24.95" customHeight="1" thickBot="1" x14ac:dyDescent="0.3">
      <c r="B22" s="49" t="s">
        <v>128</v>
      </c>
      <c r="C22" s="63" t="s">
        <v>129</v>
      </c>
      <c r="D22" s="51">
        <f>6000*7</f>
        <v>42000</v>
      </c>
      <c r="E22" s="89">
        <f>D22*$AH$3</f>
        <v>319200</v>
      </c>
      <c r="F22" s="52" t="e">
        <f>#REF!*D22</f>
        <v>#REF!</v>
      </c>
      <c r="G22" s="107"/>
      <c r="H22" s="95"/>
      <c r="I22" s="107"/>
      <c r="J22" s="95"/>
      <c r="K22" s="54">
        <v>0.5</v>
      </c>
      <c r="L22" s="58"/>
      <c r="M22" s="74" t="s">
        <v>130</v>
      </c>
      <c r="R22" s="79">
        <v>60000</v>
      </c>
      <c r="S22" s="80">
        <v>75000</v>
      </c>
      <c r="T22" s="80">
        <v>90600</v>
      </c>
      <c r="U22" s="88">
        <v>136000</v>
      </c>
      <c r="V22" s="79"/>
      <c r="W22" s="80"/>
      <c r="X22" s="80"/>
      <c r="Y22" s="81"/>
    </row>
    <row r="23" spans="1:27" ht="24.95" customHeight="1" x14ac:dyDescent="0.25">
      <c r="S23" s="73"/>
      <c r="T23" s="73"/>
      <c r="U23" s="73"/>
      <c r="V23" s="73"/>
      <c r="W23" s="73"/>
      <c r="X23" s="73"/>
      <c r="Y23" s="73"/>
      <c r="AA23" s="8"/>
    </row>
    <row r="24" spans="1:27" ht="24.95" customHeight="1" x14ac:dyDescent="0.25">
      <c r="S24" s="73"/>
      <c r="T24" s="73"/>
      <c r="U24" s="73"/>
      <c r="V24" s="73"/>
      <c r="W24" s="73"/>
      <c r="X24" s="73"/>
      <c r="Y24" s="73"/>
      <c r="AA24" s="8"/>
    </row>
  </sheetData>
  <sortState xmlns:xlrd2="http://schemas.microsoft.com/office/spreadsheetml/2017/richdata2" ref="B13:J18">
    <sortCondition ref="I13:I18"/>
  </sortState>
  <mergeCells count="8">
    <mergeCell ref="R1:Y1"/>
    <mergeCell ref="A3:A10"/>
    <mergeCell ref="B4:L4"/>
    <mergeCell ref="B20:L20"/>
    <mergeCell ref="A11:A12"/>
    <mergeCell ref="B12:L12"/>
    <mergeCell ref="K1:L1"/>
    <mergeCell ref="N1:Q1"/>
  </mergeCells>
  <pageMargins left="0.70866141732283461" right="0.70866141732283461" top="0.74803149606299213" bottom="0.74803149606299213" header="0.31496062992125984" footer="0.31496062992125984"/>
  <pageSetup paperSize="8" scale="69" fitToHeight="0" orientation="landscape" r:id="rId1"/>
  <headerFooter>
    <oddHeader xml:space="preserve">&amp;CPo osnovu odobrenog kredita
 broj: 3276598450
&amp;RKreditor: 
ZAGREBAČKA BANKA d.d.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6ABC-6DA4-4908-9F18-B279230107DB}">
  <sheetPr>
    <pageSetUpPr fitToPage="1"/>
  </sheetPr>
  <dimension ref="B4:Y56"/>
  <sheetViews>
    <sheetView tabSelected="1" topLeftCell="B24" zoomScale="115" zoomScaleNormal="115" workbookViewId="0">
      <selection activeCell="Q28" sqref="Q28"/>
    </sheetView>
  </sheetViews>
  <sheetFormatPr defaultRowHeight="15" x14ac:dyDescent="0.25"/>
  <cols>
    <col min="3" max="3" width="4.7109375" customWidth="1"/>
    <col min="4" max="4" width="21.7109375" customWidth="1"/>
    <col min="5" max="5" width="15.85546875" hidden="1" customWidth="1"/>
    <col min="6" max="6" width="17.28515625" hidden="1" customWidth="1"/>
    <col min="7" max="7" width="18.140625" hidden="1" customWidth="1"/>
    <col min="8" max="8" width="17.7109375" hidden="1" customWidth="1"/>
    <col min="9" max="9" width="20.7109375" hidden="1" customWidth="1"/>
    <col min="10" max="10" width="18.42578125" hidden="1" customWidth="1"/>
    <col min="11" max="11" width="18.7109375" hidden="1" customWidth="1"/>
    <col min="12" max="12" width="17.5703125" hidden="1" customWidth="1"/>
    <col min="13" max="13" width="16.85546875" hidden="1" customWidth="1"/>
    <col min="14" max="14" width="18.42578125" hidden="1" customWidth="1"/>
    <col min="15" max="15" width="16.85546875" hidden="1" customWidth="1"/>
    <col min="16" max="16" width="16.85546875" customWidth="1"/>
    <col min="17" max="17" width="17.7109375" customWidth="1"/>
    <col min="18" max="19" width="18" bestFit="1" customWidth="1"/>
    <col min="20" max="25" width="17.7109375" bestFit="1" customWidth="1"/>
  </cols>
  <sheetData>
    <row r="4" spans="4:11" x14ac:dyDescent="0.25">
      <c r="E4" s="230"/>
      <c r="F4" s="230"/>
      <c r="G4" s="230"/>
      <c r="H4" s="230"/>
    </row>
    <row r="5" spans="4:11" x14ac:dyDescent="0.25">
      <c r="E5" s="320" t="s">
        <v>165</v>
      </c>
      <c r="F5" s="320"/>
      <c r="G5" s="320"/>
      <c r="H5" s="320"/>
    </row>
    <row r="6" spans="4:11" x14ac:dyDescent="0.25">
      <c r="D6" s="234">
        <v>0.1</v>
      </c>
      <c r="E6" s="228" t="s">
        <v>164</v>
      </c>
      <c r="F6" s="233">
        <v>0.22500000000000001</v>
      </c>
      <c r="G6" s="232">
        <v>0.22500000000000001</v>
      </c>
      <c r="H6" s="232">
        <v>0.22500000000000001</v>
      </c>
      <c r="K6" s="231">
        <v>43535</v>
      </c>
    </row>
    <row r="7" spans="4:11" x14ac:dyDescent="0.25">
      <c r="E7" s="228" t="s">
        <v>163</v>
      </c>
      <c r="F7" s="228" t="s">
        <v>162</v>
      </c>
      <c r="G7" s="228" t="s">
        <v>161</v>
      </c>
      <c r="H7" s="228" t="s">
        <v>160</v>
      </c>
      <c r="K7" s="231">
        <f>+K6+4</f>
        <v>43539</v>
      </c>
    </row>
    <row r="8" spans="4:11" x14ac:dyDescent="0.25">
      <c r="D8" s="318">
        <f>+([1]REKAPITULACIJA!$E$13*2)*0.4</f>
        <v>6197718.1320000002</v>
      </c>
      <c r="E8" s="322"/>
      <c r="F8" s="322"/>
      <c r="G8" s="322"/>
      <c r="H8" s="322">
        <f>+([1]REKAPITULACIJA!$E$13*2)*0.6</f>
        <v>9296577.1979999989</v>
      </c>
      <c r="K8" s="231">
        <f>+K7+21</f>
        <v>43560</v>
      </c>
    </row>
    <row r="9" spans="4:11" x14ac:dyDescent="0.25">
      <c r="D9" s="319"/>
      <c r="E9" s="323"/>
      <c r="F9" s="323"/>
      <c r="G9" s="323"/>
      <c r="H9" s="323"/>
    </row>
    <row r="10" spans="4:11" x14ac:dyDescent="0.25">
      <c r="D10" s="318">
        <f>+[1]REKAPITULACIJA!E13</f>
        <v>7747147.665</v>
      </c>
      <c r="E10" s="230"/>
      <c r="F10" s="230"/>
      <c r="G10" s="230"/>
      <c r="H10" s="230"/>
    </row>
    <row r="11" spans="4:11" x14ac:dyDescent="0.25">
      <c r="D11" s="319"/>
      <c r="E11" s="320" t="s">
        <v>159</v>
      </c>
      <c r="F11" s="320"/>
      <c r="G11" s="320"/>
      <c r="H11" s="320"/>
    </row>
    <row r="12" spans="4:11" x14ac:dyDescent="0.25">
      <c r="E12" s="229">
        <v>0.1</v>
      </c>
      <c r="F12" s="229">
        <v>0.3</v>
      </c>
      <c r="G12" s="229">
        <v>0.3</v>
      </c>
      <c r="H12" s="229">
        <v>0.3</v>
      </c>
    </row>
    <row r="13" spans="4:11" x14ac:dyDescent="0.25">
      <c r="E13" s="228" t="s">
        <v>158</v>
      </c>
      <c r="F13" s="228" t="s">
        <v>157</v>
      </c>
      <c r="G13" s="228" t="s">
        <v>156</v>
      </c>
      <c r="H13" s="228" t="s">
        <v>155</v>
      </c>
    </row>
    <row r="14" spans="4:11" x14ac:dyDescent="0.25">
      <c r="E14" s="321"/>
      <c r="F14" s="321"/>
      <c r="G14" s="321"/>
      <c r="H14" s="321"/>
    </row>
    <row r="15" spans="4:11" x14ac:dyDescent="0.25">
      <c r="E15" s="321"/>
      <c r="F15" s="321"/>
      <c r="G15" s="321"/>
      <c r="H15" s="321"/>
    </row>
    <row r="18" spans="2:25" x14ac:dyDescent="0.25">
      <c r="E18" s="274" t="s">
        <v>154</v>
      </c>
      <c r="F18" s="274"/>
      <c r="G18" s="274"/>
      <c r="H18" s="274"/>
      <c r="J18" s="274" t="s">
        <v>153</v>
      </c>
      <c r="K18" s="274"/>
      <c r="L18" s="274"/>
      <c r="M18" s="274"/>
      <c r="O18" s="274" t="s">
        <v>152</v>
      </c>
      <c r="P18" s="274"/>
      <c r="Q18" s="274"/>
      <c r="R18" s="274"/>
    </row>
    <row r="19" spans="2:25" x14ac:dyDescent="0.25">
      <c r="E19" s="274" t="s">
        <v>151</v>
      </c>
      <c r="F19" s="274"/>
      <c r="G19" s="275">
        <f>([2]MATERIJAL!C5+[2]MATERIJAL!C6+[2]MATERIJAL!C7+[2]MATERIJAL!C8+[2]MATERIJAL!C9+[2]MATERIJAL!C10)*10</f>
        <v>3753092.9285714286</v>
      </c>
      <c r="H19" s="275"/>
      <c r="J19" s="274" t="s">
        <v>151</v>
      </c>
      <c r="K19" s="274"/>
      <c r="L19" s="275">
        <f>([2]MATERIJAL!C5+[2]MATERIJAL!C6+[2]MATERIJAL!C7+[2]MATERIJAL!C8+[2]MATERIJAL!C9+[2]MATERIJAL!C10)*4</f>
        <v>1501237.1714285715</v>
      </c>
      <c r="M19" s="275"/>
      <c r="O19" s="274" t="s">
        <v>151</v>
      </c>
      <c r="P19" s="274"/>
      <c r="Q19" s="275">
        <f>([2]MATERIJAL!C4+[2]MATERIJAL!C5+[2]MATERIJAL!C6+[2]MATERIJAL!C7+[2]MATERIJAL!C8+[2]MATERIJAL!C9+[2]MATERIJAL!C10+[2]MATERIJAL!C13)*7</f>
        <v>6049115.0499999998</v>
      </c>
      <c r="R19" s="275"/>
    </row>
    <row r="20" spans="2:25" x14ac:dyDescent="0.25">
      <c r="E20" s="274" t="s">
        <v>150</v>
      </c>
      <c r="F20" s="274"/>
      <c r="G20" s="275">
        <f>SUM(F31:P31)</f>
        <v>2168837.5</v>
      </c>
      <c r="H20" s="275"/>
      <c r="J20" s="274" t="s">
        <v>149</v>
      </c>
      <c r="K20" s="274"/>
      <c r="L20" s="275">
        <f>SUM(P31:R31)</f>
        <v>640000</v>
      </c>
      <c r="M20" s="275"/>
      <c r="O20" s="274" t="s">
        <v>148</v>
      </c>
      <c r="P20" s="274"/>
      <c r="Q20" s="275">
        <f>SUM(T31:W31)</f>
        <v>1280000</v>
      </c>
      <c r="R20" s="275"/>
    </row>
    <row r="21" spans="2:25" ht="15.75" thickBot="1" x14ac:dyDescent="0.3">
      <c r="E21" s="276" t="s">
        <v>147</v>
      </c>
      <c r="F21" s="276"/>
      <c r="G21" s="270">
        <f>SUM(F32:P33)</f>
        <v>586000</v>
      </c>
      <c r="H21" s="270"/>
      <c r="J21" s="276" t="s">
        <v>146</v>
      </c>
      <c r="K21" s="276"/>
      <c r="L21" s="270">
        <f>SUM(P32:R33)</f>
        <v>111000</v>
      </c>
      <c r="M21" s="270"/>
      <c r="O21" s="276" t="s">
        <v>145</v>
      </c>
      <c r="P21" s="276"/>
      <c r="Q21" s="270">
        <f>SUM(T32:W34)</f>
        <v>322000</v>
      </c>
      <c r="R21" s="270"/>
    </row>
    <row r="22" spans="2:25" ht="15.75" thickTop="1" x14ac:dyDescent="0.25">
      <c r="E22" s="271" t="s">
        <v>144</v>
      </c>
      <c r="F22" s="271"/>
      <c r="G22" s="272">
        <f>SUM(G19:G21)</f>
        <v>6507930.4285714291</v>
      </c>
      <c r="H22" s="272"/>
      <c r="J22" s="271" t="s">
        <v>144</v>
      </c>
      <c r="K22" s="271"/>
      <c r="L22" s="272">
        <f>SUM(L19:L21)</f>
        <v>2252237.1714285715</v>
      </c>
      <c r="M22" s="272"/>
      <c r="O22" s="271" t="s">
        <v>144</v>
      </c>
      <c r="P22" s="271"/>
      <c r="Q22" s="272">
        <f>SUM(Q19:Q21)</f>
        <v>7651115.0499999998</v>
      </c>
      <c r="R22" s="272"/>
    </row>
    <row r="23" spans="2:25" x14ac:dyDescent="0.25">
      <c r="K23" s="197"/>
      <c r="L23" s="197"/>
    </row>
    <row r="26" spans="2:25" x14ac:dyDescent="0.25">
      <c r="B26" s="308"/>
      <c r="C26" s="309"/>
      <c r="D26" s="310"/>
      <c r="E26" s="227" t="s">
        <v>143</v>
      </c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5"/>
    </row>
    <row r="27" spans="2:25" x14ac:dyDescent="0.25">
      <c r="B27" s="311"/>
      <c r="C27" s="312"/>
      <c r="D27" s="313"/>
      <c r="E27" s="201">
        <v>43870</v>
      </c>
      <c r="F27" s="201">
        <v>43900</v>
      </c>
      <c r="G27" s="201">
        <v>43932</v>
      </c>
      <c r="H27" s="201">
        <v>43963</v>
      </c>
      <c r="I27" s="201">
        <v>43995</v>
      </c>
      <c r="J27" s="201">
        <v>44026</v>
      </c>
      <c r="K27" s="201">
        <v>44058</v>
      </c>
      <c r="L27" s="201">
        <v>44090</v>
      </c>
      <c r="M27" s="201">
        <v>44121</v>
      </c>
      <c r="N27" s="201">
        <v>44153</v>
      </c>
      <c r="O27" s="201">
        <v>44184</v>
      </c>
      <c r="P27" s="203">
        <v>44216</v>
      </c>
      <c r="Q27" s="203">
        <v>44248</v>
      </c>
      <c r="R27" s="203">
        <v>44277</v>
      </c>
      <c r="S27" s="203">
        <v>44309</v>
      </c>
      <c r="T27" s="202">
        <v>44339</v>
      </c>
      <c r="U27" s="202">
        <v>44371</v>
      </c>
      <c r="V27" s="202">
        <v>44402</v>
      </c>
      <c r="W27" s="202">
        <v>44434</v>
      </c>
      <c r="X27" s="201">
        <v>44466</v>
      </c>
      <c r="Y27" s="201">
        <v>44497</v>
      </c>
    </row>
    <row r="28" spans="2:25" x14ac:dyDescent="0.25">
      <c r="B28" s="314" t="s">
        <v>166</v>
      </c>
      <c r="C28" s="314"/>
      <c r="D28" s="314"/>
      <c r="E28" s="221">
        <v>55000</v>
      </c>
      <c r="F28" s="220">
        <f>([2]Raščlamba!D14+[2]Raščlamba!E14+[2]Raščlamba!D15+[2]Raščlamba!E15+([2]Raščlamba!E34*0.5)+([2]Raščlamba!F41*0.5))*10+([2]Raščlamba!D18*0.5+[2]Raščlamba!D19*0.5+[2]Raščlamba!F62+[2]Raščlamba!D21)*10</f>
        <v>817000</v>
      </c>
      <c r="G28" s="220">
        <v>1350000</v>
      </c>
      <c r="H28" s="220">
        <v>1437000</v>
      </c>
      <c r="I28" s="220">
        <f>550000+1455600</f>
        <v>2005600</v>
      </c>
      <c r="J28" s="220">
        <f>483000</f>
        <v>483000</v>
      </c>
      <c r="K28" s="220">
        <f>395000+520000</f>
        <v>915000</v>
      </c>
      <c r="L28" s="220">
        <v>295000</v>
      </c>
      <c r="M28" s="220"/>
      <c r="N28" s="220"/>
      <c r="O28" s="220"/>
      <c r="P28" s="219">
        <f>('Tuzemni dobavljači faza 2'!D6+'Tuzemni dobavljači faza 2'!D42*'Tuzemni dobavljači faza 2'!G42)</f>
        <v>84696.37</v>
      </c>
      <c r="Q28" s="219">
        <f>('Tuzemni dobavljači faza 2'!D7+'Tuzemni dobavljači faza 2'!D8+'Tuzemni dobavljači faza 2'!D9+'Tuzemni dobavljači faza 2'!D10+'Tuzemni dobavljači faza 2'!D11+'Tuzemni dobavljači faza 2'!D12+'Tuzemni dobavljači faza 2'!D13+'Tuzemni dobavljači faza 2'!D14+'Tuzemni dobavljači faza 2'!D38+'Tuzemni dobavljači faza 2'!D39+'Tuzemni dobavljači faza 2'!D40+'Tuzemni dobavljači faza 2'!D41+'Tuzemni dobavljači faza 2'!D42*'Tuzemni dobavljači faza 2'!I42+'Tuzemni dobavljači faza 2'!D43*'Tuzemni dobavljači faza 2'!G43)</f>
        <v>1810256</v>
      </c>
      <c r="R28" s="219">
        <f>('Tuzemni dobavljači faza 2'!D15+'Tuzemni dobavljači faza 2'!D16+'Tuzemni dobavljači faza 2'!D17+'Tuzemni dobavljači faza 2'!D18+'Tuzemni dobavljači faza 2'!D43*'Tuzemni dobavljači faza 2'!I43+'Tuzemni dobavljači faza 2'!D44)</f>
        <v>2748272.95</v>
      </c>
      <c r="S28" s="219">
        <f>('Tuzemni dobavljači faza 2'!D19+'Tuzemni dobavljači faza 2'!D25+'Tuzemni dobavljači faza 2'!D26+'Tuzemni dobavljači faza 2'!D27+'Tuzemni dobavljači faza 2'!D28+'Tuzemni dobavljači faza 2'!D29+'Tuzemni dobavljači faza 2'!D30+'Tuzemni dobavljači faza 2'!D31+'Tuzemni dobavljači faza 2'!D32+'Tuzemni dobavljači faza 2'!D33+'Tuzemni dobavljači faza 2'!D34+'Tuzemni dobavljači faza 2'!D45*'Tuzemni dobavljači faza 2'!G45)</f>
        <v>668269.15999999992</v>
      </c>
      <c r="T28" s="218">
        <f>+P28+Q28-1440000</f>
        <v>454952.37000000011</v>
      </c>
      <c r="U28" s="218">
        <v>1810256</v>
      </c>
      <c r="V28" s="218">
        <v>2748272.95</v>
      </c>
      <c r="W28" s="218">
        <v>668269.15999999992</v>
      </c>
      <c r="X28" s="217">
        <v>454952.37000000011</v>
      </c>
      <c r="Y28" s="217"/>
    </row>
    <row r="29" spans="2:25" x14ac:dyDescent="0.25">
      <c r="B29" s="314" t="s">
        <v>167</v>
      </c>
      <c r="C29" s="314"/>
      <c r="D29" s="314"/>
      <c r="E29" s="221"/>
      <c r="F29" s="220"/>
      <c r="G29" s="220">
        <v>25000</v>
      </c>
      <c r="H29" s="220">
        <v>75000</v>
      </c>
      <c r="I29" s="220">
        <v>50000</v>
      </c>
      <c r="J29" s="220">
        <v>50000</v>
      </c>
      <c r="K29" s="220"/>
      <c r="L29" s="220"/>
      <c r="M29" s="220"/>
      <c r="N29" s="220"/>
      <c r="O29" s="9"/>
      <c r="P29" s="219">
        <f>('Inozemni dobavljači faza 2'!D6*'Inozemni dobavljači faza 2'!H6+'Inozemni dobavljači faza 2'!D8+'Inozemni dobavljači faza 2'!D9*'Inozemni dobavljači faza 2'!H9+'Inozemni dobavljači faza 2'!D10)*7.53</f>
        <v>105710.2815</v>
      </c>
      <c r="Q29" s="219">
        <f>('Inozemni dobavljači faza 2'!D5+'Inozemni dobavljači faza 2'!D13*'Inozemni dobavljači faza 2'!H13+'Inozemni dobavljači faza 2'!D14*'Inozemni dobavljači faza 2'!H14)*7.53</f>
        <v>206561.03232</v>
      </c>
      <c r="R29" s="219">
        <f>('Inozemni dobavljači faza 2'!D6*'Inozemni dobavljači faza 2'!J6+'Inozemni dobavljači faza 2'!D7+'Inozemni dobavljači faza 2'!D9*'Inozemni dobavljači faza 2'!J9)*7.53</f>
        <v>286207.39350000001</v>
      </c>
      <c r="S29" s="219">
        <f>('Inozemni dobavljači faza 2'!D13*'Inozemni dobavljači faza 2'!J13+'Inozemni dobavljači faza 2'!D14*'Inozemni dobavljači faza 2'!J14+'Inozemni dobavljači faza 2'!D15+'Inozemni dobavljači faza 2'!D16+'Inozemni dobavljači faza 2'!D17+'Inozemni dobavljači faza 2'!D18*'Inozemni dobavljači faza 2'!J18)*7.54</f>
        <v>493470.50064000004</v>
      </c>
      <c r="T29" s="218">
        <f>+Q29+P29</f>
        <v>312271.31381999998</v>
      </c>
      <c r="U29" s="224"/>
      <c r="V29" s="224"/>
      <c r="W29" s="218"/>
      <c r="X29" s="9"/>
      <c r="Y29" s="9"/>
    </row>
    <row r="30" spans="2:25" x14ac:dyDescent="0.25">
      <c r="B30" s="314" t="s">
        <v>142</v>
      </c>
      <c r="C30" s="314"/>
      <c r="D30" s="314"/>
      <c r="E30" s="223">
        <f>(E28*0.7)*0.25+E29*0.25</f>
        <v>9625</v>
      </c>
      <c r="F30" s="223">
        <f>(F28*0.7)*0.25+F29*0.25</f>
        <v>142975</v>
      </c>
      <c r="G30" s="223">
        <f>(G28*0.4)*0.25+G29*0.25</f>
        <v>141250</v>
      </c>
      <c r="H30" s="223">
        <f>(H28*0.5)*0.25+H29*0.25</f>
        <v>198375</v>
      </c>
      <c r="I30" s="223">
        <f>(I28*0.8)*0.25+I29*0.25</f>
        <v>413620</v>
      </c>
      <c r="J30" s="223">
        <f>(J28)*0.25+J29*0.25</f>
        <v>133250</v>
      </c>
      <c r="K30" s="223">
        <f>(K28)*0.25+K29*0.25</f>
        <v>228750</v>
      </c>
      <c r="L30" s="223">
        <f>(L28*0.8)*0.25+L29*0.25</f>
        <v>59000</v>
      </c>
      <c r="M30" s="223">
        <f>(M28*0.4)*0.25+M29*0.25</f>
        <v>0</v>
      </c>
      <c r="N30" s="223">
        <f>(N28*0.4)*0.25+N29*0.25</f>
        <v>0</v>
      </c>
      <c r="O30" s="223">
        <f>(O28)*0.25+O29*0.25</f>
        <v>0</v>
      </c>
      <c r="P30" s="222">
        <f>(P28)*0.25</f>
        <v>21174.092499999999</v>
      </c>
      <c r="Q30" s="222">
        <f>(Q28)*0.25</f>
        <v>452564</v>
      </c>
      <c r="R30" s="222">
        <f>(R28)*0.25</f>
        <v>687068.23750000005</v>
      </c>
      <c r="S30" s="222">
        <f t="shared" ref="S30:Y30" si="0">(S28)*0.25</f>
        <v>167067.28999999998</v>
      </c>
      <c r="T30" s="222">
        <f t="shared" si="0"/>
        <v>113738.09250000003</v>
      </c>
      <c r="U30" s="222">
        <f t="shared" si="0"/>
        <v>452564</v>
      </c>
      <c r="V30" s="222">
        <f t="shared" si="0"/>
        <v>687068.23750000005</v>
      </c>
      <c r="W30" s="222">
        <f t="shared" si="0"/>
        <v>167067.28999999998</v>
      </c>
      <c r="X30" s="222">
        <f t="shared" si="0"/>
        <v>113738.09250000003</v>
      </c>
      <c r="Y30" s="222">
        <f t="shared" si="0"/>
        <v>0</v>
      </c>
    </row>
    <row r="31" spans="2:25" x14ac:dyDescent="0.25">
      <c r="B31" s="314" t="s">
        <v>141</v>
      </c>
      <c r="C31" s="314"/>
      <c r="D31" s="314"/>
      <c r="E31" s="221">
        <v>25000</v>
      </c>
      <c r="F31" s="220">
        <f>+[1]REKAPITULACIJA!$H$57*0.85</f>
        <v>191037.5</v>
      </c>
      <c r="G31" s="220">
        <f>+[1]REKAPITULACIJA!$H$57*0.9</f>
        <v>202275</v>
      </c>
      <c r="H31" s="220">
        <f>+[1]REKAPITULACIJA!$H$57*0.9</f>
        <v>202275</v>
      </c>
      <c r="I31" s="220">
        <f>+[1]REKAPITULACIJA!$H$57</f>
        <v>224750</v>
      </c>
      <c r="J31" s="220">
        <f>+[1]REKAPITULACIJA!$H$57</f>
        <v>224750</v>
      </c>
      <c r="K31" s="220">
        <f>+[1]REKAPITULACIJA!$H$57</f>
        <v>224750</v>
      </c>
      <c r="L31" s="220">
        <f>+[1]REKAPITULACIJA!$H$57</f>
        <v>224750</v>
      </c>
      <c r="M31" s="220">
        <f>+[1]REKAPITULACIJA!$H$57</f>
        <v>224750</v>
      </c>
      <c r="N31" s="220">
        <f>+[1]REKAPITULACIJA!$H$57</f>
        <v>224750</v>
      </c>
      <c r="O31" s="220">
        <f>+[1]REKAPITULACIJA!$H$57</f>
        <v>224750</v>
      </c>
      <c r="P31" s="219"/>
      <c r="Q31" s="219">
        <v>320000</v>
      </c>
      <c r="R31" s="219">
        <v>320000</v>
      </c>
      <c r="S31" s="219">
        <v>320000</v>
      </c>
      <c r="T31" s="219">
        <v>320000</v>
      </c>
      <c r="U31" s="219">
        <v>320000</v>
      </c>
      <c r="V31" s="219">
        <v>320000</v>
      </c>
      <c r="W31" s="219">
        <v>320000</v>
      </c>
      <c r="X31" s="219">
        <v>320000</v>
      </c>
      <c r="Y31" s="219">
        <v>320000</v>
      </c>
    </row>
    <row r="32" spans="2:25" x14ac:dyDescent="0.25">
      <c r="B32" s="277" t="s">
        <v>140</v>
      </c>
      <c r="C32" s="277"/>
      <c r="D32" s="277"/>
      <c r="E32" s="221">
        <v>41000</v>
      </c>
      <c r="F32" s="221">
        <v>41000</v>
      </c>
      <c r="G32" s="221">
        <v>41000</v>
      </c>
      <c r="H32" s="221">
        <v>41000</v>
      </c>
      <c r="I32" s="221">
        <v>41000</v>
      </c>
      <c r="J32" s="221">
        <v>41000</v>
      </c>
      <c r="K32" s="221">
        <v>41000</v>
      </c>
      <c r="L32" s="221">
        <v>41000</v>
      </c>
      <c r="M32" s="221">
        <v>41000</v>
      </c>
      <c r="N32" s="221">
        <v>41000</v>
      </c>
      <c r="O32" s="221">
        <v>41000</v>
      </c>
      <c r="P32" s="221"/>
      <c r="Q32" s="221">
        <v>41000</v>
      </c>
      <c r="R32" s="221">
        <v>41000</v>
      </c>
      <c r="S32" s="221">
        <v>41000</v>
      </c>
      <c r="T32" s="221">
        <v>41000</v>
      </c>
      <c r="U32" s="221">
        <v>41000</v>
      </c>
      <c r="V32" s="221">
        <v>41000</v>
      </c>
      <c r="W32" s="221">
        <v>41000</v>
      </c>
      <c r="X32" s="221">
        <v>41000</v>
      </c>
      <c r="Y32" s="221">
        <v>41000</v>
      </c>
    </row>
    <row r="33" spans="2:25" ht="27" customHeight="1" x14ac:dyDescent="0.25">
      <c r="B33" s="315" t="s">
        <v>139</v>
      </c>
      <c r="C33" s="316"/>
      <c r="D33" s="317"/>
      <c r="E33" s="221"/>
      <c r="F33" s="220">
        <f>14500+30000</f>
        <v>44500</v>
      </c>
      <c r="G33" s="220">
        <v>14500</v>
      </c>
      <c r="H33" s="220">
        <v>14500</v>
      </c>
      <c r="I33" s="220">
        <v>15000</v>
      </c>
      <c r="J33" s="220">
        <v>14000</v>
      </c>
      <c r="K33" s="220">
        <v>14500</v>
      </c>
      <c r="L33" s="220">
        <v>16000</v>
      </c>
      <c r="M33" s="220">
        <v>14000</v>
      </c>
      <c r="N33" s="220">
        <v>14500</v>
      </c>
      <c r="O33" s="220">
        <v>14500</v>
      </c>
      <c r="P33" s="219"/>
      <c r="Q33" s="219">
        <v>14500</v>
      </c>
      <c r="R33" s="219">
        <v>14500</v>
      </c>
      <c r="S33" s="219">
        <v>14500</v>
      </c>
      <c r="T33" s="218">
        <v>14500</v>
      </c>
      <c r="U33" s="218">
        <v>14500</v>
      </c>
      <c r="V33" s="218">
        <v>14500</v>
      </c>
      <c r="W33" s="218">
        <v>14500</v>
      </c>
      <c r="X33" s="217">
        <v>14500</v>
      </c>
      <c r="Y33" s="217">
        <v>14500</v>
      </c>
    </row>
    <row r="34" spans="2:25" x14ac:dyDescent="0.25">
      <c r="B34" s="277" t="s">
        <v>138</v>
      </c>
      <c r="C34" s="277"/>
      <c r="D34" s="277"/>
      <c r="E34" s="221">
        <v>10000</v>
      </c>
      <c r="F34" s="220">
        <f>25000+55000</f>
        <v>80000</v>
      </c>
      <c r="G34" s="220">
        <f>25000+215000</f>
        <v>240000</v>
      </c>
      <c r="H34" s="220">
        <f>25000+145000</f>
        <v>170000</v>
      </c>
      <c r="I34" s="220">
        <v>35000</v>
      </c>
      <c r="J34" s="220">
        <v>25000</v>
      </c>
      <c r="K34" s="220">
        <v>25000</v>
      </c>
      <c r="L34" s="220">
        <v>25000</v>
      </c>
      <c r="M34" s="220">
        <v>25000</v>
      </c>
      <c r="N34" s="220">
        <v>25000</v>
      </c>
      <c r="O34" s="220">
        <v>25000</v>
      </c>
      <c r="P34" s="219"/>
      <c r="Q34" s="219">
        <v>25000</v>
      </c>
      <c r="R34" s="219">
        <v>25000</v>
      </c>
      <c r="S34" s="219">
        <v>25000</v>
      </c>
      <c r="T34" s="218">
        <v>25000</v>
      </c>
      <c r="U34" s="218">
        <v>25000</v>
      </c>
      <c r="V34" s="218">
        <v>25000</v>
      </c>
      <c r="W34" s="218">
        <v>25000</v>
      </c>
      <c r="X34" s="217">
        <v>25000</v>
      </c>
      <c r="Y34" s="217">
        <v>25000</v>
      </c>
    </row>
    <row r="35" spans="2:25" ht="15.75" thickBot="1" x14ac:dyDescent="0.3">
      <c r="B35" s="277" t="s">
        <v>137</v>
      </c>
      <c r="C35" s="277"/>
      <c r="D35" s="277"/>
      <c r="E35" s="216"/>
      <c r="F35" s="213"/>
      <c r="G35" s="215">
        <f>F41-F30</f>
        <v>-142975</v>
      </c>
      <c r="H35" s="214">
        <f>+G41+G35-G30</f>
        <v>-284225</v>
      </c>
      <c r="I35" s="213">
        <f t="shared" ref="I35:O35" si="1">+H41-H30</f>
        <v>62875</v>
      </c>
      <c r="J35" s="213">
        <f t="shared" si="1"/>
        <v>91755</v>
      </c>
      <c r="K35" s="213">
        <f t="shared" si="1"/>
        <v>-133250</v>
      </c>
      <c r="L35" s="214">
        <f t="shared" si="1"/>
        <v>271245</v>
      </c>
      <c r="M35" s="214">
        <f t="shared" si="1"/>
        <v>-59000</v>
      </c>
      <c r="N35" s="213">
        <f t="shared" si="1"/>
        <v>0</v>
      </c>
      <c r="O35" s="213">
        <f t="shared" si="1"/>
        <v>0</v>
      </c>
      <c r="P35" s="248">
        <v>-956117.28</v>
      </c>
      <c r="Q35" s="248">
        <f>+Q41-P30+P35</f>
        <v>164738.87749999994</v>
      </c>
      <c r="R35" s="248">
        <f>+R41-Q30+360300</f>
        <v>1430443</v>
      </c>
      <c r="S35" s="248">
        <f>+S41-R30+600000</f>
        <v>-87068.237500000047</v>
      </c>
      <c r="T35" s="249"/>
      <c r="U35" s="249"/>
      <c r="V35" s="249"/>
      <c r="W35" s="249"/>
      <c r="X35" s="249"/>
      <c r="Y35" s="249"/>
    </row>
    <row r="36" spans="2:25" ht="15.75" thickTop="1" x14ac:dyDescent="0.25">
      <c r="B36" s="278" t="s">
        <v>136</v>
      </c>
      <c r="C36" s="279"/>
      <c r="D36" s="280"/>
      <c r="E36" s="212">
        <f t="shared" ref="E36:Y36" si="2">SUM(E28:E34)</f>
        <v>140625</v>
      </c>
      <c r="F36" s="212">
        <f t="shared" si="2"/>
        <v>1316512.5</v>
      </c>
      <c r="G36" s="212">
        <f t="shared" si="2"/>
        <v>2014025</v>
      </c>
      <c r="H36" s="212">
        <f t="shared" si="2"/>
        <v>2138150</v>
      </c>
      <c r="I36" s="212">
        <f t="shared" si="2"/>
        <v>2784970</v>
      </c>
      <c r="J36" s="212">
        <f t="shared" si="2"/>
        <v>971000</v>
      </c>
      <c r="K36" s="212">
        <f t="shared" si="2"/>
        <v>1449000</v>
      </c>
      <c r="L36" s="212">
        <f t="shared" si="2"/>
        <v>660750</v>
      </c>
      <c r="M36" s="212">
        <f t="shared" si="2"/>
        <v>304750</v>
      </c>
      <c r="N36" s="212">
        <f t="shared" si="2"/>
        <v>305250</v>
      </c>
      <c r="O36" s="212">
        <f t="shared" si="2"/>
        <v>305250</v>
      </c>
      <c r="P36" s="212">
        <f t="shared" si="2"/>
        <v>211580.74399999998</v>
      </c>
      <c r="Q36" s="212">
        <f t="shared" si="2"/>
        <v>2869881.0323200002</v>
      </c>
      <c r="R36" s="212">
        <f t="shared" si="2"/>
        <v>4122048.5810000002</v>
      </c>
      <c r="S36" s="212">
        <f t="shared" si="2"/>
        <v>1729306.9506399999</v>
      </c>
      <c r="T36" s="212">
        <f t="shared" si="2"/>
        <v>1281461.7763200002</v>
      </c>
      <c r="U36" s="212">
        <f t="shared" si="2"/>
        <v>2663320</v>
      </c>
      <c r="V36" s="212">
        <f t="shared" si="2"/>
        <v>3835841.1875</v>
      </c>
      <c r="W36" s="212">
        <f t="shared" si="2"/>
        <v>1235836.45</v>
      </c>
      <c r="X36" s="212">
        <f t="shared" si="2"/>
        <v>969190.46250000014</v>
      </c>
      <c r="Y36" s="212">
        <f t="shared" si="2"/>
        <v>400500</v>
      </c>
    </row>
    <row r="37" spans="2:25" x14ac:dyDescent="0.25">
      <c r="B37" s="281"/>
      <c r="C37" s="282"/>
      <c r="D37" s="283"/>
    </row>
    <row r="38" spans="2:25" x14ac:dyDescent="0.25">
      <c r="D38" s="211"/>
      <c r="E38" s="293" t="s">
        <v>135</v>
      </c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73">
        <v>2021</v>
      </c>
      <c r="Q38" s="273"/>
      <c r="R38" s="273"/>
      <c r="S38" s="273"/>
      <c r="T38" s="273"/>
      <c r="U38" s="273"/>
      <c r="V38" s="273"/>
      <c r="W38" s="273"/>
      <c r="X38" s="273"/>
      <c r="Y38" s="273"/>
    </row>
    <row r="39" spans="2:25" ht="15" customHeight="1" x14ac:dyDescent="0.25">
      <c r="B39" s="284" t="s">
        <v>134</v>
      </c>
      <c r="C39" s="285"/>
      <c r="D39" s="286"/>
      <c r="E39" s="201">
        <v>43870</v>
      </c>
      <c r="F39" s="201">
        <v>43900</v>
      </c>
      <c r="G39" s="201">
        <v>43932</v>
      </c>
      <c r="H39" s="201">
        <v>43963</v>
      </c>
      <c r="I39" s="201">
        <v>43995</v>
      </c>
      <c r="J39" s="201">
        <v>44026</v>
      </c>
      <c r="K39" s="201">
        <v>44058</v>
      </c>
      <c r="L39" s="201">
        <v>44090</v>
      </c>
      <c r="M39" s="201">
        <v>44121</v>
      </c>
      <c r="N39" s="201">
        <v>44153</v>
      </c>
      <c r="O39" s="201">
        <v>44184</v>
      </c>
      <c r="P39" s="203">
        <v>44216</v>
      </c>
      <c r="Q39" s="203">
        <v>44248</v>
      </c>
      <c r="R39" s="203">
        <v>44277</v>
      </c>
      <c r="S39" s="203">
        <v>44309</v>
      </c>
      <c r="T39" s="202">
        <v>44339</v>
      </c>
      <c r="U39" s="202">
        <v>44371</v>
      </c>
      <c r="V39" s="202">
        <v>44402</v>
      </c>
      <c r="W39" s="202">
        <v>44434</v>
      </c>
      <c r="X39" s="201">
        <v>44466</v>
      </c>
      <c r="Y39" s="201">
        <v>44497</v>
      </c>
    </row>
    <row r="40" spans="2:25" x14ac:dyDescent="0.25">
      <c r="B40" s="287"/>
      <c r="C40" s="288"/>
      <c r="D40" s="289"/>
      <c r="E40" s="210">
        <v>769000</v>
      </c>
      <c r="F40" s="210"/>
      <c r="G40" s="210"/>
      <c r="H40" s="210">
        <v>1045000</v>
      </c>
      <c r="I40" s="210">
        <f>3066500-H40</f>
        <v>2021500</v>
      </c>
      <c r="J40" s="210"/>
      <c r="K40" s="210">
        <f>1999980</f>
        <v>1999980</v>
      </c>
      <c r="L40" s="210"/>
      <c r="M40" s="210"/>
      <c r="N40" s="209"/>
      <c r="O40" s="209"/>
      <c r="P40" s="209">
        <v>550000</v>
      </c>
      <c r="Q40" s="209">
        <f>1522707*3</f>
        <v>4568121</v>
      </c>
      <c r="R40" s="209">
        <f>1522707*4</f>
        <v>6090828</v>
      </c>
      <c r="S40" s="209"/>
      <c r="T40" s="209"/>
      <c r="U40" s="209">
        <f>1522707*7</f>
        <v>10658949</v>
      </c>
      <c r="V40" s="209">
        <f>+[2]REKAPITULACIJA!J8*10</f>
        <v>0</v>
      </c>
      <c r="W40" s="209"/>
      <c r="X40" s="209">
        <f>1522707*7</f>
        <v>10658949</v>
      </c>
      <c r="Y40" s="209">
        <f>+[2]REKAPITULACIJA!J8*4</f>
        <v>0</v>
      </c>
    </row>
    <row r="41" spans="2:25" x14ac:dyDescent="0.25">
      <c r="B41" s="290"/>
      <c r="C41" s="291"/>
      <c r="D41" s="292"/>
      <c r="E41" s="208"/>
      <c r="F41" s="208"/>
      <c r="G41" s="208">
        <f t="shared" ref="G41:O41" si="3">+G40*0.25</f>
        <v>0</v>
      </c>
      <c r="H41" s="208">
        <f t="shared" si="3"/>
        <v>261250</v>
      </c>
      <c r="I41" s="208">
        <f t="shared" si="3"/>
        <v>505375</v>
      </c>
      <c r="J41" s="208">
        <f t="shared" si="3"/>
        <v>0</v>
      </c>
      <c r="K41" s="208">
        <f t="shared" si="3"/>
        <v>499995</v>
      </c>
      <c r="L41" s="208">
        <f t="shared" si="3"/>
        <v>0</v>
      </c>
      <c r="M41" s="208">
        <f t="shared" si="3"/>
        <v>0</v>
      </c>
      <c r="N41" s="208">
        <f t="shared" si="3"/>
        <v>0</v>
      </c>
      <c r="O41" s="208">
        <f t="shared" si="3"/>
        <v>0</v>
      </c>
      <c r="P41" s="208"/>
      <c r="Q41" s="208">
        <f t="shared" ref="Q41:Y41" si="4">+Q40*0.25</f>
        <v>1142030.25</v>
      </c>
      <c r="R41" s="208">
        <f t="shared" si="4"/>
        <v>1522707</v>
      </c>
      <c r="S41" s="208">
        <f t="shared" si="4"/>
        <v>0</v>
      </c>
      <c r="T41" s="208">
        <f t="shared" si="4"/>
        <v>0</v>
      </c>
      <c r="U41" s="208">
        <f t="shared" si="4"/>
        <v>2664737.25</v>
      </c>
      <c r="V41" s="208">
        <f t="shared" si="4"/>
        <v>0</v>
      </c>
      <c r="W41" s="208">
        <f t="shared" si="4"/>
        <v>0</v>
      </c>
      <c r="X41" s="208">
        <f t="shared" si="4"/>
        <v>2664737.25</v>
      </c>
      <c r="Y41" s="208">
        <f t="shared" si="4"/>
        <v>0</v>
      </c>
    </row>
    <row r="43" spans="2:25" x14ac:dyDescent="0.25">
      <c r="B43" s="299" t="s">
        <v>133</v>
      </c>
      <c r="C43" s="300"/>
      <c r="D43" s="301"/>
      <c r="E43" s="295" t="s">
        <v>132</v>
      </c>
      <c r="F43" s="296"/>
      <c r="G43" s="296"/>
      <c r="H43" s="296"/>
      <c r="I43" s="296"/>
      <c r="J43" s="296"/>
      <c r="K43" s="296"/>
      <c r="L43" s="296"/>
      <c r="M43" s="297"/>
      <c r="N43" s="298">
        <v>2020</v>
      </c>
      <c r="O43" s="273"/>
      <c r="P43" s="273">
        <v>2021</v>
      </c>
      <c r="Q43" s="273"/>
      <c r="R43" s="273"/>
      <c r="S43" s="273"/>
      <c r="T43" s="273"/>
      <c r="U43" s="273"/>
      <c r="V43" s="273"/>
      <c r="W43" s="273"/>
      <c r="X43" s="273"/>
      <c r="Y43" s="273"/>
    </row>
    <row r="44" spans="2:25" x14ac:dyDescent="0.25">
      <c r="B44" s="302"/>
      <c r="C44" s="303"/>
      <c r="D44" s="304"/>
      <c r="E44" s="201">
        <v>43870</v>
      </c>
      <c r="F44" s="201">
        <v>43900</v>
      </c>
      <c r="G44" s="201">
        <v>43932</v>
      </c>
      <c r="H44" s="201">
        <v>43963</v>
      </c>
      <c r="I44" s="201">
        <v>43995</v>
      </c>
      <c r="J44" s="201">
        <v>44026</v>
      </c>
      <c r="K44" s="201">
        <v>44058</v>
      </c>
      <c r="L44" s="201">
        <v>44090</v>
      </c>
      <c r="M44" s="201">
        <v>44121</v>
      </c>
      <c r="N44" s="201">
        <v>44153</v>
      </c>
      <c r="O44" s="201">
        <v>44184</v>
      </c>
      <c r="P44" s="203">
        <v>44216</v>
      </c>
      <c r="Q44" s="203">
        <v>44248</v>
      </c>
      <c r="R44" s="203">
        <v>44277</v>
      </c>
      <c r="S44" s="203">
        <v>44309</v>
      </c>
      <c r="T44" s="202">
        <v>44339</v>
      </c>
      <c r="U44" s="202">
        <v>44371</v>
      </c>
      <c r="V44" s="202">
        <v>44402</v>
      </c>
      <c r="W44" s="202">
        <v>44434</v>
      </c>
      <c r="X44" s="201">
        <v>44466</v>
      </c>
      <c r="Y44" s="201">
        <v>44497</v>
      </c>
    </row>
    <row r="45" spans="2:25" x14ac:dyDescent="0.25">
      <c r="B45" s="305"/>
      <c r="C45" s="306"/>
      <c r="D45" s="307"/>
      <c r="E45" s="207"/>
      <c r="F45" s="205">
        <v>1250000</v>
      </c>
      <c r="G45" s="205">
        <v>1850000</v>
      </c>
      <c r="H45" s="205">
        <v>1350000</v>
      </c>
      <c r="I45" s="205"/>
      <c r="J45" s="205">
        <v>500000</v>
      </c>
      <c r="K45" s="205"/>
      <c r="L45" s="205"/>
      <c r="M45" s="204"/>
      <c r="N45" s="204"/>
      <c r="O45" s="205">
        <v>350000</v>
      </c>
      <c r="P45" s="204"/>
      <c r="Q45" s="204"/>
      <c r="R45" s="205">
        <v>1570000</v>
      </c>
      <c r="S45" s="205"/>
      <c r="T45" s="206"/>
      <c r="U45" s="205"/>
      <c r="V45" s="204"/>
      <c r="W45" s="204"/>
      <c r="X45" s="204"/>
      <c r="Y45" s="204"/>
    </row>
    <row r="47" spans="2:25" x14ac:dyDescent="0.25">
      <c r="B47" s="235"/>
      <c r="C47" s="235"/>
      <c r="D47" s="235"/>
      <c r="E47" s="295" t="s">
        <v>131</v>
      </c>
      <c r="F47" s="296"/>
      <c r="G47" s="296"/>
      <c r="H47" s="296"/>
      <c r="I47" s="296"/>
      <c r="J47" s="296"/>
      <c r="K47" s="296"/>
      <c r="L47" s="296"/>
      <c r="M47" s="297"/>
      <c r="N47" s="298">
        <v>2020</v>
      </c>
      <c r="O47" s="273"/>
      <c r="P47" s="273">
        <v>2021</v>
      </c>
      <c r="Q47" s="273"/>
      <c r="R47" s="273"/>
      <c r="S47" s="273"/>
      <c r="T47" s="273"/>
      <c r="U47" s="273"/>
      <c r="V47" s="273"/>
      <c r="W47" s="273"/>
      <c r="X47" s="273"/>
      <c r="Y47" s="273"/>
    </row>
    <row r="48" spans="2:25" x14ac:dyDescent="0.25">
      <c r="B48" s="267"/>
      <c r="C48" s="268"/>
      <c r="D48" s="269"/>
      <c r="E48" s="201">
        <v>43870</v>
      </c>
      <c r="F48" s="201">
        <v>43900</v>
      </c>
      <c r="G48" s="201">
        <v>43932</v>
      </c>
      <c r="H48" s="201">
        <v>43963</v>
      </c>
      <c r="I48" s="201">
        <v>43995</v>
      </c>
      <c r="J48" s="201">
        <v>44026</v>
      </c>
      <c r="K48" s="201">
        <v>44058</v>
      </c>
      <c r="L48" s="201">
        <v>44090</v>
      </c>
      <c r="M48" s="201">
        <v>44121</v>
      </c>
      <c r="N48" s="201">
        <v>44153</v>
      </c>
      <c r="O48" s="201">
        <v>44184</v>
      </c>
      <c r="P48" s="203">
        <v>44216</v>
      </c>
      <c r="Q48" s="203">
        <v>44248</v>
      </c>
      <c r="R48" s="203">
        <v>44277</v>
      </c>
      <c r="S48" s="203">
        <v>44309</v>
      </c>
      <c r="T48" s="202">
        <v>44339</v>
      </c>
      <c r="U48" s="202">
        <v>44371</v>
      </c>
      <c r="V48" s="202">
        <v>44402</v>
      </c>
      <c r="W48" s="202">
        <v>44434</v>
      </c>
      <c r="X48" s="201">
        <v>44466</v>
      </c>
      <c r="Y48" s="201">
        <v>44497</v>
      </c>
    </row>
    <row r="49" spans="2:25" ht="15" customHeight="1" x14ac:dyDescent="0.25">
      <c r="B49" s="267" t="s">
        <v>169</v>
      </c>
      <c r="C49" s="268"/>
      <c r="D49" s="269"/>
      <c r="E49" s="200">
        <f>(E45+E41+E40)-E36</f>
        <v>628375</v>
      </c>
      <c r="F49" s="200">
        <f>(+E49+F45+F41+F40)-F36</f>
        <v>561862.5</v>
      </c>
      <c r="G49" s="200">
        <f t="shared" ref="G49:J49" si="5">(+F49+G45+G41+G40)-G36</f>
        <v>397837.5</v>
      </c>
      <c r="H49" s="200">
        <f t="shared" si="5"/>
        <v>915937.5</v>
      </c>
      <c r="I49" s="200">
        <f t="shared" si="5"/>
        <v>657842.5</v>
      </c>
      <c r="J49" s="200">
        <f t="shared" si="5"/>
        <v>186842.5</v>
      </c>
      <c r="K49" s="200">
        <f t="shared" ref="K49:M49" si="6">(+J49+K45+K41+K40)-K36</f>
        <v>1237817.5</v>
      </c>
      <c r="L49" s="200">
        <f t="shared" si="6"/>
        <v>577067.5</v>
      </c>
      <c r="M49" s="200">
        <f t="shared" si="6"/>
        <v>272317.5</v>
      </c>
      <c r="N49" s="200"/>
      <c r="O49" s="200"/>
      <c r="P49" s="200">
        <v>389221</v>
      </c>
      <c r="Q49" s="200">
        <f>(P49+Q40+Q41)-Q36-Q35</f>
        <v>3064752.3401799998</v>
      </c>
      <c r="R49" s="200">
        <f>(Q49+R41+R40)-R36-R45-R35</f>
        <v>3555795.7591800001</v>
      </c>
      <c r="S49" s="200">
        <f>(R49+S41+S40)-S36</f>
        <v>1826488.8085400001</v>
      </c>
      <c r="T49" s="200">
        <f>(S49+T41+T40)-T36</f>
        <v>545027.03221999994</v>
      </c>
      <c r="U49" s="200">
        <f t="shared" ref="U49:Y49" si="7">(T49+U41+U40)-U36</f>
        <v>11205393.28222</v>
      </c>
      <c r="V49" s="200">
        <f t="shared" si="7"/>
        <v>7369552.0947200004</v>
      </c>
      <c r="W49" s="200">
        <f t="shared" si="7"/>
        <v>6133715.6447200002</v>
      </c>
      <c r="X49" s="200">
        <f t="shared" si="7"/>
        <v>18488211.432220001</v>
      </c>
      <c r="Y49" s="200">
        <f t="shared" si="7"/>
        <v>18087711.432220001</v>
      </c>
    </row>
    <row r="50" spans="2:25" x14ac:dyDescent="0.25">
      <c r="B50" s="267" t="s">
        <v>168</v>
      </c>
      <c r="C50" s="268"/>
      <c r="D50" s="269"/>
      <c r="E50" s="199">
        <f>(+E45+E41+E40)-(E36)-E35</f>
        <v>628375</v>
      </c>
      <c r="F50" s="199">
        <f>(+E50+F45+F41+F40)-(F36)-F35</f>
        <v>561862.5</v>
      </c>
      <c r="G50" s="199">
        <f>(+F50+G45+G41+G40)-(G36)-G35</f>
        <v>540812.5</v>
      </c>
      <c r="H50" s="199">
        <f t="shared" ref="H50:J50" si="8">(+G50+H45+H41+H40)-(H36)-H35</f>
        <v>1343137.5</v>
      </c>
      <c r="I50" s="199">
        <f t="shared" si="8"/>
        <v>1022167.5</v>
      </c>
      <c r="J50" s="199">
        <f t="shared" si="8"/>
        <v>459412.5</v>
      </c>
      <c r="K50" s="199">
        <f t="shared" ref="K50:M50" si="9">(+J50+K45+K41+K40)-(K36)-K35</f>
        <v>1643637.5</v>
      </c>
      <c r="L50" s="199">
        <f t="shared" si="9"/>
        <v>711642.5</v>
      </c>
      <c r="M50" s="199">
        <f t="shared" si="9"/>
        <v>465892.5</v>
      </c>
      <c r="N50" s="199"/>
      <c r="O50" s="199"/>
      <c r="P50" s="247">
        <f>+P49-P35</f>
        <v>1345338.28</v>
      </c>
      <c r="Q50" s="247">
        <f>+Q49</f>
        <v>3064752.3401799998</v>
      </c>
      <c r="R50" s="247">
        <f>+R49</f>
        <v>3555795.7591800001</v>
      </c>
      <c r="S50" s="247">
        <f>+S49-S35</f>
        <v>1913557.0460400002</v>
      </c>
      <c r="T50" s="247">
        <f>+T49+T35</f>
        <v>545027.03221999994</v>
      </c>
      <c r="U50" s="247">
        <f t="shared" ref="U50:Y50" si="10">+U49+U35</f>
        <v>11205393.28222</v>
      </c>
      <c r="V50" s="247">
        <f t="shared" si="10"/>
        <v>7369552.0947200004</v>
      </c>
      <c r="W50" s="247">
        <f t="shared" si="10"/>
        <v>6133715.6447200002</v>
      </c>
      <c r="X50" s="247">
        <f t="shared" si="10"/>
        <v>18488211.432220001</v>
      </c>
      <c r="Y50" s="247">
        <f t="shared" si="10"/>
        <v>18087711.432220001</v>
      </c>
    </row>
    <row r="51" spans="2:25" x14ac:dyDescent="0.25">
      <c r="M51" s="197"/>
      <c r="O51" s="96"/>
      <c r="P51" s="96"/>
    </row>
    <row r="52" spans="2:25" x14ac:dyDescent="0.25">
      <c r="O52" s="96"/>
      <c r="P52" s="96"/>
    </row>
    <row r="53" spans="2:25" x14ac:dyDescent="0.25">
      <c r="E53" s="96"/>
      <c r="G53" s="96"/>
      <c r="K53" s="96"/>
      <c r="M53" s="96"/>
      <c r="O53" s="96"/>
      <c r="P53" s="96"/>
    </row>
    <row r="54" spans="2:25" x14ac:dyDescent="0.25">
      <c r="G54" s="96"/>
      <c r="M54" s="197"/>
      <c r="O54" s="96"/>
      <c r="P54" s="96"/>
      <c r="W54" s="198"/>
    </row>
    <row r="55" spans="2:25" x14ac:dyDescent="0.25">
      <c r="G55" s="96"/>
      <c r="K55" s="197"/>
      <c r="L55" s="96"/>
      <c r="M55" s="197"/>
      <c r="U55" s="198"/>
      <c r="W55" s="197"/>
    </row>
    <row r="56" spans="2:25" x14ac:dyDescent="0.25">
      <c r="G56" s="96"/>
    </row>
  </sheetData>
  <mergeCells count="62">
    <mergeCell ref="E5:H5"/>
    <mergeCell ref="D8:D9"/>
    <mergeCell ref="E8:E9"/>
    <mergeCell ref="F8:F9"/>
    <mergeCell ref="G8:G9"/>
    <mergeCell ref="H8:H9"/>
    <mergeCell ref="D10:D11"/>
    <mergeCell ref="E11:H11"/>
    <mergeCell ref="E14:E15"/>
    <mergeCell ref="F14:F15"/>
    <mergeCell ref="G14:G15"/>
    <mergeCell ref="H14:H15"/>
    <mergeCell ref="B32:D32"/>
    <mergeCell ref="B33:D33"/>
    <mergeCell ref="G22:H22"/>
    <mergeCell ref="E18:H18"/>
    <mergeCell ref="E19:F19"/>
    <mergeCell ref="G19:H19"/>
    <mergeCell ref="E20:F20"/>
    <mergeCell ref="G20:H20"/>
    <mergeCell ref="E21:F21"/>
    <mergeCell ref="G21:H21"/>
    <mergeCell ref="E22:F22"/>
    <mergeCell ref="P47:Y47"/>
    <mergeCell ref="E38:O38"/>
    <mergeCell ref="E47:M47"/>
    <mergeCell ref="N43:O43"/>
    <mergeCell ref="J18:M18"/>
    <mergeCell ref="J19:K19"/>
    <mergeCell ref="L19:M19"/>
    <mergeCell ref="J20:K20"/>
    <mergeCell ref="L20:M20"/>
    <mergeCell ref="J21:K21"/>
    <mergeCell ref="N47:O47"/>
    <mergeCell ref="E43:M43"/>
    <mergeCell ref="P38:Y38"/>
    <mergeCell ref="O22:P22"/>
    <mergeCell ref="Q22:R22"/>
    <mergeCell ref="P43:Y43"/>
    <mergeCell ref="O18:R18"/>
    <mergeCell ref="O19:P19"/>
    <mergeCell ref="Q19:R19"/>
    <mergeCell ref="O20:P20"/>
    <mergeCell ref="Q20:R20"/>
    <mergeCell ref="O21:P21"/>
    <mergeCell ref="Q21:R21"/>
    <mergeCell ref="B48:D48"/>
    <mergeCell ref="B49:D49"/>
    <mergeCell ref="B50:D50"/>
    <mergeCell ref="L21:M21"/>
    <mergeCell ref="J22:K22"/>
    <mergeCell ref="L22:M22"/>
    <mergeCell ref="B34:D34"/>
    <mergeCell ref="B35:D35"/>
    <mergeCell ref="B36:D37"/>
    <mergeCell ref="B39:D41"/>
    <mergeCell ref="B43:D45"/>
    <mergeCell ref="B26:D27"/>
    <mergeCell ref="B28:D28"/>
    <mergeCell ref="B29:D29"/>
    <mergeCell ref="B30:D30"/>
    <mergeCell ref="B31:D31"/>
  </mergeCells>
  <pageMargins left="0.70866141732283472" right="0.70866141732283472" top="0.74803149606299213" bottom="0.74803149606299213" header="0.31496062992125984" footer="0.31496062992125984"/>
  <pageSetup paperSize="8" scale="9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8EF554E9B15540B45B0253408606D8" ma:contentTypeVersion="13" ma:contentTypeDescription="Create a new document." ma:contentTypeScope="" ma:versionID="66c0be888da48503c458f1a75873c1ac">
  <xsd:schema xmlns:xsd="http://www.w3.org/2001/XMLSchema" xmlns:xs="http://www.w3.org/2001/XMLSchema" xmlns:p="http://schemas.microsoft.com/office/2006/metadata/properties" xmlns:ns3="16e9192f-26f7-49d5-9e44-8360387f5ebc" xmlns:ns4="8740d6dc-77a3-4e88-9b42-86048f15aa17" targetNamespace="http://schemas.microsoft.com/office/2006/metadata/properties" ma:root="true" ma:fieldsID="33cb9635accb6bf2bb5dd227a978516d" ns3:_="" ns4:_="">
    <xsd:import namespace="16e9192f-26f7-49d5-9e44-8360387f5ebc"/>
    <xsd:import namespace="8740d6dc-77a3-4e88-9b42-86048f15aa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9192f-26f7-49d5-9e44-8360387f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0d6dc-77a3-4e88-9b42-86048f15aa1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476067-E0BA-4D29-AC76-3487F7A6FC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e9192f-26f7-49d5-9e44-8360387f5ebc"/>
    <ds:schemaRef ds:uri="8740d6dc-77a3-4e88-9b42-86048f15aa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0E69AD-7AA7-476A-A6EA-944203149AF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D558B0D-0EA6-47E9-BF79-7F48E736E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Tuzemni dobavljači faza 2</vt:lpstr>
      <vt:lpstr>Inozemni dobavljači faza 2</vt:lpstr>
      <vt:lpstr>cash flow</vt:lpstr>
      <vt:lpstr>'Inozemni dobavljači faza 2'!Print_Titles</vt:lpstr>
      <vt:lpstr>'Tuzemni dobavljači faza 2'!Print_Titles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Lada</dc:creator>
  <cp:keywords/>
  <dc:description/>
  <cp:lastModifiedBy>Edo Seifried</cp:lastModifiedBy>
  <cp:revision/>
  <dcterms:created xsi:type="dcterms:W3CDTF">2020-09-14T11:11:36Z</dcterms:created>
  <dcterms:modified xsi:type="dcterms:W3CDTF">2021-02-22T17:49:13Z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0x010100D68EF554E9B15540B45B0253408606D8</vt:lpwstr>
  </property>
</Properties>
</file>