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gsgrupa-my.sharepoint.com/personal/edo_seifried_mgs-grupa_com/Documents/MGS POSLOVANJE 2023/"/>
    </mc:Choice>
  </mc:AlternateContent>
  <xr:revisionPtr revIDLastSave="3502" documentId="8_{3924E06F-BB97-4820-B67F-7E1E8375A4E8}" xr6:coauthVersionLast="47" xr6:coauthVersionMax="47" xr10:uidLastSave="{FB9976EB-0FB1-4AC5-A453-33BC47ABC084}"/>
  <bookViews>
    <workbookView xWindow="28680" yWindow="-120" windowWidth="29040" windowHeight="17640" firstSheet="5" activeTab="2" xr2:uid="{01035521-9721-49F1-B4C0-488041A4FEE5}"/>
  </bookViews>
  <sheets>
    <sheet name="Knjiga narudžbi 2023" sheetId="1" r:id="rId1"/>
    <sheet name="cash flow" sheetId="3" r:id="rId2"/>
    <sheet name="Stanje računa" sheetId="14" r:id="rId3"/>
    <sheet name="Prihodi" sheetId="12" r:id="rId4"/>
    <sheet name="Rashodi " sheetId="13" r:id="rId5"/>
    <sheet name="rashodi veljača - ostalo" sheetId="7" r:id="rId6"/>
    <sheet name="Rashodi svibanj-projekti" sheetId="17" r:id="rId7"/>
    <sheet name="Dugovanja" sheetId="9" r:id="rId8"/>
    <sheet name="rashodi travanj-projekti" sheetId="16" r:id="rId9"/>
    <sheet name="Prihodi - tko je platio" sheetId="8" r:id="rId10"/>
    <sheet name="rashodi ožujak-projekti" sheetId="15" r:id="rId11"/>
    <sheet name="rashodi veljača-projekti (2)" sheetId="11" r:id="rId12"/>
    <sheet name="rashodi siječanj-ostalo- poslov" sheetId="6" r:id="rId13"/>
    <sheet name="rashodi siječanj-projekti" sheetId="4" r:id="rId14"/>
    <sheet name="fiksni trosak" sheetId="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17" l="1"/>
  <c r="F97" i="17"/>
  <c r="F98" i="17"/>
  <c r="F85" i="17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05" i="13"/>
  <c r="A306" i="13"/>
  <c r="A307" i="13"/>
  <c r="A308" i="13"/>
  <c r="A309" i="13"/>
  <c r="A310" i="13"/>
  <c r="A311" i="13"/>
  <c r="A298" i="13"/>
  <c r="A299" i="13"/>
  <c r="A300" i="13"/>
  <c r="A301" i="13"/>
  <c r="A302" i="13"/>
  <c r="A303" i="13"/>
  <c r="A304" i="13"/>
  <c r="C18" i="9"/>
  <c r="C13" i="9"/>
  <c r="C6" i="9"/>
  <c r="C4" i="9"/>
  <c r="C10" i="9"/>
  <c r="G105" i="17"/>
  <c r="F104" i="17"/>
  <c r="F80" i="17"/>
  <c r="F79" i="17"/>
  <c r="F78" i="17"/>
  <c r="F77" i="17"/>
  <c r="F76" i="17"/>
  <c r="F75" i="17"/>
  <c r="F63" i="17"/>
  <c r="F55" i="17"/>
  <c r="F53" i="17"/>
  <c r="F51" i="17"/>
  <c r="J50" i="17"/>
  <c r="F47" i="17"/>
  <c r="E46" i="17"/>
  <c r="F46" i="17"/>
  <c r="F43" i="17"/>
  <c r="F41" i="17"/>
  <c r="F35" i="17"/>
  <c r="B34" i="17"/>
  <c r="B35" i="17"/>
  <c r="F31" i="17"/>
  <c r="F28" i="17"/>
  <c r="F26" i="17"/>
  <c r="F25" i="17"/>
  <c r="F22" i="17"/>
  <c r="F11" i="17"/>
  <c r="F10" i="17"/>
  <c r="F5" i="17"/>
  <c r="B5" i="17"/>
  <c r="F4" i="17"/>
  <c r="B4" i="17"/>
  <c r="E3" i="17"/>
  <c r="F3" i="17"/>
  <c r="F105" i="17"/>
  <c r="A3" i="17"/>
  <c r="A4" i="17"/>
  <c r="A5" i="17"/>
  <c r="A6" i="17"/>
  <c r="A7" i="17"/>
  <c r="A8" i="17"/>
  <c r="A9" i="17"/>
  <c r="A10" i="17"/>
  <c r="A12" i="17"/>
  <c r="A13" i="17"/>
  <c r="A14" i="17"/>
  <c r="A15" i="17"/>
  <c r="A16" i="17"/>
  <c r="A18" i="17"/>
  <c r="A22" i="17"/>
  <c r="A23" i="17"/>
  <c r="A24" i="17"/>
  <c r="A25" i="17"/>
  <c r="A27" i="17"/>
  <c r="A28" i="17"/>
  <c r="A29" i="17"/>
  <c r="A30" i="17"/>
  <c r="A31" i="17"/>
  <c r="A32" i="17"/>
  <c r="A33" i="17"/>
  <c r="A34" i="17"/>
  <c r="A35" i="17"/>
  <c r="A36" i="17"/>
  <c r="A37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103" i="17"/>
  <c r="A104" i="17"/>
  <c r="E296" i="13"/>
  <c r="D296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C91" i="12"/>
  <c r="D7" i="3"/>
  <c r="E7" i="3"/>
  <c r="F75" i="16"/>
  <c r="F76" i="16"/>
  <c r="F77" i="16"/>
  <c r="F78" i="16"/>
  <c r="F79" i="16"/>
  <c r="F80" i="16"/>
  <c r="A3" i="16"/>
  <c r="A4" i="16"/>
  <c r="A5" i="16"/>
  <c r="A6" i="16"/>
  <c r="A7" i="16"/>
  <c r="A8" i="16"/>
  <c r="A9" i="16"/>
  <c r="A10" i="16"/>
  <c r="A12" i="16"/>
  <c r="A13" i="16"/>
  <c r="A14" i="16"/>
  <c r="A15" i="16"/>
  <c r="A16" i="16"/>
  <c r="A18" i="16"/>
  <c r="A22" i="16"/>
  <c r="A23" i="16"/>
  <c r="A24" i="16"/>
  <c r="A25" i="16"/>
  <c r="A27" i="16"/>
  <c r="A28" i="16"/>
  <c r="A29" i="16"/>
  <c r="A30" i="16"/>
  <c r="A31" i="16"/>
  <c r="A32" i="16"/>
  <c r="A33" i="16"/>
  <c r="A34" i="16"/>
  <c r="A35" i="16"/>
  <c r="A36" i="16"/>
  <c r="A37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81" i="16"/>
  <c r="A82" i="16"/>
  <c r="A83" i="16"/>
  <c r="A84" i="16"/>
  <c r="A85" i="16"/>
  <c r="A86" i="16"/>
  <c r="F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F99" i="16"/>
  <c r="E3" i="16"/>
  <c r="F3" i="16"/>
  <c r="F4" i="16"/>
  <c r="F5" i="16"/>
  <c r="F10" i="16"/>
  <c r="F11" i="16"/>
  <c r="F22" i="16"/>
  <c r="F25" i="16"/>
  <c r="F26" i="16"/>
  <c r="F28" i="16"/>
  <c r="F31" i="16"/>
  <c r="F35" i="16"/>
  <c r="F41" i="16"/>
  <c r="F43" i="16"/>
  <c r="E46" i="16"/>
  <c r="F46" i="16"/>
  <c r="F47" i="16"/>
  <c r="F51" i="16"/>
  <c r="F53" i="16"/>
  <c r="F55" i="16"/>
  <c r="F63" i="16"/>
  <c r="F100" i="16"/>
  <c r="G100" i="16"/>
  <c r="B34" i="16"/>
  <c r="B35" i="16"/>
  <c r="J50" i="16"/>
  <c r="B4" i="16"/>
  <c r="B5" i="16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E267" i="13"/>
  <c r="D86" i="13"/>
  <c r="D152" i="13"/>
  <c r="D221" i="13"/>
  <c r="D267" i="13"/>
  <c r="C80" i="12"/>
  <c r="F53" i="15"/>
  <c r="F99" i="15"/>
  <c r="F86" i="15"/>
  <c r="D14" i="1"/>
  <c r="G17" i="1"/>
  <c r="F19" i="1"/>
  <c r="F63" i="15"/>
  <c r="F80" i="15"/>
  <c r="F79" i="15"/>
  <c r="F78" i="15"/>
  <c r="F77" i="15"/>
  <c r="F76" i="15"/>
  <c r="F75" i="15"/>
  <c r="F55" i="15"/>
  <c r="F51" i="15"/>
  <c r="J50" i="15"/>
  <c r="F47" i="15"/>
  <c r="E46" i="15"/>
  <c r="F46" i="15"/>
  <c r="F43" i="15"/>
  <c r="F41" i="15"/>
  <c r="F35" i="15"/>
  <c r="B34" i="15"/>
  <c r="B35" i="15"/>
  <c r="F31" i="15"/>
  <c r="F28" i="15"/>
  <c r="F26" i="15"/>
  <c r="F25" i="15"/>
  <c r="F22" i="15"/>
  <c r="F11" i="15"/>
  <c r="F10" i="15"/>
  <c r="G100" i="15"/>
  <c r="F5" i="15"/>
  <c r="B5" i="15"/>
  <c r="F4" i="15"/>
  <c r="B4" i="15"/>
  <c r="E3" i="15"/>
  <c r="F3" i="15"/>
  <c r="F100" i="15"/>
  <c r="A3" i="15"/>
  <c r="A4" i="15"/>
  <c r="A5" i="15"/>
  <c r="A6" i="15"/>
  <c r="A7" i="15"/>
  <c r="A8" i="15"/>
  <c r="A9" i="15"/>
  <c r="A10" i="15"/>
  <c r="A12" i="15"/>
  <c r="A13" i="15"/>
  <c r="A14" i="15"/>
  <c r="A15" i="15"/>
  <c r="A16" i="15"/>
  <c r="A18" i="15"/>
  <c r="A22" i="15"/>
  <c r="A23" i="15"/>
  <c r="A24" i="15"/>
  <c r="A25" i="15"/>
  <c r="A27" i="15"/>
  <c r="A28" i="15"/>
  <c r="A29" i="15"/>
  <c r="A30" i="15"/>
  <c r="A31" i="15"/>
  <c r="A32" i="15"/>
  <c r="A33" i="15"/>
  <c r="A34" i="15"/>
  <c r="A35" i="15"/>
  <c r="A36" i="15"/>
  <c r="A37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J49" i="11"/>
  <c r="C56" i="12"/>
  <c r="B7" i="3"/>
  <c r="E221" i="13"/>
  <c r="C7" i="3"/>
  <c r="E152" i="13"/>
  <c r="E74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C28" i="12"/>
  <c r="B6" i="3"/>
  <c r="C19" i="12"/>
  <c r="B5" i="3"/>
  <c r="F50" i="11"/>
  <c r="F77" i="11"/>
  <c r="F78" i="11"/>
  <c r="F34" i="11"/>
  <c r="F75" i="11"/>
  <c r="F74" i="11"/>
  <c r="F76" i="11"/>
  <c r="F73" i="11"/>
  <c r="K18" i="1"/>
  <c r="H18" i="1"/>
  <c r="D18" i="1"/>
  <c r="E18" i="1"/>
  <c r="F18" i="1"/>
  <c r="F11" i="11"/>
  <c r="G8" i="11"/>
  <c r="G98" i="11"/>
  <c r="D6" i="3"/>
  <c r="F30" i="11"/>
  <c r="F21" i="11"/>
  <c r="F24" i="11"/>
  <c r="F25" i="11"/>
  <c r="F46" i="11"/>
  <c r="E45" i="11"/>
  <c r="F45" i="11"/>
  <c r="F42" i="11"/>
  <c r="F10" i="11"/>
  <c r="H6" i="3"/>
  <c r="E3" i="11"/>
  <c r="F3" i="11"/>
  <c r="F84" i="11"/>
  <c r="E54" i="11"/>
  <c r="F54" i="11"/>
  <c r="F40" i="11"/>
  <c r="B33" i="11"/>
  <c r="B34" i="11"/>
  <c r="F27" i="11"/>
  <c r="F5" i="11"/>
  <c r="B5" i="11"/>
  <c r="F4" i="11"/>
  <c r="B4" i="11"/>
  <c r="G11" i="4"/>
  <c r="G5" i="4"/>
  <c r="G4" i="4"/>
  <c r="F16" i="4"/>
  <c r="F4" i="4"/>
  <c r="F5" i="4"/>
  <c r="G42" i="4"/>
  <c r="F42" i="4"/>
  <c r="E42" i="4"/>
  <c r="F23" i="4"/>
  <c r="G23" i="4"/>
  <c r="E24" i="4"/>
  <c r="F24" i="4"/>
  <c r="E74" i="6"/>
  <c r="F29" i="4"/>
  <c r="E7" i="4"/>
  <c r="F7" i="4"/>
  <c r="F80" i="4"/>
  <c r="E57" i="4"/>
  <c r="F57" i="4"/>
  <c r="F45" i="4"/>
  <c r="C31" i="9"/>
  <c r="F55" i="4"/>
  <c r="AY4" i="8"/>
  <c r="H10" i="3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C2" i="8"/>
  <c r="D2" i="8"/>
  <c r="E2" i="8"/>
  <c r="F2" i="8"/>
  <c r="M8" i="1"/>
  <c r="M9" i="1"/>
  <c r="K17" i="1"/>
  <c r="E150" i="6"/>
  <c r="C5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F8" i="4"/>
  <c r="F9" i="4"/>
  <c r="F37" i="4"/>
  <c r="G7" i="1"/>
  <c r="M7" i="1"/>
  <c r="A3" i="11"/>
  <c r="A4" i="11"/>
  <c r="A5" i="11"/>
  <c r="A6" i="11"/>
  <c r="A7" i="11"/>
  <c r="A8" i="11"/>
  <c r="A9" i="11"/>
  <c r="A10" i="11"/>
  <c r="A12" i="11"/>
  <c r="A13" i="11"/>
  <c r="A14" i="11"/>
  <c r="A15" i="11"/>
  <c r="A16" i="11"/>
  <c r="A18" i="11"/>
  <c r="A21" i="11"/>
  <c r="A22" i="11"/>
  <c r="A23" i="11"/>
  <c r="A24" i="11"/>
  <c r="A26" i="11"/>
  <c r="A27" i="11"/>
  <c r="A28" i="11"/>
  <c r="A29" i="11"/>
  <c r="A30" i="11"/>
  <c r="A31" i="11"/>
  <c r="A32" i="11"/>
  <c r="A33" i="11"/>
  <c r="A34" i="11"/>
  <c r="A35" i="11"/>
  <c r="A36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J42" i="4"/>
  <c r="B36" i="4"/>
  <c r="B37" i="4"/>
  <c r="B9" i="4"/>
  <c r="E8" i="1"/>
  <c r="J8" i="4"/>
  <c r="E41" i="4"/>
  <c r="E2" i="7"/>
  <c r="E68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3" i="6"/>
  <c r="A4" i="6"/>
  <c r="A5" i="6"/>
  <c r="F2" i="4"/>
  <c r="G2" i="4"/>
  <c r="G95" i="4"/>
  <c r="D5" i="3"/>
  <c r="E9" i="1"/>
  <c r="D11" i="1"/>
  <c r="D12" i="1"/>
  <c r="D13" i="1"/>
  <c r="D15" i="1"/>
  <c r="D16" i="1"/>
  <c r="D17" i="1"/>
  <c r="D10" i="1"/>
  <c r="D7" i="1"/>
  <c r="F9" i="1"/>
  <c r="F8" i="1"/>
  <c r="K7" i="1"/>
  <c r="K8" i="1"/>
  <c r="K10" i="1"/>
  <c r="K11" i="1"/>
  <c r="K12" i="1"/>
  <c r="K13" i="1"/>
  <c r="K14" i="1"/>
  <c r="K15" i="1"/>
  <c r="K16" i="1"/>
  <c r="H7" i="1"/>
  <c r="H8" i="1"/>
  <c r="H9" i="1"/>
  <c r="F7" i="1"/>
  <c r="E7" i="1"/>
  <c r="F10" i="1"/>
  <c r="E10" i="1"/>
  <c r="F17" i="1"/>
  <c r="E17" i="1"/>
  <c r="F16" i="1"/>
  <c r="E16" i="1"/>
  <c r="F15" i="1"/>
  <c r="E15" i="1"/>
  <c r="F14" i="1"/>
  <c r="F13" i="1"/>
  <c r="E13" i="1"/>
  <c r="F12" i="1"/>
  <c r="E12" i="1"/>
  <c r="F11" i="1"/>
  <c r="E11" i="1"/>
  <c r="F41" i="4"/>
  <c r="J41" i="4"/>
  <c r="I41" i="4"/>
  <c r="B8" i="4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L7" i="1"/>
  <c r="L8" i="1"/>
  <c r="L9" i="1"/>
  <c r="G10" i="1"/>
  <c r="M10" i="1"/>
  <c r="L10" i="1"/>
  <c r="G11" i="1"/>
  <c r="M11" i="1"/>
  <c r="G12" i="1"/>
  <c r="M12" i="1"/>
  <c r="G13" i="1"/>
  <c r="M13" i="1"/>
  <c r="H13" i="1"/>
  <c r="G14" i="1"/>
  <c r="M14" i="1"/>
  <c r="H14" i="1"/>
  <c r="G15" i="1"/>
  <c r="M15" i="1"/>
  <c r="G16" i="1"/>
  <c r="M16" i="1"/>
  <c r="M17" i="1"/>
  <c r="F95" i="4"/>
  <c r="L17" i="1"/>
  <c r="H17" i="1"/>
  <c r="L16" i="1"/>
  <c r="H16" i="1"/>
  <c r="L15" i="1"/>
  <c r="H15" i="1"/>
  <c r="L12" i="1"/>
  <c r="H12" i="1"/>
  <c r="L11" i="1"/>
  <c r="H11" i="1"/>
  <c r="L14" i="1"/>
  <c r="H10" i="1"/>
  <c r="L13" i="1"/>
  <c r="I6" i="1"/>
  <c r="M6" i="1"/>
  <c r="L6" i="1"/>
  <c r="F6" i="1"/>
  <c r="H6" i="1"/>
  <c r="F5" i="1"/>
  <c r="F4" i="1"/>
  <c r="F3" i="1"/>
  <c r="C12" i="2"/>
  <c r="B10" i="2"/>
  <c r="C10" i="2"/>
  <c r="C11" i="2"/>
  <c r="C4" i="2"/>
  <c r="C5" i="2"/>
  <c r="C6" i="2"/>
  <c r="C7" i="2"/>
  <c r="C8" i="2"/>
  <c r="C9" i="2"/>
  <c r="C3" i="2"/>
  <c r="K5" i="1"/>
  <c r="G5" i="1"/>
  <c r="M5" i="1"/>
  <c r="L5" i="1"/>
  <c r="K4" i="1"/>
  <c r="G4" i="1"/>
  <c r="M4" i="1"/>
  <c r="L4" i="1"/>
  <c r="J3" i="1"/>
  <c r="K3" i="1"/>
  <c r="H3" i="1"/>
  <c r="G3" i="1"/>
  <c r="M3" i="1"/>
  <c r="L3" i="1"/>
  <c r="N2" i="1"/>
  <c r="I2" i="1"/>
  <c r="K2" i="1"/>
  <c r="H2" i="1"/>
  <c r="G2" i="1"/>
  <c r="M2" i="1"/>
  <c r="E5" i="1"/>
  <c r="E4" i="1"/>
  <c r="E3" i="1"/>
  <c r="E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C13" i="2"/>
  <c r="K6" i="1"/>
  <c r="F2" i="1"/>
  <c r="L2" i="1"/>
  <c r="J9" i="4"/>
  <c r="E5" i="3"/>
  <c r="E86" i="13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C6" i="3"/>
  <c r="M18" i="1"/>
  <c r="L18" i="1"/>
  <c r="F98" i="11"/>
  <c r="H8" i="3"/>
  <c r="H11" i="3"/>
  <c r="E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tc={AD1AA185-43CF-43A1-AF34-23817CA7731C}</author>
    <author>tc={9529C531-5425-4800-A20A-2961E26F87AB}</author>
    <author>tc={4EE626D1-59C2-49C1-B4FD-66F92DE9DE35}</author>
    <author>Gost korisnik</author>
  </authors>
  <commentList>
    <comment ref="N2" authorId="0" shapeId="0" xr:uid="{AD1AA185-43CF-43A1-AF34-23817CA773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Nadogradnja sa opremom - donacija
</t>
      </text>
    </comment>
    <comment ref="H3" authorId="1" shapeId="0" xr:uid="{9529C531-5425-4800-A20A-2961E26F87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Cijena sa PDV i PPMV - ppmv upitan, prijava kao vatrogasno vozilo
</t>
      </text>
    </comment>
    <comment ref="L3" authorId="2" shapeId="0" xr:uid="{4EE626D1-59C2-49C1-B4FD-66F92DE9DE35}">
      <text>
        <t>[Threaded comment]
Your version of Excel allows you to read this threaded comment; however, any edits to it will get removed if the file is opened in a newer version of Excel. Learn more: https://go.microsoft.com/fwlink/?linkid=870924
Comment:
    Ostalo u zraku PPMV - u kalkulaciji račinica 40.000 kn, iskazan na ponudi 14.000kn - ići na DZM na oslobođenje</t>
      </text>
    </comment>
    <comment ref="I18" authorId="3" shapeId="0" xr:uid="{CAC9B375-4011-4509-BFBB-30477396286C}">
      <text>
        <r>
          <rPr>
            <sz val="11"/>
            <color theme="1"/>
            <rFont val="Calibri"/>
            <family val="2"/>
            <charset val="238"/>
            <scheme val="minor"/>
          </rPr>
          <t>Potrebno zbrojiti realni utrošak za 1 kom po ponudama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tc={A29699DF-C4CB-4A02-A100-66B6973918F5}</author>
  </authors>
  <commentList>
    <comment ref="B6" authorId="0" shapeId="0" xr:uid="{A29699DF-C4CB-4A02-A100-66B6973918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Predviđanje da ćemo isporučiti i naplatiti KRALJEVICU I ZADRA NOVU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tc={4EC0F70D-0963-4BE2-9F6B-39185D16CF9D}</author>
    <author>tc={580E7A26-8D07-4AB2-941B-E391FFCE76B9}</author>
    <author>Gost korisnik</author>
    <author>Renato</author>
  </authors>
  <commentList>
    <comment ref="F4" authorId="0" shapeId="0" xr:uid="{4EC0F70D-0963-4BE2-9F6B-39185D16CF9D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5" authorId="1" shapeId="0" xr:uid="{580E7A26-8D07-4AB2-941B-E391FFCE76B9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26" authorId="2" shapeId="0" xr:uid="{FA7FEB1B-3270-4F8E-9662-358DD59547B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Plaćanje:
Nakon što Naručitelj plati plaćamo dobavljaču
</t>
        </r>
      </text>
    </comment>
    <comment ref="F50" authorId="2" shapeId="0" xr:uid="{E9B9F687-8C10-412B-B342-48E7B3BA757F}">
      <text>
        <r>
          <rPr>
            <sz val="11"/>
            <color theme="1"/>
            <rFont val="Calibri"/>
            <family val="2"/>
            <charset val="238"/>
            <scheme val="minor"/>
          </rPr>
          <t>Plaćanje: 
15% prilikom narudžbe - 16.03
85% prije isporuke</t>
        </r>
      </text>
    </comment>
    <comment ref="J50" authorId="3" shapeId="0" xr:uid="{479E28FC-BF1C-474E-BD67-7A9E1DF4A27D}">
      <text>
        <r>
          <rPr>
            <sz val="11"/>
            <color theme="1"/>
            <rFont val="Calibri"/>
            <family val="2"/>
            <charset val="238"/>
            <scheme val="minor"/>
          </rPr>
          <t>Renato:
15% od ponude</t>
        </r>
      </text>
    </comment>
    <comment ref="F57" authorId="2" shapeId="0" xr:uid="{D4FD5F54-79E2-40E5-BEBD-7F4CE8B9E820}">
      <text>
        <r>
          <rPr>
            <sz val="11"/>
            <color theme="1"/>
            <rFont val="Calibri"/>
            <family val="2"/>
            <charset val="238"/>
            <scheme val="minor"/>
          </rPr>
          <t>Potrebno platiti.
Očekivani dolazak je 15. tjedan 2023
Od 01.04. cijena je 150€ veća</t>
        </r>
      </text>
    </comment>
    <comment ref="F63" authorId="2" shapeId="0" xr:uid="{AC9A3743-227D-4492-A0D8-D25DEC14D5D6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Poslali robu. 
Treba platiti račun.
</t>
        </r>
      </text>
    </comment>
    <comment ref="M77" authorId="2" shapeId="0" xr:uid="{D02AA0E1-EB23-41AD-8755-BCF78D6C6542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Samo cijena stavki. Plaćanje po računu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tc={72B559E9-96EC-4DDD-B150-25FCF2F5390A}</author>
    <author>tc={C98961B8-C395-4B78-ABDF-A82DFECF405F}</author>
    <author>Gost korisnik</author>
    <author>Renato</author>
  </authors>
  <commentList>
    <comment ref="F4" authorId="0" shapeId="0" xr:uid="{72B559E9-96EC-4DDD-B150-25FCF2F5390A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5" authorId="1" shapeId="0" xr:uid="{C98961B8-C395-4B78-ABDF-A82DFECF405F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26" authorId="2" shapeId="0" xr:uid="{37F1DA79-A19A-469C-B2A3-7EC280E4B6F8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Plaćanje:
Nakon što Naručitelj plati plaćamo dobavljaču
</t>
        </r>
      </text>
    </comment>
    <comment ref="F50" authorId="2" shapeId="0" xr:uid="{186D996C-F172-4EE7-9EDA-AC7F49574157}">
      <text>
        <r>
          <rPr>
            <sz val="11"/>
            <color theme="1"/>
            <rFont val="Calibri"/>
            <family val="2"/>
            <charset val="238"/>
            <scheme val="minor"/>
          </rPr>
          <t>Plaćanje: 
15% prilikom narudžbe - 16.03
85% prije isporuke</t>
        </r>
      </text>
    </comment>
    <comment ref="J50" authorId="3" shapeId="0" xr:uid="{52782729-645B-49DA-A394-DDAC3D528E2C}">
      <text>
        <r>
          <rPr>
            <sz val="11"/>
            <color theme="1"/>
            <rFont val="Calibri"/>
            <family val="2"/>
            <charset val="238"/>
            <scheme val="minor"/>
          </rPr>
          <t>Renato:
15% od ponude</t>
        </r>
      </text>
    </comment>
    <comment ref="F57" authorId="2" shapeId="0" xr:uid="{9229A943-30DC-40E1-8E00-20F06EDC6400}">
      <text>
        <r>
          <rPr>
            <sz val="11"/>
            <color theme="1"/>
            <rFont val="Calibri"/>
            <family val="2"/>
            <charset val="238"/>
            <scheme val="minor"/>
          </rPr>
          <t>Potrebno platiti.
Očekivani dolazak je 15. tjedan 2023
Od 01.04. cijena je 150€ veća</t>
        </r>
      </text>
    </comment>
    <comment ref="F63" authorId="2" shapeId="0" xr:uid="{4526B67D-653C-4F85-AC21-1A8839C5FEDC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Poslali robu. 
Treba platiti račun.
</t>
        </r>
      </text>
    </comment>
    <comment ref="M77" authorId="2" shapeId="0" xr:uid="{023946D6-742B-4BEA-BBFE-9A54D6428ABD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Samo cijena stavki. Plaćanje po računu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tc={234F6BD5-5EF3-46A8-A2B1-28ABD3BA5A85}</author>
    <author>tc={D963DE7F-1B39-4418-8D8D-CA5652634FB1}</author>
    <author>Gost korisnik</author>
    <author>Renato</author>
  </authors>
  <commentList>
    <comment ref="F4" authorId="0" shapeId="0" xr:uid="{234F6BD5-5EF3-46A8-A2B1-28ABD3BA5A85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5" authorId="1" shapeId="0" xr:uid="{D963DE7F-1B39-4418-8D8D-CA5652634FB1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26" authorId="2" shapeId="0" xr:uid="{26499770-60CB-4AE8-8081-5408E145BCDC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Plaćanje:
Nakon što Naručitelj plati plaćamo dobavljaču
</t>
        </r>
      </text>
    </comment>
    <comment ref="F50" authorId="2" shapeId="0" xr:uid="{91423F54-FE90-4C74-8B75-2F48FD70B851}">
      <text>
        <r>
          <rPr>
            <sz val="11"/>
            <color theme="1"/>
            <rFont val="Calibri"/>
            <family val="2"/>
            <charset val="238"/>
            <scheme val="minor"/>
          </rPr>
          <t>Plaćanje: 
15% prilikom narudžbe - 16.03
85% prije isporuke</t>
        </r>
      </text>
    </comment>
    <comment ref="J50" authorId="3" shapeId="0" xr:uid="{6AC0F0DA-DDD6-4A44-BA24-C87AE635A9E7}">
      <text>
        <r>
          <rPr>
            <sz val="11"/>
            <color theme="1"/>
            <rFont val="Calibri"/>
            <family val="2"/>
            <charset val="238"/>
            <scheme val="minor"/>
          </rPr>
          <t>Renato:
15% od ponude</t>
        </r>
      </text>
    </comment>
    <comment ref="F57" authorId="2" shapeId="0" xr:uid="{7C00A967-29A0-4977-A277-C52E9B702545}">
      <text>
        <r>
          <rPr>
            <sz val="11"/>
            <color theme="1"/>
            <rFont val="Calibri"/>
            <family val="2"/>
            <charset val="238"/>
            <scheme val="minor"/>
          </rPr>
          <t>Potrebno platiti.
Očekivani dolazak je 15. tjedan 2023
Od 01.04. cijena je 150€ veća</t>
        </r>
      </text>
    </comment>
    <comment ref="F63" authorId="2" shapeId="0" xr:uid="{3D3C7996-2085-4BDA-8BBC-2ABF032BBA94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Poslali robu. 
Treba platiti račun.
</t>
        </r>
      </text>
    </comment>
    <comment ref="M77" authorId="2" shapeId="0" xr:uid="{6BE55332-7E5F-4A36-AA1E-576FE74A74BE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Samo cijena stavki. Plaćanje po računu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tc={2BD4BA31-7AEE-47EE-90CD-3B6ECC569E11}</author>
    <author>tc={9E72E974-8496-47BF-A797-24DE83CE6135}</author>
    <author>Gost korisnik</author>
  </authors>
  <commentList>
    <comment ref="F4" authorId="0" shapeId="0" xr:uid="{2BD4BA31-7AEE-47EE-90CD-3B6ECC569E11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5" authorId="1" shapeId="0" xr:uid="{9E72E974-8496-47BF-A797-24DE83CE6135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25" authorId="2" shapeId="0" xr:uid="{E5518F19-1FAD-4E8E-AAA9-66FB58E3BAE8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Plaćanje:
Nakon što Naručitelj plati plaćamo dobavljaču
</t>
        </r>
      </text>
    </comment>
    <comment ref="F48" authorId="2" shapeId="0" xr:uid="{C9ECE5AE-DCD9-47B3-AC88-8FC9334C05FE}">
      <text>
        <r>
          <rPr>
            <sz val="11"/>
            <color theme="1"/>
            <rFont val="Calibri"/>
            <family val="2"/>
            <charset val="238"/>
            <scheme val="minor"/>
          </rPr>
          <t/>
        </r>
      </text>
    </comment>
    <comment ref="F49" authorId="2" shapeId="0" xr:uid="{016A238B-ECA6-4278-9C70-53F7CD350A07}">
      <text>
        <r>
          <rPr>
            <sz val="11"/>
            <color theme="1"/>
            <rFont val="Calibri"/>
            <family val="2"/>
            <charset val="238"/>
            <scheme val="minor"/>
          </rPr>
          <t>Plaćanje: 
15% prilikom narudžbe
85% prije isporuke</t>
        </r>
      </text>
    </comment>
    <comment ref="F64" authorId="2" shapeId="0" xr:uid="{6C6FCD36-E77A-4874-8E76-C68248D532BD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Plaćanje 100% prije preuzimanja - očekivan datum završetka proizvodnje 17.03.  
Poslana Narudžbenica 28.02.2023
</t>
        </r>
      </text>
    </comment>
    <comment ref="M75" authorId="2" shapeId="0" xr:uid="{0E802AFA-DFD8-4295-B337-9CF291097122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Samo cijena stavki. Plaćanje po računu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tc={4675EF4B-D5C4-45EB-8BE6-FF790C6F1671}</author>
    <author>tc={851F96F7-F88C-4944-B0B7-084C22BAAAFE}</author>
    <author>Gost korisnik</author>
  </authors>
  <commentList>
    <comment ref="F8" authorId="0" shapeId="0" xr:uid="{4675EF4B-D5C4-45EB-8BE6-FF790C6F1671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9" authorId="1" shapeId="0" xr:uid="{851F96F7-F88C-4944-B0B7-084C22BAAAFE}">
      <text>
        <t>[Threaded comment]
Your version of Excel allows you to read this threaded comment; however, any edits to it will get removed if the file is opened in a newer version of Excel. Learn more: https://go.microsoft.com/fwlink/?linkid=870924
Comment:
    Plaća se po naplaćenom poslu</t>
      </text>
    </comment>
    <comment ref="F13" authorId="2" shapeId="0" xr:uid="{3BF8B5AD-0300-45DC-B810-AC71EF4260D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Plaća se samo netto iznos
</t>
        </r>
      </text>
    </comment>
    <comment ref="F27" authorId="2" shapeId="0" xr:uid="{71E2AA7C-1A32-4483-AFE2-7B13A0B77871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Plaćanje:
Nakon što Naručitelj plati plaćamo dobavljaču
</t>
        </r>
      </text>
    </comment>
    <comment ref="F53" authorId="2" shapeId="0" xr:uid="{78D673CC-4493-41B0-8FF8-A9E61AE35F72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Plaćanje: 
1/3 avans
2/3 nakon što Naručitelj plati isporučeno vozilo
</t>
        </r>
      </text>
    </comment>
  </commentList>
</comments>
</file>

<file path=xl/sharedStrings.xml><?xml version="1.0" encoding="utf-8"?>
<sst xmlns="http://schemas.openxmlformats.org/spreadsheetml/2006/main" count="2429" uniqueCount="690">
  <si>
    <t>r.b</t>
  </si>
  <si>
    <t>naziv projekta</t>
  </si>
  <si>
    <t>datum potpisa</t>
  </si>
  <si>
    <t>Predviđena isporuka - datum</t>
  </si>
  <si>
    <t>Krajnji rok isporuke - ugovorni datum isporuke</t>
  </si>
  <si>
    <t>rok plaćanja</t>
  </si>
  <si>
    <t>Ugovorena neto cijena €</t>
  </si>
  <si>
    <t>Ugovorena cijena sa PDV €</t>
  </si>
  <si>
    <t>Planirani utrošak materijala-neto</t>
  </si>
  <si>
    <t>Predviđeni/nepredviđeni trošak</t>
  </si>
  <si>
    <t>Planirani trošak sa PDV</t>
  </si>
  <si>
    <t>RUC NETO - €</t>
  </si>
  <si>
    <t xml:space="preserve">U
 postotku
</t>
  </si>
  <si>
    <t>Marketinška vrijednost - poklon</t>
  </si>
  <si>
    <t>Veza - dokumentacija</t>
  </si>
  <si>
    <t>DVD Kraljevica</t>
  </si>
  <si>
    <t>Zadra Nova</t>
  </si>
  <si>
    <t>ZL Dubrovnik</t>
  </si>
  <si>
    <t>JVP Delnice</t>
  </si>
  <si>
    <t>MUP - Cisterne 4x</t>
  </si>
  <si>
    <t>DVD RAB</t>
  </si>
  <si>
    <t>DVD CRES</t>
  </si>
  <si>
    <t>DVD ADAMOVEC</t>
  </si>
  <si>
    <t>MUP EFKK 8 - VIBRAFON</t>
  </si>
  <si>
    <t>MUP EFKK 8 - ALAT</t>
  </si>
  <si>
    <t>MUP EFKK 9 - PRSLUK</t>
  </si>
  <si>
    <t>MUP EFKK 9 - DASKA</t>
  </si>
  <si>
    <t>MUP EFKK 11 - MAČETA</t>
  </si>
  <si>
    <t>06.04.2023</t>
  </si>
  <si>
    <t>MUP EFKK 11 - REFLEKTOR</t>
  </si>
  <si>
    <t>MUP EFKK 11 - RAČUNALO</t>
  </si>
  <si>
    <t>MUP EFKK 11 - NOSILO</t>
  </si>
  <si>
    <t>Marina Lav - PUG</t>
  </si>
  <si>
    <t>Spremnici Granulo</t>
  </si>
  <si>
    <t>24.03.2023.</t>
  </si>
  <si>
    <t>JVP Zadar</t>
  </si>
  <si>
    <t>15.05.2023</t>
  </si>
  <si>
    <t>MArina dalmacija - PUG</t>
  </si>
  <si>
    <t>05.06.2023</t>
  </si>
  <si>
    <t>Prihodi rashodi MGS 2023</t>
  </si>
  <si>
    <t>Prihodi ukupno mjesec</t>
  </si>
  <si>
    <t>rashodi - ostalo poslovanje</t>
  </si>
  <si>
    <t>rashodi po projektima</t>
  </si>
  <si>
    <t>cash stanje - kalkulativno</t>
  </si>
  <si>
    <t>eventualni povrati pdva i slično</t>
  </si>
  <si>
    <t>prihod iz 2022 - nenaplaćeno</t>
  </si>
  <si>
    <t>siječanj</t>
  </si>
  <si>
    <t>veljača</t>
  </si>
  <si>
    <t>ožujak</t>
  </si>
  <si>
    <t>travanj</t>
  </si>
  <si>
    <t>potrošeno</t>
  </si>
  <si>
    <t>svibanj</t>
  </si>
  <si>
    <t>stanje na računu</t>
  </si>
  <si>
    <t>lipanj</t>
  </si>
  <si>
    <t>prihodovano</t>
  </si>
  <si>
    <t>srpanj</t>
  </si>
  <si>
    <t>kolovoz</t>
  </si>
  <si>
    <t>rujan</t>
  </si>
  <si>
    <t>listopad</t>
  </si>
  <si>
    <t>studeni</t>
  </si>
  <si>
    <t>prosinac</t>
  </si>
  <si>
    <t>Datum</t>
  </si>
  <si>
    <t>Iznos €</t>
  </si>
  <si>
    <t>Iznos $</t>
  </si>
  <si>
    <t>Platitelj</t>
  </si>
  <si>
    <t>Iznos</t>
  </si>
  <si>
    <t>Datum plaćanja</t>
  </si>
  <si>
    <t>Napomena</t>
  </si>
  <si>
    <t>SIJEČANJ</t>
  </si>
  <si>
    <t>preneseno iz 2022-adiko</t>
  </si>
  <si>
    <t>preneseno iz erste</t>
  </si>
  <si>
    <t>grad ogulin</t>
  </si>
  <si>
    <t>trebinje</t>
  </si>
  <si>
    <t>juvelir box</t>
  </si>
  <si>
    <t>pozajmica - Seifried S</t>
  </si>
  <si>
    <t>Seagrave</t>
  </si>
  <si>
    <t>sushi restoran</t>
  </si>
  <si>
    <t>Zlatko Popov</t>
  </si>
  <si>
    <t>PLAM D.O.O.</t>
  </si>
  <si>
    <t>Boris Antolović</t>
  </si>
  <si>
    <t>GIM GASE</t>
  </si>
  <si>
    <t>Autohaus rabus</t>
  </si>
  <si>
    <t>Otoks</t>
  </si>
  <si>
    <t>DVD Sveti Juraj</t>
  </si>
  <si>
    <t>Walmar</t>
  </si>
  <si>
    <t>UKUPNO SIJEČANJ:</t>
  </si>
  <si>
    <t>VELJAČA</t>
  </si>
  <si>
    <t>ACH</t>
  </si>
  <si>
    <t>13.02.2023</t>
  </si>
  <si>
    <t>PBZ leasing-Kraljevica</t>
  </si>
  <si>
    <t>22.02.2023.</t>
  </si>
  <si>
    <t>Europrotekt</t>
  </si>
  <si>
    <t>28.02.2023.</t>
  </si>
  <si>
    <t>dvd oriovac</t>
  </si>
  <si>
    <t>UKUPNO VELJAČA:</t>
  </si>
  <si>
    <t>OŽUJAK</t>
  </si>
  <si>
    <t>DVD Novalja</t>
  </si>
  <si>
    <t>Autoselect</t>
  </si>
  <si>
    <t>DVD Cres</t>
  </si>
  <si>
    <t>Grand Hotel Lav</t>
  </si>
  <si>
    <t>5B doo Šmrika</t>
  </si>
  <si>
    <t>16.03.23.</t>
  </si>
  <si>
    <t>uplata po rn.</t>
  </si>
  <si>
    <t>HZZO</t>
  </si>
  <si>
    <t>17.03.23.</t>
  </si>
  <si>
    <t>20.03.23.</t>
  </si>
  <si>
    <t>POVRAT DIJ.POZAJM.</t>
  </si>
  <si>
    <t>Siki</t>
  </si>
  <si>
    <t>21.03.23.</t>
  </si>
  <si>
    <t>pozajmica</t>
  </si>
  <si>
    <t>Drzavni prorac</t>
  </si>
  <si>
    <t>22.03.23.</t>
  </si>
  <si>
    <t>MUP racun</t>
  </si>
  <si>
    <t>Vatropromet</t>
  </si>
  <si>
    <t>rn.27</t>
  </si>
  <si>
    <t>Granulo</t>
  </si>
  <si>
    <t>27.03.23.</t>
  </si>
  <si>
    <t>predujam</t>
  </si>
  <si>
    <t>UKUPNO OŽUJAK:</t>
  </si>
  <si>
    <t>UKUPNO TRAVANJ:</t>
  </si>
  <si>
    <t>UKUPNO SVIBANJ:</t>
  </si>
  <si>
    <t>Naziv stavke</t>
  </si>
  <si>
    <t>Dobavljač</t>
  </si>
  <si>
    <t>€ bez pdv</t>
  </si>
  <si>
    <t>€ sa pdv</t>
  </si>
  <si>
    <t>Status plaćanja</t>
  </si>
  <si>
    <t>INA-INDUSTRIJA NAFTE D.D. INA KARTI</t>
  </si>
  <si>
    <t>plaćeno</t>
  </si>
  <si>
    <t>M. G. S. GRUPA  d. o. o.</t>
  </si>
  <si>
    <t>ADDIKO BANK D.D.</t>
  </si>
  <si>
    <t xml:space="preserve">ADDIKO BANK D.D.                                                                                                  </t>
  </si>
  <si>
    <t>POREZ I PRIREZ - ZAGREB</t>
  </si>
  <si>
    <t>POREZ I PRIREZ - VINODOLSKA OP</t>
  </si>
  <si>
    <t>POREZ I PRIREZ - KRALJEVICA</t>
  </si>
  <si>
    <t>POREZ I PRIREZ - CERNIK</t>
  </si>
  <si>
    <t>POREZ I PRIREZ - BAKAR</t>
  </si>
  <si>
    <t>DOPRINOS ZA MIO I. STUP</t>
  </si>
  <si>
    <t>DOPRINOS ZA MIO II. STUP</t>
  </si>
  <si>
    <t>DOPRINOS ZA ZDRAVSTVO</t>
  </si>
  <si>
    <t>EKING D.O.O.</t>
  </si>
  <si>
    <t>PLAĆE</t>
  </si>
  <si>
    <t>izvodi…Ana</t>
  </si>
  <si>
    <t>TRGOAUTO V D.O.O.</t>
  </si>
  <si>
    <t>KUŽELKA D.O.O.</t>
  </si>
  <si>
    <t>STROJOPROMET d.o.o.</t>
  </si>
  <si>
    <t>BIJUK HPC D.O.O. ZA PROIZVODNJU HIDRAULIČNIH KOMPONENTI</t>
  </si>
  <si>
    <t>BIGDOM INŽENJERING D. O. O.</t>
  </si>
  <si>
    <t>HRVATSKA UDRUGA POSLODAVACA</t>
  </si>
  <si>
    <t>MOBI TOY</t>
  </si>
  <si>
    <t>HP D.D.</t>
  </si>
  <si>
    <t>HEP ELEKTRA D.O.O.- RC RI</t>
  </si>
  <si>
    <t>C.I.A.K. AUTO d.o.o.</t>
  </si>
  <si>
    <t>Fond za zaštitu okoliša i energetsku učink</t>
  </si>
  <si>
    <t>DRŽAVNI PRORAČUN REPUBLIKE HRVATSKE</t>
  </si>
  <si>
    <t xml:space="preserve">SABIRA SEIFRIED </t>
  </si>
  <si>
    <t>SLUGA D.O.O.</t>
  </si>
  <si>
    <t>ERSTE&amp;STEIERMÄRKISCHE BANK d.d.</t>
  </si>
  <si>
    <t>PBZTINA</t>
  </si>
  <si>
    <t>Industrijska zona bb</t>
  </si>
  <si>
    <t>ADRIATIC OSIGURANJE D.D.- PODR. RIJEKA</t>
  </si>
  <si>
    <t>PBZ7SCHRACKTECH</t>
  </si>
  <si>
    <t>AUTOD.TOKIC PM-CRIKVEN Crikvenica</t>
  </si>
  <si>
    <t>jamstvo -terba se vratiti jednog dana</t>
  </si>
  <si>
    <t>BISTRO PRIMORAC Smrika</t>
  </si>
  <si>
    <t>PU 51262 KRALJEVICA</t>
  </si>
  <si>
    <t>ALEGO s.r.o.</t>
  </si>
  <si>
    <t>INA-INDUSTRIJA NAFTE D.D. INA KARTICE</t>
  </si>
  <si>
    <t>STROJOPROMET D.O.O.</t>
  </si>
  <si>
    <t>PETROL  D.O.O.</t>
  </si>
  <si>
    <t>TIFON BP Ravna Gora</t>
  </si>
  <si>
    <t>G.I.M. GASE, D.O.O.</t>
  </si>
  <si>
    <t>mioč servis</t>
  </si>
  <si>
    <t>VELIMIR VUKOSAVLJEVIĆ</t>
  </si>
  <si>
    <t xml:space="preserve">PETROL D.O.O. ZA PRIJEVOZ NAFTE I NAFTNIH </t>
  </si>
  <si>
    <t xml:space="preserve">BERNER d.o.o. </t>
  </si>
  <si>
    <t>OMV 3514</t>
  </si>
  <si>
    <t>PBZTPETROLBP</t>
  </si>
  <si>
    <t>MAUTSTELLE ROSENBACH</t>
  </si>
  <si>
    <t>MAUTSTELLE ST MICHAEL</t>
  </si>
  <si>
    <t>CP HRUSICA</t>
  </si>
  <si>
    <t>BS HRUSICA I-J</t>
  </si>
  <si>
    <t>Aral Station 191364108</t>
  </si>
  <si>
    <t>NP RUPA</t>
  </si>
  <si>
    <t>ERSTE CARD CLUB d.o.o</t>
  </si>
  <si>
    <t>PBZTINA kraljevica</t>
  </si>
  <si>
    <t>24.01-kraj dana</t>
  </si>
  <si>
    <t>Grand Dalewest</t>
  </si>
  <si>
    <t xml:space="preserve"> ford c-max homologacija</t>
  </si>
  <si>
    <t xml:space="preserve">A1 Hrvatska </t>
  </si>
  <si>
    <t>Siniša mičetić</t>
  </si>
  <si>
    <t xml:space="preserve">pbz leasing </t>
  </si>
  <si>
    <t>porez na dodanu vrijednost</t>
  </si>
  <si>
    <t>porez na dobit</t>
  </si>
  <si>
    <t>clanarina hgk</t>
  </si>
  <si>
    <t>zagrebacka banka - nepostojeca kartica</t>
  </si>
  <si>
    <t>ZABA - uplata za nepostojeću karticu</t>
  </si>
  <si>
    <t>25.01.2023 - kraj dana</t>
  </si>
  <si>
    <t>Unicreadit leasing</t>
  </si>
  <si>
    <t>26.01.2023 - kraj dana</t>
  </si>
  <si>
    <t>PBZTINA Kostrena</t>
  </si>
  <si>
    <t>INA d.d</t>
  </si>
  <si>
    <t>erste naknada</t>
  </si>
  <si>
    <t>Addiko naknada</t>
  </si>
  <si>
    <t>Leasing Hala</t>
  </si>
  <si>
    <t>plaćeno 03.02 1 mj.</t>
  </si>
  <si>
    <t>Kredit Addiko</t>
  </si>
  <si>
    <t>ostali Leasing</t>
  </si>
  <si>
    <t>AH TEHNIČKI PREGLED</t>
  </si>
  <si>
    <t>C MAX</t>
  </si>
  <si>
    <t>ALCA ZAGREB</t>
  </si>
  <si>
    <t>EUROHERC OSIGURANJE</t>
  </si>
  <si>
    <t>ponuda 5</t>
  </si>
  <si>
    <t>Orbico d.o.o.</t>
  </si>
  <si>
    <t>Kraj dana 01.02</t>
  </si>
  <si>
    <t>račun 62131852</t>
  </si>
  <si>
    <t>Petrol D.o.o</t>
  </si>
  <si>
    <t>najam stana</t>
  </si>
  <si>
    <t>Kružić Saša</t>
  </si>
  <si>
    <t>naplata naknade</t>
  </si>
  <si>
    <t>erste</t>
  </si>
  <si>
    <t>uplata po 2093</t>
  </si>
  <si>
    <t>SVA Pula</t>
  </si>
  <si>
    <t>kraj dana 02.02</t>
  </si>
  <si>
    <t>pbztina križevci</t>
  </si>
  <si>
    <t>kraj dana 03.02</t>
  </si>
  <si>
    <t>nekakvo gorivo - vjerojatno gorivo za auto kada se išlo po kamion</t>
  </si>
  <si>
    <t>plaćeno karticom -xxx5295</t>
  </si>
  <si>
    <t>Građa MAXMART</t>
  </si>
  <si>
    <t>kraj dana 04.02</t>
  </si>
  <si>
    <t>Siki privatno kupio izolaciju</t>
  </si>
  <si>
    <t>Dorfelt gmbh - eberspacher</t>
  </si>
  <si>
    <t>Edo - Eberspacher</t>
  </si>
  <si>
    <t>PBZTINA RIJEKA</t>
  </si>
  <si>
    <t>04.02.KARTICA ERSTE</t>
  </si>
  <si>
    <t>PKL</t>
  </si>
  <si>
    <t>UNIMAR</t>
  </si>
  <si>
    <t>HRT</t>
  </si>
  <si>
    <t>MJES.PRISTOJBA</t>
  </si>
  <si>
    <t>KENTBANKA</t>
  </si>
  <si>
    <t>NAKN.ZA GARANCIJU</t>
  </si>
  <si>
    <t xml:space="preserve">ERSTE </t>
  </si>
  <si>
    <t>NAPL.NAKN.INO PL.</t>
  </si>
  <si>
    <t>PODIZ.GOT.ZA BLAGAJNU</t>
  </si>
  <si>
    <t>RHEA DHL</t>
  </si>
  <si>
    <t>STARI RN.</t>
  </si>
  <si>
    <t>HANSA FLEX</t>
  </si>
  <si>
    <t>PET CENTAR</t>
  </si>
  <si>
    <t>PASI HRANA</t>
  </si>
  <si>
    <t>PBZTINA KRALJEVICA</t>
  </si>
  <si>
    <t>KARTICA ERSTE 08.02.2023</t>
  </si>
  <si>
    <t>KARTICA ERSTE 10.02.2023</t>
  </si>
  <si>
    <t>A1</t>
  </si>
  <si>
    <t>mobiteli</t>
  </si>
  <si>
    <t>naplata naknade pl.prometa</t>
  </si>
  <si>
    <t>Velimir Vukosavljević</t>
  </si>
  <si>
    <t>razlika bolovanja 3-12/2022</t>
  </si>
  <si>
    <t>Emme</t>
  </si>
  <si>
    <t>faktura 11mj.2022.</t>
  </si>
  <si>
    <t>CCG Capital Energy partners</t>
  </si>
  <si>
    <t>invoice</t>
  </si>
  <si>
    <t>Dolari u CAD</t>
  </si>
  <si>
    <t>Erste banka</t>
  </si>
  <si>
    <t>Siniša Trbović</t>
  </si>
  <si>
    <t>nagr.za rad.rezultate</t>
  </si>
  <si>
    <t xml:space="preserve">KD Čistoća </t>
  </si>
  <si>
    <t>račun za 01/2023</t>
  </si>
  <si>
    <t>Rune Crow Ičići</t>
  </si>
  <si>
    <t>optički priključak</t>
  </si>
  <si>
    <t>Unimar Rijeka</t>
  </si>
  <si>
    <t>racun</t>
  </si>
  <si>
    <t>Adriatic osiguranje</t>
  </si>
  <si>
    <t>polica osig.od odgovornosti rata 1</t>
  </si>
  <si>
    <t>Adriatc osiguranje</t>
  </si>
  <si>
    <t>polica osig.za halu rata 1</t>
  </si>
  <si>
    <t>Plaće 01/23</t>
  </si>
  <si>
    <t>plaće</t>
  </si>
  <si>
    <t>Eking</t>
  </si>
  <si>
    <t>knjig.usluge</t>
  </si>
  <si>
    <t>DSK DOO</t>
  </si>
  <si>
    <t>ponuda-Boris čep</t>
  </si>
  <si>
    <t xml:space="preserve">kartica </t>
  </si>
  <si>
    <t xml:space="preserve">Elektronički računi </t>
  </si>
  <si>
    <t xml:space="preserve">Schenker prijevoz </t>
  </si>
  <si>
    <t>prijevoz Ameri</t>
  </si>
  <si>
    <t xml:space="preserve">PBZ leasing  </t>
  </si>
  <si>
    <t>hala</t>
  </si>
  <si>
    <t>audi</t>
  </si>
  <si>
    <t>Munir Vejzović</t>
  </si>
  <si>
    <t>THO.M.GAS.</t>
  </si>
  <si>
    <t>servis Orlando</t>
  </si>
  <si>
    <t>drz.proracun</t>
  </si>
  <si>
    <t>pdv</t>
  </si>
  <si>
    <t>franolić</t>
  </si>
  <si>
    <t>pjeskarenje rn 29 i 30</t>
  </si>
  <si>
    <t>ružić aldo</t>
  </si>
  <si>
    <t>pjeskarenje rn.1</t>
  </si>
  <si>
    <t>INA</t>
  </si>
  <si>
    <t>kamate</t>
  </si>
  <si>
    <t>Kredit</t>
  </si>
  <si>
    <t>Addiko</t>
  </si>
  <si>
    <t>Gorivo</t>
  </si>
  <si>
    <t>Komunalna naknada</t>
  </si>
  <si>
    <t>Grad Kraljevica</t>
  </si>
  <si>
    <t>Prijevremeni otkup vozila</t>
  </si>
  <si>
    <t>Unicredit</t>
  </si>
  <si>
    <t>Plin</t>
  </si>
  <si>
    <t>Gindac</t>
  </si>
  <si>
    <t>Ina</t>
  </si>
  <si>
    <t xml:space="preserve">HRT </t>
  </si>
  <si>
    <t>Struja</t>
  </si>
  <si>
    <t>HEP</t>
  </si>
  <si>
    <t>Nagrade</t>
  </si>
  <si>
    <t>Renato</t>
  </si>
  <si>
    <t>Pozajmica</t>
  </si>
  <si>
    <t>Jiju</t>
  </si>
  <si>
    <t xml:space="preserve">Javni bilježnik </t>
  </si>
  <si>
    <t>Amira</t>
  </si>
  <si>
    <t>Opel Combo</t>
  </si>
  <si>
    <t>PSC</t>
  </si>
  <si>
    <t xml:space="preserve">Kredit </t>
  </si>
  <si>
    <t>Naknada</t>
  </si>
  <si>
    <t>Erste</t>
  </si>
  <si>
    <t>Kartica</t>
  </si>
  <si>
    <t>Odvjetnik</t>
  </si>
  <si>
    <t>Žuža</t>
  </si>
  <si>
    <t>Transport EMME</t>
  </si>
  <si>
    <t>Biljaka trans</t>
  </si>
  <si>
    <t>PDV i Carina</t>
  </si>
  <si>
    <t>Hubbig</t>
  </si>
  <si>
    <t>Hrana za pse</t>
  </si>
  <si>
    <t>Lidl</t>
  </si>
  <si>
    <t>PDV</t>
  </si>
  <si>
    <t>RH</t>
  </si>
  <si>
    <t>Porez na dobit</t>
  </si>
  <si>
    <t>Priodne nagrade</t>
  </si>
  <si>
    <t>Kava</t>
  </si>
  <si>
    <t>Milman</t>
  </si>
  <si>
    <t>Blagajna</t>
  </si>
  <si>
    <t>Naknada za podizanje na bankomatu</t>
  </si>
  <si>
    <t>Materijal/roba</t>
  </si>
  <si>
    <t>BU Power sistemi</t>
  </si>
  <si>
    <t>15.03.23.</t>
  </si>
  <si>
    <t>Dug</t>
  </si>
  <si>
    <t>Kacin Metalika</t>
  </si>
  <si>
    <t>Naknade za ino plaćanja</t>
  </si>
  <si>
    <t>pogon</t>
  </si>
  <si>
    <t>dug</t>
  </si>
  <si>
    <t>annovi</t>
  </si>
  <si>
    <t>FRANKOPAN</t>
  </si>
  <si>
    <t>18.03.23.</t>
  </si>
  <si>
    <t>HRANA PSI</t>
  </si>
  <si>
    <t>24.03.23.</t>
  </si>
  <si>
    <t>Cross colors Krizisce</t>
  </si>
  <si>
    <t>25.03.23.</t>
  </si>
  <si>
    <t>blagajna</t>
  </si>
  <si>
    <t>26.03.23.</t>
  </si>
  <si>
    <t>prijevoz</t>
  </si>
  <si>
    <t>28.03.23.</t>
  </si>
  <si>
    <t>Mehanika Bolkovac</t>
  </si>
  <si>
    <t xml:space="preserve">servis auta </t>
  </si>
  <si>
    <t>telefoni</t>
  </si>
  <si>
    <t>naknada za placanje u inoz.</t>
  </si>
  <si>
    <t>Euroherc</t>
  </si>
  <si>
    <t>polica</t>
  </si>
  <si>
    <t>Tehnički pregled</t>
  </si>
  <si>
    <t>Iglu Šport doo</t>
  </si>
  <si>
    <t>29.03.23.</t>
  </si>
  <si>
    <t>Aleksandar Kružić</t>
  </si>
  <si>
    <t>stan Kraljevica</t>
  </si>
  <si>
    <t>Agram life</t>
  </si>
  <si>
    <t>30.03.23.</t>
  </si>
  <si>
    <t>Agram Life</t>
  </si>
  <si>
    <t>Adriatic osig.</t>
  </si>
  <si>
    <t>plaćanje police 068400616046</t>
  </si>
  <si>
    <t>31.03.23.</t>
  </si>
  <si>
    <t>4x4</t>
  </si>
  <si>
    <t>rn.32</t>
  </si>
  <si>
    <t>PETROL</t>
  </si>
  <si>
    <t>gorivo</t>
  </si>
  <si>
    <t>Unimar</t>
  </si>
  <si>
    <t>Frankopan</t>
  </si>
  <si>
    <t>Projekt</t>
  </si>
  <si>
    <t>€ sa pdv (ako nije uvoz)</t>
  </si>
  <si>
    <t xml:space="preserve">Plaćeno </t>
  </si>
  <si>
    <t>datum plaćanja</t>
  </si>
  <si>
    <t>PDV ne plaćen</t>
  </si>
  <si>
    <t>rok dostave</t>
  </si>
  <si>
    <t>link na one drive</t>
  </si>
  <si>
    <t>Naljepnice</t>
  </si>
  <si>
    <t>Pismotisak</t>
  </si>
  <si>
    <t>DVD Kraljevica/Skladište</t>
  </si>
  <si>
    <t>Led trake 12V</t>
  </si>
  <si>
    <t>Elektroprofi</t>
  </si>
  <si>
    <t>Preplata… nešto potrebno provjeriti</t>
  </si>
  <si>
    <t>farbanje nadogradnja kraljevica</t>
  </si>
  <si>
    <t>https://mgsgrupa-my.sharepoint.com/:b:/g/personal/edo_seifried_mgs-grupa_com/ERgZHPAeIdBMvQNV_U0q78EBRrCf2m4o3dFlL0Q1cg83HA?e=GMwiEV</t>
  </si>
  <si>
    <t>farbanje šasija kraljevica</t>
  </si>
  <si>
    <t>https://mgsgrupa-my.sharepoint.com/:b:/g/personal/edo_seifried_mgs-grupa_com/EQOEUhIdB0BPpngxJgAjSqcBa4I7CUj_VDxeYNR5_qcdqA?e=aZwtgw</t>
  </si>
  <si>
    <t xml:space="preserve">Fond za zaštitu okoliša </t>
  </si>
  <si>
    <t>170,00</t>
  </si>
  <si>
    <t>14.02.2023</t>
  </si>
  <si>
    <t>Transport za Ford Ranger</t>
  </si>
  <si>
    <t>Edo- prijevoz</t>
  </si>
  <si>
    <t>Senzori i kamera za ugradnju</t>
  </si>
  <si>
    <t xml:space="preserve">Vinč </t>
  </si>
  <si>
    <t>21.02.2023.</t>
  </si>
  <si>
    <t>https://mgsgrupa-my.sharepoint.com/:w:/g/personal/edo_seifried_mgs-grupa_com/EZy-hxX5E6hEj_I_ANBHRHIBORhknvjMr4cbx6uV7P9Vaw?e=9wY5Ez</t>
  </si>
  <si>
    <t>Nosač vinča</t>
  </si>
  <si>
    <t>Padiss</t>
  </si>
  <si>
    <t>14.02.2023.</t>
  </si>
  <si>
    <t>https://mgsgrupa-my.sharepoint.com/:b:/g/personal/edo_seifried_mgs-grupa_com/EZJ4vnF48mVJtGdq8QN-shQBb60QfecCYW6d13UsJQOnEw?e=7oI0yf</t>
  </si>
  <si>
    <t>Hard top</t>
  </si>
  <si>
    <t>PROZONE GmbH</t>
  </si>
  <si>
    <t>09.02.2023</t>
  </si>
  <si>
    <t>https://mgsgrupa-my.sharepoint.com/:b:/g/personal/edo_seifried_mgs-grupa_com/EafEH0XNR0lOsVZmsgJc2vsBudnaL51uOrE1cZTZRJrO7w?e=l2kJ3s</t>
  </si>
  <si>
    <t>Osiguranje</t>
  </si>
  <si>
    <t>Kasko</t>
  </si>
  <si>
    <t>Fond za zaštitu okoliša</t>
  </si>
  <si>
    <t>Račun br 19</t>
  </si>
  <si>
    <t>Atest</t>
  </si>
  <si>
    <t>AK Rijeka</t>
  </si>
  <si>
    <t>Ponuda 044</t>
  </si>
  <si>
    <t>CVH</t>
  </si>
  <si>
    <t>23.03.23.</t>
  </si>
  <si>
    <t>PRSLUK</t>
  </si>
  <si>
    <t>ERGOTEHNIKA</t>
  </si>
  <si>
    <t>https://mgsgrupa-my.sharepoint.com/:b:/g/personal/edo_seifried_mgs-grupa_com/EePhfDelywpHm6fTGx-eJngB5h1MhiCpXlJ2uv8o0VB1Qw?e=P81sDz</t>
  </si>
  <si>
    <t xml:space="preserve">VIBRAFON </t>
  </si>
  <si>
    <t xml:space="preserve">ALAT </t>
  </si>
  <si>
    <t>Wurth</t>
  </si>
  <si>
    <t>https://mgsgrupa-my.sharepoint.com/:b:/g/personal/edo_seifried_mgs-grupa_com/EQypBrMKywlHsuKkqOM9BpYBOx_C_rE3cTsaYbru6imWFw?e=bq6rnx</t>
  </si>
  <si>
    <t>Dug od prije</t>
  </si>
  <si>
    <t>27.03.2023.</t>
  </si>
  <si>
    <t>potrebno platiti stari dug - renato upiši iznos + nova ponuda (30 dana odgoda)</t>
  </si>
  <si>
    <t>https://mgsgrupa-my.sharepoint.com/:b:/g/personal/edo_seifried_mgs-grupa_com/EZAMxFs7pTBBgA0r7NkjCTkBNHN4vXnjyDQYOm5SNEDhqQ?e=pPI9JY</t>
  </si>
  <si>
    <t>REFLEKTOR 8 kom</t>
  </si>
  <si>
    <t>MAČETA</t>
  </si>
  <si>
    <t>battle merchant wacken</t>
  </si>
  <si>
    <t>02.02.2023</t>
  </si>
  <si>
    <t>https://mgsgrupa-my.sharepoint.com/:b:/g/personal/edo_seifried_mgs-grupa_com/ESxVFbrzChNGhlEgAX5n8i4BZLZSyb9ia4CAZ_bXcEfo9Q?e=hBvywp</t>
  </si>
  <si>
    <t>PSTRYKI</t>
  </si>
  <si>
    <t>https://mgsgrupa-my.sharepoint.com/:b:/g/personal/edo_seifried_mgs-grupa_com/EWOqCDQ-1QBKspG_UOOhZcsBkFWvU993uopUvnHgHiViPQ?e=xhGh9g</t>
  </si>
  <si>
    <t>STATIV ZA REFLEKTOR</t>
  </si>
  <si>
    <t>Doenges</t>
  </si>
  <si>
    <t>https://mgsgrupa-my.sharepoint.com/:b:/g/personal/edo_seifried_mgs-grupa_com/EZmtjy9q9NtAsuKsZSTyoQMBYFEUZDcYj1r7mvTyLPyOLw?e=zrO9eA</t>
  </si>
  <si>
    <t>RAČUNALO</t>
  </si>
  <si>
    <t>gama profit</t>
  </si>
  <si>
    <t>11.05.2023.</t>
  </si>
  <si>
    <t>https://mgsgrupa-my.sharepoint.com/:b:/g/personal/edo_seifried_mgs-grupa_com/EcYVrqKz4I5KmhC5P00bD28BK2l0mkoQCx0moFri2kVqjQ?e=cS9Y0l</t>
  </si>
  <si>
    <t>Baterijski alat - 1,3,4,5</t>
  </si>
  <si>
    <t>KLIUM</t>
  </si>
  <si>
    <t>02.02.2023.</t>
  </si>
  <si>
    <t>https://mgsgrupa-my.sharepoint.com/:b:/g/personal/edo_seifried_mgs-grupa_com/EefTIx-d2Y1Oj1EcYQlLtEwBb3t2KSbaqX-MqVHlDvyzNA?e=Ft7QW2</t>
  </si>
  <si>
    <t>Baterijski alat - 2 aku čekić</t>
  </si>
  <si>
    <t>Euro-vrt</t>
  </si>
  <si>
    <t>17.02.2023</t>
  </si>
  <si>
    <t>https://mgsgrupa-my.sharepoint.com/:b:/g/personal/edo_seifried_mgs-grupa_com/EcoL1acRxYNHlxpHf5GfCV0B-54MME70OFhNprHlwo4D5w?e=hOYqWC</t>
  </si>
  <si>
    <t>HF4-5</t>
  </si>
  <si>
    <t>Pinezić</t>
  </si>
  <si>
    <t xml:space="preserve"> </t>
  </si>
  <si>
    <t>Ispregovarani novi uvjeti za PINEZICA + 1200€ za 12 dana terenskog u americi</t>
  </si>
  <si>
    <t>Croatia Inspekt</t>
  </si>
  <si>
    <t>Trebinje</t>
  </si>
  <si>
    <t>farbanje šasija hilux - rastavljanje / sastavljanje</t>
  </si>
  <si>
    <t>https://mgsgrupa-my.sharepoint.com/:i:/g/personal/edo_seifried_mgs-grupa_com/EZXP7oJ8qVJDsq5z9NzdGkcBeLy4dILsUFAsr4k-aRxltg?e=H2QrUj</t>
  </si>
  <si>
    <t>MUP SERVIS 20 VOZILA</t>
  </si>
  <si>
    <t>Ulje OMALA S4 WE 150 za pumpu</t>
  </si>
  <si>
    <t>01.02.2023.</t>
  </si>
  <si>
    <t>https://mgsgrupa-my.sharepoint.com/:b:/g/personal/edo_seifried_mgs-grupa_com/EZ2UpJVADqJDpxmE68tCVpABSjWWkgi7I8bHIeftWdXEcg?e=RFEjub</t>
  </si>
  <si>
    <t>Vitla</t>
  </si>
  <si>
    <t>CRI - Uvoz</t>
  </si>
  <si>
    <t>Kuehne&amp;Nagel</t>
  </si>
  <si>
    <t>https://mgsgrupa-my.sharepoint.com/:b:/g/personal/edo_seifried_mgs-grupa_com/Ecz3Zm0kj61Gnp-oJGgl6aUBfQmoZl8qnBi7vUIKPQzRxg?e=LYIbxY</t>
  </si>
  <si>
    <t>CRI - PDV</t>
  </si>
  <si>
    <t>https://mgsgrupa-my.sharepoint.com/:b:/g/personal/edo_seifried_mgs-grupa_com/EcP4-IV5wHFBgrsJG_5mVP0BXYW1kx7QY1IbkRYEhZ5OWw?e=TqVxhJ</t>
  </si>
  <si>
    <t>Dio opreme</t>
  </si>
  <si>
    <t>Ergotehnika</t>
  </si>
  <si>
    <t>https://mgsgrupa-my.sharepoint.com/:b:/g/personal/edo_seifried_mgs-grupa_com/EQOeTmyleiFDjxMWX72_v50B5dujx6DVZXdyXSFp9pDqUw?e=Ia9Qbu</t>
  </si>
  <si>
    <t>https://mgsgrupa-my.sharepoint.com/:b:/g/personal/edo_seifried_mgs-grupa_com/EV5lmlmE_6FGjrxhLRSeJIEB10ikDL75DW7U368PTEMD8A?e=BkPuIo</t>
  </si>
  <si>
    <t>Ford Ranger</t>
  </si>
  <si>
    <t>Razvalni alat</t>
  </si>
  <si>
    <t>MISTAR</t>
  </si>
  <si>
    <t>https://mgsgrupa-my.sharepoint.com/:b:/g/personal/edo_seifried_mgs-grupa_com/EZDBDbKdi91HmA4Djy-heZcBSnRVF6Z1QXWhyJMagoGkZA?e=SKVEqh</t>
  </si>
  <si>
    <t>Aluminij za nadogradnju</t>
  </si>
  <si>
    <t>Strojopromet</t>
  </si>
  <si>
    <t>28.02.2023</t>
  </si>
  <si>
    <t>https://mgsgrupa-my.sharepoint.com/:b:/g/personal/edo_seifried_mgs-grupa_com/Edzet2htHnlLp9kQyQCWi_gBJ9HvIDlcfn_wsENjze3RUQ?e=hOhm8I</t>
  </si>
  <si>
    <t>Profili za konstrukciju</t>
  </si>
  <si>
    <t>Minitech</t>
  </si>
  <si>
    <t>https://mgsgrupa-my.sharepoint.com/:b:/g/personal/edo_seifried_mgs-grupa_com/EUOGxwnvI6hKhgfb03NNBl0BY8i-v8P68_qz5t0Apwhf3g?e=t4vjeR</t>
  </si>
  <si>
    <t>Reflektor, bljeskalice,zvučnik i varijator, megafon</t>
  </si>
  <si>
    <t>Trgoauto</t>
  </si>
  <si>
    <t>14.04.2023.</t>
  </si>
  <si>
    <t>https://mgsgrupa-my.sharepoint.com/:b:/g/personal/edo_seifried_mgs-grupa_com/ETNgH5qJKwxBnk5efT8GHsABUIxfyTwj9HMriOAfT365lA?e=bVceGh</t>
  </si>
  <si>
    <t xml:space="preserve">Motopumpa 29021 </t>
  </si>
  <si>
    <t>Annovi</t>
  </si>
  <si>
    <t>https://mgsgrupa-my.sharepoint.com/:b:/g/personal/edo_seifried_mgs-grupa_com/EbnRTP03-qJKjkpKUVv3VQcBOx5sgsuElgVImUDp8dahAQ?e=El3Gxp</t>
  </si>
  <si>
    <t>Vinč sa nosačem</t>
  </si>
  <si>
    <t>4x4 Performance</t>
  </si>
  <si>
    <t>https://mgsgrupa-my.sharepoint.com/:w:/g/personal/edo_seifried_mgs-grupa_com/ETBSFEM_TD1Lr_nsDRMq2PIBK6puXDNWmC4WAUHWujKwrQ?e=ijADUi</t>
  </si>
  <si>
    <t>Uže</t>
  </si>
  <si>
    <t>Zvončica</t>
  </si>
  <si>
    <t>Mehaničarski alat</t>
  </si>
  <si>
    <t>https://mgsgrupa-my.sharepoint.com/:b:/g/personal/edo_seifried_mgs-grupa_com/EX2Tle0mngJPqUCZ64cOn10Be0PD8ScT4Dji55Pq8nzlPA?e=ViULb5</t>
  </si>
  <si>
    <t>Armatura i cijev</t>
  </si>
  <si>
    <t>Protiplam</t>
  </si>
  <si>
    <t>21.03.2023.</t>
  </si>
  <si>
    <t>Aku pila Makita</t>
  </si>
  <si>
    <t>Poluga</t>
  </si>
  <si>
    <t>Na stanju od prije</t>
  </si>
  <si>
    <t>Kapuljača s filterom</t>
  </si>
  <si>
    <t>MF+</t>
  </si>
  <si>
    <t>Plaćanje samo stavke 2 bez ddv</t>
  </si>
  <si>
    <t>https://mgsgrupa-my.sharepoint.com/:b:/g/personal/edo_seifried_mgs-grupa_com/Ea_NuU52CGlMrmW4DrXEsr4B4uNAyAratH-p2B0wnG5Gog?e=fcVrZb</t>
  </si>
  <si>
    <t>Lampe ex izvedba</t>
  </si>
  <si>
    <t>https://mgsgrupa-my.sharepoint.com/:b:/g/personal/edo_seifried_mgs-grupa_com/Efp51HvaTE1FvuZEvOeF5vQBHevJrsx_nEW9lvntYYwR5g?e=M9vDAI</t>
  </si>
  <si>
    <t>Ljestve</t>
  </si>
  <si>
    <t>Ljestve com hr</t>
  </si>
  <si>
    <t>https://mgsgrupa-my.sharepoint.com/:b:/g/personal/edo_seifried_mgs-grupa_com/EVo-7Z7h5hZLo1vWH1Xqq94B8i11IyE5TP5yBQdzXzEplg?e=SMfhAH</t>
  </si>
  <si>
    <t>DIjelovi za izradu nosača</t>
  </si>
  <si>
    <t>Elesa gantner</t>
  </si>
  <si>
    <t>13.04.2023</t>
  </si>
  <si>
    <t>https://mgsgrupa-my.sharepoint.com/:b:/g/personal/edo_seifried_mgs-grupa_com/EavLqi7fI-tCjejFFZvqLLMBJTWrakPGQ5vtApihr2pQhQ?e=7APRHG</t>
  </si>
  <si>
    <t xml:space="preserve">Rolete </t>
  </si>
  <si>
    <t>MCD</t>
  </si>
  <si>
    <t>https://mgsgrupa-my.sharepoint.com/:b:/g/personal/edo_seifried_mgs-grupa_com/EZH1PWT7TkVNp_2GgOHR_0IBb6VrM_xHiuzr5hk29ctj0A?e=vg8N5I</t>
  </si>
  <si>
    <t>Repromaterijal za nadogradnju</t>
  </si>
  <si>
    <t>Farbanje nadogradnje</t>
  </si>
  <si>
    <t>ZL Dubrovnik/ DVD Kraljevica</t>
  </si>
  <si>
    <t>Vanjsko napajanje 12V auto odv</t>
  </si>
  <si>
    <t>Avtomehanika Avtoelektrika</t>
  </si>
  <si>
    <t>https://mgsgrupa-my.sharepoint.com/:b:/g/personal/edo_seifried_mgs-grupa_com/EUFkFxRvHE9Es2os4rLEJQABb5vO-cxQIZpwqZ8LELYZgQ?e=nEiTGe</t>
  </si>
  <si>
    <t>Cijev za vitlo i cijevovod</t>
  </si>
  <si>
    <t>Hansaflex</t>
  </si>
  <si>
    <t>Mlaznica</t>
  </si>
  <si>
    <t>Na stanuju od prije</t>
  </si>
  <si>
    <t>Kupljena</t>
  </si>
  <si>
    <t>Spremnik vode ELBI</t>
  </si>
  <si>
    <t>DSK</t>
  </si>
  <si>
    <t>124.43€</t>
  </si>
  <si>
    <t>Lampe za nadogradnju</t>
  </si>
  <si>
    <t>Adria trgovina</t>
  </si>
  <si>
    <t>Potvrda proizvođača</t>
  </si>
  <si>
    <t xml:space="preserve">Grand Dalewest </t>
  </si>
  <si>
    <t>17.04.23.</t>
  </si>
  <si>
    <t>PUG</t>
  </si>
  <si>
    <t>Kontrukcija - za 2.5 kom</t>
  </si>
  <si>
    <t>https://mgsgrupa-my.sharepoint.com/personal/edo_seifried_mgs-grupa_com/_layouts/15/onedrive.aspx?FolderCTID=0x012000B6670701AE22CA4FBB997280B733C9E2&amp;id=%2Fpersonal%2Fedo%5Fseifried%5Fmgs%2Dgrupa%5Fcom%2FDocuments%2FMGS%20POSLOVANJE%202023%2FPonude%20%2D%20projekti%2FPUG%2FDOK130223%2D080901%2Epdf&amp;parent=%2Fpersonal%2Fedo%5Fseifried%5Fmgs%2Dgrupa%5Fcom%2FDocuments%2FMGS%20POSLOVANJE%202023%2FPonude%20%2D%20projekti%2FPUG</t>
  </si>
  <si>
    <t>Kotači - za 3 kom</t>
  </si>
  <si>
    <t>Trgoagencija</t>
  </si>
  <si>
    <t>https://mgsgrupa-my.sharepoint.com/personal/edo_seifried_mgs-grupa_com/_layouts/15/onedrive.aspx?FolderCTID=0x012000B6670701AE22CA4FBB997280B733C9E2&amp;id=%2Fpersonal%2Fedo%5Fseifried%5Fmgs%2Dgrupa%5Fcom%2FDocuments%2FMGS%20POSLOVANJE%202023%2FPonude%20%2D%20projekti%2FPUG%2FPON%2D23%2D000428%2Epdf&amp;parent=%2Fpersonal%2Fedo%5Fseifried%5Fmgs%2Dgrupa%5Fcom%2FDocuments%2FMGS%20POSLOVANJE%202023%2FPonude%20%2D%20projekti%2FPUG</t>
  </si>
  <si>
    <t>Oprema - za 1 kom</t>
  </si>
  <si>
    <t>https://mgsgrupa-my.sharepoint.com/personal/edo_seifried_mgs-grupa_com/_layouts/15/onedrive.aspx?FolderCTID=0x012000B6670701AE22CA4FBB997280B733C9E2&amp;id=%2Fpersonal%2Fedo%5Fseifried%5Fmgs%2Dgrupa%5Fcom%2FDocuments%2FMGS%20POSLOVANJE%202023%2FPonude%20%2D%20projekti%2FPUG%2FProtiplam%20%2D%20PUG%2Epdf&amp;parent=%2Fpersonal%2Fedo%5Fseifried%5Fmgs%2Dgrupa%5Fcom%2FDocuments%2FMGS%20POSLOVANJE%202023%2FPonude%20%2D%20projekti%2FPUG</t>
  </si>
  <si>
    <t>Spremnik vode 100 l  - za 1 kom</t>
  </si>
  <si>
    <t>https://mgsgrupa-my.sharepoint.com/personal/edo_seifried_mgs-grupa_com/_layouts/15/onedrive.aspx?FolderCTID=0x012000B6670701AE22CA4FBB997280B733C9E2&amp;id=%2Fpersonal%2Fedo%5Fseifried%5Fmgs%2Dgrupa%5Fcom%2FDocuments%2FMGS%20POSLOVANJE%202023%2FPonude%20%2D%20projekti%2FPUG%2FDSK%2Epdf&amp;parent=%2Fpersonal%2Fedo%5Fseifried%5Fmgs%2Dgrupa%5Fcom%2FDocuments%2FMGS%20POSLOVANJE%202023%2FPonude%20%2D%20projekti%2FPUG</t>
  </si>
  <si>
    <t>Materijal za osovine - za 3 kom</t>
  </si>
  <si>
    <t>Preuzeli stavke 1,2, stavka 3 u stigla u rijeku.  potrebno platiti cijelu ponudu</t>
  </si>
  <si>
    <t>https://mgsgrupa-my.sharepoint.com/:b:/g/personal/edo_seifried_mgs-grupa_com/EZzK9YCNln1PieALzPmkgbkB6Tjq9CpJ1EtWpK0tQvbTVQ?e=QuVEyd</t>
  </si>
  <si>
    <t>Inox lim za obujmice za - 15 kom</t>
  </si>
  <si>
    <t>Preuzeli robu bez plaćanja, potrebno platiti</t>
  </si>
  <si>
    <t>https://mgsgrupa-my.sharepoint.com/:b:/g/personal/edo_seifried_mgs-grupa_com/EUEBhoh07yxFjkxG1ofof2oB2sKyOgUULZv61WssqVwMpw?e=ZG2Db1</t>
  </si>
  <si>
    <t>Mitsubishi L200</t>
  </si>
  <si>
    <t>FARDIER AUTOMOBILE</t>
  </si>
  <si>
    <t>Nosač vinča i bulbar</t>
  </si>
  <si>
    <t>22.05.2023.</t>
  </si>
  <si>
    <t xml:space="preserve">Vanjsko napajanje 12V </t>
  </si>
  <si>
    <t>Avtomehanika</t>
  </si>
  <si>
    <t xml:space="preserve">Motopumpa 28732 </t>
  </si>
  <si>
    <t>Cijev za vitlo</t>
  </si>
  <si>
    <t>Charvat</t>
  </si>
  <si>
    <t>18.05.2023.</t>
  </si>
  <si>
    <t>Spremnik vode</t>
  </si>
  <si>
    <t>Tanks Direkt GmbH</t>
  </si>
  <si>
    <t>17.05.2023.</t>
  </si>
  <si>
    <t>https://mgsgrupa-my.sharepoint.com/:b:/g/personal/edo_seifried_mgs-grupa_com/Eb5FKYcskXFKubdANMuj60ABGjHK53ybjLssuomNWthaCQ?e=s1jb8u</t>
  </si>
  <si>
    <t>Dodatne lisnate opruge iza</t>
  </si>
  <si>
    <t>MAD</t>
  </si>
  <si>
    <t>https://mgsgrupa-my.sharepoint.com/:b:/g/personal/edo_seifried_mgs-grupa_com/EUVLIw28kmpKiulZL9RnhcYBlafY3iS4-lDWCUOa8X8-Dw?e=aWFVVr</t>
  </si>
  <si>
    <t>Vinč</t>
  </si>
  <si>
    <t>Biolab</t>
  </si>
  <si>
    <t>https://mgsgrupa-my.sharepoint.com/:b:/g/personal/edo_seifried_mgs-grupa_com/EbMY3u42MC5LutYYDH_eEDYBQ8v4iSiIdEEBi7n1Pa2NGg?e=eYqSov</t>
  </si>
  <si>
    <t>Unutarnja rasvjeta</t>
  </si>
  <si>
    <t>Svjetlosna i zvučna signalizacija</t>
  </si>
  <si>
    <t>26.05.2023.</t>
  </si>
  <si>
    <t>01.06.2023.</t>
  </si>
  <si>
    <t>Obljepljivanje auta</t>
  </si>
  <si>
    <t>05.06.2023.</t>
  </si>
  <si>
    <t>Eloksiranje</t>
  </si>
  <si>
    <t>JVP Delnice/JVP ZADAR</t>
  </si>
  <si>
    <t>Ručke i vodilice</t>
  </si>
  <si>
    <t>GSF</t>
  </si>
  <si>
    <t>https://mgsgrupa-my.sharepoint.com/:b:/g/personal/edo_seifried_mgs-grupa_com/Ec-ubs2CBg1JgSnyy9HKwxMBQW0uFxATSwsxMTFPXgu3fQ?e=PzuWwW</t>
  </si>
  <si>
    <t>Granulo spremnici</t>
  </si>
  <si>
    <t>https://mgsgrupa-my.sharepoint.com/:b:/g/personal/edo_seifried_mgs-grupa_com/EUlPq8_M8JJKjp9RaHwqTFcBmzppS3ZwTOJ18Yh_8GzX0g?e=VUyTvf</t>
  </si>
  <si>
    <t>Ukupno:</t>
  </si>
  <si>
    <t>Naziv dobavljača</t>
  </si>
  <si>
    <t>Iznos u €</t>
  </si>
  <si>
    <t>Plan otplate</t>
  </si>
  <si>
    <t>Mičetić</t>
  </si>
  <si>
    <t>Englmayer</t>
  </si>
  <si>
    <t>Janibo</t>
  </si>
  <si>
    <t>Control engineering</t>
  </si>
  <si>
    <t>Braje</t>
  </si>
  <si>
    <t>Istrabenz plini</t>
  </si>
  <si>
    <t>ABC tehnika</t>
  </si>
  <si>
    <t>Brce</t>
  </si>
  <si>
    <t>Bijuk</t>
  </si>
  <si>
    <t>ADRIA INTERNATIONAL CERT</t>
  </si>
  <si>
    <t>Naziv kupca</t>
  </si>
  <si>
    <t>Ri plam</t>
  </si>
  <si>
    <t>SU-AD</t>
  </si>
  <si>
    <t>Potrebno provjeriti stanje</t>
  </si>
  <si>
    <t>Potvrđeno stanje</t>
  </si>
  <si>
    <t>https://mgsgrupa-my.sharepoint.com/:b:/g/personal/edo_seifried_mgs-grupa_com/EWz1FCwGKIVCv8zmBracrbsBLToHEQI6m-mrDi_lDcVxUQ?e=SU4hod</t>
  </si>
  <si>
    <t>531,25</t>
  </si>
  <si>
    <t>355,00</t>
  </si>
  <si>
    <t>Bulbar</t>
  </si>
  <si>
    <t>LED vanjska rasvjeta</t>
  </si>
  <si>
    <t>Granulo sprmenici</t>
  </si>
  <si>
    <t>Uplate na račun MGS - 2023</t>
  </si>
  <si>
    <t>Ukupno</t>
  </si>
  <si>
    <t>juvelir-box</t>
  </si>
  <si>
    <t>ameri</t>
  </si>
  <si>
    <t>Prihod</t>
  </si>
  <si>
    <t>DVD Rab</t>
  </si>
  <si>
    <t>Konopi</t>
  </si>
  <si>
    <t>Iglu šport</t>
  </si>
  <si>
    <t>Zvončoca</t>
  </si>
  <si>
    <t>MF+/Drager</t>
  </si>
  <si>
    <t>REFLEKTOR</t>
  </si>
  <si>
    <t>V-TAC</t>
  </si>
  <si>
    <t>https://mgsgrupa-my.sharepoint.com/:b:/g/personal/edo_seifried_mgs-grupa_com/Eck4jV7mRpZFrfwHvubMFSYBpLWnmR2y94xCeQZ0A5FIeg?e=uLhgOz</t>
  </si>
  <si>
    <t xml:space="preserve">Reflektor </t>
  </si>
  <si>
    <t>Lampa ex izvedba</t>
  </si>
  <si>
    <t>Megafon</t>
  </si>
  <si>
    <t>naziv stavke</t>
  </si>
  <si>
    <t>dobavljač</t>
  </si>
  <si>
    <t>status plaćanja</t>
  </si>
  <si>
    <t>napomena</t>
  </si>
  <si>
    <t>Kada treba platiti</t>
  </si>
  <si>
    <t>Plaćeno dana</t>
  </si>
  <si>
    <t>Ovjera Ana</t>
  </si>
  <si>
    <t>Nissan Navara</t>
  </si>
  <si>
    <t xml:space="preserve">AUTOHAUS RABUS </t>
  </si>
  <si>
    <t>20-23.01</t>
  </si>
  <si>
    <t>Puhalica Cifarelli BL1200EU</t>
  </si>
  <si>
    <t>Pile i vile</t>
  </si>
  <si>
    <t>https://mgsgrupa-my.sharepoint.com/:b:/g/personal/edo_seifried_mgs-grupa_com/EYMTKtuPkqdJiHXD48D1kHYBoW6g0fwOlhnSYW9eA8MFSg?e=AqjAE2</t>
  </si>
  <si>
    <t xml:space="preserve">Naprtnjača </t>
  </si>
  <si>
    <t>Pastor</t>
  </si>
  <si>
    <t>https://mgsgrupa-my.sharepoint.com/:b:/g/personal/edo_seifried_mgs-grupa_com/ETSqhe7QfoxPvJ23kqHe8-ABCHY5p1eyZAbVPdjApjRjrA?e=di4adS</t>
  </si>
  <si>
    <t>Kuka</t>
  </si>
  <si>
    <t>Eurokuke Zvonar</t>
  </si>
  <si>
    <t>https://mgsgrupa-my.sharepoint.com/:b:/g/personal/edo_seifried_mgs-grupa_com/EcBYO07J6B1Fgsa9u-TzkZABGbkW0rg3xCpufrrfsVjBnw?e=zOxsSC</t>
  </si>
  <si>
    <t>Mlaznica, brzi spojevi, i vrh mlaznice</t>
  </si>
  <si>
    <t>Emiltec Srl</t>
  </si>
  <si>
    <t>https://mgsgrupa-my.sharepoint.com/:b:/g/personal/edo_seifried_mgs-grupa_com/EWrZr6C1YtdOgDhTYCShMq0B04qXfUXr2WdqfGVu2GOsjw?e=md7ais</t>
  </si>
  <si>
    <t>Autohaus Hoffmann</t>
  </si>
  <si>
    <t>nije plaćeno</t>
  </si>
  <si>
    <t>https://mgsgrupa-my.sharepoint.com/:b:/g/personal/edo_seifried_mgs-grupa_com/EctvB_TMmj1MqU1cHnWDrZQBVgEW8T35gCslQu2UOT-ZIg?e=2czH9q</t>
  </si>
  <si>
    <t>https://mgsgrupa-my.sharepoint.com/:w:/g/personal/edo_seifried_mgs-grupa_com/EeKknVmKlB1KgdpV1NqIVpIBurrht61nYe_Ti6g20lVUaw?e=iAPbyl</t>
  </si>
  <si>
    <t>MUP EFKK 9 - DASKE</t>
  </si>
  <si>
    <t>DASKA</t>
  </si>
  <si>
    <t>Smolders</t>
  </si>
  <si>
    <t>https://mgsgrupa-my.sharepoint.com/:b:/g/personal/edo_seifried_mgs-grupa_com/EcnGNseMPlNCpA__EuAnP1oBGCTndfp17Q4JlwE-sExRrQ?e=3TaUr4</t>
  </si>
  <si>
    <t>NOSILO</t>
  </si>
  <si>
    <t>https://mgsgrupa-my.sharepoint.com/:b:/g/personal/edo_seifried_mgs-grupa_com/EVG63fMPlepHpkJuMdsv8tYB6ZPkV9qIiw86bESvfp9a6Q?e=olrfhJ</t>
  </si>
  <si>
    <t>Baterijski alat - 2</t>
  </si>
  <si>
    <t>TID EXTRA/ DOMUS</t>
  </si>
  <si>
    <t>KRALJEVICA/DUBROVNIK/
DELNICE/SKLADIŠTE</t>
  </si>
  <si>
    <t>CRI</t>
  </si>
  <si>
    <t>DVD CRES/DVD RAB/
ERGOTEHNIKA</t>
  </si>
  <si>
    <t>Munk</t>
  </si>
  <si>
    <t>Sormiko</t>
  </si>
  <si>
    <t>220,01</t>
  </si>
  <si>
    <t>01.02.23.</t>
  </si>
  <si>
    <t>Omega Auto</t>
  </si>
  <si>
    <t>Prodajna roba - Ergotehnika</t>
  </si>
  <si>
    <t>Hooligan</t>
  </si>
  <si>
    <t>Trošak poslovanja MGS Grupa 2023</t>
  </si>
  <si>
    <t>naziv</t>
  </si>
  <si>
    <t>KN</t>
  </si>
  <si>
    <t>€</t>
  </si>
  <si>
    <t>Plaće</t>
  </si>
  <si>
    <t>Komunalije</t>
  </si>
  <si>
    <t>Voda</t>
  </si>
  <si>
    <t>Razno</t>
  </si>
  <si>
    <t>gorivo, putovanja… itd</t>
  </si>
  <si>
    <t>održavanja, osiguranja..</t>
  </si>
  <si>
    <t>mjesečni trošak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</si>
</sst>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.00\ _k_n_-;\-* #,##0.00\ _k_n_-;_-* &quot;-&quot;??\ _k_n_-;_-@_-"/>
    <numFmt numFmtId="166" formatCode="#,##0.00\ [$€-1]"/>
    <numFmt numFmtId="167" formatCode="dd\.mm\.yy\.;@"/>
    <numFmt numFmtId="168" formatCode="#,##0.00\ [$€-1];\-#,##0.00\ [$€-1]"/>
    <numFmt numFmtId="169" formatCode="[$-409]d\-mmm\-yy;@"/>
    <numFmt numFmtId="170" formatCode="[$$-409]#,##0.00"/>
    <numFmt numFmtId="171" formatCode="d\.m\.yyyy\.;@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</font>
    <font>
      <u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  <font>
      <b/>
      <sz val="14"/>
      <name val="Calibri"/>
      <family val="2"/>
    </font>
    <font>
      <b/>
      <sz val="11"/>
      <color rgb="FFFF0000"/>
      <name val="Calibri"/>
      <family val="2"/>
      <charset val="238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gray0625"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1" applyFont="1" applyAlignment="1">
      <alignment horizontal="right" vertical="center"/>
    </xf>
    <xf numFmtId="164" fontId="0" fillId="0" borderId="0" xfId="1" applyFont="1" applyAlignment="1">
      <alignment vertical="center"/>
    </xf>
    <xf numFmtId="164" fontId="0" fillId="0" borderId="0" xfId="1" applyFont="1" applyAlignment="1">
      <alignment horizontal="right"/>
    </xf>
    <xf numFmtId="164" fontId="0" fillId="0" borderId="0" xfId="1" applyFont="1"/>
    <xf numFmtId="0" fontId="2" fillId="0" borderId="0" xfId="0" applyFont="1" applyAlignment="1">
      <alignment horizontal="center" vertical="center" wrapText="1"/>
    </xf>
    <xf numFmtId="164" fontId="2" fillId="0" borderId="0" xfId="1" applyFont="1" applyAlignment="1">
      <alignment horizontal="right" vertical="center"/>
    </xf>
    <xf numFmtId="164" fontId="2" fillId="0" borderId="0" xfId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center" wrapText="1"/>
    </xf>
    <xf numFmtId="22" fontId="0" fillId="0" borderId="0" xfId="0" applyNumberFormat="1" applyAlignment="1">
      <alignment wrapText="1"/>
    </xf>
    <xf numFmtId="22" fontId="0" fillId="0" borderId="0" xfId="0" applyNumberFormat="1"/>
    <xf numFmtId="164" fontId="0" fillId="0" borderId="0" xfId="1" applyFont="1" applyAlignment="1">
      <alignment wrapText="1"/>
    </xf>
    <xf numFmtId="16" fontId="0" fillId="0" borderId="0" xfId="0" applyNumberFormat="1"/>
    <xf numFmtId="0" fontId="0" fillId="2" borderId="0" xfId="0" applyFill="1"/>
    <xf numFmtId="2" fontId="0" fillId="0" borderId="0" xfId="0" applyNumberFormat="1"/>
    <xf numFmtId="0" fontId="5" fillId="0" borderId="0" xfId="4"/>
    <xf numFmtId="0" fontId="6" fillId="0" borderId="0" xfId="2"/>
    <xf numFmtId="4" fontId="0" fillId="0" borderId="0" xfId="0" applyNumberFormat="1"/>
    <xf numFmtId="0" fontId="6" fillId="0" borderId="0" xfId="2" applyAlignment="1">
      <alignment wrapText="1"/>
    </xf>
    <xf numFmtId="0" fontId="0" fillId="0" borderId="1" xfId="0" applyBorder="1"/>
    <xf numFmtId="164" fontId="0" fillId="0" borderId="1" xfId="1" applyFont="1" applyBorder="1"/>
    <xf numFmtId="16" fontId="0" fillId="0" borderId="0" xfId="1" applyNumberFormat="1" applyFont="1"/>
    <xf numFmtId="0" fontId="4" fillId="0" borderId="0" xfId="0" applyFont="1" applyAlignment="1">
      <alignment horizontal="center" vertical="center"/>
    </xf>
    <xf numFmtId="164" fontId="0" fillId="0" borderId="0" xfId="1" applyFont="1" applyFill="1"/>
    <xf numFmtId="16" fontId="0" fillId="3" borderId="0" xfId="1" applyNumberFormat="1" applyFont="1" applyFill="1"/>
    <xf numFmtId="164" fontId="0" fillId="0" borderId="0" xfId="1" applyFont="1" applyAlignment="1">
      <alignment horizontal="center" vertical="center"/>
    </xf>
    <xf numFmtId="164" fontId="0" fillId="0" borderId="0" xfId="1" applyFont="1" applyAlignment="1">
      <alignment horizontal="center" vertical="center" wrapText="1"/>
    </xf>
    <xf numFmtId="10" fontId="4" fillId="0" borderId="0" xfId="1" applyNumberFormat="1" applyFont="1" applyAlignment="1">
      <alignment horizontal="right" vertical="center"/>
    </xf>
    <xf numFmtId="166" fontId="0" fillId="0" borderId="0" xfId="1" applyNumberFormat="1" applyFont="1"/>
    <xf numFmtId="14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right" vertical="center"/>
    </xf>
    <xf numFmtId="0" fontId="0" fillId="4" borderId="0" xfId="0" applyFill="1"/>
    <xf numFmtId="164" fontId="0" fillId="4" borderId="0" xfId="1" applyFont="1" applyFill="1"/>
    <xf numFmtId="4" fontId="0" fillId="5" borderId="0" xfId="0" applyNumberFormat="1" applyFill="1"/>
    <xf numFmtId="166" fontId="0" fillId="0" borderId="0" xfId="1" applyNumberFormat="1" applyFont="1" applyAlignment="1">
      <alignment vertical="center"/>
    </xf>
    <xf numFmtId="0" fontId="5" fillId="0" borderId="0" xfId="4" applyAlignment="1">
      <alignment vertical="center"/>
    </xf>
    <xf numFmtId="16" fontId="0" fillId="0" borderId="0" xfId="0" applyNumberFormat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0" xfId="0" applyFill="1"/>
    <xf numFmtId="2" fontId="0" fillId="5" borderId="0" xfId="0" applyNumberFormat="1" applyFill="1"/>
    <xf numFmtId="164" fontId="0" fillId="0" borderId="2" xfId="1" applyFont="1" applyBorder="1"/>
    <xf numFmtId="0" fontId="0" fillId="0" borderId="2" xfId="0" applyBorder="1"/>
    <xf numFmtId="166" fontId="0" fillId="0" borderId="0" xfId="0" applyNumberFormat="1"/>
    <xf numFmtId="168" fontId="0" fillId="0" borderId="0" xfId="1" applyNumberFormat="1" applyFont="1" applyAlignment="1"/>
    <xf numFmtId="164" fontId="0" fillId="6" borderId="0" xfId="1" applyFont="1" applyFill="1" applyAlignment="1">
      <alignment horizontal="center" vertical="center" wrapText="1"/>
    </xf>
    <xf numFmtId="164" fontId="0" fillId="6" borderId="0" xfId="1" applyFont="1" applyFill="1"/>
    <xf numFmtId="166" fontId="0" fillId="6" borderId="0" xfId="1" applyNumberFormat="1" applyFont="1" applyFill="1"/>
    <xf numFmtId="164" fontId="0" fillId="6" borderId="0" xfId="1" applyFont="1" applyFill="1" applyAlignment="1">
      <alignment vertical="center"/>
    </xf>
    <xf numFmtId="164" fontId="0" fillId="6" borderId="2" xfId="1" applyFont="1" applyFill="1" applyBorder="1"/>
    <xf numFmtId="164" fontId="7" fillId="6" borderId="0" xfId="1" applyFont="1" applyFill="1"/>
    <xf numFmtId="0" fontId="0" fillId="0" borderId="3" xfId="0" applyBorder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/>
    <xf numFmtId="166" fontId="0" fillId="0" borderId="3" xfId="0" applyNumberFormat="1" applyBorder="1"/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0" fillId="5" borderId="0" xfId="1" applyNumberFormat="1" applyFont="1" applyFill="1" applyAlignment="1">
      <alignment vertical="center"/>
    </xf>
    <xf numFmtId="166" fontId="0" fillId="4" borderId="0" xfId="1" applyNumberFormat="1" applyFont="1" applyFill="1" applyAlignment="1">
      <alignment vertical="center"/>
    </xf>
    <xf numFmtId="164" fontId="0" fillId="0" borderId="2" xfId="1" applyFont="1" applyBorder="1" applyAlignment="1">
      <alignment vertical="center"/>
    </xf>
    <xf numFmtId="165" fontId="0" fillId="0" borderId="0" xfId="0" applyNumberFormat="1" applyAlignment="1">
      <alignment horizontal="right"/>
    </xf>
    <xf numFmtId="167" fontId="5" fillId="0" borderId="0" xfId="4" applyNumberFormat="1"/>
    <xf numFmtId="0" fontId="0" fillId="0" borderId="0" xfId="0" applyAlignment="1">
      <alignment horizontal="left" vertical="center"/>
    </xf>
    <xf numFmtId="14" fontId="0" fillId="0" borderId="0" xfId="1" applyNumberFormat="1" applyFont="1"/>
    <xf numFmtId="14" fontId="0" fillId="0" borderId="0" xfId="1" applyNumberFormat="1" applyFont="1" applyFill="1"/>
    <xf numFmtId="0" fontId="0" fillId="4" borderId="0" xfId="0" applyFill="1" applyAlignment="1">
      <alignment vertical="center"/>
    </xf>
    <xf numFmtId="164" fontId="0" fillId="4" borderId="0" xfId="1" applyFont="1" applyFill="1" applyAlignment="1">
      <alignment vertical="center"/>
    </xf>
    <xf numFmtId="14" fontId="0" fillId="0" borderId="0" xfId="1" applyNumberFormat="1" applyFont="1" applyAlignment="1">
      <alignment vertical="center"/>
    </xf>
    <xf numFmtId="167" fontId="0" fillId="0" borderId="0" xfId="0" applyNumberFormat="1" applyAlignment="1">
      <alignment vertical="center" wrapText="1"/>
    </xf>
    <xf numFmtId="0" fontId="10" fillId="0" borderId="0" xfId="0" applyFont="1"/>
    <xf numFmtId="166" fontId="10" fillId="0" borderId="0" xfId="1" applyNumberFormat="1" applyFont="1" applyAlignment="1">
      <alignment vertical="center"/>
    </xf>
    <xf numFmtId="169" fontId="0" fillId="0" borderId="0" xfId="0" applyNumberFormat="1"/>
    <xf numFmtId="164" fontId="8" fillId="0" borderId="0" xfId="1" applyFont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166" fontId="10" fillId="7" borderId="0" xfId="1" applyNumberFormat="1" applyFont="1" applyFill="1" applyAlignment="1">
      <alignment vertical="center"/>
    </xf>
    <xf numFmtId="14" fontId="10" fillId="7" borderId="0" xfId="1" applyNumberFormat="1" applyFont="1" applyFill="1"/>
    <xf numFmtId="167" fontId="11" fillId="7" borderId="0" xfId="0" applyNumberFormat="1" applyFont="1" applyFill="1"/>
    <xf numFmtId="167" fontId="10" fillId="7" borderId="0" xfId="0" applyNumberFormat="1" applyFont="1" applyFill="1"/>
    <xf numFmtId="14" fontId="0" fillId="7" borderId="0" xfId="1" applyNumberFormat="1" applyFont="1" applyFill="1"/>
    <xf numFmtId="2" fontId="0" fillId="0" borderId="0" xfId="1" applyNumberFormat="1" applyFont="1"/>
    <xf numFmtId="2" fontId="0" fillId="6" borderId="0" xfId="1" applyNumberFormat="1" applyFont="1" applyFill="1"/>
    <xf numFmtId="2" fontId="0" fillId="6" borderId="0" xfId="1" applyNumberFormat="1" applyFont="1" applyFill="1" applyAlignment="1"/>
    <xf numFmtId="2" fontId="10" fillId="7" borderId="0" xfId="1" applyNumberFormat="1" applyFont="1" applyFill="1"/>
    <xf numFmtId="2" fontId="0" fillId="6" borderId="0" xfId="1" applyNumberFormat="1" applyFont="1" applyFill="1" applyAlignment="1">
      <alignment vertical="center"/>
    </xf>
    <xf numFmtId="2" fontId="0" fillId="6" borderId="2" xfId="1" applyNumberFormat="1" applyFont="1" applyFill="1" applyBorder="1"/>
    <xf numFmtId="164" fontId="9" fillId="0" borderId="0" xfId="1" applyFont="1"/>
    <xf numFmtId="0" fontId="0" fillId="8" borderId="0" xfId="0" applyFill="1"/>
    <xf numFmtId="164" fontId="0" fillId="8" borderId="0" xfId="1" applyFont="1" applyFill="1"/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6" fontId="0" fillId="0" borderId="3" xfId="0" applyNumberFormat="1" applyBorder="1"/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/>
    <xf numFmtId="2" fontId="0" fillId="0" borderId="3" xfId="0" applyNumberFormat="1" applyBorder="1"/>
    <xf numFmtId="166" fontId="0" fillId="5" borderId="3" xfId="0" applyNumberFormat="1" applyFill="1" applyBorder="1"/>
    <xf numFmtId="166" fontId="0" fillId="5" borderId="3" xfId="0" applyNumberFormat="1" applyFill="1" applyBorder="1" applyAlignment="1">
      <alignment horizontal="center" wrapText="1"/>
    </xf>
    <xf numFmtId="167" fontId="0" fillId="0" borderId="3" xfId="0" applyNumberFormat="1" applyBorder="1" applyAlignment="1">
      <alignment horizontal="right"/>
    </xf>
    <xf numFmtId="167" fontId="0" fillId="0" borderId="3" xfId="0" applyNumberFormat="1" applyBorder="1" applyAlignment="1">
      <alignment horizontal="right" wrapText="1"/>
    </xf>
    <xf numFmtId="167" fontId="0" fillId="0" borderId="3" xfId="1" applyNumberFormat="1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22" fontId="0" fillId="0" borderId="3" xfId="0" applyNumberForma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167" fontId="0" fillId="0" borderId="10" xfId="0" applyNumberFormat="1" applyBorder="1" applyAlignment="1">
      <alignment horizontal="right"/>
    </xf>
    <xf numFmtId="0" fontId="0" fillId="0" borderId="5" xfId="0" applyBorder="1"/>
    <xf numFmtId="164" fontId="0" fillId="0" borderId="3" xfId="1" applyFont="1" applyBorder="1"/>
    <xf numFmtId="0" fontId="6" fillId="0" borderId="3" xfId="2" applyBorder="1"/>
    <xf numFmtId="4" fontId="0" fillId="5" borderId="3" xfId="0" applyNumberFormat="1" applyFill="1" applyBorder="1"/>
    <xf numFmtId="0" fontId="0" fillId="0" borderId="3" xfId="0" applyBorder="1" applyAlignment="1">
      <alignment wrapText="1"/>
    </xf>
    <xf numFmtId="4" fontId="0" fillId="0" borderId="3" xfId="0" applyNumberFormat="1" applyBorder="1"/>
    <xf numFmtId="0" fontId="6" fillId="0" borderId="3" xfId="2" applyBorder="1" applyAlignment="1">
      <alignment wrapText="1"/>
    </xf>
    <xf numFmtId="2" fontId="0" fillId="5" borderId="3" xfId="0" applyNumberFormat="1" applyFill="1" applyBorder="1"/>
    <xf numFmtId="167" fontId="0" fillId="0" borderId="3" xfId="0" applyNumberFormat="1" applyBorder="1"/>
    <xf numFmtId="0" fontId="0" fillId="0" borderId="4" xfId="0" applyBorder="1"/>
    <xf numFmtId="0" fontId="6" fillId="0" borderId="12" xfId="2" applyBorder="1"/>
    <xf numFmtId="0" fontId="0" fillId="0" borderId="12" xfId="0" applyBorder="1"/>
    <xf numFmtId="164" fontId="0" fillId="0" borderId="12" xfId="1" applyFont="1" applyBorder="1"/>
    <xf numFmtId="4" fontId="0" fillId="5" borderId="12" xfId="0" applyNumberFormat="1" applyFill="1" applyBorder="1"/>
    <xf numFmtId="167" fontId="0" fillId="0" borderId="12" xfId="0" applyNumberFormat="1" applyBorder="1"/>
    <xf numFmtId="2" fontId="0" fillId="0" borderId="3" xfId="1" applyNumberFormat="1" applyFont="1" applyBorder="1"/>
    <xf numFmtId="0" fontId="0" fillId="8" borderId="3" xfId="0" applyFill="1" applyBorder="1"/>
    <xf numFmtId="164" fontId="0" fillId="8" borderId="3" xfId="1" applyFont="1" applyFill="1" applyBorder="1"/>
    <xf numFmtId="0" fontId="8" fillId="0" borderId="11" xfId="0" applyFont="1" applyBorder="1" applyAlignment="1">
      <alignment horizontal="center" vertical="center"/>
    </xf>
    <xf numFmtId="164" fontId="8" fillId="0" borderId="11" xfId="1" applyFont="1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164" fontId="0" fillId="0" borderId="7" xfId="1" applyFont="1" applyBorder="1"/>
    <xf numFmtId="164" fontId="8" fillId="0" borderId="8" xfId="1" applyFont="1" applyBorder="1"/>
    <xf numFmtId="164" fontId="0" fillId="0" borderId="11" xfId="1" applyFont="1" applyBorder="1"/>
    <xf numFmtId="0" fontId="8" fillId="0" borderId="0" xfId="0" applyFont="1" applyAlignment="1">
      <alignment horizontal="center"/>
    </xf>
    <xf numFmtId="166" fontId="8" fillId="0" borderId="16" xfId="0" applyNumberFormat="1" applyFont="1" applyBorder="1"/>
    <xf numFmtId="0" fontId="0" fillId="0" borderId="11" xfId="0" applyBorder="1" applyAlignment="1">
      <alignment horizontal="left"/>
    </xf>
    <xf numFmtId="166" fontId="0" fillId="0" borderId="11" xfId="0" applyNumberFormat="1" applyBorder="1"/>
    <xf numFmtId="166" fontId="8" fillId="0" borderId="2" xfId="0" applyNumberFormat="1" applyFont="1" applyBorder="1"/>
    <xf numFmtId="166" fontId="8" fillId="0" borderId="0" xfId="0" applyNumberFormat="1" applyFont="1"/>
    <xf numFmtId="0" fontId="0" fillId="9" borderId="0" xfId="0" applyFill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1" applyFont="1" applyAlignment="1">
      <alignment horizontal="center" vertical="center"/>
    </xf>
    <xf numFmtId="164" fontId="8" fillId="0" borderId="0" xfId="1" applyFont="1" applyAlignment="1">
      <alignment horizontal="center" vertical="center" wrapText="1"/>
    </xf>
    <xf numFmtId="164" fontId="8" fillId="6" borderId="0" xfId="1" applyFont="1" applyFill="1" applyAlignment="1">
      <alignment horizontal="center" vertical="center" wrapText="1"/>
    </xf>
    <xf numFmtId="14" fontId="8" fillId="0" borderId="0" xfId="1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166" fontId="8" fillId="0" borderId="3" xfId="0" applyNumberFormat="1" applyFont="1" applyBorder="1" applyAlignment="1">
      <alignment horizontal="center" wrapText="1"/>
    </xf>
    <xf numFmtId="166" fontId="0" fillId="0" borderId="3" xfId="0" applyNumberFormat="1" applyBorder="1" applyAlignment="1">
      <alignment horizontal="center" vertical="center"/>
    </xf>
    <xf numFmtId="170" fontId="8" fillId="0" borderId="3" xfId="0" applyNumberFormat="1" applyFont="1" applyBorder="1" applyAlignment="1">
      <alignment horizontal="center" wrapText="1"/>
    </xf>
    <xf numFmtId="170" fontId="2" fillId="0" borderId="3" xfId="0" applyNumberFormat="1" applyFont="1" applyBorder="1"/>
    <xf numFmtId="170" fontId="2" fillId="0" borderId="3" xfId="0" applyNumberFormat="1" applyFont="1" applyBorder="1" applyAlignment="1">
      <alignment horizontal="center" vertical="center"/>
    </xf>
    <xf numFmtId="170" fontId="4" fillId="0" borderId="3" xfId="0" applyNumberFormat="1" applyFont="1" applyBorder="1" applyAlignment="1">
      <alignment wrapText="1"/>
    </xf>
    <xf numFmtId="165" fontId="8" fillId="0" borderId="0" xfId="0" applyNumberFormat="1" applyFont="1"/>
    <xf numFmtId="167" fontId="10" fillId="0" borderId="0" xfId="0" applyNumberFormat="1" applyFont="1" applyAlignment="1">
      <alignment wrapText="1"/>
    </xf>
    <xf numFmtId="167" fontId="10" fillId="0" borderId="0" xfId="0" applyNumberFormat="1" applyFont="1"/>
    <xf numFmtId="164" fontId="10" fillId="0" borderId="0" xfId="1" applyFont="1"/>
    <xf numFmtId="171" fontId="0" fillId="0" borderId="0" xfId="1" applyNumberFormat="1" applyFont="1"/>
    <xf numFmtId="171" fontId="8" fillId="0" borderId="0" xfId="1" applyNumberFormat="1" applyFont="1" applyAlignment="1">
      <alignment horizontal="center" vertical="center" wrapText="1"/>
    </xf>
    <xf numFmtId="171" fontId="0" fillId="7" borderId="0" xfId="1" applyNumberFormat="1" applyFont="1" applyFill="1"/>
    <xf numFmtId="171" fontId="10" fillId="7" borderId="0" xfId="1" applyNumberFormat="1" applyFont="1" applyFill="1"/>
    <xf numFmtId="171" fontId="0" fillId="0" borderId="0" xfId="1" applyNumberFormat="1" applyFont="1" applyAlignment="1">
      <alignment vertical="center"/>
    </xf>
    <xf numFmtId="171" fontId="0" fillId="0" borderId="0" xfId="1" applyNumberFormat="1" applyFont="1" applyFill="1"/>
    <xf numFmtId="165" fontId="8" fillId="6" borderId="0" xfId="1" applyNumberFormat="1" applyFont="1" applyFill="1" applyAlignment="1">
      <alignment horizontal="center" vertical="center" wrapText="1"/>
    </xf>
    <xf numFmtId="165" fontId="0" fillId="6" borderId="0" xfId="1" applyNumberFormat="1" applyFont="1" applyFill="1"/>
    <xf numFmtId="165" fontId="0" fillId="6" borderId="0" xfId="1" applyNumberFormat="1" applyFont="1" applyFill="1" applyAlignment="1"/>
    <xf numFmtId="165" fontId="10" fillId="7" borderId="0" xfId="1" applyNumberFormat="1" applyFont="1" applyFill="1"/>
    <xf numFmtId="165" fontId="0" fillId="6" borderId="0" xfId="1" applyNumberFormat="1" applyFont="1" applyFill="1" applyAlignment="1">
      <alignment vertical="center"/>
    </xf>
    <xf numFmtId="165" fontId="0" fillId="6" borderId="2" xfId="1" applyNumberFormat="1" applyFont="1" applyFill="1" applyBorder="1"/>
    <xf numFmtId="165" fontId="7" fillId="6" borderId="0" xfId="1" applyNumberFormat="1" applyFont="1" applyFill="1"/>
    <xf numFmtId="165" fontId="10" fillId="6" borderId="0" xfId="1" applyNumberFormat="1" applyFont="1" applyFill="1"/>
    <xf numFmtId="171" fontId="10" fillId="0" borderId="0" xfId="1" applyNumberFormat="1" applyFont="1"/>
    <xf numFmtId="166" fontId="10" fillId="0" borderId="0" xfId="1" applyNumberFormat="1" applyFont="1"/>
    <xf numFmtId="166" fontId="9" fillId="0" borderId="0" xfId="1" applyNumberFormat="1" applyFont="1" applyAlignment="1">
      <alignment vertical="center"/>
    </xf>
    <xf numFmtId="167" fontId="0" fillId="0" borderId="0" xfId="0" applyNumberFormat="1" applyAlignment="1">
      <alignment horizontal="right"/>
    </xf>
    <xf numFmtId="167" fontId="8" fillId="0" borderId="3" xfId="0" applyNumberFormat="1" applyFont="1" applyBorder="1" applyAlignment="1">
      <alignment horizontal="center" wrapText="1"/>
    </xf>
    <xf numFmtId="167" fontId="0" fillId="0" borderId="3" xfId="0" applyNumberFormat="1" applyBorder="1" applyAlignment="1">
      <alignment horizontal="right" vertical="center"/>
    </xf>
    <xf numFmtId="165" fontId="13" fillId="6" borderId="0" xfId="1" applyNumberFormat="1" applyFont="1" applyFill="1"/>
    <xf numFmtId="171" fontId="13" fillId="0" borderId="0" xfId="1" applyNumberFormat="1" applyFont="1"/>
    <xf numFmtId="43" fontId="14" fillId="0" borderId="0" xfId="0" quotePrefix="1" applyNumberFormat="1" applyFont="1"/>
    <xf numFmtId="168" fontId="0" fillId="0" borderId="0" xfId="1" applyNumberFormat="1" applyFont="1"/>
    <xf numFmtId="43" fontId="15" fillId="0" borderId="0" xfId="0" applyNumberFormat="1" applyFont="1"/>
    <xf numFmtId="0" fontId="0" fillId="10" borderId="3" xfId="0" applyFill="1" applyBorder="1"/>
    <xf numFmtId="164" fontId="0" fillId="10" borderId="3" xfId="1" applyFont="1" applyFill="1" applyBorder="1"/>
    <xf numFmtId="167" fontId="0" fillId="10" borderId="3" xfId="0" applyNumberFormat="1" applyFill="1" applyBorder="1"/>
    <xf numFmtId="166" fontId="0" fillId="0" borderId="0" xfId="1" applyNumberFormat="1" applyFont="1" applyAlignment="1">
      <alignment horizontal="right" vertical="center"/>
    </xf>
    <xf numFmtId="0" fontId="10" fillId="2" borderId="0" xfId="0" applyFont="1" applyFill="1"/>
    <xf numFmtId="166" fontId="8" fillId="0" borderId="3" xfId="0" applyNumberFormat="1" applyFont="1" applyBorder="1"/>
    <xf numFmtId="164" fontId="0" fillId="9" borderId="0" xfId="1" applyFont="1" applyFill="1" applyAlignment="1">
      <alignment horizontal="right" vertical="center"/>
    </xf>
    <xf numFmtId="164" fontId="0" fillId="10" borderId="0" xfId="1" applyFont="1" applyFill="1" applyAlignment="1">
      <alignment horizontal="right" vertical="center"/>
    </xf>
    <xf numFmtId="166" fontId="9" fillId="0" borderId="3" xfId="0" applyNumberFormat="1" applyFont="1" applyBorder="1"/>
    <xf numFmtId="0" fontId="0" fillId="10" borderId="0" xfId="0" applyFill="1"/>
    <xf numFmtId="0" fontId="0" fillId="0" borderId="0" xfId="0" applyAlignment="1">
      <alignment horizontal="center" wrapText="1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2" fillId="0" borderId="7" xfId="2" applyFont="1" applyBorder="1" applyAlignment="1">
      <alignment horizontal="center"/>
    </xf>
    <xf numFmtId="0" fontId="12" fillId="0" borderId="8" xfId="2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0" xfId="1" applyNumberFormat="1" applyFont="1" applyAlignment="1">
      <alignment horizontal="right" vertical="center"/>
    </xf>
    <xf numFmtId="164" fontId="0" fillId="6" borderId="0" xfId="1" applyFont="1" applyFill="1" applyAlignment="1">
      <alignment horizont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Comma" xfId="1" builtinId="3"/>
    <cellStyle name="Comma 2" xfId="3" xr:uid="{8CFC91A7-E60D-4DAE-B550-2832B901335E}"/>
    <cellStyle name="Hyperlink" xfId="4" builtinId="8"/>
    <cellStyle name="Normal" xfId="0" builtinId="0"/>
    <cellStyle name="Normal 2" xfId="2" xr:uid="{567E73D4-CCB0-4B5D-ADF1-C8682EB4FA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tyles" Target="styles.xml" /><Relationship Id="rId2" Type="http://schemas.openxmlformats.org/officeDocument/2006/relationships/worksheet" Target="worksheets/sheet2.xml" /><Relationship Id="rId16" Type="http://schemas.openxmlformats.org/officeDocument/2006/relationships/theme" Target="theme/theme1.xml" /><Relationship Id="rId20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10" Type="http://schemas.openxmlformats.org/officeDocument/2006/relationships/worksheet" Target="worksheets/sheet10.xml" /><Relationship Id="rId19" Type="http://schemas.microsoft.com/office/2017/10/relationships/person" Target="persons/person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o Seifried" id="{B9CAE5EA-DF23-431E-91C9-D417CC71B699}" userId="Edo Seifried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3-01-05T09:09:13.09" personId="{B9CAE5EA-DF23-431E-91C9-D417CC71B699}" id="{AD1AA185-43CF-43A1-AF34-23817CA7731C}">
    <text xml:space="preserve">Nadogradnja sa opremom - donacija
</text>
  </threadedComment>
  <threadedComment ref="H3" dT="2023-01-05T09:11:45.98" personId="{B9CAE5EA-DF23-431E-91C9-D417CC71B699}" id="{9529C531-5425-4800-A20A-2961E26F87AB}">
    <text xml:space="preserve">Cijena sa PDV i PPMV - ppmv upitan, prijava kao vatrogasno vozilo
</text>
  </threadedComment>
  <threadedComment ref="L3" dT="2023-01-05T09:29:31.94" personId="{B9CAE5EA-DF23-431E-91C9-D417CC71B699}" id="{4EE626D1-59C2-49C1-B4FD-66F92DE9DE35}">
    <text>Ostalo u zraku PPMV - u kalkulaciji račinica 40.000 kn, iskazan na ponudi 14.000kn - ići na DZM na oslobođenje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1-27T11:18:20.79" personId="{B9CAE5EA-DF23-431E-91C9-D417CC71B699}" id="{A29699DF-C4CB-4A02-A100-66B6973918F5}">
    <text xml:space="preserve">Predviđanje da ćemo isporučiti i naplatiti KRALJEVICU I ZADRA NOVU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4" dT="2023-01-27T11:07:29.47" personId="{B9CAE5EA-DF23-431E-91C9-D417CC71B699}" id="{4EC0F70D-0963-4BE2-9F6B-39185D16CF9D}">
    <text>Plaća se po naplaćenom poslu</text>
  </threadedComment>
  <threadedComment ref="F5" dT="2023-01-27T11:07:46.92" personId="{B9CAE5EA-DF23-431E-91C9-D417CC71B699}" id="{580E7A26-8D07-4AB2-941B-E391FFCE76B9}">
    <text>Plaća se po naplaćenom poslu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4" dT="2023-01-27T11:07:29.47" personId="{B9CAE5EA-DF23-431E-91C9-D417CC71B699}" id="{72B559E9-96EC-4DDD-B150-25FCF2F5390A}">
    <text>Plaća se po naplaćenom poslu</text>
  </threadedComment>
  <threadedComment ref="F5" dT="2023-01-27T11:07:46.92" personId="{B9CAE5EA-DF23-431E-91C9-D417CC71B699}" id="{C98961B8-C395-4B78-ABDF-A82DFECF405F}">
    <text>Plaća se po naplaćenom poslu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4" dT="2023-01-27T11:07:29.47" personId="{B9CAE5EA-DF23-431E-91C9-D417CC71B699}" id="{234F6BD5-5EF3-46A8-A2B1-28ABD3BA5A85}">
    <text>Plaća se po naplaćenom poslu</text>
  </threadedComment>
  <threadedComment ref="F5" dT="2023-01-27T11:07:46.92" personId="{B9CAE5EA-DF23-431E-91C9-D417CC71B699}" id="{D963DE7F-1B39-4418-8D8D-CA5652634FB1}">
    <text>Plaća se po naplaćenom poslu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4" dT="2023-01-27T11:07:29.47" personId="{B9CAE5EA-DF23-431E-91C9-D417CC71B699}" id="{2BD4BA31-7AEE-47EE-90CD-3B6ECC569E11}">
    <text>Plaća se po naplaćenom poslu</text>
  </threadedComment>
  <threadedComment ref="F5" dT="2023-01-27T11:07:46.92" personId="{B9CAE5EA-DF23-431E-91C9-D417CC71B699}" id="{9E72E974-8496-47BF-A797-24DE83CE6135}">
    <text>Plaća se po naplaćenom poslu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F8" dT="2023-01-27T11:07:29.47" personId="{B9CAE5EA-DF23-431E-91C9-D417CC71B699}" id="{4675EF4B-D5C4-45EB-8BE6-FF790C6F1671}">
    <text>Plaća se po naplaćenom poslu</text>
  </threadedComment>
  <threadedComment ref="F9" dT="2023-01-27T11:07:46.92" personId="{B9CAE5EA-DF23-431E-91C9-D417CC71B699}" id="{851F96F7-F88C-4944-B0B7-084C22BAAAFE}">
    <text>Plaća se po naplaćenom poslu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Relationship Id="rId4" Type="http://schemas.microsoft.com/office/2017/10/relationships/threadedComment" Target="../threadedComments/threadedComment1.xml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:b:/g/personal/edo_seifried_mgs-grupa_com/ESxVFbrzChNGhlEgAX5n8i4BZLZSyb9ia4CAZ_bXcEfo9Q?e=hBvywp" TargetMode="External" /><Relationship Id="rId13" Type="http://schemas.openxmlformats.org/officeDocument/2006/relationships/hyperlink" Target="../../../../:b:/g/personal/edo_seifried_mgs-grupa_com/Ecz3Zm0kj61Gnp-oJGgl6aUBfQmoZl8qnBi7vUIKPQzRxg?e=LYIbxY" TargetMode="External" /><Relationship Id="rId18" Type="http://schemas.openxmlformats.org/officeDocument/2006/relationships/hyperlink" Target="../../../../:b:/g/personal/edo_seifried_mgs-grupa_com/EQypBrMKywlHsuKkqOM9BpYBOx_C_rE3cTsaYbru6imWFw?e=bq6rnx" TargetMode="External" /><Relationship Id="rId26" Type="http://schemas.openxmlformats.org/officeDocument/2006/relationships/hyperlink" Target="../../../../:b:/g/personal/edo_seifried_mgs-grupa_com/EUEBhoh07yxFjkxG1ofof2oB2sKyOgUULZv61WssqVwMpw?e=ZG2Db1" TargetMode="External" /><Relationship Id="rId39" Type="http://schemas.openxmlformats.org/officeDocument/2006/relationships/vmlDrawing" Target="../drawings/vmlDrawing5.vml" /><Relationship Id="rId3" Type="http://schemas.openxmlformats.org/officeDocument/2006/relationships/hyperlink" Target="../../../../:i:/g/personal/edo_seifried_mgs-grupa_com/EZXP7oJ8qVJDsq5z9NzdGkcBeLy4dILsUFAsr4k-aRxltg?e=H2QrUj" TargetMode="External" /><Relationship Id="rId21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DSK%2Epdf&amp;parent=%2Fpersonal%2Fedo%5Fseifried%5Fmgs%2Dgrupa%5Fcom%2FDocuments%2FMGS%20POSLOVANJE%202023%2FPonude%20%2D%20projekti%2FPUG" TargetMode="External" /><Relationship Id="rId34" Type="http://schemas.openxmlformats.org/officeDocument/2006/relationships/hyperlink" Target="../../../../:b:/g/personal/edo_seifried_mgs-grupa_com/EX2Tle0mngJPqUCZ64cOn10Be0PD8ScT4Dji55Pq8nzlPA?e=ViULb5" TargetMode="External" /><Relationship Id="rId7" Type="http://schemas.openxmlformats.org/officeDocument/2006/relationships/hyperlink" Target="../../../../:b:/g/personal/edo_seifried_mgs-grupa_com/EWz1FCwGKIVCv8zmBracrbsBLToHEQI6m-mrDi_lDcVxUQ?e=SU4hod" TargetMode="External" /><Relationship Id="rId12" Type="http://schemas.openxmlformats.org/officeDocument/2006/relationships/hyperlink" Target="../../../../:b:/g/personal/edo_seifried_mgs-grupa_com/EefTIx-d2Y1Oj1EcYQlLtEwBb3t2KSbaqX-MqVHlDvyzNA?e=Ft7QW2" TargetMode="External" /><Relationship Id="rId17" Type="http://schemas.openxmlformats.org/officeDocument/2006/relationships/hyperlink" Target="../../../../:b:/g/personal/edo_seifried_mgs-grupa_com/EZAMxFs7pTBBgA0r7NkjCTkBNHN4vXnjyDQYOm5SNEDhqQ?e=pPI9JY" TargetMode="External" /><Relationship Id="rId25" Type="http://schemas.openxmlformats.org/officeDocument/2006/relationships/hyperlink" Target="../../../../:b:/g/personal/edo_seifried_mgs-grupa_com/EcoL1acRxYNHlxpHf5GfCV0B-54MME70OFhNprHlwo4D5w?e=hOYqWC" TargetMode="External" /><Relationship Id="rId33" Type="http://schemas.openxmlformats.org/officeDocument/2006/relationships/hyperlink" Target="../../../../:b:/g/personal/edo_seifried_mgs-grupa_com/EVo-7Z7h5hZLo1vWH1Xqq94B8i11IyE5TP5yBQdzXzEplg?e=SMfhAH" TargetMode="External" /><Relationship Id="rId38" Type="http://schemas.openxmlformats.org/officeDocument/2006/relationships/hyperlink" Target="../../../../:b:/g/personal/edo_seifried_mgs-grupa_com/EWOqCDQ-1QBKspG_UOOhZcsBkFWvU993uopUvnHgHiViPQ?e=xhGh9g" TargetMode="External" /><Relationship Id="rId2" Type="http://schemas.openxmlformats.org/officeDocument/2006/relationships/hyperlink" Target="../../../../:b:/g/personal/edo_seifried_mgs-grupa_com/EQOEUhIdB0BPpngxJgAjSqcBa4I7CUj_VDxeYNR5_qcdqA?e=aZwtgw" TargetMode="External" /><Relationship Id="rId16" Type="http://schemas.openxmlformats.org/officeDocument/2006/relationships/hyperlink" Target="../../../../:b:/g/personal/edo_seifried_mgs-grupa_com/EQOeTmyleiFDjxMWX72_v50B5dujx6DVZXdyXSFp9pDqUw?e=Ia9Qbu" TargetMode="External" /><Relationship Id="rId20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DOK130223%2D080901%2Epdf&amp;parent=%2Fpersonal%2Fedo%5Fseifried%5Fmgs%2Dgrupa%5Fcom%2FDocuments%2FMGS%20POSLOVANJE%202023%2FPonude%20%2D%20projekti%2FPUG" TargetMode="External" /><Relationship Id="rId29" Type="http://schemas.openxmlformats.org/officeDocument/2006/relationships/hyperlink" Target="../../../../:b:/g/personal/edo_seifried_mgs-grupa_com/Edzet2htHnlLp9kQyQCWi_gBJ9HvIDlcfn_wsENjze3RUQ?e=hOhm8I" TargetMode="External" /><Relationship Id="rId41" Type="http://schemas.microsoft.com/office/2017/10/relationships/threadedComment" Target="../threadedComments/threadedComment5.xml" /><Relationship Id="rId1" Type="http://schemas.openxmlformats.org/officeDocument/2006/relationships/hyperlink" Target="../../../../:b:/g/personal/edo_seifried_mgs-grupa_com/ERgZHPAeIdBMvQNV_U0q78EBRrCf2m4o3dFlL0Q1cg83HA?e=GMwiEV" TargetMode="External" /><Relationship Id="rId6" Type="http://schemas.openxmlformats.org/officeDocument/2006/relationships/hyperlink" Target="../../../../:b:/g/personal/edo_seifried_mgs-grupa_com/EbnRTP03-qJKjkpKUVv3VQcBOx5sgsuElgVImUDp8dahAQ?e=El3Gxp" TargetMode="External" /><Relationship Id="rId11" Type="http://schemas.openxmlformats.org/officeDocument/2006/relationships/hyperlink" Target="../../../../:b:/g/personal/edo_seifried_mgs-grupa_com/EafEH0XNR0lOsVZmsgJc2vsBudnaL51uOrE1cZTZRJrO7w?e=l2kJ3s" TargetMode="External" /><Relationship Id="rId24" Type="http://schemas.openxmlformats.org/officeDocument/2006/relationships/hyperlink" Target="../../../../:w:/g/personal/edo_seifried_mgs-grupa_com/EZy-hxX5E6hEj_I_ANBHRHIBORhknvjMr4cbx6uV7P9Vaw?e=9wY5Ez" TargetMode="External" /><Relationship Id="rId32" Type="http://schemas.openxmlformats.org/officeDocument/2006/relationships/hyperlink" Target="../../../../:b:/g/personal/edo_seifried_mgs-grupa_com/Efp51HvaTE1FvuZEvOeF5vQBHevJrsx_nEW9lvntYYwR5g?e=M9vDAI" TargetMode="External" /><Relationship Id="rId37" Type="http://schemas.openxmlformats.org/officeDocument/2006/relationships/hyperlink" Target="../../../../:b:/g/personal/edo_seifried_mgs-grupa_com/ETNgH5qJKwxBnk5efT8GHsABUIxfyTwj9HMriOAfT365lA?e=bVceGh" TargetMode="External" /><Relationship Id="rId40" Type="http://schemas.openxmlformats.org/officeDocument/2006/relationships/comments" Target="../comments5.xml" /><Relationship Id="rId5" Type="http://schemas.openxmlformats.org/officeDocument/2006/relationships/hyperlink" Target="../../../../:b:/g/personal/edo_seifried_mgs-grupa_com/EbnRTP03-qJKjkpKUVv3VQcBOx5sgsuElgVImUDp8dahAQ?e=El3Gxp" TargetMode="External" /><Relationship Id="rId15" Type="http://schemas.openxmlformats.org/officeDocument/2006/relationships/hyperlink" Target="../../../../:b:/g/personal/edo_seifried_mgs-grupa_com/EV5lmlmE_6FGjrxhLRSeJIEB10ikDL75DW7U368PTEMD8A?e=BkPuIo" TargetMode="External" /><Relationship Id="rId23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Protiplam%20%2D%20PUG%2Epdf&amp;parent=%2Fpersonal%2Fedo%5Fseifried%5Fmgs%2Dgrupa%5Fcom%2FDocuments%2FMGS%20POSLOVANJE%202023%2FPonude%20%2D%20projekti%2FPUG" TargetMode="External" /><Relationship Id="rId28" Type="http://schemas.openxmlformats.org/officeDocument/2006/relationships/hyperlink" Target="../../../../:b:/g/personal/edo_seifried_mgs-grupa_com/EZH1PWT7TkVNp_2GgOHR_0IBb6VrM_xHiuzr5hk29ctj0A?e=vg8N5I" TargetMode="External" /><Relationship Id="rId36" Type="http://schemas.openxmlformats.org/officeDocument/2006/relationships/hyperlink" Target="../../../../:b:/g/personal/edo_seifried_mgs-grupa_com/EUlPq8_M8JJKjp9RaHwqTFcBmzppS3ZwTOJ18Yh_8GzX0g?e=VUyTvf" TargetMode="External" /><Relationship Id="rId10" Type="http://schemas.openxmlformats.org/officeDocument/2006/relationships/hyperlink" Target="../../../../:b:/g/personal/edo_seifried_mgs-grupa_com/EZ2UpJVADqJDpxmE68tCVpABSjWWkgi7I8bHIeftWdXEcg?e=RFEjub" TargetMode="External" /><Relationship Id="rId19" Type="http://schemas.openxmlformats.org/officeDocument/2006/relationships/hyperlink" Target="../../../../:b:/g/personal/edo_seifried_mgs-grupa_com/EZJ4vnF48mVJtGdq8QN-shQBb60QfecCYW6d13UsJQOnEw?e=7oI0yf" TargetMode="External" /><Relationship Id="rId31" Type="http://schemas.openxmlformats.org/officeDocument/2006/relationships/hyperlink" Target="../../../../:w:/g/personal/edo_seifried_mgs-grupa_com/ETBSFEM_TD1Lr_nsDRMq2PIBK6puXDNWmC4WAUHWujKwrQ?e=ijADUi" TargetMode="External" /><Relationship Id="rId4" Type="http://schemas.openxmlformats.org/officeDocument/2006/relationships/hyperlink" Target="../../../../:b:/g/personal/edo_seifried_mgs-grupa_com/EZDBDbKdi91HmA4Djy-heZcBSnRVF6Z1QXWhyJMagoGkZA?e=SKVEqh" TargetMode="External" /><Relationship Id="rId9" Type="http://schemas.openxmlformats.org/officeDocument/2006/relationships/hyperlink" Target="../../../../:b:/g/personal/edo_seifried_mgs-grupa_com/EePhfDelywpHm6fTGx-eJngB5h1MhiCpXlJ2uv8o0VB1Qw?e=P81sDz" TargetMode="External" /><Relationship Id="rId14" Type="http://schemas.openxmlformats.org/officeDocument/2006/relationships/hyperlink" Target="../../../../:b:/g/personal/edo_seifried_mgs-grupa_com/EcP4-IV5wHFBgrsJG_5mVP0BXYW1kx7QY1IbkRYEhZ5OWw?e=TqVxhJ" TargetMode="External" /><Relationship Id="rId22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PON%2D23%2D000428%2Epdf&amp;parent=%2Fpersonal%2Fedo%5Fseifried%5Fmgs%2Dgrupa%5Fcom%2FDocuments%2FMGS%20POSLOVANJE%202023%2FPonude%20%2D%20projekti%2FPUG" TargetMode="External" /><Relationship Id="rId27" Type="http://schemas.openxmlformats.org/officeDocument/2006/relationships/hyperlink" Target="../../../../:b:/g/personal/edo_seifried_mgs-grupa_com/EZzK9YCNln1PieALzPmkgbkB6Tjq9CpJ1EtWpK0tQvbTVQ?e=QuVEyd" TargetMode="External" /><Relationship Id="rId30" Type="http://schemas.openxmlformats.org/officeDocument/2006/relationships/hyperlink" Target="../../../../:b:/g/personal/edo_seifried_mgs-grupa_com/EUOGxwnvI6hKhgfb03NNBl0BY8i-v8P68_qz5t0Apwhf3g?e=t4vjeR" TargetMode="External" /><Relationship Id="rId35" Type="http://schemas.openxmlformats.org/officeDocument/2006/relationships/hyperlink" Target="../../../../:b:/g/personal/edo_seifried_mgs-grupa_com/EZmtjy9q9NtAsuKsZSTyoQMBYFEUZDcYj1r7mvTyLPyOLw?e=zrO9eA" TargetMode="External" 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:b:/g/personal/edo_seifried_mgs-grupa_com/EWz1FCwGKIVCv8zmBracrbsBLToHEQI6m-mrDi_lDcVxUQ?e=SU4hod" TargetMode="External" /><Relationship Id="rId13" Type="http://schemas.openxmlformats.org/officeDocument/2006/relationships/hyperlink" Target="../../../../:b:/g/personal/edo_seifried_mgs-grupa_com/EefTIx-d2Y1Oj1EcYQlLtEwBb3t2KSbaqX-MqVHlDvyzNA?e=Ft7QW2" TargetMode="External" /><Relationship Id="rId18" Type="http://schemas.openxmlformats.org/officeDocument/2006/relationships/hyperlink" Target="../../../../:b:/g/personal/edo_seifried_mgs-grupa_com/EZAMxFs7pTBBgA0r7NkjCTkBNHN4vXnjyDQYOm5SNEDhqQ?e=pPI9JY" TargetMode="External" /><Relationship Id="rId26" Type="http://schemas.openxmlformats.org/officeDocument/2006/relationships/hyperlink" Target="../../../../:b:/g/personal/edo_seifried_mgs-grupa_com/EcoL1acRxYNHlxpHf5GfCV0B-54MME70OFhNprHlwo4D5w?e=hOYqWC" TargetMode="External" /><Relationship Id="rId3" Type="http://schemas.openxmlformats.org/officeDocument/2006/relationships/hyperlink" Target="../../../../:i:/g/personal/edo_seifried_mgs-grupa_com/EZXP7oJ8qVJDsq5z9NzdGkcBeLy4dILsUFAsr4k-aRxltg?e=H2QrUj" TargetMode="External" /><Relationship Id="rId21" Type="http://schemas.openxmlformats.org/officeDocument/2006/relationships/hyperlink" Target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OK130223%2D080901%2Epdf&amp;parent=%2Fpersonal%2Fedo%5Fseifried%5Fmgs%2Dgrupa%5Fcom%2FDocuments%2FMGS%20POSLOVANJE%202023%2FPonude%20%2D%20projekti%2FPUG" TargetMode="External" /><Relationship Id="rId34" Type="http://schemas.openxmlformats.org/officeDocument/2006/relationships/comments" Target="../comments6.xml" /><Relationship Id="rId7" Type="http://schemas.openxmlformats.org/officeDocument/2006/relationships/hyperlink" Target="../../../../:b:/g/personal/edo_seifried_mgs-grupa_com/EbnRTP03-qJKjkpKUVv3VQcBOx5sgsuElgVImUDp8dahAQ?e=El3Gxp" TargetMode="External" /><Relationship Id="rId12" Type="http://schemas.openxmlformats.org/officeDocument/2006/relationships/hyperlink" Target="../../../../:b:/g/personal/edo_seifried_mgs-grupa_com/EafEH0XNR0lOsVZmsgJc2vsBudnaL51uOrE1cZTZRJrO7w?e=l2kJ3s" TargetMode="External" /><Relationship Id="rId17" Type="http://schemas.openxmlformats.org/officeDocument/2006/relationships/hyperlink" Target="../../../../:b:/g/personal/edo_seifried_mgs-grupa_com/EQOeTmyleiFDjxMWX72_v50B5dujx6DVZXdyXSFp9pDqUw?e=Ia9Qbu" TargetMode="External" /><Relationship Id="rId25" Type="http://schemas.openxmlformats.org/officeDocument/2006/relationships/hyperlink" Target="../../../../:w:/g/personal/edo_seifried_mgs-grupa_com/EZy-hxX5E6hEj_I_ANBHRHIBORhknvjMr4cbx6uV7P9Vaw?e=9wY5Ez" TargetMode="External" /><Relationship Id="rId33" Type="http://schemas.openxmlformats.org/officeDocument/2006/relationships/vmlDrawing" Target="../drawings/vmlDrawing6.vml" /><Relationship Id="rId2" Type="http://schemas.openxmlformats.org/officeDocument/2006/relationships/hyperlink" Target="../../../../:b:/g/personal/edo_seifried_mgs-grupa_com/EQOEUhIdB0BPpngxJgAjSqcBa4I7CUj_VDxeYNR5_qcdqA?e=aZwtgw" TargetMode="External" /><Relationship Id="rId16" Type="http://schemas.openxmlformats.org/officeDocument/2006/relationships/hyperlink" Target="../../../../:b:/g/personal/edo_seifried_mgs-grupa_com/EV5lmlmE_6FGjrxhLRSeJIEB10ikDL75DW7U368PTEMD8A?e=BkPuIo" TargetMode="External" /><Relationship Id="rId20" Type="http://schemas.openxmlformats.org/officeDocument/2006/relationships/hyperlink" Target="../../../../:b:/g/personal/edo_seifried_mgs-grupa_com/EZJ4vnF48mVJtGdq8QN-shQBb60QfecCYW6d13UsJQOnEw?e=7oI0yf" TargetMode="External" /><Relationship Id="rId29" Type="http://schemas.openxmlformats.org/officeDocument/2006/relationships/hyperlink" Target="../../../../:b:/g/personal/edo_seifried_mgs-grupa_com/EZH1PWT7TkVNp_2GgOHR_0IBb6VrM_xHiuzr5hk29ctj0A?e=vg8N5I" TargetMode="External" /><Relationship Id="rId1" Type="http://schemas.openxmlformats.org/officeDocument/2006/relationships/hyperlink" Target="../../../../:b:/g/personal/edo_seifried_mgs-grupa_com/ERgZHPAeIdBMvQNV_U0q78EBRrCf2m4o3dFlL0Q1cg83HA?e=GMwiEV" TargetMode="External" /><Relationship Id="rId6" Type="http://schemas.openxmlformats.org/officeDocument/2006/relationships/hyperlink" Target="../../../../:b:/g/personal/edo_seifried_mgs-grupa_com/EbnRTP03-qJKjkpKUVv3VQcBOx5sgsuElgVImUDp8dahAQ?e=El3Gxp" TargetMode="External" /><Relationship Id="rId11" Type="http://schemas.openxmlformats.org/officeDocument/2006/relationships/hyperlink" Target="../../../../:b:/g/personal/edo_seifried_mgs-grupa_com/EZ2UpJVADqJDpxmE68tCVpABSjWWkgi7I8bHIeftWdXEcg?e=RFEjub" TargetMode="External" /><Relationship Id="rId24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Protiplam%20%2D%20PUG%2Epdf&amp;parent=%2Fpersonal%2Fedo%5Fseifried%5Fmgs%2Dgrupa%5Fcom%2FDocuments%2FMGS%20POSLOVANJE%202023%2FPonude%20%2D%20projekti%2FPUG" TargetMode="External" /><Relationship Id="rId32" Type="http://schemas.openxmlformats.org/officeDocument/2006/relationships/printerSettings" Target="../printerSettings/printerSettings4.bin" /><Relationship Id="rId5" Type="http://schemas.openxmlformats.org/officeDocument/2006/relationships/hyperlink" Target="../../../../:b:/g/personal/edo_seifried_mgs-grupa_com/EZDBDbKdi91HmA4Djy-heZcBSnRVF6Z1QXWhyJMagoGkZA?e=SKVEqh" TargetMode="External" /><Relationship Id="rId15" Type="http://schemas.openxmlformats.org/officeDocument/2006/relationships/hyperlink" Target="../../../../:b:/g/personal/edo_seifried_mgs-grupa_com/EcP4-IV5wHFBgrsJG_5mVP0BXYW1kx7QY1IbkRYEhZ5OWw?e=TqVxhJ" TargetMode="External" /><Relationship Id="rId23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PON%2D23%2D000428%2Epdf&amp;parent=%2Fpersonal%2Fedo%5Fseifried%5Fmgs%2Dgrupa%5Fcom%2FDocuments%2FMGS%20POSLOVANJE%202023%2FPonude%20%2D%20projekti%2FPUG" TargetMode="External" /><Relationship Id="rId28" Type="http://schemas.openxmlformats.org/officeDocument/2006/relationships/hyperlink" Target="../../../../:b:/g/personal/edo_seifried_mgs-grupa_com/EZzK9YCNln1PieALzPmkgbkB6Tjq9CpJ1EtWpK0tQvbTVQ?e=QuVEyd" TargetMode="External" /><Relationship Id="rId10" Type="http://schemas.openxmlformats.org/officeDocument/2006/relationships/hyperlink" Target="../../../../:b:/g/personal/edo_seifried_mgs-grupa_com/EePhfDelywpHm6fTGx-eJngB5h1MhiCpXlJ2uv8o0VB1Qw?e=P81sDz" TargetMode="External" /><Relationship Id="rId19" Type="http://schemas.openxmlformats.org/officeDocument/2006/relationships/hyperlink" Target="../../../../:b:/g/personal/edo_seifried_mgs-grupa_com/EQypBrMKywlHsuKkqOM9BpYBOx_C_rE3cTsaYbru6imWFw?e=bq6rnx" TargetMode="External" /><Relationship Id="rId31" Type="http://schemas.openxmlformats.org/officeDocument/2006/relationships/hyperlink" Target="../../../../:b:/g/personal/edo_seifried_mgs-grupa_com/EUOGxwnvI6hKhgfb03NNBl0BY8i-v8P68_qz5t0Apwhf3g?e=t4vjeR" TargetMode="External" /><Relationship Id="rId4" Type="http://schemas.openxmlformats.org/officeDocument/2006/relationships/hyperlink" Target="../../../../:b:/g/personal/edo_seifried_mgs-grupa_com/Eck4jV7mRpZFrfwHvubMFSYBpLWnmR2y94xCeQZ0A5FIeg?e=uLhgOz" TargetMode="External" /><Relationship Id="rId9" Type="http://schemas.openxmlformats.org/officeDocument/2006/relationships/hyperlink" Target="../../../../:b:/g/personal/edo_seifried_mgs-grupa_com/ESxVFbrzChNGhlEgAX5n8i4BZLZSyb9ia4CAZ_bXcEfo9Q?e=hBvywp" TargetMode="External" /><Relationship Id="rId14" Type="http://schemas.openxmlformats.org/officeDocument/2006/relationships/hyperlink" Target="../../../../:b:/g/personal/edo_seifried_mgs-grupa_com/Ecz3Zm0kj61Gnp-oJGgl6aUBfQmoZl8qnBi7vUIKPQzRxg?e=LYIbxY" TargetMode="External" /><Relationship Id="rId22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DSK%2Epdf&amp;parent=%2Fpersonal%2Fedo%5Fseifried%5Fmgs%2Dgrupa%5Fcom%2FDocuments%2FMGS%20POSLOVANJE%202023%2FPonude%20%2D%20projekti%2FPUG" TargetMode="External" /><Relationship Id="rId27" Type="http://schemas.openxmlformats.org/officeDocument/2006/relationships/hyperlink" Target="../../../../:b:/g/personal/edo_seifried_mgs-grupa_com/EUEBhoh07yxFjkxG1ofof2oB2sKyOgUULZv61WssqVwMpw?e=ZG2Db1" TargetMode="External" /><Relationship Id="rId30" Type="http://schemas.openxmlformats.org/officeDocument/2006/relationships/hyperlink" Target="../../../../:b:/g/personal/edo_seifried_mgs-grupa_com/Edzet2htHnlLp9kQyQCWi_gBJ9HvIDlcfn_wsENjze3RUQ?e=hOhm8I" TargetMode="External" /><Relationship Id="rId35" Type="http://schemas.microsoft.com/office/2017/10/relationships/threadedComment" Target="../threadedComments/threadedComment6.xml" 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:b:/g/personal/edo_seifried_mgs-grupa_com/EbnRTP03-qJKjkpKUVv3VQcBOx5sgsuElgVImUDp8dahAQ?e=El3Gxp" TargetMode="External" /><Relationship Id="rId13" Type="http://schemas.openxmlformats.org/officeDocument/2006/relationships/hyperlink" Target="../../../../:b:/g/personal/edo_seifried_mgs-grupa_com/EWrZr6C1YtdOgDhTYCShMq0B04qXfUXr2WdqfGVu2GOsjw?e=md7ais" TargetMode="External" /><Relationship Id="rId18" Type="http://schemas.openxmlformats.org/officeDocument/2006/relationships/hyperlink" Target="../../../../:w:/g/personal/edo_seifried_mgs-grupa_com/EeKknVmKlB1KgdpV1NqIVpIBurrht61nYe_Ti6g20lVUaw?e=iAPbyl" TargetMode="External" /><Relationship Id="rId3" Type="http://schemas.openxmlformats.org/officeDocument/2006/relationships/hyperlink" Target="../../../../:b:/g/personal/edo_seifried_mgs-grupa_com/EYMTKtuPkqdJiHXD48D1kHYBoW6g0fwOlhnSYW9eA8MFSg?e=AqjAE2" TargetMode="External" /><Relationship Id="rId21" Type="http://schemas.openxmlformats.org/officeDocument/2006/relationships/hyperlink" Target="../../../../:b:/g/personal/edo_seifried_mgs-grupa_com/EVG63fMPlepHpkJuMdsv8tYB6ZPkV9qIiw86bESvfp9a6Q?e=olrfhJ" TargetMode="External" /><Relationship Id="rId7" Type="http://schemas.openxmlformats.org/officeDocument/2006/relationships/hyperlink" Target="../../../../:b:/g/personal/edo_seifried_mgs-grupa_com/EZDBDbKdi91HmA4Djy-heZcBSnRVF6Z1QXWhyJMagoGkZA?e=SKVEqh" TargetMode="External" /><Relationship Id="rId12" Type="http://schemas.openxmlformats.org/officeDocument/2006/relationships/hyperlink" Target="../../../../:b:/g/personal/edo_seifried_mgs-grupa_com/ESxVFbrzChNGhlEgAX5n8i4BZLZSyb9ia4CAZ_bXcEfo9Q?e=hBvywp" TargetMode="External" /><Relationship Id="rId17" Type="http://schemas.openxmlformats.org/officeDocument/2006/relationships/hyperlink" Target="../../../../:b:/g/personal/edo_seifried_mgs-grupa_com/EZ2UpJVADqJDpxmE68tCVpABSjWWkgi7I8bHIeftWdXEcg?e=RFEjub" TargetMode="External" /><Relationship Id="rId25" Type="http://schemas.microsoft.com/office/2017/10/relationships/threadedComment" Target="../threadedComments/threadedComment7.xml" /><Relationship Id="rId2" Type="http://schemas.openxmlformats.org/officeDocument/2006/relationships/hyperlink" Target="../../../../:b:/g/personal/edo_seifried_mgs-grupa_com/EQOEUhIdB0BPpngxJgAjSqcBa4I7CUj_VDxeYNR5_qcdqA?e=aZwtgw" TargetMode="External" /><Relationship Id="rId16" Type="http://schemas.openxmlformats.org/officeDocument/2006/relationships/hyperlink" Target="../../../../:b:/g/personal/edo_seifried_mgs-grupa_com/EcBYO07J6B1Fgsa9u-TzkZABGbkW0rg3xCpufrrfsVjBnw?e=zOxsSC" TargetMode="External" /><Relationship Id="rId20" Type="http://schemas.openxmlformats.org/officeDocument/2006/relationships/hyperlink" Target="../../../../:b:/g/personal/edo_seifried_mgs-grupa_com/EVG63fMPlepHpkJuMdsv8tYB6ZPkV9qIiw86bESvfp9a6Q?e=olrfhJ" TargetMode="External" /><Relationship Id="rId1" Type="http://schemas.openxmlformats.org/officeDocument/2006/relationships/hyperlink" Target="https://mgsgrupa-my.sharepoint.com/:b:/g/personal/edo_seifried_mgs-grupa_com/ERgZHPAeIdBMvQNV_U0q78EBRrCf2m4o3dFlL0Q1cg83HA?e=GMwiEV" TargetMode="External" /><Relationship Id="rId6" Type="http://schemas.openxmlformats.org/officeDocument/2006/relationships/hyperlink" Target="../../../../:b:/g/personal/edo_seifried_mgs-grupa_com/Eck4jV7mRpZFrfwHvubMFSYBpLWnmR2y94xCeQZ0A5FIeg?e=uLhgOz" TargetMode="External" /><Relationship Id="rId11" Type="http://schemas.openxmlformats.org/officeDocument/2006/relationships/hyperlink" Target="../../../../:b:/g/personal/edo_seifried_mgs-grupa_com/EWz1FCwGKIVCv8zmBracrbsBLToHEQI6m-mrDi_lDcVxUQ?e=SU4hod" TargetMode="External" /><Relationship Id="rId24" Type="http://schemas.openxmlformats.org/officeDocument/2006/relationships/comments" Target="../comments7.xml" /><Relationship Id="rId5" Type="http://schemas.openxmlformats.org/officeDocument/2006/relationships/hyperlink" Target="../../../../:b:/g/personal/edo_seifried_mgs-grupa_com/EctvB_TMmj1MqU1cHnWDrZQBVgEW8T35gCslQu2UOT-ZIg?e=2czH9q" TargetMode="External" /><Relationship Id="rId15" Type="http://schemas.openxmlformats.org/officeDocument/2006/relationships/hyperlink" Target="../../../../:b:/g/personal/edo_seifried_mgs-grupa_com/EcnGNseMPlNCpA__EuAnP1oBGCTndfp17Q4JlwE-sExRrQ?e=3TaUr4" TargetMode="External" /><Relationship Id="rId23" Type="http://schemas.openxmlformats.org/officeDocument/2006/relationships/vmlDrawing" Target="../drawings/vmlDrawing7.vml" /><Relationship Id="rId10" Type="http://schemas.openxmlformats.org/officeDocument/2006/relationships/hyperlink" Target="../../../../:b:/g/personal/edo_seifried_mgs-grupa_com/ETSqhe7QfoxPvJ23kqHe8-ABCHY5p1eyZAbVPdjApjRjrA?e=di4adS" TargetMode="External" /><Relationship Id="rId19" Type="http://schemas.openxmlformats.org/officeDocument/2006/relationships/hyperlink" Target="../../../../:w:/g/personal/edo_seifried_mgs-grupa_com/EeKknVmKlB1KgdpV1NqIVpIBurrht61nYe_Ti6g20lVUaw?e=iAPbyl" TargetMode="External" /><Relationship Id="rId4" Type="http://schemas.openxmlformats.org/officeDocument/2006/relationships/hyperlink" Target="https://mgsgrupa-my.sharepoint.com/:i:/g/personal/edo_seifried_mgs-grupa_com/EZXP7oJ8qVJDsq5z9NzdGkcBeLy4dILsUFAsr4k-aRxltg?e=H2QrUj" TargetMode="External" /><Relationship Id="rId9" Type="http://schemas.openxmlformats.org/officeDocument/2006/relationships/hyperlink" Target="../../../../:b:/g/personal/edo_seifried_mgs-grupa_com/EbnRTP03-qJKjkpKUVv3VQcBOx5sgsuElgVImUDp8dahAQ?e=El3Gxp" TargetMode="External" /><Relationship Id="rId14" Type="http://schemas.openxmlformats.org/officeDocument/2006/relationships/hyperlink" Target="../../../../:b:/g/personal/edo_seifried_mgs-grupa_com/EePhfDelywpHm6fTGx-eJngB5h1MhiCpXlJ2uv8o0VB1Qw?e=P81sDz" TargetMode="External" /><Relationship Id="rId22" Type="http://schemas.openxmlformats.org/officeDocument/2006/relationships/printerSettings" Target="../printerSettings/printerSettings5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1" Type="http://schemas.openxmlformats.org/officeDocument/2006/relationships/printerSettings" Target="../printerSettings/printerSettings2.bin" /><Relationship Id="rId4" Type="http://schemas.microsoft.com/office/2017/10/relationships/threadedComment" Target="../threadedComments/threadedComment2.xml" 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:b:/g/personal/edo_seifried_mgs-grupa_com/EePhfDelywpHm6fTGx-eJngB5h1MhiCpXlJ2uv8o0VB1Qw?e=P81sDz" TargetMode="External" /><Relationship Id="rId13" Type="http://schemas.openxmlformats.org/officeDocument/2006/relationships/hyperlink" Target="../../../../:b:/g/personal/edo_seifried_mgs-grupa_com/EcP4-IV5wHFBgrsJG_5mVP0BXYW1kx7QY1IbkRYEhZ5OWw?e=TqVxhJ" TargetMode="External" /><Relationship Id="rId18" Type="http://schemas.openxmlformats.org/officeDocument/2006/relationships/hyperlink" Target="../../../../:b:/g/personal/edo_seifried_mgs-grupa_com/EZJ4vnF48mVJtGdq8QN-shQBb60QfecCYW6d13UsJQOnEw?e=7oI0yf" TargetMode="External" /><Relationship Id="rId26" Type="http://schemas.openxmlformats.org/officeDocument/2006/relationships/hyperlink" Target="../../../../:b:/g/personal/edo_seifried_mgs-grupa_com/EZzK9YCNln1PieALzPmkgbkB6Tjq9CpJ1EtWpK0tQvbTVQ?e=QuVEyd" TargetMode="External" /><Relationship Id="rId39" Type="http://schemas.openxmlformats.org/officeDocument/2006/relationships/hyperlink" Target="../../../../:b:/g/personal/edo_seifried_mgs-grupa_com/EUFkFxRvHE9Es2os4rLEJQABb5vO-cxQIZpwqZ8LELYZgQ?e=nEiTGe" TargetMode="External" /><Relationship Id="rId3" Type="http://schemas.openxmlformats.org/officeDocument/2006/relationships/hyperlink" Target="../../../../:i:/g/personal/edo_seifried_mgs-grupa_com/EZXP7oJ8qVJDsq5z9NzdGkcBeLy4dILsUFAsr4k-aRxltg?e=H2QrUj" TargetMode="External" /><Relationship Id="rId21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PON%2D23%2D000428%2Epdf&amp;parent=%2Fpersonal%2Fedo%5Fseifried%5Fmgs%2Dgrupa%5Fcom%2FDocuments%2FMGS%20POSLOVANJE%202023%2FPonude%20%2D%20projekti%2FPUG" TargetMode="External" /><Relationship Id="rId34" Type="http://schemas.openxmlformats.org/officeDocument/2006/relationships/hyperlink" Target="../../../../:b:/g/personal/edo_seifried_mgs-grupa_com/EZmtjy9q9NtAsuKsZSTyoQMBYFEUZDcYj1r7mvTyLPyOLw?e=zrO9eA" TargetMode="External" /><Relationship Id="rId42" Type="http://schemas.openxmlformats.org/officeDocument/2006/relationships/hyperlink" Target="https://mgsgrupa-my.sharepoint.com/:b:/g/personal/edo_seifried_mgs-grupa_com/Eb5FKYcskXFKubdANMuj60ABGjHK53ybjLssuomNWthaCQ?e=s1jb8u" TargetMode="External" /><Relationship Id="rId47" Type="http://schemas.openxmlformats.org/officeDocument/2006/relationships/comments" Target="../comments3.xml" /><Relationship Id="rId7" Type="http://schemas.openxmlformats.org/officeDocument/2006/relationships/hyperlink" Target="../../../../:b:/g/personal/edo_seifried_mgs-grupa_com/ESxVFbrzChNGhlEgAX5n8i4BZLZSyb9ia4CAZ_bXcEfo9Q?e=hBvywp" TargetMode="External" /><Relationship Id="rId12" Type="http://schemas.openxmlformats.org/officeDocument/2006/relationships/hyperlink" Target="../../../../:b:/g/personal/edo_seifried_mgs-grupa_com/Ecz3Zm0kj61Gnp-oJGgl6aUBfQmoZl8qnBi7vUIKPQzRxg?e=LYIbxY" TargetMode="External" /><Relationship Id="rId17" Type="http://schemas.openxmlformats.org/officeDocument/2006/relationships/hyperlink" Target="../../../../:b:/g/personal/edo_seifried_mgs-grupa_com/EQypBrMKywlHsuKkqOM9BpYBOx_C_rE3cTsaYbru6imWFw?e=bq6rnx" TargetMode="External" /><Relationship Id="rId25" Type="http://schemas.openxmlformats.org/officeDocument/2006/relationships/hyperlink" Target="../../../../:b:/g/personal/edo_seifried_mgs-grupa_com/EUEBhoh07yxFjkxG1ofof2oB2sKyOgUULZv61WssqVwMpw?e=ZG2Db1" TargetMode="External" /><Relationship Id="rId33" Type="http://schemas.openxmlformats.org/officeDocument/2006/relationships/hyperlink" Target="../../../../:b:/g/personal/edo_seifried_mgs-grupa_com/EX2Tle0mngJPqUCZ64cOn10Be0PD8ScT4Dji55Pq8nzlPA?e=ViULb5" TargetMode="External" /><Relationship Id="rId38" Type="http://schemas.openxmlformats.org/officeDocument/2006/relationships/hyperlink" Target="../../../../:b:/g/personal/edo_seifried_mgs-grupa_com/Ea_NuU52CGlMrmW4DrXEsr4B4uNAyAratH-p2B0wnG5Gog?e=fcVrZb" TargetMode="External" /><Relationship Id="rId46" Type="http://schemas.openxmlformats.org/officeDocument/2006/relationships/vmlDrawing" Target="../drawings/vmlDrawing3.vml" /><Relationship Id="rId2" Type="http://schemas.openxmlformats.org/officeDocument/2006/relationships/hyperlink" Target="../../../../:b:/g/personal/edo_seifried_mgs-grupa_com/EQOEUhIdB0BPpngxJgAjSqcBa4I7CUj_VDxeYNR5_qcdqA?e=aZwtgw" TargetMode="External" /><Relationship Id="rId16" Type="http://schemas.openxmlformats.org/officeDocument/2006/relationships/hyperlink" Target="../../../../:b:/g/personal/edo_seifried_mgs-grupa_com/EZAMxFs7pTBBgA0r7NkjCTkBNHN4vXnjyDQYOm5SNEDhqQ?e=pPI9JY" TargetMode="External" /><Relationship Id="rId20" Type="http://schemas.openxmlformats.org/officeDocument/2006/relationships/hyperlink" Target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SK%2Epdf&amp;parent=%2Fpersonal%2Fedo%5Fseifried%5Fmgs%2Dgrupa%5Fcom%2FDocuments%2FMGS%20POSLOVANJE%202023%2FPonude%20%2D%20projekti%2FPUG" TargetMode="External" /><Relationship Id="rId29" Type="http://schemas.openxmlformats.org/officeDocument/2006/relationships/hyperlink" Target="../../../../:b:/g/personal/edo_seifried_mgs-grupa_com/EUOGxwnvI6hKhgfb03NNBl0BY8i-v8P68_qz5t0Apwhf3g?e=t4vjeR" TargetMode="External" /><Relationship Id="rId41" Type="http://schemas.openxmlformats.org/officeDocument/2006/relationships/hyperlink" Target="https://mgsgrupa-my.sharepoint.com/:b:/g/personal/edo_seifried_mgs-grupa_com/EcYVrqKz4I5KmhC5P00bD28BK2l0mkoQCx0moFri2kVqjQ?e=cS9Y0l" TargetMode="External" /><Relationship Id="rId1" Type="http://schemas.openxmlformats.org/officeDocument/2006/relationships/hyperlink" Target="../../../../:b:/g/personal/edo_seifried_mgs-grupa_com/ERgZHPAeIdBMvQNV_U0q78EBRrCf2m4o3dFlL0Q1cg83HA?e=GMwiEV" TargetMode="External" /><Relationship Id="rId6" Type="http://schemas.openxmlformats.org/officeDocument/2006/relationships/hyperlink" Target="https://mgsgrupa-my.sharepoint.com/:b:/g/personal/edo_seifried_mgs-grupa_com/EbnRTP03-qJKjkpKUVv3VQcBOx5sgsuElgVImUDp8dahAQ?e=El3Gxp" TargetMode="External" /><Relationship Id="rId11" Type="http://schemas.openxmlformats.org/officeDocument/2006/relationships/hyperlink" Target="../../../../:b:/g/personal/edo_seifried_mgs-grupa_com/EefTIx-d2Y1Oj1EcYQlLtEwBb3t2KSbaqX-MqVHlDvyzNA?e=Ft7QW2" TargetMode="External" /><Relationship Id="rId24" Type="http://schemas.openxmlformats.org/officeDocument/2006/relationships/hyperlink" Target="../../../../:b:/g/personal/edo_seifried_mgs-grupa_com/EcoL1acRxYNHlxpHf5GfCV0B-54MME70OFhNprHlwo4D5w?e=hOYqWC" TargetMode="External" /><Relationship Id="rId32" Type="http://schemas.openxmlformats.org/officeDocument/2006/relationships/hyperlink" Target="../../../../:b:/g/personal/edo_seifried_mgs-grupa_com/EVo-7Z7h5hZLo1vWH1Xqq94B8i11IyE5TP5yBQdzXzEplg?e=SMfhAH" TargetMode="External" /><Relationship Id="rId37" Type="http://schemas.openxmlformats.org/officeDocument/2006/relationships/hyperlink" Target="../../../../:b:/g/personal/edo_seifried_mgs-grupa_com/EWOqCDQ-1QBKspG_UOOhZcsBkFWvU993uopUvnHgHiViPQ?e=xhGh9g" TargetMode="External" /><Relationship Id="rId40" Type="http://schemas.openxmlformats.org/officeDocument/2006/relationships/hyperlink" Target="../../../../:b:/g/personal/edo_seifried_mgs-grupa_com/EavLqi7fI-tCjejFFZvqLLMBJTWrakPGQ5vtApihr2pQhQ?e=7APRHG" TargetMode="External" /><Relationship Id="rId45" Type="http://schemas.openxmlformats.org/officeDocument/2006/relationships/hyperlink" Target="https://mgsgrupa-my.sharepoint.com/:b:/g/personal/edo_seifried_mgs-grupa_com/EbMY3u42MC5LutYYDH_eEDYBQ8v4iSiIdEEBi7n1Pa2NGg?e=eYqSov" TargetMode="External" /><Relationship Id="rId5" Type="http://schemas.openxmlformats.org/officeDocument/2006/relationships/hyperlink" Target="../../../../:b:/g/personal/edo_seifried_mgs-grupa_com/EbnRTP03-qJKjkpKUVv3VQcBOx5sgsuElgVImUDp8dahAQ?e=El3Gxp" TargetMode="External" /><Relationship Id="rId15" Type="http://schemas.openxmlformats.org/officeDocument/2006/relationships/hyperlink" Target="../../../../:b:/g/personal/edo_seifried_mgs-grupa_com/EQOeTmyleiFDjxMWX72_v50B5dujx6DVZXdyXSFp9pDqUw?e=Ia9Qbu" TargetMode="External" /><Relationship Id="rId23" Type="http://schemas.openxmlformats.org/officeDocument/2006/relationships/hyperlink" Target="../../../../:w:/g/personal/edo_seifried_mgs-grupa_com/EZy-hxX5E6hEj_I_ANBHRHIBORhknvjMr4cbx6uV7P9Vaw?e=9wY5Ez" TargetMode="External" /><Relationship Id="rId28" Type="http://schemas.openxmlformats.org/officeDocument/2006/relationships/hyperlink" Target="../../../../:b:/g/personal/edo_seifried_mgs-grupa_com/Edzet2htHnlLp9kQyQCWi_gBJ9HvIDlcfn_wsENjze3RUQ?e=hOhm8I" TargetMode="External" /><Relationship Id="rId36" Type="http://schemas.openxmlformats.org/officeDocument/2006/relationships/hyperlink" Target="../../../../:b:/g/personal/edo_seifried_mgs-grupa_com/ETNgH5qJKwxBnk5efT8GHsABUIxfyTwj9HMriOAfT365lA?e=bVceGh" TargetMode="External" /><Relationship Id="rId10" Type="http://schemas.openxmlformats.org/officeDocument/2006/relationships/hyperlink" Target="../../../../:b:/g/personal/edo_seifried_mgs-grupa_com/EafEH0XNR0lOsVZmsgJc2vsBudnaL51uOrE1cZTZRJrO7w?e=l2kJ3s" TargetMode="External" /><Relationship Id="rId19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DOK130223%2D080901%2Epdf&amp;parent=%2Fpersonal%2Fedo%5Fseifried%5Fmgs%2Dgrupa%5Fcom%2FDocuments%2FMGS%20POSLOVANJE%202023%2FPonude%20%2D%20projekti%2FPUG" TargetMode="External" /><Relationship Id="rId31" Type="http://schemas.openxmlformats.org/officeDocument/2006/relationships/hyperlink" Target="../../../../:b:/g/personal/edo_seifried_mgs-grupa_com/Efp51HvaTE1FvuZEvOeF5vQBHevJrsx_nEW9lvntYYwR5g?e=M9vDAI" TargetMode="External" /><Relationship Id="rId44" Type="http://schemas.openxmlformats.org/officeDocument/2006/relationships/hyperlink" Target="https://mgsgrupa-my.sharepoint.com/:b:/g/personal/edo_seifried_mgs-grupa_com/EUVLIw28kmpKiulZL9RnhcYBlafY3iS4-lDWCUOa8X8-Dw?e=aWFVVr" TargetMode="External" /><Relationship Id="rId4" Type="http://schemas.openxmlformats.org/officeDocument/2006/relationships/hyperlink" Target="../../../../:b:/g/personal/edo_seifried_mgs-grupa_com/EZDBDbKdi91HmA4Djy-heZcBSnRVF6Z1QXWhyJMagoGkZA?e=SKVEqh" TargetMode="External" /><Relationship Id="rId9" Type="http://schemas.openxmlformats.org/officeDocument/2006/relationships/hyperlink" Target="../../../../:b:/g/personal/edo_seifried_mgs-grupa_com/EZ2UpJVADqJDpxmE68tCVpABSjWWkgi7I8bHIeftWdXEcg?e=RFEjub" TargetMode="External" /><Relationship Id="rId14" Type="http://schemas.openxmlformats.org/officeDocument/2006/relationships/hyperlink" Target="../../../../:b:/g/personal/edo_seifried_mgs-grupa_com/EV5lmlmE_6FGjrxhLRSeJIEB10ikDL75DW7U368PTEMD8A?e=BkPuIo" TargetMode="External" /><Relationship Id="rId22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Protiplam%20%2D%20PUG%2Epdf&amp;parent=%2Fpersonal%2Fedo%5Fseifried%5Fmgs%2Dgrupa%5Fcom%2FDocuments%2FMGS%20POSLOVANJE%202023%2FPonude%20%2D%20projekti%2FPUG" TargetMode="External" /><Relationship Id="rId27" Type="http://schemas.openxmlformats.org/officeDocument/2006/relationships/hyperlink" Target="../../../../:b:/g/personal/edo_seifried_mgs-grupa_com/EZH1PWT7TkVNp_2GgOHR_0IBb6VrM_xHiuzr5hk29ctj0A?e=vg8N5I" TargetMode="External" /><Relationship Id="rId30" Type="http://schemas.openxmlformats.org/officeDocument/2006/relationships/hyperlink" Target="../../../../:w:/g/personal/edo_seifried_mgs-grupa_com/ETBSFEM_TD1Lr_nsDRMq2PIBK6puXDNWmC4WAUHWujKwrQ?e=ijADUi" TargetMode="External" /><Relationship Id="rId35" Type="http://schemas.openxmlformats.org/officeDocument/2006/relationships/hyperlink" Target="../../../../:b:/g/personal/edo_seifried_mgs-grupa_com/EUlPq8_M8JJKjp9RaHwqTFcBmzppS3ZwTOJ18Yh_8GzX0g?e=VUyTvf" TargetMode="External" /><Relationship Id="rId43" Type="http://schemas.openxmlformats.org/officeDocument/2006/relationships/hyperlink" Target="https://mgsgrupa-my.sharepoint.com/:b:/g/personal/edo_seifried_mgs-grupa_com/Ec-ubs2CBg1JgSnyy9HKwxMBQW0uFxATSwsxMTFPXgu3fQ?e=PzuWwW" TargetMode="External" /><Relationship Id="rId48" Type="http://schemas.microsoft.com/office/2017/10/relationships/threadedComment" Target="../threadedComments/threadedComment3.xml" 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:b:/g/personal/edo_seifried_mgs-grupa_com/ESxVFbrzChNGhlEgAX5n8i4BZLZSyb9ia4CAZ_bXcEfo9Q?e=hBvywp" TargetMode="External" /><Relationship Id="rId13" Type="http://schemas.openxmlformats.org/officeDocument/2006/relationships/hyperlink" Target="../../../../:b:/g/personal/edo_seifried_mgs-grupa_com/Ecz3Zm0kj61Gnp-oJGgl6aUBfQmoZl8qnBi7vUIKPQzRxg?e=LYIbxY" TargetMode="External" /><Relationship Id="rId18" Type="http://schemas.openxmlformats.org/officeDocument/2006/relationships/hyperlink" Target="../../../../:b:/g/personal/edo_seifried_mgs-grupa_com/EQypBrMKywlHsuKkqOM9BpYBOx_C_rE3cTsaYbru6imWFw?e=bq6rnx" TargetMode="External" /><Relationship Id="rId26" Type="http://schemas.openxmlformats.org/officeDocument/2006/relationships/hyperlink" Target="../../../../:b:/g/personal/edo_seifried_mgs-grupa_com/EUEBhoh07yxFjkxG1ofof2oB2sKyOgUULZv61WssqVwMpw?e=ZG2Db1" TargetMode="External" /><Relationship Id="rId39" Type="http://schemas.openxmlformats.org/officeDocument/2006/relationships/hyperlink" Target="../../../../:b:/g/personal/edo_seifried_mgs-grupa_com/Ea_NuU52CGlMrmW4DrXEsr4B4uNAyAratH-p2B0wnG5Gog?e=fcVrZb" TargetMode="External" /><Relationship Id="rId3" Type="http://schemas.openxmlformats.org/officeDocument/2006/relationships/hyperlink" Target="../../../../:i:/g/personal/edo_seifried_mgs-grupa_com/EZXP7oJ8qVJDsq5z9NzdGkcBeLy4dILsUFAsr4k-aRxltg?e=H2QrUj" TargetMode="External" /><Relationship Id="rId21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DSK%2Epdf&amp;parent=%2Fpersonal%2Fedo%5Fseifried%5Fmgs%2Dgrupa%5Fcom%2FDocuments%2FMGS%20POSLOVANJE%202023%2FPonude%20%2D%20projekti%2FPUG" TargetMode="External" /><Relationship Id="rId34" Type="http://schemas.openxmlformats.org/officeDocument/2006/relationships/hyperlink" Target="../../../../:b:/g/personal/edo_seifried_mgs-grupa_com/EX2Tle0mngJPqUCZ64cOn10Be0PD8ScT4Dji55Pq8nzlPA?e=ViULb5" TargetMode="External" /><Relationship Id="rId42" Type="http://schemas.openxmlformats.org/officeDocument/2006/relationships/vmlDrawing" Target="../drawings/vmlDrawing4.vml" /><Relationship Id="rId7" Type="http://schemas.openxmlformats.org/officeDocument/2006/relationships/hyperlink" Target="../../../../:b:/g/personal/edo_seifried_mgs-grupa_com/EWz1FCwGKIVCv8zmBracrbsBLToHEQI6m-mrDi_lDcVxUQ?e=SU4hod" TargetMode="External" /><Relationship Id="rId12" Type="http://schemas.openxmlformats.org/officeDocument/2006/relationships/hyperlink" Target="../../../../:b:/g/personal/edo_seifried_mgs-grupa_com/EefTIx-d2Y1Oj1EcYQlLtEwBb3t2KSbaqX-MqVHlDvyzNA?e=Ft7QW2" TargetMode="External" /><Relationship Id="rId17" Type="http://schemas.openxmlformats.org/officeDocument/2006/relationships/hyperlink" Target="../../../../:b:/g/personal/edo_seifried_mgs-grupa_com/EZAMxFs7pTBBgA0r7NkjCTkBNHN4vXnjyDQYOm5SNEDhqQ?e=pPI9JY" TargetMode="External" /><Relationship Id="rId25" Type="http://schemas.openxmlformats.org/officeDocument/2006/relationships/hyperlink" Target="../../../../:b:/g/personal/edo_seifried_mgs-grupa_com/EcoL1acRxYNHlxpHf5GfCV0B-54MME70OFhNprHlwo4D5w?e=hOYqWC" TargetMode="External" /><Relationship Id="rId33" Type="http://schemas.openxmlformats.org/officeDocument/2006/relationships/hyperlink" Target="../../../../:b:/g/personal/edo_seifried_mgs-grupa_com/EVo-7Z7h5hZLo1vWH1Xqq94B8i11IyE5TP5yBQdzXzEplg?e=SMfhAH" TargetMode="External" /><Relationship Id="rId38" Type="http://schemas.openxmlformats.org/officeDocument/2006/relationships/hyperlink" Target="../../../../:b:/g/personal/edo_seifried_mgs-grupa_com/EWOqCDQ-1QBKspG_UOOhZcsBkFWvU993uopUvnHgHiViPQ?e=xhGh9g" TargetMode="External" /><Relationship Id="rId2" Type="http://schemas.openxmlformats.org/officeDocument/2006/relationships/hyperlink" Target="../../../../:b:/g/personal/edo_seifried_mgs-grupa_com/EQOEUhIdB0BPpngxJgAjSqcBa4I7CUj_VDxeYNR5_qcdqA?e=aZwtgw" TargetMode="External" /><Relationship Id="rId16" Type="http://schemas.openxmlformats.org/officeDocument/2006/relationships/hyperlink" Target="../../../../:b:/g/personal/edo_seifried_mgs-grupa_com/EQOeTmyleiFDjxMWX72_v50B5dujx6DVZXdyXSFp9pDqUw?e=Ia9Qbu" TargetMode="External" /><Relationship Id="rId20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DOK130223%2D080901%2Epdf&amp;parent=%2Fpersonal%2Fedo%5Fseifried%5Fmgs%2Dgrupa%5Fcom%2FDocuments%2FMGS%20POSLOVANJE%202023%2FPonude%20%2D%20projekti%2FPUG" TargetMode="External" /><Relationship Id="rId29" Type="http://schemas.openxmlformats.org/officeDocument/2006/relationships/hyperlink" Target="../../../../:b:/g/personal/edo_seifried_mgs-grupa_com/Edzet2htHnlLp9kQyQCWi_gBJ9HvIDlcfn_wsENjze3RUQ?e=hOhm8I" TargetMode="External" /><Relationship Id="rId41" Type="http://schemas.openxmlformats.org/officeDocument/2006/relationships/hyperlink" Target="../../../../:b:/g/personal/edo_seifried_mgs-grupa_com/EavLqi7fI-tCjejFFZvqLLMBJTWrakPGQ5vtApihr2pQhQ?e=7APRHG" TargetMode="External" /><Relationship Id="rId1" Type="http://schemas.openxmlformats.org/officeDocument/2006/relationships/hyperlink" Target="../../../../:b:/g/personal/edo_seifried_mgs-grupa_com/ERgZHPAeIdBMvQNV_U0q78EBRrCf2m4o3dFlL0Q1cg83HA?e=GMwiEV" TargetMode="External" /><Relationship Id="rId6" Type="http://schemas.openxmlformats.org/officeDocument/2006/relationships/hyperlink" Target="../../../../:b:/g/personal/edo_seifried_mgs-grupa_com/EbnRTP03-qJKjkpKUVv3VQcBOx5sgsuElgVImUDp8dahAQ?e=El3Gxp" TargetMode="External" /><Relationship Id="rId11" Type="http://schemas.openxmlformats.org/officeDocument/2006/relationships/hyperlink" Target="../../../../:b:/g/personal/edo_seifried_mgs-grupa_com/EafEH0XNR0lOsVZmsgJc2vsBudnaL51uOrE1cZTZRJrO7w?e=l2kJ3s" TargetMode="External" /><Relationship Id="rId24" Type="http://schemas.openxmlformats.org/officeDocument/2006/relationships/hyperlink" Target="../../../../:w:/g/personal/edo_seifried_mgs-grupa_com/EZy-hxX5E6hEj_I_ANBHRHIBORhknvjMr4cbx6uV7P9Vaw?e=9wY5Ez" TargetMode="External" /><Relationship Id="rId32" Type="http://schemas.openxmlformats.org/officeDocument/2006/relationships/hyperlink" Target="../../../../:b:/g/personal/edo_seifried_mgs-grupa_com/Efp51HvaTE1FvuZEvOeF5vQBHevJrsx_nEW9lvntYYwR5g?e=M9vDAI" TargetMode="External" /><Relationship Id="rId37" Type="http://schemas.openxmlformats.org/officeDocument/2006/relationships/hyperlink" Target="../../../../:b:/g/personal/edo_seifried_mgs-grupa_com/ETNgH5qJKwxBnk5efT8GHsABUIxfyTwj9HMriOAfT365lA?e=bVceGh" TargetMode="External" /><Relationship Id="rId40" Type="http://schemas.openxmlformats.org/officeDocument/2006/relationships/hyperlink" Target="../../../../:b:/g/personal/edo_seifried_mgs-grupa_com/EUFkFxRvHE9Es2os4rLEJQABb5vO-cxQIZpwqZ8LELYZgQ?e=nEiTGe" TargetMode="External" /><Relationship Id="rId5" Type="http://schemas.openxmlformats.org/officeDocument/2006/relationships/hyperlink" Target="../../../../:b:/g/personal/edo_seifried_mgs-grupa_com/EbnRTP03-qJKjkpKUVv3VQcBOx5sgsuElgVImUDp8dahAQ?e=El3Gxp" TargetMode="External" /><Relationship Id="rId15" Type="http://schemas.openxmlformats.org/officeDocument/2006/relationships/hyperlink" Target="../../../../:b:/g/personal/edo_seifried_mgs-grupa_com/EV5lmlmE_6FGjrxhLRSeJIEB10ikDL75DW7U368PTEMD8A?e=BkPuIo" TargetMode="External" /><Relationship Id="rId23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Protiplam%20%2D%20PUG%2Epdf&amp;parent=%2Fpersonal%2Fedo%5Fseifried%5Fmgs%2Dgrupa%5Fcom%2FDocuments%2FMGS%20POSLOVANJE%202023%2FPonude%20%2D%20projekti%2FPUG" TargetMode="External" /><Relationship Id="rId28" Type="http://schemas.openxmlformats.org/officeDocument/2006/relationships/hyperlink" Target="../../../../:b:/g/personal/edo_seifried_mgs-grupa_com/EZH1PWT7TkVNp_2GgOHR_0IBb6VrM_xHiuzr5hk29ctj0A?e=vg8N5I" TargetMode="External" /><Relationship Id="rId36" Type="http://schemas.openxmlformats.org/officeDocument/2006/relationships/hyperlink" Target="../../../../:b:/g/personal/edo_seifried_mgs-grupa_com/EUlPq8_M8JJKjp9RaHwqTFcBmzppS3ZwTOJ18Yh_8GzX0g?e=VUyTvf" TargetMode="External" /><Relationship Id="rId10" Type="http://schemas.openxmlformats.org/officeDocument/2006/relationships/hyperlink" Target="../../../../:b:/g/personal/edo_seifried_mgs-grupa_com/EZ2UpJVADqJDpxmE68tCVpABSjWWkgi7I8bHIeftWdXEcg?e=RFEjub" TargetMode="External" /><Relationship Id="rId19" Type="http://schemas.openxmlformats.org/officeDocument/2006/relationships/hyperlink" Target="../../../../:b:/g/personal/edo_seifried_mgs-grupa_com/EZJ4vnF48mVJtGdq8QN-shQBb60QfecCYW6d13UsJQOnEw?e=7oI0yf" TargetMode="External" /><Relationship Id="rId31" Type="http://schemas.openxmlformats.org/officeDocument/2006/relationships/hyperlink" Target="../../../../:w:/g/personal/edo_seifried_mgs-grupa_com/ETBSFEM_TD1Lr_nsDRMq2PIBK6puXDNWmC4WAUHWujKwrQ?e=ijADUi" TargetMode="External" /><Relationship Id="rId44" Type="http://schemas.microsoft.com/office/2017/10/relationships/threadedComment" Target="../threadedComments/threadedComment4.xml" /><Relationship Id="rId4" Type="http://schemas.openxmlformats.org/officeDocument/2006/relationships/hyperlink" Target="../../../../:b:/g/personal/edo_seifried_mgs-grupa_com/EZDBDbKdi91HmA4Djy-heZcBSnRVF6Z1QXWhyJMagoGkZA?e=SKVEqh" TargetMode="External" /><Relationship Id="rId9" Type="http://schemas.openxmlformats.org/officeDocument/2006/relationships/hyperlink" Target="../../../../:b:/g/personal/edo_seifried_mgs-grupa_com/EePhfDelywpHm6fTGx-eJngB5h1MhiCpXlJ2uv8o0VB1Qw?e=P81sDz" TargetMode="External" /><Relationship Id="rId14" Type="http://schemas.openxmlformats.org/officeDocument/2006/relationships/hyperlink" Target="../../../../:b:/g/personal/edo_seifried_mgs-grupa_com/EcP4-IV5wHFBgrsJG_5mVP0BXYW1kx7QY1IbkRYEhZ5OWw?e=TqVxhJ" TargetMode="External" /><Relationship Id="rId22" Type="http://schemas.openxmlformats.org/officeDocument/2006/relationships/hyperlink" Target="../../_layouts/15/onedrive.aspx?FolderCTID=0x012000B6670701AE22CA4FBB997280B733C9E2&amp;id=%2Fpersonal%2Fedo%5Fseifried%5Fmgs%2Dgrupa%5Fcom%2FDocuments%2FMGS%20POSLOVANJE%202023%2FPonude%20%2D%20projekti%2FPUG%2FPON%2D23%2D000428%2Epdf&amp;parent=%2Fpersonal%2Fedo%5Fseifried%5Fmgs%2Dgrupa%5Fcom%2FDocuments%2FMGS%20POSLOVANJE%202023%2FPonude%20%2D%20projekti%2FPUG" TargetMode="External" /><Relationship Id="rId27" Type="http://schemas.openxmlformats.org/officeDocument/2006/relationships/hyperlink" Target="../../../../:b:/g/personal/edo_seifried_mgs-grupa_com/EZzK9YCNln1PieALzPmkgbkB6Tjq9CpJ1EtWpK0tQvbTVQ?e=QuVEyd" TargetMode="External" /><Relationship Id="rId30" Type="http://schemas.openxmlformats.org/officeDocument/2006/relationships/hyperlink" Target="../../../../:b:/g/personal/edo_seifried_mgs-grupa_com/EUOGxwnvI6hKhgfb03NNBl0BY8i-v8P68_qz5t0Apwhf3g?e=t4vjeR" TargetMode="External" /><Relationship Id="rId35" Type="http://schemas.openxmlformats.org/officeDocument/2006/relationships/hyperlink" Target="../../../../:b:/g/personal/edo_seifried_mgs-grupa_com/EZmtjy9q9NtAsuKsZSTyoQMBYFEUZDcYj1r7mvTyLPyOLw?e=zrO9eA" TargetMode="External" /><Relationship Id="rId43" Type="http://schemas.openxmlformats.org/officeDocument/2006/relationships/comments" Target="../comments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A823-ACF4-4961-8C81-5734690DBBD4}">
  <dimension ref="A1:O28"/>
  <sheetViews>
    <sheetView topLeftCell="B1" zoomScale="130" zoomScaleNormal="130" workbookViewId="0">
      <pane ySplit="1" topLeftCell="B7" activePane="bottomLeft" state="frozen"/>
      <selection activeCell="B1" sqref="B1"/>
      <selection pane="bottomLeft" activeCell="B1" sqref="B1"/>
    </sheetView>
  </sheetViews>
  <sheetFormatPr defaultRowHeight="15" customHeight="1" x14ac:dyDescent="0.2"/>
  <cols>
    <col min="1" max="1" width="3.359375" bestFit="1" customWidth="1"/>
    <col min="2" max="2" width="24.078125" bestFit="1" customWidth="1"/>
    <col min="3" max="3" width="16.0078125" customWidth="1"/>
    <col min="4" max="4" width="17.890625" customWidth="1"/>
    <col min="5" max="5" width="22.05859375" style="7" customWidth="1"/>
    <col min="6" max="6" width="13.85546875" style="7" customWidth="1"/>
    <col min="7" max="7" width="16.94921875" style="7" customWidth="1"/>
    <col min="8" max="8" width="15.46875" style="7" customWidth="1"/>
    <col min="9" max="9" width="18.0234375" style="7" customWidth="1"/>
    <col min="10" max="10" width="12.5078125" style="7" customWidth="1"/>
    <col min="11" max="11" width="14.66015625" style="7" customWidth="1"/>
    <col min="12" max="13" width="13.31640625" style="15" customWidth="1"/>
    <col min="14" max="14" width="22.328125" style="7" customWidth="1"/>
    <col min="15" max="15" width="20.71484375" customWidth="1"/>
  </cols>
  <sheetData>
    <row r="1" spans="1:15" s="151" customFormat="1" ht="46.9" customHeight="1" x14ac:dyDescent="0.2">
      <c r="A1" s="151" t="s">
        <v>0</v>
      </c>
      <c r="B1" s="152" t="s">
        <v>1</v>
      </c>
      <c r="C1" s="152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3" t="s">
        <v>9</v>
      </c>
      <c r="K1" s="153" t="s">
        <v>10</v>
      </c>
      <c r="L1" s="12" t="s">
        <v>11</v>
      </c>
      <c r="M1" s="12" t="s">
        <v>12</v>
      </c>
      <c r="N1" s="153" t="s">
        <v>13</v>
      </c>
      <c r="O1" s="152" t="s">
        <v>14</v>
      </c>
    </row>
    <row r="2" spans="1:15" s="2" customFormat="1" ht="23.45" customHeight="1" x14ac:dyDescent="0.2">
      <c r="A2" s="103">
        <v>1</v>
      </c>
      <c r="B2" s="2" t="s">
        <v>15</v>
      </c>
      <c r="C2" s="44">
        <v>44928</v>
      </c>
      <c r="D2" s="44">
        <f>+E2</f>
        <v>44943</v>
      </c>
      <c r="E2" s="45">
        <f>+C2+15</f>
        <v>44943</v>
      </c>
      <c r="F2" s="45">
        <f>+E2+7</f>
        <v>44950</v>
      </c>
      <c r="G2" s="8">
        <f>44413.53/1.25</f>
        <v>35530.824000000001</v>
      </c>
      <c r="H2" s="203">
        <f>44413.53</f>
        <v>44413.53</v>
      </c>
      <c r="I2" s="8">
        <f>31512.6+600+1500+457+700+600</f>
        <v>35369.599999999999</v>
      </c>
      <c r="J2" s="8"/>
      <c r="K2" s="8">
        <f>+I2*1.25</f>
        <v>44212</v>
      </c>
      <c r="L2" s="13">
        <f>+G2-I2</f>
        <v>161.22400000000198</v>
      </c>
      <c r="M2" s="41">
        <f t="shared" ref="M2:M16" si="0">G2/(I2+J2)-100%</f>
        <v>4.5582647245092645E-3</v>
      </c>
      <c r="N2" s="8">
        <f>150000*1.25/7.5345</f>
        <v>24885.526577742385</v>
      </c>
      <c r="O2" s="9"/>
    </row>
    <row r="3" spans="1:15" s="2" customFormat="1" ht="23.45" customHeight="1" x14ac:dyDescent="0.2">
      <c r="A3" s="103">
        <f>+A2+1</f>
        <v>2</v>
      </c>
      <c r="B3" s="2" t="s">
        <v>16</v>
      </c>
      <c r="C3" s="44">
        <v>44950</v>
      </c>
      <c r="D3" s="44">
        <v>44972</v>
      </c>
      <c r="E3" s="45">
        <f>+C3+45</f>
        <v>44995</v>
      </c>
      <c r="F3" s="45">
        <f>+D3+30</f>
        <v>45002</v>
      </c>
      <c r="G3" s="8">
        <f>375505/7.5345</f>
        <v>49838.078173734153</v>
      </c>
      <c r="H3" s="203">
        <f>483381.25/7.5345</f>
        <v>64155.717034972455</v>
      </c>
      <c r="I3" s="8">
        <v>43816</v>
      </c>
      <c r="J3" s="8">
        <f>200+500</f>
        <v>700</v>
      </c>
      <c r="K3" s="8">
        <f>(I3+J3)*1.25</f>
        <v>55645</v>
      </c>
      <c r="L3" s="13">
        <f>+G3-I3</f>
        <v>6022.0781737341531</v>
      </c>
      <c r="M3" s="41">
        <f t="shared" si="0"/>
        <v>0.11955427652381512</v>
      </c>
      <c r="N3" s="8"/>
      <c r="O3" s="9"/>
    </row>
    <row r="4" spans="1:15" s="2" customFormat="1" ht="23.45" customHeight="1" x14ac:dyDescent="0.2">
      <c r="A4" s="104">
        <f t="shared" ref="A4:A17" si="1">+A3+1</f>
        <v>3</v>
      </c>
      <c r="B4" s="2" t="s">
        <v>17</v>
      </c>
      <c r="C4" s="44">
        <v>44945</v>
      </c>
      <c r="D4" s="44">
        <v>45000</v>
      </c>
      <c r="E4" s="45">
        <f>+C4+90</f>
        <v>45035</v>
      </c>
      <c r="F4" s="45">
        <f>+D4+30</f>
        <v>45030</v>
      </c>
      <c r="G4" s="8">
        <f>+H4/1.25</f>
        <v>97273.743999999992</v>
      </c>
      <c r="H4" s="204">
        <v>121592.18</v>
      </c>
      <c r="I4" s="8">
        <v>63430</v>
      </c>
      <c r="J4" s="8">
        <v>1000</v>
      </c>
      <c r="K4" s="8">
        <f>+I4*1.25</f>
        <v>79287.5</v>
      </c>
      <c r="L4" s="13">
        <f>+G4-I4-J4</f>
        <v>32843.743999999992</v>
      </c>
      <c r="M4" s="41">
        <f t="shared" si="0"/>
        <v>0.50975855967716899</v>
      </c>
      <c r="N4" s="8"/>
      <c r="O4" s="9"/>
    </row>
    <row r="5" spans="1:15" s="2" customFormat="1" ht="23.45" customHeight="1" x14ac:dyDescent="0.2">
      <c r="A5" s="161">
        <f t="shared" si="1"/>
        <v>4</v>
      </c>
      <c r="B5" s="2" t="s">
        <v>18</v>
      </c>
      <c r="C5" s="44">
        <v>44887</v>
      </c>
      <c r="D5" s="44">
        <v>45031</v>
      </c>
      <c r="E5" s="45">
        <f>+C5+210</f>
        <v>45097</v>
      </c>
      <c r="F5" s="45">
        <f>+D5+7</f>
        <v>45038</v>
      </c>
      <c r="G5" s="8">
        <f>+H5/1.25</f>
        <v>68313.36</v>
      </c>
      <c r="H5" s="8">
        <v>85391.7</v>
      </c>
      <c r="I5" s="8">
        <v>43600</v>
      </c>
      <c r="J5" s="8">
        <v>1000</v>
      </c>
      <c r="K5" s="8">
        <f>(I5+J5)*1.25</f>
        <v>55750</v>
      </c>
      <c r="L5" s="13">
        <f>+G5-I5-J5</f>
        <v>23713.360000000001</v>
      </c>
      <c r="M5" s="41">
        <f t="shared" si="0"/>
        <v>0.53168968609865463</v>
      </c>
      <c r="N5" s="8"/>
      <c r="O5" s="9"/>
    </row>
    <row r="6" spans="1:15" s="2" customFormat="1" ht="23.45" customHeight="1" x14ac:dyDescent="0.2">
      <c r="A6" s="161">
        <f t="shared" si="1"/>
        <v>5</v>
      </c>
      <c r="B6" s="2" t="s">
        <v>19</v>
      </c>
      <c r="C6" s="44"/>
      <c r="D6" s="44">
        <v>45153</v>
      </c>
      <c r="E6" s="45">
        <v>45245</v>
      </c>
      <c r="F6" s="45">
        <f>+D6+30</f>
        <v>45183</v>
      </c>
      <c r="G6" s="8">
        <v>822615.97</v>
      </c>
      <c r="H6" s="8">
        <f>+G6*1.25</f>
        <v>1028269.9624999999</v>
      </c>
      <c r="I6" s="8">
        <f>4430000/7.5345</f>
        <v>587962.04127679334</v>
      </c>
      <c r="J6" s="8">
        <v>10000</v>
      </c>
      <c r="K6" s="8">
        <f>(I6+J6)*1.25</f>
        <v>747452.55159599171</v>
      </c>
      <c r="L6" s="13">
        <f>+G6-I6-J6</f>
        <v>224653.92872320663</v>
      </c>
      <c r="M6" s="41">
        <f t="shared" si="0"/>
        <v>0.3756993140292253</v>
      </c>
      <c r="N6" s="8"/>
      <c r="O6" s="9"/>
    </row>
    <row r="7" spans="1:15" s="2" customFormat="1" ht="23.45" customHeight="1" x14ac:dyDescent="0.2">
      <c r="A7" s="104">
        <f t="shared" si="1"/>
        <v>6</v>
      </c>
      <c r="B7" s="2" t="s">
        <v>20</v>
      </c>
      <c r="C7" s="45">
        <v>44869</v>
      </c>
      <c r="D7" s="45">
        <f>C7+90</f>
        <v>44959</v>
      </c>
      <c r="E7" s="45">
        <f>D7</f>
        <v>44959</v>
      </c>
      <c r="F7" s="45">
        <f>+D7+30</f>
        <v>44989</v>
      </c>
      <c r="G7" s="8">
        <f>82471/7.5345</f>
        <v>10945.782732762626</v>
      </c>
      <c r="H7" s="204">
        <f t="shared" ref="H7:H9" si="2">G7*1.25</f>
        <v>13682.228415953283</v>
      </c>
      <c r="I7" s="8">
        <v>8250</v>
      </c>
      <c r="J7" s="8">
        <v>50</v>
      </c>
      <c r="K7" s="8">
        <f t="shared" ref="K7:K16" si="3">(I7+J7)*1.25</f>
        <v>10375</v>
      </c>
      <c r="L7" s="13">
        <f t="shared" ref="L7:L17" si="4">+G7-I7-J7</f>
        <v>2645.7827327626255</v>
      </c>
      <c r="M7" s="41">
        <f t="shared" si="0"/>
        <v>0.31876900394730434</v>
      </c>
      <c r="N7" s="8"/>
      <c r="O7" s="9"/>
    </row>
    <row r="8" spans="1:15" x14ac:dyDescent="0.2">
      <c r="A8" s="103">
        <f t="shared" si="1"/>
        <v>7</v>
      </c>
      <c r="B8" s="2" t="s">
        <v>21</v>
      </c>
      <c r="C8" s="45">
        <v>44813</v>
      </c>
      <c r="D8" s="45">
        <v>44955</v>
      </c>
      <c r="E8" s="45">
        <f t="shared" ref="E8:E17" si="5">D8</f>
        <v>44955</v>
      </c>
      <c r="F8" s="45">
        <f t="shared" ref="F8:F17" si="6">+D8+30</f>
        <v>44985</v>
      </c>
      <c r="G8" s="8">
        <v>8185.02</v>
      </c>
      <c r="H8" s="203">
        <f t="shared" si="2"/>
        <v>10231.275000000001</v>
      </c>
      <c r="I8" s="8">
        <v>6982</v>
      </c>
      <c r="J8" s="8">
        <v>50</v>
      </c>
      <c r="K8" s="8">
        <f t="shared" si="3"/>
        <v>8790</v>
      </c>
      <c r="L8" s="13">
        <f t="shared" si="4"/>
        <v>1153.0200000000004</v>
      </c>
      <c r="M8" s="41">
        <f t="shared" si="0"/>
        <v>0.16396757679180896</v>
      </c>
      <c r="N8" s="10"/>
      <c r="O8" s="11"/>
    </row>
    <row r="9" spans="1:15" x14ac:dyDescent="0.2">
      <c r="A9" s="104">
        <f t="shared" si="1"/>
        <v>8</v>
      </c>
      <c r="B9" s="2" t="s">
        <v>22</v>
      </c>
      <c r="C9" s="45">
        <v>44850</v>
      </c>
      <c r="D9" s="45">
        <v>44955</v>
      </c>
      <c r="E9" s="45">
        <f t="shared" si="5"/>
        <v>44955</v>
      </c>
      <c r="F9" s="45">
        <f t="shared" si="6"/>
        <v>44985</v>
      </c>
      <c r="G9" s="8">
        <v>3627.58</v>
      </c>
      <c r="H9" s="204">
        <f t="shared" si="2"/>
        <v>4534.4750000000004</v>
      </c>
      <c r="I9" s="8">
        <v>3002.58</v>
      </c>
      <c r="J9" s="8">
        <v>50</v>
      </c>
      <c r="K9" s="8">
        <v>3000</v>
      </c>
      <c r="L9" s="13">
        <f t="shared" si="4"/>
        <v>575</v>
      </c>
      <c r="M9" s="41">
        <f t="shared" si="0"/>
        <v>0.18836525168873552</v>
      </c>
      <c r="N9" s="10"/>
      <c r="O9" s="11"/>
    </row>
    <row r="10" spans="1:15" x14ac:dyDescent="0.2">
      <c r="A10" s="161">
        <f t="shared" si="1"/>
        <v>9</v>
      </c>
      <c r="B10" s="2" t="s">
        <v>23</v>
      </c>
      <c r="C10" s="45">
        <v>44901</v>
      </c>
      <c r="D10" s="45">
        <f>C10+120</f>
        <v>45021</v>
      </c>
      <c r="E10" s="45">
        <f t="shared" si="5"/>
        <v>45021</v>
      </c>
      <c r="F10" s="45">
        <f t="shared" si="6"/>
        <v>45051</v>
      </c>
      <c r="G10" s="8">
        <f>317500/7.5345</f>
        <v>42139.491671643773</v>
      </c>
      <c r="H10" s="8">
        <f>G10*1.25</f>
        <v>52674.364589554716</v>
      </c>
      <c r="I10" s="8">
        <v>25000</v>
      </c>
      <c r="J10" s="8">
        <v>50</v>
      </c>
      <c r="K10" s="8">
        <f t="shared" si="3"/>
        <v>31312.5</v>
      </c>
      <c r="L10" s="13">
        <f t="shared" si="4"/>
        <v>17089.491671643773</v>
      </c>
      <c r="M10" s="41">
        <f t="shared" si="0"/>
        <v>0.682215236392965</v>
      </c>
      <c r="N10" s="10"/>
      <c r="O10" s="11"/>
    </row>
    <row r="11" spans="1:15" x14ac:dyDescent="0.2">
      <c r="A11" s="104">
        <f t="shared" si="1"/>
        <v>10</v>
      </c>
      <c r="B11" s="2" t="s">
        <v>24</v>
      </c>
      <c r="C11" s="45">
        <v>44901</v>
      </c>
      <c r="D11" s="45">
        <f t="shared" ref="D11:D17" si="7">C11+120</f>
        <v>45021</v>
      </c>
      <c r="E11" s="45">
        <f t="shared" si="5"/>
        <v>45021</v>
      </c>
      <c r="F11" s="45">
        <f t="shared" si="6"/>
        <v>45051</v>
      </c>
      <c r="G11" s="8">
        <f>49250/7.5345</f>
        <v>6536.5983144203328</v>
      </c>
      <c r="H11" s="204">
        <f t="shared" ref="H11:H17" si="8">G11*1.25</f>
        <v>8170.7478930254165</v>
      </c>
      <c r="I11" s="8">
        <v>955</v>
      </c>
      <c r="J11" s="8">
        <v>50</v>
      </c>
      <c r="K11" s="8">
        <f t="shared" si="3"/>
        <v>1256.25</v>
      </c>
      <c r="L11" s="13">
        <f t="shared" si="4"/>
        <v>5531.5983144203328</v>
      </c>
      <c r="M11" s="41">
        <f t="shared" si="0"/>
        <v>5.5040779247963512</v>
      </c>
      <c r="N11" s="10"/>
      <c r="O11" s="11"/>
    </row>
    <row r="12" spans="1:15" x14ac:dyDescent="0.2">
      <c r="A12" s="104">
        <f t="shared" si="1"/>
        <v>11</v>
      </c>
      <c r="B12" s="2" t="s">
        <v>25</v>
      </c>
      <c r="C12" s="45">
        <v>44862</v>
      </c>
      <c r="D12" s="45">
        <f>C12+120</f>
        <v>44982</v>
      </c>
      <c r="E12" s="45">
        <f t="shared" si="5"/>
        <v>44982</v>
      </c>
      <c r="F12" s="45">
        <f t="shared" si="6"/>
        <v>45012</v>
      </c>
      <c r="G12" s="8">
        <f>37500/7.5345</f>
        <v>4977.1053155484769</v>
      </c>
      <c r="H12" s="204">
        <f t="shared" si="8"/>
        <v>6221.3816444355962</v>
      </c>
      <c r="I12" s="8">
        <v>3527.5</v>
      </c>
      <c r="J12" s="8">
        <v>50</v>
      </c>
      <c r="K12" s="8">
        <f t="shared" si="3"/>
        <v>4471.875</v>
      </c>
      <c r="L12" s="13">
        <f t="shared" si="4"/>
        <v>1399.6053155484769</v>
      </c>
      <c r="M12" s="41">
        <f t="shared" si="0"/>
        <v>0.3912244068619084</v>
      </c>
      <c r="N12" s="10"/>
      <c r="O12" s="11"/>
    </row>
    <row r="13" spans="1:15" x14ac:dyDescent="0.2">
      <c r="A13" s="103">
        <f t="shared" si="1"/>
        <v>12</v>
      </c>
      <c r="B13" s="2" t="s">
        <v>26</v>
      </c>
      <c r="C13" s="45">
        <v>44862</v>
      </c>
      <c r="D13" s="45">
        <f>C13+120</f>
        <v>44982</v>
      </c>
      <c r="E13" s="45">
        <f t="shared" si="5"/>
        <v>44982</v>
      </c>
      <c r="F13" s="45">
        <f t="shared" si="6"/>
        <v>45012</v>
      </c>
      <c r="G13" s="8">
        <f>78600/7.5345</f>
        <v>10432.012741389608</v>
      </c>
      <c r="H13" s="203">
        <f t="shared" si="8"/>
        <v>13040.015926737011</v>
      </c>
      <c r="I13" s="8">
        <v>4642.1099999999997</v>
      </c>
      <c r="J13" s="8">
        <v>50</v>
      </c>
      <c r="K13" s="8">
        <f t="shared" si="3"/>
        <v>5865.1374999999998</v>
      </c>
      <c r="L13" s="13">
        <f t="shared" si="4"/>
        <v>5739.9027413896083</v>
      </c>
      <c r="M13" s="41">
        <f t="shared" si="0"/>
        <v>1.2233095007128156</v>
      </c>
      <c r="N13" s="10"/>
      <c r="O13" s="11"/>
    </row>
    <row r="14" spans="1:15" x14ac:dyDescent="0.2">
      <c r="A14" s="103">
        <f t="shared" si="1"/>
        <v>13</v>
      </c>
      <c r="B14" s="2" t="s">
        <v>27</v>
      </c>
      <c r="C14" s="45">
        <v>44902</v>
      </c>
      <c r="D14" s="45">
        <f t="shared" si="7"/>
        <v>45022</v>
      </c>
      <c r="E14" s="45" t="s">
        <v>28</v>
      </c>
      <c r="F14" s="45">
        <f t="shared" si="6"/>
        <v>45052</v>
      </c>
      <c r="G14" s="8">
        <f>19750/7.5345</f>
        <v>2621.2754661888644</v>
      </c>
      <c r="H14" s="203">
        <f t="shared" si="8"/>
        <v>3276.5943327360806</v>
      </c>
      <c r="I14" s="8">
        <v>1365.58</v>
      </c>
      <c r="J14" s="8">
        <v>75</v>
      </c>
      <c r="K14" s="8">
        <f t="shared" si="3"/>
        <v>1800.7249999999999</v>
      </c>
      <c r="L14" s="13">
        <f t="shared" si="4"/>
        <v>1180.6954661888644</v>
      </c>
      <c r="M14" s="41">
        <f t="shared" si="0"/>
        <v>0.81959729149985727</v>
      </c>
      <c r="N14" s="10"/>
      <c r="O14" s="11"/>
    </row>
    <row r="15" spans="1:15" x14ac:dyDescent="0.2">
      <c r="A15" s="161">
        <f t="shared" si="1"/>
        <v>14</v>
      </c>
      <c r="B15" s="2" t="s">
        <v>29</v>
      </c>
      <c r="C15" s="45">
        <v>44902</v>
      </c>
      <c r="D15" s="45">
        <f t="shared" si="7"/>
        <v>45022</v>
      </c>
      <c r="E15" s="45">
        <f t="shared" si="5"/>
        <v>45022</v>
      </c>
      <c r="F15" s="45">
        <f t="shared" si="6"/>
        <v>45052</v>
      </c>
      <c r="G15" s="8">
        <f>58000/7.5345</f>
        <v>7697.9228880483106</v>
      </c>
      <c r="H15" s="8">
        <f t="shared" si="8"/>
        <v>9622.403610060388</v>
      </c>
      <c r="I15" s="8">
        <v>4250</v>
      </c>
      <c r="J15" s="8">
        <v>50</v>
      </c>
      <c r="K15" s="8">
        <f t="shared" si="3"/>
        <v>5375</v>
      </c>
      <c r="L15" s="13">
        <f t="shared" si="4"/>
        <v>3397.9228880483106</v>
      </c>
      <c r="M15" s="41">
        <f t="shared" si="0"/>
        <v>0.79021462512751417</v>
      </c>
      <c r="N15" s="10"/>
      <c r="O15" s="11"/>
    </row>
    <row r="16" spans="1:15" x14ac:dyDescent="0.2">
      <c r="A16" s="161">
        <f t="shared" si="1"/>
        <v>15</v>
      </c>
      <c r="B16" s="2" t="s">
        <v>30</v>
      </c>
      <c r="C16" s="45">
        <v>44902</v>
      </c>
      <c r="D16" s="45">
        <f t="shared" si="7"/>
        <v>45022</v>
      </c>
      <c r="E16" s="45">
        <f t="shared" si="5"/>
        <v>45022</v>
      </c>
      <c r="F16" s="45">
        <f t="shared" si="6"/>
        <v>45052</v>
      </c>
      <c r="G16" s="8">
        <f>43600/7.5345</f>
        <v>5786.714446877696</v>
      </c>
      <c r="H16" s="8">
        <f t="shared" si="8"/>
        <v>7233.3930585971202</v>
      </c>
      <c r="I16" s="8">
        <v>3049.6</v>
      </c>
      <c r="J16" s="8">
        <v>200</v>
      </c>
      <c r="K16" s="8">
        <f t="shared" si="3"/>
        <v>4062</v>
      </c>
      <c r="L16" s="13">
        <f t="shared" si="4"/>
        <v>2537.1144468776961</v>
      </c>
      <c r="M16" s="41">
        <f t="shared" si="0"/>
        <v>0.78074669093971449</v>
      </c>
      <c r="N16" s="10"/>
      <c r="O16" s="11"/>
    </row>
    <row r="17" spans="1:15" x14ac:dyDescent="0.2">
      <c r="A17" s="103">
        <f t="shared" si="1"/>
        <v>16</v>
      </c>
      <c r="B17" s="2" t="s">
        <v>31</v>
      </c>
      <c r="C17" s="45">
        <v>44902</v>
      </c>
      <c r="D17" s="45">
        <f t="shared" si="7"/>
        <v>45022</v>
      </c>
      <c r="E17" s="45">
        <f t="shared" si="5"/>
        <v>45022</v>
      </c>
      <c r="F17" s="45">
        <f t="shared" si="6"/>
        <v>45052</v>
      </c>
      <c r="G17" s="8">
        <f>14100/7.5345</f>
        <v>1871.3915986462273</v>
      </c>
      <c r="H17" s="203">
        <f t="shared" si="8"/>
        <v>2339.2394983077843</v>
      </c>
      <c r="I17" s="8">
        <v>580</v>
      </c>
      <c r="J17" s="8">
        <v>50</v>
      </c>
      <c r="K17" s="8">
        <f>(I17+J17)*1</f>
        <v>630</v>
      </c>
      <c r="L17" s="13">
        <f t="shared" si="4"/>
        <v>1241.3915986462273</v>
      </c>
      <c r="M17" s="41">
        <f>G17/(I17+J17)-100%</f>
        <v>1.9704628549940115</v>
      </c>
      <c r="N17" s="10"/>
      <c r="O17" s="11"/>
    </row>
    <row r="18" spans="1:15" x14ac:dyDescent="0.2">
      <c r="A18" s="150">
        <v>17</v>
      </c>
      <c r="B18" s="2" t="s">
        <v>32</v>
      </c>
      <c r="C18" s="45">
        <v>44966</v>
      </c>
      <c r="D18" s="70">
        <f>C18+15</f>
        <v>44981</v>
      </c>
      <c r="E18" s="21">
        <f>D18</f>
        <v>44981</v>
      </c>
      <c r="F18" s="21">
        <f>E18</f>
        <v>44981</v>
      </c>
      <c r="G18" s="8">
        <v>2405.6</v>
      </c>
      <c r="H18" s="203">
        <f>G18*1.25</f>
        <v>3007</v>
      </c>
      <c r="I18" s="10">
        <v>1150</v>
      </c>
      <c r="J18" s="10">
        <v>50</v>
      </c>
      <c r="K18" s="10">
        <f>'rashodi veljača-projekti (2)'!F73/2.5+'rashodi veljača-projekti (2)'!F74+'rashodi veljača-projekti (2)'!F75+'rashodi veljača-projekti (2)'!F76</f>
        <v>681.88750000000005</v>
      </c>
      <c r="L18" s="87">
        <f>+G18-I18-J18</f>
        <v>1205.5999999999999</v>
      </c>
      <c r="M18" s="88">
        <f>G18/(I18+J18)-100%</f>
        <v>1.0046666666666666</v>
      </c>
      <c r="N18" s="10"/>
      <c r="O18" s="11"/>
    </row>
    <row r="19" spans="1:15" x14ac:dyDescent="0.2">
      <c r="A19" s="206">
        <v>18</v>
      </c>
      <c r="B19" s="2" t="s">
        <v>33</v>
      </c>
      <c r="C19" s="189" t="s">
        <v>34</v>
      </c>
      <c r="D19" s="70">
        <v>45037</v>
      </c>
      <c r="E19" s="70">
        <v>45037</v>
      </c>
      <c r="F19" s="189">
        <f>E19</f>
        <v>45037</v>
      </c>
      <c r="G19" s="10">
        <v>11107.8</v>
      </c>
      <c r="H19" s="10"/>
      <c r="I19" s="10"/>
      <c r="J19" s="10"/>
      <c r="K19" s="10"/>
      <c r="L19" s="14"/>
      <c r="M19" s="14"/>
      <c r="N19" s="10"/>
      <c r="O19" s="11"/>
    </row>
    <row r="20" spans="1:15" x14ac:dyDescent="0.2">
      <c r="A20">
        <v>19</v>
      </c>
      <c r="B20" s="2" t="s">
        <v>35</v>
      </c>
      <c r="C20" s="189" t="s">
        <v>36</v>
      </c>
      <c r="E20" s="21"/>
      <c r="G20" s="10">
        <v>3780</v>
      </c>
      <c r="H20" s="10"/>
      <c r="I20" s="10"/>
      <c r="J20" s="10"/>
      <c r="K20" s="10"/>
      <c r="L20" s="14"/>
      <c r="M20" s="14"/>
      <c r="N20" s="10"/>
      <c r="O20" s="11"/>
    </row>
    <row r="21" spans="1:15" x14ac:dyDescent="0.2">
      <c r="A21">
        <v>20</v>
      </c>
      <c r="B21" s="2" t="s">
        <v>37</v>
      </c>
      <c r="C21" s="45" t="s">
        <v>38</v>
      </c>
      <c r="D21" s="70"/>
      <c r="E21" s="21"/>
      <c r="G21" s="10"/>
      <c r="H21" s="10"/>
      <c r="I21" s="10"/>
      <c r="J21" s="10"/>
      <c r="K21" s="10"/>
      <c r="L21" s="14"/>
      <c r="M21" s="14"/>
      <c r="N21" s="10"/>
      <c r="O21" s="11"/>
    </row>
    <row r="22" spans="1:15" x14ac:dyDescent="0.2">
      <c r="B22" s="2"/>
      <c r="C22" s="4"/>
      <c r="E22" s="21"/>
      <c r="G22" s="10"/>
      <c r="H22" s="10"/>
      <c r="I22" s="10"/>
      <c r="J22" s="10"/>
      <c r="K22" s="10"/>
      <c r="L22" s="14"/>
      <c r="M22" s="14"/>
      <c r="N22" s="10"/>
      <c r="O22" s="11"/>
    </row>
    <row r="23" spans="1:15" x14ac:dyDescent="0.2">
      <c r="G23" s="10"/>
      <c r="H23" s="10"/>
      <c r="I23" s="10"/>
      <c r="J23" s="10"/>
      <c r="K23" s="10"/>
      <c r="L23" s="14"/>
      <c r="M23" s="14"/>
      <c r="N23" s="10"/>
      <c r="O23" s="11"/>
    </row>
    <row r="24" spans="1:15" x14ac:dyDescent="0.2">
      <c r="I24" s="10"/>
      <c r="J24" s="10"/>
      <c r="K24" s="10"/>
    </row>
    <row r="25" spans="1:15" x14ac:dyDescent="0.2">
      <c r="I25" s="10"/>
      <c r="J25" s="10"/>
      <c r="K25" s="10"/>
    </row>
    <row r="26" spans="1:15" x14ac:dyDescent="0.2">
      <c r="I26" s="10"/>
      <c r="J26" s="10"/>
      <c r="K26" s="10"/>
    </row>
    <row r="27" spans="1:15" x14ac:dyDescent="0.2">
      <c r="I27" s="10"/>
      <c r="J27" s="10"/>
      <c r="K27" s="10"/>
    </row>
    <row r="28" spans="1:15" x14ac:dyDescent="0.2">
      <c r="H28" s="75"/>
      <c r="I28" s="10"/>
      <c r="J28" s="10"/>
      <c r="K28" s="10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3DC-1D73-4543-A616-DBA3561956A6}">
  <dimension ref="A1:AY34"/>
  <sheetViews>
    <sheetView workbookViewId="0">
      <selection activeCell="R4" sqref="R4"/>
    </sheetView>
  </sheetViews>
  <sheetFormatPr defaultRowHeight="15" x14ac:dyDescent="0.2"/>
  <cols>
    <col min="1" max="2" width="14.52734375" customWidth="1"/>
    <col min="3" max="3" width="9.68359375" customWidth="1"/>
    <col min="4" max="4" width="16.6796875" customWidth="1"/>
    <col min="5" max="5" width="18.29296875" customWidth="1"/>
    <col min="6" max="6" width="15.33203125" customWidth="1"/>
    <col min="7" max="7" width="16.27734375" customWidth="1"/>
    <col min="8" max="9" width="18.6953125" customWidth="1"/>
    <col min="10" max="10" width="16.6796875" customWidth="1"/>
    <col min="11" max="11" width="8.875" customWidth="1"/>
    <col min="12" max="12" width="20.71484375" customWidth="1"/>
    <col min="13" max="13" width="17.62109375" customWidth="1"/>
    <col min="14" max="14" width="14.52734375" customWidth="1"/>
    <col min="16" max="16" width="14.390625" customWidth="1"/>
    <col min="18" max="18" width="10.0859375" bestFit="1" customWidth="1"/>
    <col min="19" max="19" width="18.6953125" bestFit="1" customWidth="1"/>
    <col min="20" max="21" width="10.625" bestFit="1" customWidth="1"/>
    <col min="22" max="22" width="9.28125" bestFit="1" customWidth="1"/>
    <col min="23" max="23" width="10.22265625" bestFit="1" customWidth="1"/>
  </cols>
  <sheetData>
    <row r="1" spans="1:51" x14ac:dyDescent="0.2">
      <c r="D1" s="207" t="s">
        <v>619</v>
      </c>
      <c r="E1" s="207"/>
      <c r="F1" s="207"/>
      <c r="G1" s="207"/>
      <c r="H1" s="207"/>
      <c r="I1" s="207"/>
      <c r="J1" s="207"/>
      <c r="K1" s="207"/>
      <c r="L1" s="207"/>
    </row>
    <row r="2" spans="1:51" x14ac:dyDescent="0.2">
      <c r="B2">
        <v>1</v>
      </c>
      <c r="C2">
        <f>+B2+1</f>
        <v>2</v>
      </c>
      <c r="D2">
        <f t="shared" ref="D2:AX2" si="0">+C2+1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 t="s">
        <v>620</v>
      </c>
    </row>
    <row r="3" spans="1:51" x14ac:dyDescent="0.2">
      <c r="A3" s="1" t="s">
        <v>64</v>
      </c>
      <c r="B3" s="1" t="s">
        <v>71</v>
      </c>
      <c r="C3" t="s">
        <v>72</v>
      </c>
      <c r="D3" t="s">
        <v>621</v>
      </c>
      <c r="E3" s="24" t="s">
        <v>74</v>
      </c>
      <c r="F3" s="23" t="s">
        <v>622</v>
      </c>
      <c r="G3" s="17" t="s">
        <v>76</v>
      </c>
      <c r="H3" s="36" t="s">
        <v>77</v>
      </c>
      <c r="I3" t="s">
        <v>78</v>
      </c>
      <c r="J3" s="6" t="s">
        <v>79</v>
      </c>
      <c r="K3" t="s">
        <v>80</v>
      </c>
      <c r="L3" t="s">
        <v>69</v>
      </c>
      <c r="M3" t="s">
        <v>70</v>
      </c>
      <c r="N3" t="s">
        <v>81</v>
      </c>
      <c r="O3" t="s">
        <v>82</v>
      </c>
      <c r="P3" t="s">
        <v>83</v>
      </c>
      <c r="Q3" t="s">
        <v>84</v>
      </c>
      <c r="R3" t="s">
        <v>87</v>
      </c>
      <c r="S3" t="s">
        <v>89</v>
      </c>
      <c r="T3" t="s">
        <v>91</v>
      </c>
      <c r="U3" t="s">
        <v>73</v>
      </c>
      <c r="V3" t="s">
        <v>73</v>
      </c>
      <c r="W3" t="s">
        <v>93</v>
      </c>
    </row>
    <row r="4" spans="1:51" x14ac:dyDescent="0.2">
      <c r="A4" s="1" t="s">
        <v>623</v>
      </c>
      <c r="B4" s="52">
        <v>3284.89</v>
      </c>
      <c r="C4" s="53">
        <v>114990</v>
      </c>
      <c r="D4" s="53">
        <v>6500</v>
      </c>
      <c r="E4" s="53">
        <v>9500</v>
      </c>
      <c r="F4">
        <v>63063.29</v>
      </c>
      <c r="G4" s="48">
        <v>39597.839999999997</v>
      </c>
      <c r="H4" s="48">
        <v>250</v>
      </c>
      <c r="I4" s="48">
        <v>184</v>
      </c>
      <c r="J4" s="48">
        <v>133</v>
      </c>
      <c r="K4" s="48">
        <v>148.97999999999999</v>
      </c>
      <c r="L4" s="48">
        <v>561.33000000000004</v>
      </c>
      <c r="M4" s="48">
        <v>6361.29</v>
      </c>
      <c r="N4" s="31">
        <v>5731.93</v>
      </c>
      <c r="O4" s="31">
        <v>1475.39</v>
      </c>
      <c r="P4" s="31">
        <v>3284.89</v>
      </c>
      <c r="Q4" s="31">
        <v>165.9</v>
      </c>
      <c r="T4">
        <v>3456.31</v>
      </c>
      <c r="U4">
        <v>4557.74</v>
      </c>
      <c r="V4">
        <v>121.43</v>
      </c>
      <c r="W4">
        <v>54.75</v>
      </c>
      <c r="AY4">
        <f>SUM(B4:AX4)</f>
        <v>263422.96000000002</v>
      </c>
    </row>
    <row r="5" spans="1:51" x14ac:dyDescent="0.2">
      <c r="A5" s="1" t="s">
        <v>384</v>
      </c>
      <c r="B5" s="51">
        <v>44936</v>
      </c>
      <c r="C5" s="26">
        <v>44938</v>
      </c>
      <c r="D5" s="26">
        <v>44941</v>
      </c>
      <c r="E5" s="26">
        <v>44936</v>
      </c>
      <c r="F5" s="26">
        <v>44946</v>
      </c>
      <c r="G5" s="26">
        <v>44946</v>
      </c>
      <c r="H5" s="35">
        <v>44937</v>
      </c>
      <c r="I5" s="35">
        <v>44937</v>
      </c>
      <c r="J5" s="35">
        <v>44942</v>
      </c>
      <c r="K5" s="35">
        <v>44937</v>
      </c>
      <c r="L5" s="26">
        <v>44927</v>
      </c>
      <c r="M5" s="26">
        <v>44927</v>
      </c>
      <c r="N5" s="26">
        <v>44950</v>
      </c>
      <c r="O5" s="26">
        <v>44950</v>
      </c>
      <c r="P5" s="26">
        <v>44950</v>
      </c>
      <c r="Q5" s="26">
        <v>44943</v>
      </c>
      <c r="R5" s="86" t="s">
        <v>88</v>
      </c>
      <c r="S5" t="s">
        <v>405</v>
      </c>
      <c r="T5" t="s">
        <v>92</v>
      </c>
      <c r="U5" t="s">
        <v>92</v>
      </c>
      <c r="V5" t="s">
        <v>92</v>
      </c>
      <c r="W5" t="s">
        <v>92</v>
      </c>
    </row>
    <row r="6" spans="1:51" x14ac:dyDescent="0.2">
      <c r="E6" s="20"/>
      <c r="F6" s="20"/>
      <c r="G6" s="18"/>
      <c r="H6" s="19"/>
      <c r="I6" s="19"/>
      <c r="J6" s="19"/>
    </row>
    <row r="7" spans="1:51" x14ac:dyDescent="0.2">
      <c r="E7" s="18"/>
      <c r="F7" s="18"/>
      <c r="G7" s="18"/>
      <c r="H7" s="19"/>
      <c r="I7" s="19"/>
      <c r="J7" s="19"/>
    </row>
    <row r="8" spans="1:51" x14ac:dyDescent="0.2">
      <c r="E8" s="18"/>
      <c r="F8" s="18"/>
      <c r="G8" s="18"/>
      <c r="H8" s="19"/>
      <c r="I8" s="19"/>
    </row>
    <row r="9" spans="1:51" x14ac:dyDescent="0.2">
      <c r="G9" s="18"/>
      <c r="H9" s="19"/>
      <c r="I9" s="19"/>
    </row>
    <row r="10" spans="1:51" x14ac:dyDescent="0.2">
      <c r="G10" s="18"/>
      <c r="H10" s="19"/>
      <c r="I10" s="19"/>
    </row>
    <row r="11" spans="1:51" x14ac:dyDescent="0.2">
      <c r="G11" s="18"/>
      <c r="H11" s="19"/>
      <c r="I11" s="19"/>
      <c r="M11" s="11"/>
    </row>
    <row r="12" spans="1:51" x14ac:dyDescent="0.2">
      <c r="G12" s="18"/>
      <c r="H12" s="19"/>
      <c r="I12" s="19"/>
      <c r="M12" s="11"/>
    </row>
    <row r="13" spans="1:51" x14ac:dyDescent="0.2">
      <c r="G13" s="18"/>
      <c r="H13" s="19"/>
      <c r="I13" s="19"/>
      <c r="M13" s="19"/>
    </row>
    <row r="14" spans="1:51" x14ac:dyDescent="0.2">
      <c r="G14" s="18"/>
      <c r="H14" s="19"/>
      <c r="I14" s="19"/>
    </row>
    <row r="15" spans="1:51" x14ac:dyDescent="0.2">
      <c r="G15" s="18"/>
      <c r="H15" s="19"/>
      <c r="I15" s="19"/>
    </row>
    <row r="16" spans="1:51" x14ac:dyDescent="0.2">
      <c r="G16" s="18"/>
      <c r="H16" s="19"/>
      <c r="I16" s="19"/>
    </row>
    <row r="34" spans="5:5" x14ac:dyDescent="0.2">
      <c r="E34" s="28"/>
    </row>
  </sheetData>
  <mergeCells count="1">
    <mergeCell ref="D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1675-FA8B-44E4-9453-3292CCD9C1EA}">
  <dimension ref="A1:M100"/>
  <sheetViews>
    <sheetView workbookViewId="0">
      <pane ySplit="1" topLeftCell="A2" activePane="bottomLeft" state="frozen"/>
      <selection activeCell="E1" sqref="E1"/>
      <selection pane="bottomLeft" activeCell="E1" sqref="E1"/>
    </sheetView>
  </sheetViews>
  <sheetFormatPr defaultRowHeight="15" x14ac:dyDescent="0.2"/>
  <cols>
    <col min="1" max="1" width="4.9765625" customWidth="1"/>
    <col min="2" max="2" width="24.078125" customWidth="1"/>
    <col min="3" max="3" width="33.8984375" customWidth="1"/>
    <col min="4" max="4" width="28.3828125" customWidth="1"/>
    <col min="5" max="5" width="12.375" style="11" customWidth="1"/>
    <col min="6" max="6" width="15.46875" style="9" customWidth="1"/>
    <col min="7" max="7" width="13.046875" style="179" customWidth="1"/>
    <col min="8" max="8" width="11.8359375" style="172" customWidth="1"/>
    <col min="9" max="9" width="9.68359375" style="11" customWidth="1"/>
    <col min="10" max="10" width="14.390625" style="11" customWidth="1"/>
    <col min="11" max="11" width="11.8359375" style="4" customWidth="1"/>
    <col min="12" max="12" width="18.16015625" style="4" customWidth="1"/>
    <col min="13" max="13" width="137.34765625" bestFit="1" customWidth="1"/>
  </cols>
  <sheetData>
    <row r="1" spans="1:13" s="151" customFormat="1" ht="27.75" x14ac:dyDescent="0.2">
      <c r="B1" s="152" t="s">
        <v>381</v>
      </c>
      <c r="C1" s="152" t="s">
        <v>121</v>
      </c>
      <c r="D1" s="152" t="s">
        <v>122</v>
      </c>
      <c r="E1" s="154" t="s">
        <v>123</v>
      </c>
      <c r="F1" s="155" t="s">
        <v>382</v>
      </c>
      <c r="G1" s="178" t="s">
        <v>383</v>
      </c>
      <c r="H1" s="173" t="s">
        <v>384</v>
      </c>
      <c r="I1" s="155" t="s">
        <v>385</v>
      </c>
      <c r="J1" s="155" t="s">
        <v>331</v>
      </c>
      <c r="K1" s="158" t="s">
        <v>386</v>
      </c>
      <c r="L1" s="158" t="s">
        <v>67</v>
      </c>
      <c r="M1" s="152" t="s">
        <v>387</v>
      </c>
    </row>
    <row r="2" spans="1:13" x14ac:dyDescent="0.2">
      <c r="A2">
        <v>1</v>
      </c>
      <c r="B2" t="s">
        <v>15</v>
      </c>
      <c r="C2" t="s">
        <v>388</v>
      </c>
      <c r="D2" t="s">
        <v>389</v>
      </c>
      <c r="F2" s="49"/>
      <c r="K2" s="70"/>
      <c r="L2" s="70"/>
    </row>
    <row r="3" spans="1:13" x14ac:dyDescent="0.2">
      <c r="A3">
        <f t="shared" ref="A3:A67" si="0">+A2+1</f>
        <v>2</v>
      </c>
      <c r="B3" t="s">
        <v>390</v>
      </c>
      <c r="C3" t="s">
        <v>391</v>
      </c>
      <c r="D3" t="s">
        <v>392</v>
      </c>
      <c r="E3" s="11">
        <f>2.12*5*2</f>
        <v>21.200000000000003</v>
      </c>
      <c r="F3" s="49">
        <f>E3*1.25</f>
        <v>26.500000000000004</v>
      </c>
      <c r="H3" s="172">
        <v>44959</v>
      </c>
      <c r="K3" s="70"/>
      <c r="L3" s="70"/>
      <c r="M3" t="s">
        <v>393</v>
      </c>
    </row>
    <row r="4" spans="1:13" x14ac:dyDescent="0.2">
      <c r="A4">
        <f>+A3+1</f>
        <v>3</v>
      </c>
      <c r="B4" t="e">
        <f>#REF!</f>
        <v>#REF!</v>
      </c>
      <c r="C4" t="s">
        <v>394</v>
      </c>
      <c r="E4" s="11">
        <v>1075.01</v>
      </c>
      <c r="F4" s="49">
        <f>+E4*1.25</f>
        <v>1343.7625</v>
      </c>
      <c r="K4" s="70">
        <v>44946</v>
      </c>
      <c r="L4" s="70"/>
      <c r="M4" s="29" t="s">
        <v>395</v>
      </c>
    </row>
    <row r="5" spans="1:13" x14ac:dyDescent="0.2">
      <c r="A5">
        <f t="shared" si="0"/>
        <v>4</v>
      </c>
      <c r="B5" t="e">
        <f>#REF!</f>
        <v>#REF!</v>
      </c>
      <c r="C5" t="s">
        <v>396</v>
      </c>
      <c r="E5" s="11">
        <v>1061.77</v>
      </c>
      <c r="F5" s="49">
        <f>+E5*1.25</f>
        <v>1327.2125000000001</v>
      </c>
      <c r="K5" s="70"/>
      <c r="L5" s="70"/>
      <c r="M5" s="29" t="s">
        <v>397</v>
      </c>
    </row>
    <row r="6" spans="1:13" x14ac:dyDescent="0.2">
      <c r="A6">
        <f t="shared" si="0"/>
        <v>5</v>
      </c>
      <c r="B6" t="s">
        <v>15</v>
      </c>
      <c r="C6" t="s">
        <v>398</v>
      </c>
      <c r="F6" s="49" t="s">
        <v>399</v>
      </c>
      <c r="H6" s="172" t="s">
        <v>400</v>
      </c>
      <c r="K6" s="70"/>
      <c r="L6" s="70"/>
    </row>
    <row r="7" spans="1:13" x14ac:dyDescent="0.2">
      <c r="A7">
        <f t="shared" si="0"/>
        <v>6</v>
      </c>
      <c r="F7" s="49"/>
      <c r="K7" s="70"/>
      <c r="L7" s="70"/>
    </row>
    <row r="8" spans="1:13" x14ac:dyDescent="0.2">
      <c r="A8">
        <f t="shared" si="0"/>
        <v>7</v>
      </c>
      <c r="B8" t="s">
        <v>16</v>
      </c>
      <c r="C8" t="s">
        <v>401</v>
      </c>
      <c r="D8" t="s">
        <v>402</v>
      </c>
      <c r="F8" s="49">
        <v>500</v>
      </c>
      <c r="K8" s="70"/>
      <c r="L8" s="70"/>
    </row>
    <row r="9" spans="1:13" x14ac:dyDescent="0.2">
      <c r="A9">
        <f t="shared" si="0"/>
        <v>8</v>
      </c>
      <c r="B9" t="s">
        <v>16</v>
      </c>
      <c r="C9" t="s">
        <v>403</v>
      </c>
      <c r="F9" s="49">
        <v>668.96</v>
      </c>
      <c r="K9" s="70"/>
      <c r="L9" s="70"/>
    </row>
    <row r="10" spans="1:13" x14ac:dyDescent="0.2">
      <c r="A10">
        <f t="shared" si="0"/>
        <v>9</v>
      </c>
      <c r="B10" t="s">
        <v>16</v>
      </c>
      <c r="C10" t="s">
        <v>404</v>
      </c>
      <c r="D10" s="84" t="s">
        <v>375</v>
      </c>
      <c r="E10" s="49">
        <v>391</v>
      </c>
      <c r="F10" s="85">
        <f>E10*1.25</f>
        <v>488.75</v>
      </c>
      <c r="G10" s="180"/>
      <c r="H10" s="174" t="s">
        <v>405</v>
      </c>
      <c r="K10" s="70"/>
      <c r="L10" s="92"/>
      <c r="M10" s="29" t="s">
        <v>406</v>
      </c>
    </row>
    <row r="11" spans="1:13" x14ac:dyDescent="0.2">
      <c r="B11" t="s">
        <v>16</v>
      </c>
      <c r="C11" t="s">
        <v>407</v>
      </c>
      <c r="D11" s="84" t="s">
        <v>408</v>
      </c>
      <c r="E11" s="49">
        <v>372</v>
      </c>
      <c r="F11" s="85">
        <f>E11*1.25</f>
        <v>465</v>
      </c>
      <c r="G11" s="180"/>
      <c r="H11" s="172" t="s">
        <v>409</v>
      </c>
      <c r="K11" s="70"/>
      <c r="L11" s="70"/>
      <c r="M11" s="29" t="s">
        <v>410</v>
      </c>
    </row>
    <row r="12" spans="1:13" x14ac:dyDescent="0.2">
      <c r="A12">
        <f>+A10+1</f>
        <v>10</v>
      </c>
      <c r="B12" t="s">
        <v>16</v>
      </c>
      <c r="C12" t="s">
        <v>411</v>
      </c>
      <c r="D12" t="s">
        <v>412</v>
      </c>
      <c r="E12" s="49"/>
      <c r="F12" s="85">
        <v>2386.5500000000002</v>
      </c>
      <c r="G12" s="180"/>
      <c r="H12" s="172" t="s">
        <v>413</v>
      </c>
      <c r="K12" s="70"/>
      <c r="L12" s="70"/>
      <c r="M12" s="29" t="s">
        <v>414</v>
      </c>
    </row>
    <row r="13" spans="1:13" x14ac:dyDescent="0.2">
      <c r="A13">
        <f t="shared" si="0"/>
        <v>11</v>
      </c>
      <c r="B13" t="s">
        <v>16</v>
      </c>
      <c r="C13" t="s">
        <v>388</v>
      </c>
      <c r="D13" t="s">
        <v>389</v>
      </c>
      <c r="F13" s="49"/>
      <c r="K13" s="70"/>
      <c r="L13" s="70"/>
    </row>
    <row r="14" spans="1:13" x14ac:dyDescent="0.2">
      <c r="A14">
        <f t="shared" si="0"/>
        <v>12</v>
      </c>
      <c r="B14" t="s">
        <v>16</v>
      </c>
      <c r="C14" t="s">
        <v>415</v>
      </c>
      <c r="F14" s="49">
        <v>220</v>
      </c>
      <c r="K14" s="70"/>
      <c r="L14" s="70"/>
    </row>
    <row r="15" spans="1:13" x14ac:dyDescent="0.2">
      <c r="A15">
        <f t="shared" si="0"/>
        <v>13</v>
      </c>
      <c r="B15" t="s">
        <v>16</v>
      </c>
      <c r="C15" t="s">
        <v>416</v>
      </c>
      <c r="F15" s="49">
        <v>350</v>
      </c>
      <c r="K15" s="70"/>
      <c r="L15" s="70"/>
    </row>
    <row r="16" spans="1:13" x14ac:dyDescent="0.2">
      <c r="A16">
        <f t="shared" si="0"/>
        <v>14</v>
      </c>
      <c r="B16" t="s">
        <v>16</v>
      </c>
      <c r="C16" t="s">
        <v>417</v>
      </c>
      <c r="F16" s="49">
        <v>179.47</v>
      </c>
      <c r="H16" s="172">
        <v>44998</v>
      </c>
      <c r="K16" s="70"/>
      <c r="L16" s="70"/>
    </row>
    <row r="17" spans="1:13" x14ac:dyDescent="0.2">
      <c r="B17" t="s">
        <v>16</v>
      </c>
      <c r="C17" t="s">
        <v>418</v>
      </c>
      <c r="D17" s="84" t="s">
        <v>375</v>
      </c>
      <c r="F17" s="49">
        <v>62.21</v>
      </c>
      <c r="H17" s="172">
        <v>44988</v>
      </c>
      <c r="K17" s="70"/>
      <c r="L17" s="70"/>
    </row>
    <row r="18" spans="1:13" x14ac:dyDescent="0.2">
      <c r="A18">
        <f>+A16+1</f>
        <v>15</v>
      </c>
      <c r="B18" t="s">
        <v>16</v>
      </c>
      <c r="C18" t="s">
        <v>411</v>
      </c>
      <c r="D18" s="84" t="s">
        <v>408</v>
      </c>
      <c r="F18" s="9">
        <v>2760</v>
      </c>
      <c r="H18" s="172">
        <v>44993</v>
      </c>
      <c r="K18" s="70"/>
      <c r="L18" s="70"/>
    </row>
    <row r="19" spans="1:13" x14ac:dyDescent="0.2">
      <c r="B19" t="s">
        <v>16</v>
      </c>
      <c r="C19" t="s">
        <v>419</v>
      </c>
      <c r="D19" s="84" t="s">
        <v>420</v>
      </c>
      <c r="F19" s="9">
        <v>172.01</v>
      </c>
      <c r="H19" s="172">
        <v>44995</v>
      </c>
      <c r="K19" s="70"/>
      <c r="L19" s="70" t="s">
        <v>421</v>
      </c>
    </row>
    <row r="20" spans="1:13" x14ac:dyDescent="0.2">
      <c r="B20" t="s">
        <v>16</v>
      </c>
      <c r="C20" t="s">
        <v>422</v>
      </c>
      <c r="D20" s="84" t="s">
        <v>422</v>
      </c>
      <c r="G20" s="179">
        <v>145.46</v>
      </c>
      <c r="H20" s="172" t="s">
        <v>423</v>
      </c>
      <c r="K20" s="70"/>
      <c r="L20" s="70"/>
    </row>
    <row r="21" spans="1:13" x14ac:dyDescent="0.2">
      <c r="D21" s="84"/>
      <c r="K21" s="70"/>
      <c r="L21" s="70"/>
    </row>
    <row r="22" spans="1:13" x14ac:dyDescent="0.2">
      <c r="A22">
        <f>+A18+1</f>
        <v>16</v>
      </c>
      <c r="B22" t="s">
        <v>25</v>
      </c>
      <c r="C22" t="s">
        <v>424</v>
      </c>
      <c r="D22" t="s">
        <v>425</v>
      </c>
      <c r="E22" s="49">
        <v>3527.5</v>
      </c>
      <c r="F22" s="49">
        <f>E22*1.25</f>
        <v>4409.375</v>
      </c>
      <c r="K22" s="70"/>
      <c r="L22" s="70"/>
      <c r="M22" s="29" t="s">
        <v>426</v>
      </c>
    </row>
    <row r="23" spans="1:13" x14ac:dyDescent="0.2">
      <c r="A23">
        <f t="shared" si="0"/>
        <v>17</v>
      </c>
      <c r="K23" s="70"/>
      <c r="L23" s="70"/>
    </row>
    <row r="24" spans="1:13" x14ac:dyDescent="0.2">
      <c r="A24">
        <f t="shared" si="0"/>
        <v>18</v>
      </c>
      <c r="B24" s="2" t="s">
        <v>23</v>
      </c>
      <c r="C24" s="17" t="s">
        <v>427</v>
      </c>
      <c r="K24" s="70"/>
      <c r="L24" s="70"/>
    </row>
    <row r="25" spans="1:13" x14ac:dyDescent="0.2">
      <c r="A25">
        <f t="shared" si="0"/>
        <v>19</v>
      </c>
      <c r="B25" s="2" t="s">
        <v>24</v>
      </c>
      <c r="C25" s="77" t="s">
        <v>428</v>
      </c>
      <c r="D25" s="77" t="s">
        <v>429</v>
      </c>
      <c r="E25" s="49">
        <v>952.92</v>
      </c>
      <c r="F25" s="9">
        <f>E25*1.25</f>
        <v>1191.1499999999999</v>
      </c>
      <c r="M25" s="29" t="s">
        <v>430</v>
      </c>
    </row>
    <row r="26" spans="1:13" ht="54.75" x14ac:dyDescent="0.2">
      <c r="B26" s="2"/>
      <c r="C26" s="77" t="s">
        <v>431</v>
      </c>
      <c r="D26" s="77" t="s">
        <v>429</v>
      </c>
      <c r="F26" s="9">
        <f>9694.24/7.5345</f>
        <v>1286.6467582454043</v>
      </c>
      <c r="G26" s="179">
        <v>1286.6500000000001</v>
      </c>
      <c r="H26" s="172" t="s">
        <v>432</v>
      </c>
      <c r="L26" s="17" t="s">
        <v>433</v>
      </c>
      <c r="M26" s="76" t="s">
        <v>434</v>
      </c>
    </row>
    <row r="27" spans="1:13" x14ac:dyDescent="0.2">
      <c r="A27">
        <f>+A25+1</f>
        <v>20</v>
      </c>
      <c r="B27" s="2" t="s">
        <v>29</v>
      </c>
      <c r="C27" t="s">
        <v>435</v>
      </c>
      <c r="K27" s="70"/>
      <c r="L27" s="70"/>
    </row>
    <row r="28" spans="1:13" x14ac:dyDescent="0.2">
      <c r="A28">
        <f t="shared" si="0"/>
        <v>21</v>
      </c>
      <c r="B28" s="2" t="s">
        <v>27</v>
      </c>
      <c r="C28" t="s">
        <v>436</v>
      </c>
      <c r="D28" t="s">
        <v>437</v>
      </c>
      <c r="F28" s="9">
        <f>25.99*50</f>
        <v>1299.5</v>
      </c>
      <c r="H28" s="172" t="s">
        <v>438</v>
      </c>
      <c r="K28" s="70"/>
      <c r="L28" s="70"/>
      <c r="M28" s="29" t="s">
        <v>439</v>
      </c>
    </row>
    <row r="29" spans="1:13" x14ac:dyDescent="0.2">
      <c r="A29">
        <f t="shared" si="0"/>
        <v>22</v>
      </c>
      <c r="B29" s="2" t="s">
        <v>29</v>
      </c>
      <c r="C29" t="s">
        <v>435</v>
      </c>
      <c r="D29" t="s">
        <v>440</v>
      </c>
      <c r="F29" s="49">
        <v>782.02</v>
      </c>
      <c r="K29" s="70"/>
      <c r="L29" s="70"/>
      <c r="M29" s="29" t="s">
        <v>441</v>
      </c>
    </row>
    <row r="30" spans="1:13" x14ac:dyDescent="0.2">
      <c r="A30">
        <f t="shared" si="0"/>
        <v>23</v>
      </c>
      <c r="B30" s="2" t="s">
        <v>29</v>
      </c>
      <c r="C30" t="s">
        <v>442</v>
      </c>
      <c r="D30" t="s">
        <v>443</v>
      </c>
      <c r="F30" s="49">
        <v>2709.04</v>
      </c>
      <c r="K30" s="70"/>
      <c r="L30" s="70"/>
      <c r="M30" s="29" t="s">
        <v>444</v>
      </c>
    </row>
    <row r="31" spans="1:13" x14ac:dyDescent="0.2">
      <c r="A31">
        <f t="shared" si="0"/>
        <v>24</v>
      </c>
      <c r="B31" s="2" t="s">
        <v>30</v>
      </c>
      <c r="C31" t="s">
        <v>445</v>
      </c>
      <c r="D31" t="s">
        <v>425</v>
      </c>
      <c r="E31" s="11">
        <v>3360</v>
      </c>
      <c r="F31" s="49">
        <f>E31*1.25</f>
        <v>4200</v>
      </c>
      <c r="K31" s="70"/>
      <c r="L31" s="70"/>
      <c r="M31" s="29" t="s">
        <v>613</v>
      </c>
    </row>
    <row r="32" spans="1:13" x14ac:dyDescent="0.2">
      <c r="A32">
        <f t="shared" si="0"/>
        <v>25</v>
      </c>
      <c r="B32" s="2"/>
      <c r="K32" s="70"/>
      <c r="L32" s="70"/>
    </row>
    <row r="33" spans="1:13" x14ac:dyDescent="0.2">
      <c r="A33">
        <f t="shared" si="0"/>
        <v>26</v>
      </c>
      <c r="B33" t="s">
        <v>624</v>
      </c>
      <c r="C33" t="s">
        <v>625</v>
      </c>
      <c r="D33" t="s">
        <v>626</v>
      </c>
      <c r="F33" s="49"/>
      <c r="K33" s="70"/>
      <c r="L33" s="70"/>
    </row>
    <row r="34" spans="1:13" x14ac:dyDescent="0.2">
      <c r="A34">
        <f t="shared" si="0"/>
        <v>27</v>
      </c>
      <c r="B34" t="str">
        <f>'Knjiga narudžbi 2023'!B9</f>
        <v>DVD ADAMOVEC</v>
      </c>
      <c r="C34" t="s">
        <v>449</v>
      </c>
      <c r="D34" t="s">
        <v>450</v>
      </c>
      <c r="F34" s="49">
        <v>2244.52</v>
      </c>
      <c r="H34" s="172" t="s">
        <v>451</v>
      </c>
      <c r="K34" s="70"/>
      <c r="L34" s="70"/>
      <c r="M34" s="29" t="s">
        <v>452</v>
      </c>
    </row>
    <row r="35" spans="1:13" x14ac:dyDescent="0.2">
      <c r="A35">
        <f t="shared" si="0"/>
        <v>28</v>
      </c>
      <c r="B35" t="str">
        <f>B34</f>
        <v>DVD ADAMOVEC</v>
      </c>
      <c r="C35" t="s">
        <v>453</v>
      </c>
      <c r="D35" s="17" t="s">
        <v>454</v>
      </c>
      <c r="E35" s="11">
        <v>774.04</v>
      </c>
      <c r="F35" s="89">
        <f>E35*1.25</f>
        <v>967.55</v>
      </c>
      <c r="G35" s="181"/>
      <c r="H35" s="175" t="s">
        <v>455</v>
      </c>
      <c r="L35" s="91"/>
      <c r="M35" s="29" t="s">
        <v>456</v>
      </c>
    </row>
    <row r="36" spans="1:13" x14ac:dyDescent="0.2">
      <c r="A36">
        <f t="shared" si="0"/>
        <v>29</v>
      </c>
      <c r="K36" s="70"/>
      <c r="L36" s="70"/>
    </row>
    <row r="37" spans="1:13" s="2" customFormat="1" ht="54.75" x14ac:dyDescent="0.2">
      <c r="A37" s="2">
        <f t="shared" si="0"/>
        <v>30</v>
      </c>
      <c r="B37" s="80" t="s">
        <v>457</v>
      </c>
      <c r="C37" s="80" t="s">
        <v>458</v>
      </c>
      <c r="D37" s="80"/>
      <c r="E37" s="81" t="s">
        <v>459</v>
      </c>
      <c r="F37" s="73"/>
      <c r="G37" s="182"/>
      <c r="H37" s="176"/>
      <c r="I37" s="9"/>
      <c r="J37" s="9"/>
      <c r="K37" s="44"/>
      <c r="L37" s="83" t="s">
        <v>460</v>
      </c>
    </row>
    <row r="38" spans="1:13" s="2" customFormat="1" x14ac:dyDescent="0.2">
      <c r="B38" t="s">
        <v>457</v>
      </c>
      <c r="C38" t="s">
        <v>461</v>
      </c>
      <c r="D38"/>
      <c r="E38" s="11"/>
      <c r="F38" s="49">
        <v>39.64</v>
      </c>
      <c r="G38" s="182"/>
      <c r="H38" s="176">
        <v>44998</v>
      </c>
      <c r="I38" s="9"/>
      <c r="J38" s="9"/>
      <c r="K38" s="44"/>
      <c r="L38" s="83"/>
    </row>
    <row r="39" spans="1:13" ht="27.75" x14ac:dyDescent="0.2">
      <c r="A39">
        <f>+A37+1</f>
        <v>31</v>
      </c>
      <c r="B39" t="s">
        <v>462</v>
      </c>
      <c r="C39" s="17" t="s">
        <v>463</v>
      </c>
      <c r="F39" s="49">
        <v>2260</v>
      </c>
      <c r="H39" s="177"/>
      <c r="K39" s="70"/>
      <c r="L39" s="70"/>
      <c r="M39" s="29" t="s">
        <v>464</v>
      </c>
    </row>
    <row r="40" spans="1:13" x14ac:dyDescent="0.2">
      <c r="A40">
        <f t="shared" si="0"/>
        <v>32</v>
      </c>
      <c r="K40" s="70"/>
      <c r="L40" s="70"/>
    </row>
    <row r="41" spans="1:13" x14ac:dyDescent="0.2">
      <c r="A41">
        <f t="shared" si="0"/>
        <v>33</v>
      </c>
      <c r="B41" t="s">
        <v>465</v>
      </c>
      <c r="C41" s="17" t="s">
        <v>466</v>
      </c>
      <c r="E41" s="42">
        <v>176.01</v>
      </c>
      <c r="F41" s="49">
        <f>E41*1.25</f>
        <v>220.01249999999999</v>
      </c>
      <c r="H41" s="177" t="s">
        <v>467</v>
      </c>
      <c r="K41" s="70"/>
      <c r="L41" s="70"/>
      <c r="M41" s="29" t="s">
        <v>468</v>
      </c>
    </row>
    <row r="42" spans="1:13" x14ac:dyDescent="0.2">
      <c r="A42">
        <f t="shared" si="0"/>
        <v>34</v>
      </c>
      <c r="C42" s="17"/>
      <c r="F42" s="49"/>
      <c r="H42" s="177"/>
      <c r="K42" s="70"/>
      <c r="L42" s="70"/>
      <c r="M42" s="29"/>
    </row>
    <row r="43" spans="1:13" x14ac:dyDescent="0.2">
      <c r="A43">
        <f t="shared" si="0"/>
        <v>35</v>
      </c>
      <c r="B43" t="s">
        <v>469</v>
      </c>
      <c r="C43" s="17" t="s">
        <v>470</v>
      </c>
      <c r="D43" t="s">
        <v>471</v>
      </c>
      <c r="E43" s="11">
        <v>180</v>
      </c>
      <c r="F43" s="49">
        <f>E43*1.25</f>
        <v>225</v>
      </c>
      <c r="H43" s="177">
        <v>44963</v>
      </c>
      <c r="K43" s="70"/>
      <c r="L43" s="70"/>
      <c r="M43" s="29" t="s">
        <v>472</v>
      </c>
    </row>
    <row r="44" spans="1:13" x14ac:dyDescent="0.2">
      <c r="A44">
        <f t="shared" si="0"/>
        <v>36</v>
      </c>
      <c r="B44" t="s">
        <v>469</v>
      </c>
      <c r="C44" s="17" t="s">
        <v>473</v>
      </c>
      <c r="D44" t="s">
        <v>471</v>
      </c>
      <c r="F44" s="49">
        <v>841.25</v>
      </c>
      <c r="H44" s="177">
        <v>44963</v>
      </c>
      <c r="K44" s="70"/>
      <c r="L44" s="70"/>
      <c r="M44" s="29" t="s">
        <v>474</v>
      </c>
    </row>
    <row r="45" spans="1:13" x14ac:dyDescent="0.2">
      <c r="A45">
        <f t="shared" si="0"/>
        <v>37</v>
      </c>
      <c r="C45" s="17"/>
      <c r="F45" s="49"/>
      <c r="H45" s="177"/>
      <c r="K45" s="70"/>
      <c r="L45" s="70"/>
      <c r="M45" s="29"/>
    </row>
    <row r="46" spans="1:13" x14ac:dyDescent="0.2">
      <c r="A46">
        <f t="shared" si="0"/>
        <v>38</v>
      </c>
      <c r="B46" t="s">
        <v>21</v>
      </c>
      <c r="C46" s="17" t="s">
        <v>475</v>
      </c>
      <c r="D46" t="s">
        <v>476</v>
      </c>
      <c r="E46" s="11">
        <f>39800/7.5345</f>
        <v>5282.3677749021163</v>
      </c>
      <c r="F46" s="49">
        <f>E46*1.25</f>
        <v>6602.9597186276451</v>
      </c>
      <c r="H46" s="177"/>
      <c r="K46" s="70"/>
      <c r="L46" s="70"/>
      <c r="M46" s="29" t="s">
        <v>477</v>
      </c>
    </row>
    <row r="47" spans="1:13" x14ac:dyDescent="0.2">
      <c r="A47">
        <f t="shared" si="0"/>
        <v>39</v>
      </c>
      <c r="B47" t="s">
        <v>20</v>
      </c>
      <c r="C47" s="17" t="s">
        <v>475</v>
      </c>
      <c r="D47" t="s">
        <v>476</v>
      </c>
      <c r="E47" s="11">
        <v>2130</v>
      </c>
      <c r="F47" s="49">
        <f>E47*1.25</f>
        <v>2662.5</v>
      </c>
      <c r="H47" s="177"/>
      <c r="K47" s="70"/>
      <c r="L47" s="70"/>
      <c r="M47" s="29" t="s">
        <v>478</v>
      </c>
    </row>
    <row r="48" spans="1:13" x14ac:dyDescent="0.2">
      <c r="A48">
        <f t="shared" si="0"/>
        <v>40</v>
      </c>
      <c r="F48" s="49"/>
      <c r="K48" s="70"/>
      <c r="L48" s="70"/>
    </row>
    <row r="49" spans="1:13" x14ac:dyDescent="0.2">
      <c r="A49">
        <f t="shared" si="0"/>
        <v>41</v>
      </c>
      <c r="B49" t="s">
        <v>17</v>
      </c>
      <c r="C49" t="s">
        <v>479</v>
      </c>
      <c r="E49" s="58"/>
      <c r="F49" s="85">
        <v>32400</v>
      </c>
      <c r="G49" s="179">
        <v>32700</v>
      </c>
      <c r="H49" s="172" t="s">
        <v>357</v>
      </c>
      <c r="J49" s="100"/>
      <c r="K49" s="70"/>
      <c r="L49" s="70"/>
      <c r="M49" s="29"/>
    </row>
    <row r="50" spans="1:13" x14ac:dyDescent="0.2">
      <c r="A50">
        <f t="shared" si="0"/>
        <v>42</v>
      </c>
      <c r="B50" t="s">
        <v>17</v>
      </c>
      <c r="C50" t="s">
        <v>480</v>
      </c>
      <c r="D50" t="s">
        <v>481</v>
      </c>
      <c r="E50" s="58">
        <v>11011.5</v>
      </c>
      <c r="F50" s="85">
        <v>13764.38</v>
      </c>
      <c r="G50" s="185">
        <v>2064.66</v>
      </c>
      <c r="H50" s="186">
        <v>45001</v>
      </c>
      <c r="I50" s="171"/>
      <c r="J50" s="171">
        <f>(F50/100)*15</f>
        <v>2064.6570000000002</v>
      </c>
      <c r="K50" s="170"/>
      <c r="L50" s="70"/>
      <c r="M50" s="29" t="s">
        <v>482</v>
      </c>
    </row>
    <row r="51" spans="1:13" x14ac:dyDescent="0.2">
      <c r="A51">
        <f t="shared" si="0"/>
        <v>43</v>
      </c>
      <c r="B51" t="s">
        <v>17</v>
      </c>
      <c r="C51" t="s">
        <v>483</v>
      </c>
      <c r="D51" t="s">
        <v>484</v>
      </c>
      <c r="E51" s="58">
        <v>1387.44</v>
      </c>
      <c r="F51" s="85">
        <f>+E51*1.25</f>
        <v>1734.3000000000002</v>
      </c>
      <c r="G51" s="185"/>
      <c r="H51" s="186" t="s">
        <v>485</v>
      </c>
      <c r="I51" s="171"/>
      <c r="J51" s="187"/>
      <c r="K51" s="170"/>
      <c r="L51" s="70"/>
      <c r="M51" s="29" t="s">
        <v>486</v>
      </c>
    </row>
    <row r="52" spans="1:13" x14ac:dyDescent="0.2">
      <c r="A52">
        <f t="shared" si="0"/>
        <v>44</v>
      </c>
      <c r="B52" t="s">
        <v>17</v>
      </c>
      <c r="C52" t="s">
        <v>487</v>
      </c>
      <c r="D52" t="s">
        <v>488</v>
      </c>
      <c r="E52" s="58"/>
      <c r="F52" s="85">
        <v>483.6</v>
      </c>
      <c r="G52" s="185">
        <v>483.6</v>
      </c>
      <c r="H52" s="186">
        <v>45001</v>
      </c>
      <c r="I52" s="171"/>
      <c r="J52" s="187"/>
      <c r="K52" s="170"/>
      <c r="L52" s="70"/>
      <c r="M52" s="29" t="s">
        <v>489</v>
      </c>
    </row>
    <row r="53" spans="1:13" x14ac:dyDescent="0.2">
      <c r="A53">
        <f t="shared" si="0"/>
        <v>45</v>
      </c>
      <c r="B53" t="s">
        <v>17</v>
      </c>
      <c r="C53" t="s">
        <v>490</v>
      </c>
      <c r="D53" t="s">
        <v>491</v>
      </c>
      <c r="E53" s="58">
        <v>986.37</v>
      </c>
      <c r="F53" s="85">
        <f>E53*1.25</f>
        <v>1232.9625000000001</v>
      </c>
      <c r="G53" s="185"/>
      <c r="H53" s="186"/>
      <c r="I53" s="171"/>
      <c r="J53" s="171"/>
      <c r="K53" s="170"/>
      <c r="L53" s="70"/>
      <c r="M53" s="29" t="s">
        <v>493</v>
      </c>
    </row>
    <row r="54" spans="1:13" x14ac:dyDescent="0.2">
      <c r="A54">
        <f t="shared" si="0"/>
        <v>46</v>
      </c>
      <c r="B54" t="s">
        <v>17</v>
      </c>
      <c r="C54" t="s">
        <v>494</v>
      </c>
      <c r="D54" t="s">
        <v>495</v>
      </c>
      <c r="E54" s="58"/>
      <c r="F54" s="85">
        <v>1420</v>
      </c>
      <c r="G54" s="185">
        <v>1420</v>
      </c>
      <c r="H54" s="186">
        <v>45001</v>
      </c>
      <c r="I54" s="171"/>
      <c r="J54" s="171"/>
      <c r="K54" s="170"/>
      <c r="L54" s="70"/>
      <c r="M54" s="29" t="s">
        <v>496</v>
      </c>
    </row>
    <row r="55" spans="1:13" x14ac:dyDescent="0.2">
      <c r="A55">
        <f t="shared" si="0"/>
        <v>47</v>
      </c>
      <c r="B55" t="s">
        <v>17</v>
      </c>
      <c r="C55" t="s">
        <v>497</v>
      </c>
      <c r="D55" t="s">
        <v>498</v>
      </c>
      <c r="E55" s="11">
        <v>734.45</v>
      </c>
      <c r="F55" s="85">
        <f>E55*1.25</f>
        <v>918.0625</v>
      </c>
      <c r="G55" s="185">
        <v>918.06</v>
      </c>
      <c r="H55" s="186" t="s">
        <v>432</v>
      </c>
      <c r="I55" s="171"/>
      <c r="J55" s="171">
        <v>183.61</v>
      </c>
      <c r="K55" s="170"/>
      <c r="L55" s="70"/>
      <c r="M55" s="29" t="s">
        <v>499</v>
      </c>
    </row>
    <row r="56" spans="1:13" x14ac:dyDescent="0.2">
      <c r="A56">
        <f t="shared" si="0"/>
        <v>48</v>
      </c>
      <c r="B56" t="s">
        <v>17</v>
      </c>
      <c r="C56" t="s">
        <v>500</v>
      </c>
      <c r="D56" t="s">
        <v>501</v>
      </c>
      <c r="F56" s="85"/>
      <c r="G56" s="185"/>
      <c r="H56" s="186"/>
      <c r="I56" s="171"/>
      <c r="J56" s="171"/>
      <c r="K56" s="170"/>
      <c r="L56" s="70"/>
    </row>
    <row r="57" spans="1:13" x14ac:dyDescent="0.2">
      <c r="A57">
        <f t="shared" si="0"/>
        <v>49</v>
      </c>
      <c r="B57" t="s">
        <v>17</v>
      </c>
      <c r="C57" t="s">
        <v>502</v>
      </c>
      <c r="D57" t="s">
        <v>443</v>
      </c>
      <c r="F57" s="188">
        <v>548.9</v>
      </c>
      <c r="G57" s="185">
        <v>548.9</v>
      </c>
      <c r="H57" s="186" t="s">
        <v>432</v>
      </c>
      <c r="I57" s="171"/>
      <c r="J57" s="171"/>
      <c r="K57" s="170"/>
      <c r="L57" s="70"/>
      <c r="M57" s="29" t="s">
        <v>503</v>
      </c>
    </row>
    <row r="58" spans="1:13" x14ac:dyDescent="0.2">
      <c r="A58">
        <f t="shared" si="0"/>
        <v>50</v>
      </c>
      <c r="B58" t="s">
        <v>17</v>
      </c>
      <c r="C58" t="s">
        <v>504</v>
      </c>
      <c r="D58" t="s">
        <v>505</v>
      </c>
      <c r="F58" s="85"/>
      <c r="G58" s="192">
        <v>1359.14</v>
      </c>
      <c r="H58" s="193" t="s">
        <v>506</v>
      </c>
      <c r="I58" s="171"/>
      <c r="J58" s="171"/>
      <c r="K58" s="170"/>
      <c r="L58" s="70"/>
    </row>
    <row r="59" spans="1:13" x14ac:dyDescent="0.2">
      <c r="A59">
        <f t="shared" si="0"/>
        <v>51</v>
      </c>
      <c r="B59" t="s">
        <v>17</v>
      </c>
      <c r="C59" t="s">
        <v>507</v>
      </c>
      <c r="D59" t="s">
        <v>627</v>
      </c>
      <c r="F59" s="85"/>
      <c r="G59" s="185"/>
      <c r="H59" s="186"/>
      <c r="I59" s="171"/>
      <c r="J59" s="171"/>
      <c r="K59" s="170"/>
      <c r="L59" s="70"/>
    </row>
    <row r="60" spans="1:13" x14ac:dyDescent="0.2">
      <c r="A60">
        <f t="shared" si="0"/>
        <v>52</v>
      </c>
      <c r="B60" t="s">
        <v>17</v>
      </c>
      <c r="C60" t="s">
        <v>508</v>
      </c>
      <c r="D60" t="s">
        <v>509</v>
      </c>
      <c r="F60" s="85"/>
      <c r="G60" s="185"/>
      <c r="H60" s="186"/>
      <c r="I60" s="171"/>
      <c r="J60" s="171"/>
      <c r="K60" s="170"/>
      <c r="L60" s="70"/>
    </row>
    <row r="61" spans="1:13" x14ac:dyDescent="0.2">
      <c r="A61">
        <f t="shared" si="0"/>
        <v>53</v>
      </c>
      <c r="B61" t="s">
        <v>17</v>
      </c>
      <c r="C61" t="s">
        <v>510</v>
      </c>
      <c r="D61" t="s">
        <v>628</v>
      </c>
      <c r="F61" s="11"/>
      <c r="G61" s="185"/>
      <c r="H61" s="186"/>
      <c r="I61" s="171"/>
      <c r="J61" s="171"/>
      <c r="K61" s="170"/>
      <c r="L61" s="70"/>
    </row>
    <row r="62" spans="1:13" x14ac:dyDescent="0.2">
      <c r="A62">
        <f t="shared" si="0"/>
        <v>54</v>
      </c>
      <c r="B62" t="s">
        <v>17</v>
      </c>
      <c r="C62" t="s">
        <v>514</v>
      </c>
      <c r="D62" t="s">
        <v>476</v>
      </c>
      <c r="E62" s="11">
        <v>425</v>
      </c>
      <c r="F62" s="85">
        <v>531.25</v>
      </c>
      <c r="G62" s="185">
        <v>531.25</v>
      </c>
      <c r="H62" s="186" t="s">
        <v>432</v>
      </c>
      <c r="I62" s="171"/>
      <c r="J62" s="171">
        <v>106.25</v>
      </c>
      <c r="K62" s="170"/>
      <c r="L62" s="70"/>
      <c r="M62" s="29" t="s">
        <v>515</v>
      </c>
    </row>
    <row r="63" spans="1:13" x14ac:dyDescent="0.2">
      <c r="A63">
        <f t="shared" si="0"/>
        <v>55</v>
      </c>
      <c r="B63" t="s">
        <v>17</v>
      </c>
      <c r="C63" t="s">
        <v>516</v>
      </c>
      <c r="D63" t="s">
        <v>517</v>
      </c>
      <c r="E63" s="11">
        <v>284</v>
      </c>
      <c r="F63" s="85">
        <f>E63*1.25</f>
        <v>355</v>
      </c>
      <c r="G63" s="185">
        <v>355</v>
      </c>
      <c r="H63" s="186" t="s">
        <v>432</v>
      </c>
      <c r="I63" s="171"/>
      <c r="J63" s="171">
        <v>71</v>
      </c>
      <c r="K63" s="170"/>
      <c r="L63" s="70"/>
      <c r="M63" s="29" t="s">
        <v>518</v>
      </c>
    </row>
    <row r="64" spans="1:13" x14ac:dyDescent="0.2">
      <c r="A64">
        <f t="shared" si="0"/>
        <v>56</v>
      </c>
      <c r="B64" t="s">
        <v>17</v>
      </c>
      <c r="F64" s="85"/>
      <c r="G64" s="185"/>
      <c r="H64" s="186"/>
      <c r="I64" s="171"/>
      <c r="J64" s="171"/>
      <c r="K64" s="170"/>
      <c r="L64" s="70"/>
    </row>
    <row r="65" spans="1:13" x14ac:dyDescent="0.2">
      <c r="A65">
        <f t="shared" si="0"/>
        <v>57</v>
      </c>
      <c r="B65" t="s">
        <v>17</v>
      </c>
      <c r="C65" t="s">
        <v>523</v>
      </c>
      <c r="D65" t="s">
        <v>524</v>
      </c>
      <c r="F65" s="85">
        <v>1692.03</v>
      </c>
      <c r="G65" s="185">
        <v>1692.03</v>
      </c>
      <c r="H65" s="186">
        <v>45001</v>
      </c>
      <c r="I65" s="171"/>
      <c r="J65" s="171"/>
      <c r="K65" s="170"/>
      <c r="L65" s="70"/>
      <c r="M65" s="29" t="s">
        <v>525</v>
      </c>
    </row>
    <row r="66" spans="1:13" x14ac:dyDescent="0.2">
      <c r="A66">
        <f t="shared" si="0"/>
        <v>58</v>
      </c>
      <c r="B66" t="s">
        <v>17</v>
      </c>
      <c r="C66" t="s">
        <v>388</v>
      </c>
      <c r="D66" t="s">
        <v>389</v>
      </c>
      <c r="F66" s="85"/>
      <c r="G66" s="185"/>
      <c r="H66" s="186"/>
      <c r="I66" s="171"/>
      <c r="J66" s="171"/>
      <c r="K66" s="170"/>
      <c r="L66" s="70"/>
    </row>
    <row r="67" spans="1:13" x14ac:dyDescent="0.2">
      <c r="A67">
        <f t="shared" si="0"/>
        <v>59</v>
      </c>
      <c r="B67" t="s">
        <v>17</v>
      </c>
      <c r="C67" t="s">
        <v>526</v>
      </c>
      <c r="D67" t="s">
        <v>484</v>
      </c>
      <c r="F67" s="85"/>
      <c r="G67" s="185"/>
      <c r="H67" s="186"/>
      <c r="I67" s="171"/>
      <c r="J67" s="171"/>
      <c r="K67" s="170"/>
      <c r="L67" s="70"/>
    </row>
    <row r="68" spans="1:13" x14ac:dyDescent="0.2">
      <c r="A68">
        <f t="shared" ref="A68:A72" si="1">+A67+1</f>
        <v>60</v>
      </c>
      <c r="B68" t="s">
        <v>17</v>
      </c>
      <c r="C68" t="s">
        <v>527</v>
      </c>
      <c r="F68" s="85"/>
      <c r="G68" s="185"/>
      <c r="H68" s="186"/>
      <c r="I68" s="171"/>
      <c r="J68" s="171"/>
      <c r="K68" s="170"/>
      <c r="L68" s="70"/>
    </row>
    <row r="69" spans="1:13" x14ac:dyDescent="0.2">
      <c r="A69">
        <f t="shared" si="1"/>
        <v>61</v>
      </c>
      <c r="B69" t="s">
        <v>17</v>
      </c>
      <c r="C69" t="s">
        <v>529</v>
      </c>
      <c r="F69" s="49"/>
      <c r="K69" s="70"/>
      <c r="L69" s="70"/>
    </row>
    <row r="70" spans="1:13" x14ac:dyDescent="0.2">
      <c r="A70">
        <f t="shared" si="1"/>
        <v>62</v>
      </c>
      <c r="B70" t="s">
        <v>17</v>
      </c>
      <c r="C70" t="s">
        <v>568</v>
      </c>
      <c r="F70" s="49"/>
      <c r="K70" s="70"/>
      <c r="L70" s="70"/>
    </row>
    <row r="71" spans="1:13" x14ac:dyDescent="0.2">
      <c r="A71">
        <f t="shared" si="1"/>
        <v>63</v>
      </c>
      <c r="B71" t="s">
        <v>17</v>
      </c>
      <c r="C71" t="s">
        <v>534</v>
      </c>
      <c r="D71" t="s">
        <v>535</v>
      </c>
      <c r="F71" s="49"/>
      <c r="K71" s="70"/>
      <c r="L71" s="70" t="s">
        <v>536</v>
      </c>
    </row>
    <row r="72" spans="1:13" x14ac:dyDescent="0.2">
      <c r="A72">
        <f t="shared" si="1"/>
        <v>64</v>
      </c>
      <c r="B72" t="s">
        <v>17</v>
      </c>
      <c r="C72" t="s">
        <v>537</v>
      </c>
      <c r="D72" t="s">
        <v>538</v>
      </c>
      <c r="F72" s="49" t="s">
        <v>539</v>
      </c>
      <c r="G72" s="179">
        <v>124.43</v>
      </c>
      <c r="H72" s="172" t="s">
        <v>506</v>
      </c>
      <c r="K72" s="70"/>
      <c r="L72" s="70"/>
    </row>
    <row r="73" spans="1:13" x14ac:dyDescent="0.2">
      <c r="B73" t="s">
        <v>17</v>
      </c>
      <c r="C73" t="s">
        <v>514</v>
      </c>
      <c r="D73" t="s">
        <v>541</v>
      </c>
      <c r="F73" s="49">
        <v>148.47999999999999</v>
      </c>
      <c r="G73" s="179">
        <v>148.47999999999999</v>
      </c>
      <c r="H73" s="172" t="s">
        <v>351</v>
      </c>
      <c r="K73" s="70"/>
      <c r="L73" s="70"/>
    </row>
    <row r="74" spans="1:13" x14ac:dyDescent="0.2">
      <c r="F74" s="49"/>
      <c r="K74" s="70"/>
      <c r="L74" s="70"/>
    </row>
    <row r="75" spans="1:13" x14ac:dyDescent="0.2">
      <c r="B75" t="s">
        <v>545</v>
      </c>
      <c r="C75" t="s">
        <v>546</v>
      </c>
      <c r="D75" t="s">
        <v>484</v>
      </c>
      <c r="E75" s="11">
        <v>162.9</v>
      </c>
      <c r="F75" s="49">
        <f>E75*1.25</f>
        <v>203.625</v>
      </c>
      <c r="H75" s="172" t="s">
        <v>400</v>
      </c>
      <c r="K75" s="70"/>
      <c r="L75" s="70"/>
      <c r="M75" s="29" t="s">
        <v>547</v>
      </c>
    </row>
    <row r="76" spans="1:13" x14ac:dyDescent="0.2">
      <c r="B76" t="s">
        <v>545</v>
      </c>
      <c r="C76" t="s">
        <v>548</v>
      </c>
      <c r="D76" t="s">
        <v>549</v>
      </c>
      <c r="E76" s="11">
        <v>39.950000000000003</v>
      </c>
      <c r="F76" s="85">
        <f>E76*1.25</f>
        <v>49.9375</v>
      </c>
      <c r="H76" s="172" t="s">
        <v>485</v>
      </c>
      <c r="K76" s="70"/>
      <c r="L76" s="70"/>
      <c r="M76" s="29" t="s">
        <v>550</v>
      </c>
    </row>
    <row r="77" spans="1:13" x14ac:dyDescent="0.2">
      <c r="B77" t="s">
        <v>545</v>
      </c>
      <c r="C77" t="s">
        <v>551</v>
      </c>
      <c r="D77" t="s">
        <v>505</v>
      </c>
      <c r="F77" s="49">
        <f>93+196+154+12.5</f>
        <v>455.5</v>
      </c>
      <c r="K77" s="70"/>
      <c r="L77" s="70"/>
      <c r="M77" s="29" t="s">
        <v>552</v>
      </c>
    </row>
    <row r="78" spans="1:13" x14ac:dyDescent="0.2">
      <c r="B78" t="s">
        <v>545</v>
      </c>
      <c r="C78" t="s">
        <v>553</v>
      </c>
      <c r="D78" t="s">
        <v>538</v>
      </c>
      <c r="E78" s="11">
        <v>76</v>
      </c>
      <c r="F78" s="49">
        <f>E78*1.25</f>
        <v>95</v>
      </c>
      <c r="K78" s="70"/>
      <c r="L78" s="70"/>
      <c r="M78" s="29" t="s">
        <v>554</v>
      </c>
    </row>
    <row r="79" spans="1:13" ht="30.75" customHeight="1" x14ac:dyDescent="0.2">
      <c r="B79" t="s">
        <v>545</v>
      </c>
      <c r="C79" t="s">
        <v>555</v>
      </c>
      <c r="D79" t="s">
        <v>484</v>
      </c>
      <c r="E79" s="39">
        <v>163.68</v>
      </c>
      <c r="F79" s="49">
        <f>E79*1.25</f>
        <v>204.60000000000002</v>
      </c>
      <c r="H79" s="172" t="s">
        <v>485</v>
      </c>
      <c r="K79" s="70"/>
      <c r="L79" s="169" t="s">
        <v>556</v>
      </c>
      <c r="M79" s="29" t="s">
        <v>557</v>
      </c>
    </row>
    <row r="80" spans="1:13" x14ac:dyDescent="0.2">
      <c r="B80" t="s">
        <v>545</v>
      </c>
      <c r="C80" t="s">
        <v>558</v>
      </c>
      <c r="D80" t="s">
        <v>484</v>
      </c>
      <c r="E80" s="11">
        <v>115.68</v>
      </c>
      <c r="F80" s="49">
        <f>E80*1.25</f>
        <v>144.60000000000002</v>
      </c>
      <c r="H80" s="172" t="s">
        <v>485</v>
      </c>
      <c r="K80" s="70"/>
      <c r="L80" s="170" t="s">
        <v>559</v>
      </c>
      <c r="M80" s="29" t="s">
        <v>560</v>
      </c>
    </row>
    <row r="81" spans="1:13" x14ac:dyDescent="0.2">
      <c r="A81">
        <f>+A72+1</f>
        <v>65</v>
      </c>
      <c r="F81" s="49"/>
      <c r="K81" s="70"/>
      <c r="L81" s="70"/>
    </row>
    <row r="82" spans="1:13" x14ac:dyDescent="0.2">
      <c r="A82">
        <f t="shared" ref="A82:A99" si="2">+A81+1</f>
        <v>66</v>
      </c>
      <c r="B82" t="s">
        <v>18</v>
      </c>
      <c r="C82" t="s">
        <v>561</v>
      </c>
      <c r="F82" s="49"/>
      <c r="K82" s="70"/>
      <c r="L82" s="70"/>
    </row>
    <row r="83" spans="1:13" x14ac:dyDescent="0.2">
      <c r="A83">
        <f t="shared" si="2"/>
        <v>67</v>
      </c>
      <c r="B83" t="s">
        <v>18</v>
      </c>
      <c r="C83" t="s">
        <v>526</v>
      </c>
      <c r="D83" t="s">
        <v>484</v>
      </c>
      <c r="F83" s="49"/>
      <c r="K83" s="70"/>
      <c r="L83" s="70"/>
    </row>
    <row r="84" spans="1:13" x14ac:dyDescent="0.2">
      <c r="A84">
        <f t="shared" si="2"/>
        <v>68</v>
      </c>
      <c r="B84" t="s">
        <v>18</v>
      </c>
      <c r="C84" t="s">
        <v>527</v>
      </c>
      <c r="F84" s="49"/>
      <c r="K84" s="70"/>
      <c r="L84" s="70"/>
    </row>
    <row r="85" spans="1:13" x14ac:dyDescent="0.2">
      <c r="A85">
        <f t="shared" si="2"/>
        <v>69</v>
      </c>
      <c r="B85" t="s">
        <v>18</v>
      </c>
      <c r="C85" t="s">
        <v>497</v>
      </c>
      <c r="D85" t="s">
        <v>498</v>
      </c>
      <c r="F85" s="49"/>
      <c r="K85" s="70"/>
      <c r="L85" s="70"/>
    </row>
    <row r="86" spans="1:13" x14ac:dyDescent="0.2">
      <c r="A86">
        <f t="shared" si="2"/>
        <v>70</v>
      </c>
      <c r="B86" t="s">
        <v>18</v>
      </c>
      <c r="C86" t="s">
        <v>616</v>
      </c>
      <c r="D86" t="s">
        <v>498</v>
      </c>
      <c r="E86" s="11">
        <v>340</v>
      </c>
      <c r="F86" s="49">
        <f>E86*1.25</f>
        <v>425</v>
      </c>
      <c r="K86" s="70"/>
      <c r="L86" s="70"/>
    </row>
    <row r="87" spans="1:13" x14ac:dyDescent="0.2">
      <c r="A87">
        <f t="shared" si="2"/>
        <v>71</v>
      </c>
      <c r="B87" t="s">
        <v>18</v>
      </c>
      <c r="C87" t="s">
        <v>565</v>
      </c>
      <c r="F87" s="49"/>
      <c r="K87" s="70"/>
      <c r="L87" s="70"/>
    </row>
    <row r="88" spans="1:13" x14ac:dyDescent="0.2">
      <c r="A88">
        <f t="shared" si="2"/>
        <v>72</v>
      </c>
      <c r="B88" t="s">
        <v>18</v>
      </c>
      <c r="C88" t="s">
        <v>567</v>
      </c>
      <c r="D88" t="s">
        <v>495</v>
      </c>
      <c r="F88" s="49">
        <v>970</v>
      </c>
      <c r="K88" s="70"/>
      <c r="L88" s="70"/>
      <c r="M88" s="29" t="s">
        <v>496</v>
      </c>
    </row>
    <row r="89" spans="1:13" x14ac:dyDescent="0.2">
      <c r="A89">
        <f t="shared" si="2"/>
        <v>73</v>
      </c>
      <c r="B89" t="s">
        <v>18</v>
      </c>
      <c r="C89" t="s">
        <v>568</v>
      </c>
      <c r="F89" s="49"/>
      <c r="K89" s="70"/>
      <c r="L89" s="70"/>
    </row>
    <row r="90" spans="1:13" x14ac:dyDescent="0.2">
      <c r="A90">
        <f t="shared" si="2"/>
        <v>74</v>
      </c>
      <c r="B90" t="s">
        <v>18</v>
      </c>
      <c r="C90" t="s">
        <v>534</v>
      </c>
      <c r="F90" s="49"/>
      <c r="K90" s="70"/>
      <c r="L90" s="70"/>
    </row>
    <row r="91" spans="1:13" x14ac:dyDescent="0.2">
      <c r="A91">
        <f t="shared" si="2"/>
        <v>75</v>
      </c>
      <c r="B91" t="s">
        <v>18</v>
      </c>
      <c r="C91" t="s">
        <v>571</v>
      </c>
      <c r="F91" s="49"/>
      <c r="K91" s="70"/>
      <c r="L91" s="70"/>
    </row>
    <row r="92" spans="1:13" x14ac:dyDescent="0.2">
      <c r="A92">
        <f t="shared" si="2"/>
        <v>76</v>
      </c>
      <c r="B92" t="s">
        <v>18</v>
      </c>
      <c r="C92" t="s">
        <v>575</v>
      </c>
      <c r="D92" t="s">
        <v>576</v>
      </c>
      <c r="F92" s="49"/>
      <c r="K92" s="70"/>
      <c r="L92" s="70"/>
    </row>
    <row r="93" spans="1:13" x14ac:dyDescent="0.2">
      <c r="A93">
        <f t="shared" si="2"/>
        <v>77</v>
      </c>
      <c r="B93" t="s">
        <v>18</v>
      </c>
      <c r="C93" t="s">
        <v>617</v>
      </c>
      <c r="F93" s="49"/>
      <c r="K93" s="70"/>
      <c r="L93" s="70"/>
    </row>
    <row r="94" spans="1:13" x14ac:dyDescent="0.2">
      <c r="A94">
        <f t="shared" si="2"/>
        <v>78</v>
      </c>
      <c r="B94" t="s">
        <v>18</v>
      </c>
      <c r="C94" t="s">
        <v>581</v>
      </c>
      <c r="F94" s="49"/>
      <c r="K94" s="70"/>
      <c r="L94" s="70"/>
    </row>
    <row r="95" spans="1:13" x14ac:dyDescent="0.2">
      <c r="A95">
        <f t="shared" si="2"/>
        <v>79</v>
      </c>
      <c r="B95" t="s">
        <v>18</v>
      </c>
      <c r="C95" t="s">
        <v>582</v>
      </c>
      <c r="F95" s="49"/>
      <c r="K95" s="70"/>
      <c r="L95" s="70"/>
    </row>
    <row r="96" spans="1:13" x14ac:dyDescent="0.2">
      <c r="A96">
        <f t="shared" si="2"/>
        <v>80</v>
      </c>
      <c r="B96" t="s">
        <v>18</v>
      </c>
      <c r="C96" t="s">
        <v>388</v>
      </c>
      <c r="D96" t="s">
        <v>389</v>
      </c>
      <c r="F96" s="49"/>
      <c r="K96" s="70"/>
      <c r="L96" s="70"/>
    </row>
    <row r="97" spans="1:13" x14ac:dyDescent="0.2">
      <c r="A97">
        <f t="shared" si="2"/>
        <v>81</v>
      </c>
      <c r="B97" t="s">
        <v>18</v>
      </c>
      <c r="C97" t="s">
        <v>523</v>
      </c>
      <c r="D97" t="s">
        <v>524</v>
      </c>
      <c r="F97" s="49"/>
      <c r="K97" s="70"/>
      <c r="L97" s="70"/>
    </row>
    <row r="98" spans="1:13" x14ac:dyDescent="0.2">
      <c r="A98">
        <f t="shared" si="2"/>
        <v>82</v>
      </c>
      <c r="K98" s="70"/>
      <c r="L98" s="70"/>
    </row>
    <row r="99" spans="1:13" x14ac:dyDescent="0.2">
      <c r="A99">
        <f t="shared" si="2"/>
        <v>83</v>
      </c>
      <c r="B99" s="56" t="s">
        <v>618</v>
      </c>
      <c r="C99" s="56"/>
      <c r="D99" s="56" t="s">
        <v>484</v>
      </c>
      <c r="E99" s="11">
        <v>3439.48</v>
      </c>
      <c r="F99" s="194">
        <f>E99*1.25</f>
        <v>4299.3500000000004</v>
      </c>
      <c r="G99" s="183">
        <v>4299.3500000000004</v>
      </c>
      <c r="H99" s="172" t="s">
        <v>370</v>
      </c>
      <c r="K99" s="70"/>
      <c r="L99" s="70"/>
      <c r="M99" s="29" t="s">
        <v>593</v>
      </c>
    </row>
    <row r="100" spans="1:13" x14ac:dyDescent="0.2">
      <c r="E100" s="11" t="s">
        <v>594</v>
      </c>
      <c r="F100" s="9">
        <f>SUM(F2:F99)</f>
        <v>104968.16647687307</v>
      </c>
      <c r="G100" s="184">
        <f>SUM(G2:G99)</f>
        <v>48077.01</v>
      </c>
      <c r="K100" s="70"/>
      <c r="L100" s="70"/>
    </row>
  </sheetData>
  <hyperlinks>
    <hyperlink ref="M4" r:id="rId1" xr:uid="{CCD92FD0-358B-4293-9008-28C43A358086}"/>
    <hyperlink ref="M5" r:id="rId2" xr:uid="{CC5108A9-7AAB-4334-882A-DEFC4AD08BC8}"/>
    <hyperlink ref="M39" r:id="rId3" xr:uid="{4DE83F3F-D617-4E9C-A447-780A8BEF9504}"/>
    <hyperlink ref="M50" r:id="rId4" xr:uid="{23FE0FF3-227F-4D59-8B9B-5C4DA3DA0C8C}"/>
    <hyperlink ref="M54" r:id="rId5" xr:uid="{2D09A6D4-67D9-4AD2-8C71-3641356F06F7}"/>
    <hyperlink ref="M88" r:id="rId6" xr:uid="{DB5A287D-E843-46A5-BF3F-BDE47ECDCDAA}"/>
    <hyperlink ref="M31" r:id="rId7" xr:uid="{32F2B4EC-F341-45E2-9E88-6EFD387C2199}"/>
    <hyperlink ref="M28" r:id="rId8" xr:uid="{9227ACDE-1A6A-41B1-968F-D5BF184D405A}"/>
    <hyperlink ref="M22" r:id="rId9" xr:uid="{EF394350-26AA-4179-962A-843BD5350FFD}"/>
    <hyperlink ref="M41" r:id="rId10" xr:uid="{546D913E-7BF1-454B-A0CD-84365A232D82}"/>
    <hyperlink ref="M12" r:id="rId11" xr:uid="{3954D472-E309-4F05-A19F-38FA9A274A55}"/>
    <hyperlink ref="M34" r:id="rId12" xr:uid="{F08B0DF8-D583-4387-B6B4-9876800623A8}"/>
    <hyperlink ref="M43" r:id="rId13" xr:uid="{BD3AB867-3B25-44A2-8DCF-DB8F5A138B75}"/>
    <hyperlink ref="M44" r:id="rId14" xr:uid="{5E31E949-4D39-4656-B0ED-C78B095F076C}"/>
    <hyperlink ref="M47" r:id="rId15" xr:uid="{7A10EC89-2763-4031-9AD7-626B5CA7CD1C}"/>
    <hyperlink ref="M46" r:id="rId16" xr:uid="{F9630F85-BCB6-47F8-8807-E5CCFF0DCE2D}"/>
    <hyperlink ref="M26" r:id="rId17" xr:uid="{8DEC7886-1CDC-48D6-A179-E48922B8CDF7}"/>
    <hyperlink ref="M25" r:id="rId18" xr:uid="{33B2EC95-F101-4180-A043-C0979C2847FB}"/>
    <hyperlink ref="M11" r:id="rId19" xr:uid="{A08E93E4-9DE4-44A2-943A-D1C86AABAE89}"/>
    <hyperlink ref="M75" r:id="rId20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OK130223%2D080901%2Epdf&amp;parent=%2Fpersonal%2Fedo%5Fseifried%5Fmgs%2Dgrupa%5Fcom%2FDocuments%2FMGS%20POSLOVANJE%202023%2FPonude%20%2D%20projekti%2FPUG" xr:uid="{95495306-438D-4C3F-A44D-556CAAC9C678}"/>
    <hyperlink ref="M78" r:id="rId21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SK%2Epdf&amp;parent=%2Fpersonal%2Fedo%5Fseifried%5Fmgs%2Dgrupa%5Fcom%2FDocuments%2FMGS%20POSLOVANJE%202023%2FPonude%20%2D%20projekti%2FPUG" xr:uid="{923D4052-0820-4093-B10E-7C9D7FFCF42E}"/>
    <hyperlink ref="M76" r:id="rId22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PON%2D23%2D000428%2Epdf&amp;parent=%2Fpersonal%2Fedo%5Fseifried%5Fmgs%2Dgrupa%5Fcom%2FDocuments%2FMGS%20POSLOVANJE%202023%2FPonude%20%2D%20projekti%2FPUG" xr:uid="{6F97E95B-16CF-4DAE-B897-961A17581BFE}"/>
    <hyperlink ref="M77" r:id="rId23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Protiplam%20%2D%20PUG%2Epdf&amp;parent=%2Fpersonal%2Fedo%5Fseifried%5Fmgs%2Dgrupa%5Fcom%2FDocuments%2FMGS%20POSLOVANJE%202023%2FPonude%20%2D%20projekti%2FPUG" xr:uid="{623FC4B7-E9B4-45F3-B2A9-9B6E482139F3}"/>
    <hyperlink ref="M10" r:id="rId24" xr:uid="{DDB968FB-5A06-4A21-97DE-F626EB509968}"/>
    <hyperlink ref="M35" r:id="rId25" xr:uid="{2F2A62FF-36DE-4A26-AE9B-14BDBB549297}"/>
    <hyperlink ref="M80" r:id="rId26" xr:uid="{EBFA9C4B-B592-4A50-8132-B2813D4FFBEE}"/>
    <hyperlink ref="M79" r:id="rId27" xr:uid="{FBAA85CA-4C0F-44A8-B732-6BF58944C08E}"/>
    <hyperlink ref="M65" r:id="rId28" xr:uid="{B57B8BD4-A085-464F-9846-30EE837A3805}"/>
    <hyperlink ref="M51" r:id="rId29" xr:uid="{2CEA3219-4582-476C-BEEB-1B3235BF0D2F}"/>
    <hyperlink ref="M52" r:id="rId30" xr:uid="{79C9A17A-FD47-4B2B-91F8-7B6100784E70}"/>
    <hyperlink ref="M55" r:id="rId31" xr:uid="{DDB5B300-E68D-47A7-AC07-2BAA7D030A44}"/>
    <hyperlink ref="M62" r:id="rId32" xr:uid="{70CFD2B7-CAC6-411E-8419-6E8850AD4B7B}"/>
    <hyperlink ref="M63" r:id="rId33" xr:uid="{09A54A12-EB77-49C6-8781-070DAE092B46}"/>
    <hyperlink ref="M57" r:id="rId34" xr:uid="{4A732A5C-F034-4990-8C28-28FE5B2185C8}"/>
    <hyperlink ref="M30" r:id="rId35" xr:uid="{4756F40F-12B7-4502-A68E-9AF2ABF17EDE}"/>
    <hyperlink ref="M99" r:id="rId36" xr:uid="{7A6BCB07-7C4D-42B3-B670-ADB0A1BC5681}"/>
    <hyperlink ref="M53" r:id="rId37" xr:uid="{6761397B-F00B-4D48-874B-D7A89A23A1DD}"/>
    <hyperlink ref="M29" r:id="rId38" xr:uid="{FF1D19E9-70BE-41A6-92ED-B809C8FFCBE7}"/>
  </hyperlinks>
  <pageMargins left="0.7" right="0.7" top="0.75" bottom="0.75" header="0.3" footer="0.3"/>
  <pageSetup paperSize="9" orientation="portrait"/>
  <legacyDrawing r:id="rId3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8320-1C51-45B0-8E14-E9F4F5E13EB2}">
  <dimension ref="A1:M98"/>
  <sheetViews>
    <sheetView topLeftCell="E1" workbookViewId="0">
      <pane ySplit="1" topLeftCell="E63" activePane="bottomLeft" state="frozen"/>
      <selection activeCell="E1" sqref="E1"/>
      <selection pane="bottomLeft" activeCell="E1" sqref="E1"/>
    </sheetView>
  </sheetViews>
  <sheetFormatPr defaultRowHeight="15" x14ac:dyDescent="0.2"/>
  <cols>
    <col min="1" max="1" width="4.9765625" customWidth="1"/>
    <col min="2" max="2" width="24.078125" customWidth="1"/>
    <col min="3" max="3" width="33.8984375" customWidth="1"/>
    <col min="4" max="4" width="28.3828125" customWidth="1"/>
    <col min="5" max="5" width="12.375" style="11" customWidth="1"/>
    <col min="6" max="6" width="15.46875" style="9" customWidth="1"/>
    <col min="7" max="7" width="13.046875" style="60" customWidth="1"/>
    <col min="8" max="8" width="11.8359375" style="78" customWidth="1"/>
    <col min="9" max="9" width="9.68359375" style="11" customWidth="1"/>
    <col min="10" max="10" width="14.390625" style="11" customWidth="1"/>
    <col min="11" max="11" width="11.8359375" style="4" customWidth="1"/>
    <col min="12" max="12" width="39.4140625" style="4" bestFit="1" customWidth="1"/>
    <col min="13" max="13" width="137.34765625" bestFit="1" customWidth="1"/>
  </cols>
  <sheetData>
    <row r="1" spans="1:13" s="151" customFormat="1" ht="27.75" x14ac:dyDescent="0.2">
      <c r="B1" s="152" t="s">
        <v>381</v>
      </c>
      <c r="C1" s="152" t="s">
        <v>121</v>
      </c>
      <c r="D1" s="152" t="s">
        <v>122</v>
      </c>
      <c r="E1" s="154" t="s">
        <v>123</v>
      </c>
      <c r="F1" s="155" t="s">
        <v>382</v>
      </c>
      <c r="G1" s="156" t="s">
        <v>383</v>
      </c>
      <c r="H1" s="157" t="s">
        <v>384</v>
      </c>
      <c r="I1" s="155" t="s">
        <v>385</v>
      </c>
      <c r="J1" s="155" t="s">
        <v>331</v>
      </c>
      <c r="K1" s="158" t="s">
        <v>386</v>
      </c>
      <c r="L1" s="158" t="s">
        <v>67</v>
      </c>
      <c r="M1" s="152" t="s">
        <v>387</v>
      </c>
    </row>
    <row r="2" spans="1:13" x14ac:dyDescent="0.2">
      <c r="A2">
        <v>1</v>
      </c>
      <c r="B2" t="s">
        <v>15</v>
      </c>
      <c r="C2" t="s">
        <v>388</v>
      </c>
      <c r="D2" t="s">
        <v>389</v>
      </c>
      <c r="F2" s="49"/>
      <c r="K2" s="70"/>
      <c r="L2" s="70"/>
    </row>
    <row r="3" spans="1:13" x14ac:dyDescent="0.2">
      <c r="A3">
        <f t="shared" ref="A3:A81" si="0">+A2+1</f>
        <v>2</v>
      </c>
      <c r="B3" t="s">
        <v>390</v>
      </c>
      <c r="C3" t="s">
        <v>391</v>
      </c>
      <c r="D3" t="s">
        <v>392</v>
      </c>
      <c r="E3" s="11">
        <f>2.12*5*2</f>
        <v>21.200000000000003</v>
      </c>
      <c r="F3" s="49">
        <f>E3*1.25</f>
        <v>26.500000000000004</v>
      </c>
      <c r="G3" s="95">
        <v>26.54</v>
      </c>
      <c r="H3" s="78">
        <v>44959</v>
      </c>
      <c r="K3" s="70"/>
      <c r="L3" s="70"/>
      <c r="M3" t="s">
        <v>393</v>
      </c>
    </row>
    <row r="4" spans="1:13" x14ac:dyDescent="0.2">
      <c r="A4">
        <f>+A3+1</f>
        <v>3</v>
      </c>
      <c r="B4" t="e">
        <f>#REF!</f>
        <v>#REF!</v>
      </c>
      <c r="C4" t="s">
        <v>394</v>
      </c>
      <c r="E4" s="11">
        <v>1075.01</v>
      </c>
      <c r="F4" s="49">
        <f>+E4*1.25</f>
        <v>1343.7625</v>
      </c>
      <c r="G4" s="95"/>
      <c r="K4" s="70">
        <v>44946</v>
      </c>
      <c r="L4" s="70"/>
      <c r="M4" s="29" t="s">
        <v>395</v>
      </c>
    </row>
    <row r="5" spans="1:13" x14ac:dyDescent="0.2">
      <c r="A5">
        <f t="shared" si="0"/>
        <v>4</v>
      </c>
      <c r="B5" t="e">
        <f>#REF!</f>
        <v>#REF!</v>
      </c>
      <c r="C5" t="s">
        <v>396</v>
      </c>
      <c r="E5" s="11">
        <v>1061.77</v>
      </c>
      <c r="F5" s="49">
        <f>+E5*1.25</f>
        <v>1327.2125000000001</v>
      </c>
      <c r="G5" s="95"/>
      <c r="K5" s="70"/>
      <c r="L5" s="70"/>
      <c r="M5" s="29" t="s">
        <v>397</v>
      </c>
    </row>
    <row r="6" spans="1:13" x14ac:dyDescent="0.2">
      <c r="A6">
        <f t="shared" si="0"/>
        <v>5</v>
      </c>
      <c r="B6" t="s">
        <v>15</v>
      </c>
      <c r="C6" t="s">
        <v>398</v>
      </c>
      <c r="F6" s="49" t="s">
        <v>399</v>
      </c>
      <c r="G6" s="95">
        <v>170</v>
      </c>
      <c r="H6" s="78" t="s">
        <v>400</v>
      </c>
      <c r="K6" s="70"/>
      <c r="L6" s="70"/>
    </row>
    <row r="7" spans="1:13" x14ac:dyDescent="0.2">
      <c r="A7">
        <f t="shared" si="0"/>
        <v>6</v>
      </c>
      <c r="F7" s="49"/>
      <c r="G7" s="95"/>
      <c r="K7" s="70"/>
      <c r="L7" s="70"/>
    </row>
    <row r="8" spans="1:13" x14ac:dyDescent="0.2">
      <c r="A8">
        <f t="shared" si="0"/>
        <v>7</v>
      </c>
      <c r="B8" t="s">
        <v>16</v>
      </c>
      <c r="C8" t="s">
        <v>401</v>
      </c>
      <c r="D8" t="s">
        <v>402</v>
      </c>
      <c r="F8" s="49">
        <v>500</v>
      </c>
      <c r="G8" s="95">
        <f>100+126.32+30+60.07+46.15</f>
        <v>362.53999999999996</v>
      </c>
      <c r="K8" s="70"/>
      <c r="L8" s="70"/>
    </row>
    <row r="9" spans="1:13" x14ac:dyDescent="0.2">
      <c r="A9">
        <f t="shared" si="0"/>
        <v>8</v>
      </c>
      <c r="B9" t="s">
        <v>16</v>
      </c>
      <c r="C9" t="s">
        <v>403</v>
      </c>
      <c r="F9" s="49">
        <v>668.96</v>
      </c>
      <c r="G9" s="95">
        <v>668.96</v>
      </c>
      <c r="K9" s="70"/>
      <c r="L9" s="70"/>
    </row>
    <row r="10" spans="1:13" x14ac:dyDescent="0.2">
      <c r="A10">
        <f t="shared" si="0"/>
        <v>9</v>
      </c>
      <c r="B10" t="s">
        <v>16</v>
      </c>
      <c r="C10" t="s">
        <v>404</v>
      </c>
      <c r="D10" s="84" t="s">
        <v>375</v>
      </c>
      <c r="E10" s="49">
        <v>391</v>
      </c>
      <c r="F10" s="85">
        <f>E10*1.25</f>
        <v>488.75</v>
      </c>
      <c r="G10" s="96">
        <v>488.75</v>
      </c>
      <c r="H10" s="93" t="s">
        <v>405</v>
      </c>
      <c r="K10" s="70"/>
      <c r="L10" s="92"/>
      <c r="M10" s="29" t="s">
        <v>406</v>
      </c>
    </row>
    <row r="11" spans="1:13" x14ac:dyDescent="0.2">
      <c r="B11" t="s">
        <v>16</v>
      </c>
      <c r="C11" t="s">
        <v>407</v>
      </c>
      <c r="D11" s="84" t="s">
        <v>408</v>
      </c>
      <c r="E11" s="49">
        <v>372</v>
      </c>
      <c r="F11" s="85">
        <f>E11*1.25</f>
        <v>465</v>
      </c>
      <c r="G11" s="96">
        <v>465</v>
      </c>
      <c r="H11" s="78" t="s">
        <v>409</v>
      </c>
      <c r="K11" s="70"/>
      <c r="L11" s="70"/>
      <c r="M11" s="29" t="s">
        <v>410</v>
      </c>
    </row>
    <row r="12" spans="1:13" x14ac:dyDescent="0.2">
      <c r="A12">
        <f>+A10+1</f>
        <v>10</v>
      </c>
      <c r="B12" t="s">
        <v>16</v>
      </c>
      <c r="C12" t="s">
        <v>411</v>
      </c>
      <c r="D12" t="s">
        <v>412</v>
      </c>
      <c r="E12" s="49"/>
      <c r="F12" s="85">
        <v>2386.5500000000002</v>
      </c>
      <c r="G12" s="96">
        <v>2386.5500000000002</v>
      </c>
      <c r="H12" s="78" t="s">
        <v>413</v>
      </c>
      <c r="K12" s="70"/>
      <c r="L12" s="70"/>
      <c r="M12" s="29" t="s">
        <v>414</v>
      </c>
    </row>
    <row r="13" spans="1:13" x14ac:dyDescent="0.2">
      <c r="A13">
        <f t="shared" si="0"/>
        <v>11</v>
      </c>
      <c r="B13" t="s">
        <v>16</v>
      </c>
      <c r="C13" t="s">
        <v>388</v>
      </c>
      <c r="D13" t="s">
        <v>389</v>
      </c>
      <c r="F13" s="49"/>
      <c r="G13" s="95"/>
      <c r="K13" s="70"/>
      <c r="L13" s="70"/>
    </row>
    <row r="14" spans="1:13" x14ac:dyDescent="0.2">
      <c r="A14">
        <f t="shared" si="0"/>
        <v>12</v>
      </c>
      <c r="B14" t="s">
        <v>16</v>
      </c>
      <c r="C14" t="s">
        <v>415</v>
      </c>
      <c r="F14" s="49">
        <v>220</v>
      </c>
      <c r="G14" s="95"/>
      <c r="K14" s="70"/>
      <c r="L14" s="70"/>
    </row>
    <row r="15" spans="1:13" x14ac:dyDescent="0.2">
      <c r="A15">
        <f t="shared" si="0"/>
        <v>13</v>
      </c>
      <c r="B15" t="s">
        <v>16</v>
      </c>
      <c r="C15" t="s">
        <v>416</v>
      </c>
      <c r="F15" s="49">
        <v>350</v>
      </c>
      <c r="G15" s="95"/>
      <c r="K15" s="70"/>
      <c r="L15" s="70"/>
    </row>
    <row r="16" spans="1:13" x14ac:dyDescent="0.2">
      <c r="A16">
        <f t="shared" si="0"/>
        <v>14</v>
      </c>
      <c r="B16" t="s">
        <v>16</v>
      </c>
      <c r="C16" t="s">
        <v>417</v>
      </c>
      <c r="F16" s="49">
        <v>179.47</v>
      </c>
      <c r="G16" s="95"/>
      <c r="H16" s="78">
        <v>44998</v>
      </c>
      <c r="K16" s="70"/>
      <c r="L16" s="70"/>
    </row>
    <row r="17" spans="1:13" x14ac:dyDescent="0.2">
      <c r="B17" t="s">
        <v>16</v>
      </c>
      <c r="C17" t="s">
        <v>418</v>
      </c>
      <c r="D17" s="84" t="s">
        <v>375</v>
      </c>
      <c r="F17" s="49">
        <v>62.21</v>
      </c>
      <c r="G17" s="95"/>
      <c r="H17" s="78">
        <v>44988</v>
      </c>
      <c r="K17" s="70"/>
      <c r="L17" s="70"/>
    </row>
    <row r="18" spans="1:13" x14ac:dyDescent="0.2">
      <c r="A18">
        <f>+A16+1</f>
        <v>15</v>
      </c>
      <c r="B18" t="s">
        <v>16</v>
      </c>
      <c r="C18" t="s">
        <v>411</v>
      </c>
      <c r="D18" s="84" t="s">
        <v>408</v>
      </c>
      <c r="F18" s="9">
        <v>2760</v>
      </c>
      <c r="G18" s="95"/>
      <c r="H18" s="78">
        <v>44993</v>
      </c>
      <c r="K18" s="70"/>
      <c r="L18" s="70"/>
    </row>
    <row r="19" spans="1:13" x14ac:dyDescent="0.2">
      <c r="B19" t="s">
        <v>16</v>
      </c>
      <c r="C19" t="s">
        <v>419</v>
      </c>
      <c r="D19" s="84" t="s">
        <v>420</v>
      </c>
      <c r="F19" s="9">
        <v>172.01</v>
      </c>
      <c r="G19" s="95"/>
      <c r="H19" s="78">
        <v>44995</v>
      </c>
      <c r="K19" s="70"/>
      <c r="L19" s="70" t="s">
        <v>421</v>
      </c>
    </row>
    <row r="20" spans="1:13" x14ac:dyDescent="0.2">
      <c r="D20" s="84"/>
      <c r="G20" s="95"/>
      <c r="K20" s="70"/>
      <c r="L20" s="70"/>
    </row>
    <row r="21" spans="1:13" x14ac:dyDescent="0.2">
      <c r="A21">
        <f>+A18+1</f>
        <v>16</v>
      </c>
      <c r="B21" t="s">
        <v>25</v>
      </c>
      <c r="C21" t="s">
        <v>424</v>
      </c>
      <c r="D21" t="s">
        <v>425</v>
      </c>
      <c r="E21" s="49">
        <v>3527.5</v>
      </c>
      <c r="F21" s="49">
        <f>E21*1.25</f>
        <v>4409.375</v>
      </c>
      <c r="G21" s="95"/>
      <c r="K21" s="70"/>
      <c r="L21" s="70"/>
      <c r="M21" s="29" t="s">
        <v>426</v>
      </c>
    </row>
    <row r="22" spans="1:13" x14ac:dyDescent="0.2">
      <c r="A22">
        <f t="shared" si="0"/>
        <v>17</v>
      </c>
      <c r="G22" s="95"/>
      <c r="K22" s="70"/>
      <c r="L22" s="70"/>
    </row>
    <row r="23" spans="1:13" x14ac:dyDescent="0.2">
      <c r="A23">
        <f t="shared" si="0"/>
        <v>18</v>
      </c>
      <c r="B23" s="2" t="s">
        <v>23</v>
      </c>
      <c r="C23" s="17" t="s">
        <v>427</v>
      </c>
      <c r="G23" s="95"/>
      <c r="K23" s="70"/>
      <c r="L23" s="70"/>
    </row>
    <row r="24" spans="1:13" x14ac:dyDescent="0.2">
      <c r="A24">
        <f t="shared" si="0"/>
        <v>19</v>
      </c>
      <c r="B24" s="2" t="s">
        <v>24</v>
      </c>
      <c r="C24" s="77" t="s">
        <v>428</v>
      </c>
      <c r="D24" s="77" t="s">
        <v>429</v>
      </c>
      <c r="E24" s="49">
        <v>952.92</v>
      </c>
      <c r="F24" s="9">
        <f>E24*1.25</f>
        <v>1191.1499999999999</v>
      </c>
      <c r="G24" s="95"/>
      <c r="M24" s="29" t="s">
        <v>430</v>
      </c>
    </row>
    <row r="25" spans="1:13" ht="27.75" x14ac:dyDescent="0.2">
      <c r="B25" s="2"/>
      <c r="C25" s="77" t="s">
        <v>431</v>
      </c>
      <c r="D25" s="77" t="s">
        <v>429</v>
      </c>
      <c r="F25" s="9">
        <f>9694.24/7.5345</f>
        <v>1286.6467582454043</v>
      </c>
      <c r="G25" s="95"/>
      <c r="L25" s="17" t="s">
        <v>433</v>
      </c>
      <c r="M25" s="76" t="s">
        <v>434</v>
      </c>
    </row>
    <row r="26" spans="1:13" x14ac:dyDescent="0.2">
      <c r="A26">
        <f>+A24+1</f>
        <v>20</v>
      </c>
      <c r="G26" s="95"/>
      <c r="K26" s="70"/>
      <c r="L26" s="70"/>
    </row>
    <row r="27" spans="1:13" x14ac:dyDescent="0.2">
      <c r="A27">
        <f t="shared" si="0"/>
        <v>21</v>
      </c>
      <c r="B27" s="2" t="s">
        <v>27</v>
      </c>
      <c r="C27" t="s">
        <v>436</v>
      </c>
      <c r="D27" t="s">
        <v>437</v>
      </c>
      <c r="F27" s="9">
        <f>25.99*50</f>
        <v>1299.5</v>
      </c>
      <c r="G27" s="95">
        <v>1365</v>
      </c>
      <c r="H27" s="78" t="s">
        <v>438</v>
      </c>
      <c r="K27" s="70"/>
      <c r="L27" s="70"/>
      <c r="M27" s="29" t="s">
        <v>439</v>
      </c>
    </row>
    <row r="28" spans="1:13" x14ac:dyDescent="0.2">
      <c r="A28">
        <f t="shared" si="0"/>
        <v>22</v>
      </c>
      <c r="B28" s="2" t="s">
        <v>29</v>
      </c>
      <c r="C28" t="s">
        <v>629</v>
      </c>
      <c r="D28" t="s">
        <v>630</v>
      </c>
      <c r="G28" s="95"/>
      <c r="K28" s="70"/>
      <c r="L28" s="70"/>
    </row>
    <row r="29" spans="1:13" x14ac:dyDescent="0.2">
      <c r="A29">
        <f t="shared" si="0"/>
        <v>23</v>
      </c>
      <c r="B29" s="2" t="s">
        <v>29</v>
      </c>
      <c r="C29" t="s">
        <v>442</v>
      </c>
      <c r="D29" t="s">
        <v>443</v>
      </c>
      <c r="G29" s="95"/>
      <c r="K29" s="70"/>
      <c r="L29" s="70"/>
    </row>
    <row r="30" spans="1:13" x14ac:dyDescent="0.2">
      <c r="A30">
        <f t="shared" si="0"/>
        <v>24</v>
      </c>
      <c r="B30" s="2" t="s">
        <v>30</v>
      </c>
      <c r="C30" t="s">
        <v>445</v>
      </c>
      <c r="D30" t="s">
        <v>425</v>
      </c>
      <c r="E30" s="11">
        <v>3360</v>
      </c>
      <c r="F30" s="49">
        <f>E30*1.25</f>
        <v>4200</v>
      </c>
      <c r="G30" s="95"/>
      <c r="K30" s="70"/>
      <c r="L30" s="70"/>
      <c r="M30" s="29" t="s">
        <v>613</v>
      </c>
    </row>
    <row r="31" spans="1:13" x14ac:dyDescent="0.2">
      <c r="A31">
        <f t="shared" si="0"/>
        <v>25</v>
      </c>
      <c r="G31" s="95"/>
      <c r="K31" s="70"/>
      <c r="L31" s="70"/>
    </row>
    <row r="32" spans="1:13" x14ac:dyDescent="0.2">
      <c r="A32">
        <f t="shared" si="0"/>
        <v>26</v>
      </c>
      <c r="F32" s="49"/>
      <c r="G32" s="95"/>
      <c r="K32" s="70"/>
      <c r="L32" s="70"/>
    </row>
    <row r="33" spans="1:13" x14ac:dyDescent="0.2">
      <c r="A33">
        <f t="shared" si="0"/>
        <v>27</v>
      </c>
      <c r="B33" t="str">
        <f>'Knjiga narudžbi 2023'!B9</f>
        <v>DVD ADAMOVEC</v>
      </c>
      <c r="C33" t="s">
        <v>449</v>
      </c>
      <c r="D33" t="s">
        <v>450</v>
      </c>
      <c r="F33" s="49">
        <v>2244.52</v>
      </c>
      <c r="G33" s="95">
        <v>2241.2600000000002</v>
      </c>
      <c r="H33" s="78" t="s">
        <v>451</v>
      </c>
      <c r="K33" s="70"/>
      <c r="L33" s="70"/>
      <c r="M33" s="29" t="s">
        <v>452</v>
      </c>
    </row>
    <row r="34" spans="1:13" x14ac:dyDescent="0.2">
      <c r="A34">
        <f t="shared" si="0"/>
        <v>28</v>
      </c>
      <c r="B34" t="str">
        <f>B33</f>
        <v>DVD ADAMOVEC</v>
      </c>
      <c r="C34" t="s">
        <v>453</v>
      </c>
      <c r="D34" s="17" t="s">
        <v>454</v>
      </c>
      <c r="E34" s="11">
        <v>774.04</v>
      </c>
      <c r="F34" s="89">
        <f>E34*1.25</f>
        <v>967.55</v>
      </c>
      <c r="G34" s="97">
        <v>967.55</v>
      </c>
      <c r="H34" s="90" t="s">
        <v>455</v>
      </c>
      <c r="L34" s="91"/>
      <c r="M34" s="29" t="s">
        <v>456</v>
      </c>
    </row>
    <row r="35" spans="1:13" x14ac:dyDescent="0.2">
      <c r="A35">
        <f t="shared" si="0"/>
        <v>29</v>
      </c>
      <c r="G35" s="95"/>
      <c r="K35" s="70"/>
      <c r="L35" s="70"/>
    </row>
    <row r="36" spans="1:13" s="2" customFormat="1" ht="27.75" x14ac:dyDescent="0.2">
      <c r="A36" s="2">
        <f t="shared" si="0"/>
        <v>30</v>
      </c>
      <c r="B36" s="80" t="s">
        <v>457</v>
      </c>
      <c r="C36" s="80" t="s">
        <v>458</v>
      </c>
      <c r="D36" s="80"/>
      <c r="E36" s="81" t="s">
        <v>459</v>
      </c>
      <c r="F36" s="73"/>
      <c r="G36" s="98"/>
      <c r="H36" s="82"/>
      <c r="I36" s="9"/>
      <c r="J36" s="9"/>
      <c r="K36" s="44"/>
      <c r="L36" s="83" t="s">
        <v>460</v>
      </c>
    </row>
    <row r="37" spans="1:13" s="2" customFormat="1" x14ac:dyDescent="0.2">
      <c r="B37" t="s">
        <v>457</v>
      </c>
      <c r="C37" t="s">
        <v>461</v>
      </c>
      <c r="D37"/>
      <c r="E37" s="11"/>
      <c r="F37" s="49">
        <v>39.64</v>
      </c>
      <c r="G37" s="98"/>
      <c r="H37" s="82">
        <v>44998</v>
      </c>
      <c r="I37" s="9"/>
      <c r="J37" s="9"/>
      <c r="K37" s="44"/>
      <c r="L37" s="83"/>
    </row>
    <row r="38" spans="1:13" ht="27.75" x14ac:dyDescent="0.2">
      <c r="A38">
        <f>+A36+1</f>
        <v>31</v>
      </c>
      <c r="B38" t="s">
        <v>462</v>
      </c>
      <c r="C38" s="17" t="s">
        <v>463</v>
      </c>
      <c r="F38" s="49">
        <v>2260</v>
      </c>
      <c r="G38" s="95"/>
      <c r="H38" s="79"/>
      <c r="K38" s="70"/>
      <c r="L38" s="70"/>
      <c r="M38" s="29" t="s">
        <v>464</v>
      </c>
    </row>
    <row r="39" spans="1:13" x14ac:dyDescent="0.2">
      <c r="A39">
        <f t="shared" si="0"/>
        <v>32</v>
      </c>
      <c r="G39" s="95"/>
      <c r="K39" s="70"/>
      <c r="L39" s="70"/>
    </row>
    <row r="40" spans="1:13" x14ac:dyDescent="0.2">
      <c r="A40">
        <f t="shared" si="0"/>
        <v>33</v>
      </c>
      <c r="B40" t="s">
        <v>465</v>
      </c>
      <c r="C40" s="17" t="s">
        <v>466</v>
      </c>
      <c r="E40" s="42">
        <v>176.01</v>
      </c>
      <c r="F40" s="49">
        <f>E40*1.25</f>
        <v>220.01249999999999</v>
      </c>
      <c r="G40" s="95">
        <v>220.01</v>
      </c>
      <c r="H40" s="79" t="s">
        <v>467</v>
      </c>
      <c r="K40" s="70"/>
      <c r="L40" s="70"/>
      <c r="M40" s="29" t="s">
        <v>468</v>
      </c>
    </row>
    <row r="41" spans="1:13" x14ac:dyDescent="0.2">
      <c r="A41">
        <f t="shared" si="0"/>
        <v>34</v>
      </c>
      <c r="C41" s="17"/>
      <c r="F41" s="49"/>
      <c r="G41" s="95"/>
      <c r="H41" s="79"/>
      <c r="K41" s="70"/>
      <c r="L41" s="70"/>
      <c r="M41" s="29"/>
    </row>
    <row r="42" spans="1:13" x14ac:dyDescent="0.2">
      <c r="A42">
        <f t="shared" si="0"/>
        <v>35</v>
      </c>
      <c r="B42" t="s">
        <v>469</v>
      </c>
      <c r="C42" s="17" t="s">
        <v>470</v>
      </c>
      <c r="D42" t="s">
        <v>471</v>
      </c>
      <c r="E42" s="11">
        <v>180</v>
      </c>
      <c r="F42" s="49">
        <f>E42*1.25</f>
        <v>225</v>
      </c>
      <c r="G42" s="95">
        <v>225</v>
      </c>
      <c r="H42" s="79">
        <v>44963</v>
      </c>
      <c r="K42" s="70"/>
      <c r="L42" s="70"/>
      <c r="M42" s="29" t="s">
        <v>472</v>
      </c>
    </row>
    <row r="43" spans="1:13" x14ac:dyDescent="0.2">
      <c r="A43">
        <f t="shared" si="0"/>
        <v>36</v>
      </c>
      <c r="B43" t="s">
        <v>469</v>
      </c>
      <c r="C43" s="17" t="s">
        <v>473</v>
      </c>
      <c r="D43" t="s">
        <v>471</v>
      </c>
      <c r="F43" s="49">
        <v>841.25</v>
      </c>
      <c r="G43" s="95">
        <v>841.25</v>
      </c>
      <c r="H43" s="79">
        <v>44963</v>
      </c>
      <c r="K43" s="70"/>
      <c r="L43" s="70"/>
      <c r="M43" s="29" t="s">
        <v>474</v>
      </c>
    </row>
    <row r="44" spans="1:13" x14ac:dyDescent="0.2">
      <c r="A44">
        <f t="shared" si="0"/>
        <v>37</v>
      </c>
      <c r="C44" s="17"/>
      <c r="F44" s="49"/>
      <c r="G44" s="95"/>
      <c r="H44" s="79"/>
      <c r="K44" s="70"/>
      <c r="L44" s="70"/>
      <c r="M44" s="29"/>
    </row>
    <row r="45" spans="1:13" x14ac:dyDescent="0.2">
      <c r="A45">
        <f t="shared" si="0"/>
        <v>38</v>
      </c>
      <c r="B45" t="s">
        <v>21</v>
      </c>
      <c r="C45" s="17" t="s">
        <v>475</v>
      </c>
      <c r="D45" t="s">
        <v>476</v>
      </c>
      <c r="E45" s="11">
        <f>39800/7.5345</f>
        <v>5282.3677749021163</v>
      </c>
      <c r="F45" s="49">
        <f>E45*1.25</f>
        <v>6602.9597186276451</v>
      </c>
      <c r="G45" s="95"/>
      <c r="H45" s="79"/>
      <c r="K45" s="70"/>
      <c r="L45" s="70"/>
      <c r="M45" s="29" t="s">
        <v>477</v>
      </c>
    </row>
    <row r="46" spans="1:13" x14ac:dyDescent="0.2">
      <c r="A46">
        <f t="shared" si="0"/>
        <v>39</v>
      </c>
      <c r="B46" t="s">
        <v>20</v>
      </c>
      <c r="C46" s="17" t="s">
        <v>475</v>
      </c>
      <c r="D46" t="s">
        <v>476</v>
      </c>
      <c r="E46" s="11">
        <v>2130</v>
      </c>
      <c r="F46" s="49">
        <f>E46*1.25</f>
        <v>2662.5</v>
      </c>
      <c r="G46" s="95"/>
      <c r="H46" s="79"/>
      <c r="K46" s="70"/>
      <c r="L46" s="70"/>
      <c r="M46" s="29" t="s">
        <v>478</v>
      </c>
    </row>
    <row r="47" spans="1:13" x14ac:dyDescent="0.2">
      <c r="A47">
        <f t="shared" si="0"/>
        <v>40</v>
      </c>
      <c r="F47" s="49"/>
      <c r="G47" s="95"/>
      <c r="K47" s="70"/>
      <c r="L47" s="70"/>
    </row>
    <row r="48" spans="1:13" x14ac:dyDescent="0.2">
      <c r="A48">
        <f t="shared" si="0"/>
        <v>41</v>
      </c>
      <c r="B48" t="s">
        <v>17</v>
      </c>
      <c r="C48" t="s">
        <v>479</v>
      </c>
      <c r="E48" s="58"/>
      <c r="F48" s="85"/>
      <c r="G48" s="95"/>
      <c r="J48" s="100"/>
      <c r="K48" s="70"/>
      <c r="L48" s="70"/>
      <c r="M48" s="29" t="s">
        <v>631</v>
      </c>
    </row>
    <row r="49" spans="1:13" x14ac:dyDescent="0.2">
      <c r="A49">
        <f t="shared" si="0"/>
        <v>42</v>
      </c>
      <c r="B49" t="s">
        <v>17</v>
      </c>
      <c r="C49" t="s">
        <v>480</v>
      </c>
      <c r="D49" t="s">
        <v>481</v>
      </c>
      <c r="E49" s="58">
        <v>11011.5</v>
      </c>
      <c r="F49" s="85">
        <v>13764.38</v>
      </c>
      <c r="G49" s="95"/>
      <c r="I49" s="100"/>
      <c r="J49" s="171">
        <f>(F49/100)*15</f>
        <v>2064.6570000000002</v>
      </c>
      <c r="K49" s="70"/>
      <c r="L49" s="70"/>
      <c r="M49" s="29" t="s">
        <v>482</v>
      </c>
    </row>
    <row r="50" spans="1:13" x14ac:dyDescent="0.2">
      <c r="A50">
        <f t="shared" si="0"/>
        <v>43</v>
      </c>
      <c r="B50" t="s">
        <v>17</v>
      </c>
      <c r="C50" t="s">
        <v>483</v>
      </c>
      <c r="D50" t="s">
        <v>484</v>
      </c>
      <c r="E50" s="58">
        <v>1387.44</v>
      </c>
      <c r="F50" s="85">
        <f>+E50*1.25</f>
        <v>1734.3000000000002</v>
      </c>
      <c r="G50" s="95">
        <v>1734.3</v>
      </c>
      <c r="H50" s="78" t="s">
        <v>485</v>
      </c>
      <c r="J50" s="42"/>
      <c r="K50" s="70"/>
      <c r="L50" s="70"/>
      <c r="M50" s="29" t="s">
        <v>486</v>
      </c>
    </row>
    <row r="51" spans="1:13" x14ac:dyDescent="0.2">
      <c r="A51">
        <f t="shared" ref="A51:A71" si="1">+A50+1</f>
        <v>44</v>
      </c>
      <c r="B51" t="s">
        <v>17</v>
      </c>
      <c r="C51" t="s">
        <v>487</v>
      </c>
      <c r="D51" t="s">
        <v>488</v>
      </c>
      <c r="E51" s="58"/>
      <c r="F51" s="85">
        <v>483.6</v>
      </c>
      <c r="G51" s="95"/>
      <c r="J51" s="42"/>
      <c r="K51" s="70"/>
      <c r="L51" s="70"/>
      <c r="M51" s="29" t="s">
        <v>489</v>
      </c>
    </row>
    <row r="52" spans="1:13" x14ac:dyDescent="0.2">
      <c r="A52">
        <f t="shared" si="1"/>
        <v>45</v>
      </c>
      <c r="B52" t="s">
        <v>17</v>
      </c>
      <c r="C52" t="s">
        <v>632</v>
      </c>
      <c r="D52" t="s">
        <v>491</v>
      </c>
      <c r="E52" s="58">
        <v>270</v>
      </c>
      <c r="F52" s="49"/>
      <c r="G52" s="95"/>
      <c r="K52" s="70"/>
      <c r="L52" s="70"/>
    </row>
    <row r="53" spans="1:13" x14ac:dyDescent="0.2">
      <c r="A53">
        <f t="shared" si="1"/>
        <v>46</v>
      </c>
      <c r="B53" t="s">
        <v>17</v>
      </c>
      <c r="C53" t="s">
        <v>494</v>
      </c>
      <c r="D53" t="s">
        <v>495</v>
      </c>
      <c r="E53" s="58"/>
      <c r="F53" s="85">
        <v>1420</v>
      </c>
      <c r="G53" s="95"/>
      <c r="K53" s="70"/>
      <c r="L53" s="70"/>
      <c r="M53" s="29" t="s">
        <v>496</v>
      </c>
    </row>
    <row r="54" spans="1:13" x14ac:dyDescent="0.2">
      <c r="A54">
        <f t="shared" si="1"/>
        <v>47</v>
      </c>
      <c r="B54" t="s">
        <v>17</v>
      </c>
      <c r="C54" t="s">
        <v>497</v>
      </c>
      <c r="D54" t="s">
        <v>498</v>
      </c>
      <c r="E54" s="11">
        <f>344+327</f>
        <v>671</v>
      </c>
      <c r="F54" s="49">
        <f>E54*1.25</f>
        <v>838.75</v>
      </c>
      <c r="G54" s="95"/>
      <c r="K54" s="70"/>
      <c r="L54" s="70"/>
    </row>
    <row r="55" spans="1:13" x14ac:dyDescent="0.2">
      <c r="A55">
        <f t="shared" si="1"/>
        <v>48</v>
      </c>
      <c r="B55" t="s">
        <v>17</v>
      </c>
      <c r="C55" t="s">
        <v>500</v>
      </c>
      <c r="F55" s="49"/>
      <c r="G55" s="95"/>
      <c r="K55" s="70"/>
      <c r="L55" s="70"/>
    </row>
    <row r="56" spans="1:13" x14ac:dyDescent="0.2">
      <c r="A56">
        <f t="shared" si="1"/>
        <v>49</v>
      </c>
      <c r="B56" t="s">
        <v>17</v>
      </c>
      <c r="C56" t="s">
        <v>502</v>
      </c>
      <c r="F56" s="49"/>
      <c r="G56" s="95"/>
      <c r="K56" s="70"/>
      <c r="L56" s="70"/>
    </row>
    <row r="57" spans="1:13" x14ac:dyDescent="0.2">
      <c r="A57">
        <f t="shared" si="1"/>
        <v>50</v>
      </c>
      <c r="B57" t="s">
        <v>17</v>
      </c>
      <c r="C57" t="s">
        <v>504</v>
      </c>
      <c r="D57" t="s">
        <v>505</v>
      </c>
      <c r="F57" s="49"/>
      <c r="G57" s="95"/>
      <c r="K57" s="70"/>
      <c r="L57" s="70"/>
    </row>
    <row r="58" spans="1:13" x14ac:dyDescent="0.2">
      <c r="A58">
        <f t="shared" si="1"/>
        <v>51</v>
      </c>
      <c r="B58" t="s">
        <v>17</v>
      </c>
      <c r="C58" t="s">
        <v>507</v>
      </c>
      <c r="F58" s="49"/>
      <c r="G58" s="95"/>
      <c r="K58" s="70"/>
      <c r="L58" s="70"/>
    </row>
    <row r="59" spans="1:13" x14ac:dyDescent="0.2">
      <c r="A59">
        <f t="shared" si="1"/>
        <v>52</v>
      </c>
      <c r="B59" t="s">
        <v>17</v>
      </c>
      <c r="C59" t="s">
        <v>508</v>
      </c>
      <c r="F59" s="49"/>
      <c r="G59" s="95"/>
      <c r="K59" s="70"/>
      <c r="L59" s="70"/>
    </row>
    <row r="60" spans="1:13" x14ac:dyDescent="0.2">
      <c r="A60">
        <f t="shared" si="1"/>
        <v>53</v>
      </c>
      <c r="B60" t="s">
        <v>17</v>
      </c>
      <c r="C60" t="s">
        <v>510</v>
      </c>
      <c r="F60" s="49"/>
      <c r="G60" s="95"/>
      <c r="K60" s="70"/>
      <c r="L60" s="70"/>
    </row>
    <row r="61" spans="1:13" x14ac:dyDescent="0.2">
      <c r="A61">
        <f t="shared" si="1"/>
        <v>54</v>
      </c>
      <c r="B61" t="s">
        <v>17</v>
      </c>
      <c r="C61" t="s">
        <v>633</v>
      </c>
      <c r="F61" s="49"/>
      <c r="G61" s="95"/>
      <c r="K61" s="70"/>
      <c r="L61" s="70"/>
    </row>
    <row r="62" spans="1:13" x14ac:dyDescent="0.2">
      <c r="A62">
        <f t="shared" si="1"/>
        <v>55</v>
      </c>
      <c r="B62" t="s">
        <v>17</v>
      </c>
      <c r="C62" t="s">
        <v>516</v>
      </c>
      <c r="F62" s="49"/>
      <c r="G62" s="95"/>
      <c r="K62" s="70"/>
      <c r="L62" s="70"/>
    </row>
    <row r="63" spans="1:13" x14ac:dyDescent="0.2">
      <c r="A63">
        <f t="shared" si="1"/>
        <v>56</v>
      </c>
      <c r="B63" t="s">
        <v>17</v>
      </c>
      <c r="C63" t="s">
        <v>634</v>
      </c>
      <c r="F63" s="49"/>
      <c r="G63" s="95"/>
      <c r="K63" s="70"/>
      <c r="L63" s="70"/>
    </row>
    <row r="64" spans="1:13" x14ac:dyDescent="0.2">
      <c r="A64">
        <f t="shared" si="1"/>
        <v>57</v>
      </c>
      <c r="B64" t="s">
        <v>17</v>
      </c>
      <c r="C64" t="s">
        <v>523</v>
      </c>
      <c r="D64" t="s">
        <v>524</v>
      </c>
      <c r="F64" s="85">
        <v>1692.03</v>
      </c>
      <c r="G64" s="95"/>
      <c r="K64" s="70"/>
      <c r="L64" s="70"/>
      <c r="M64" s="29" t="s">
        <v>525</v>
      </c>
    </row>
    <row r="65" spans="1:13" x14ac:dyDescent="0.2">
      <c r="A65">
        <f t="shared" si="1"/>
        <v>58</v>
      </c>
      <c r="B65" t="s">
        <v>17</v>
      </c>
      <c r="C65" t="s">
        <v>388</v>
      </c>
      <c r="D65" t="s">
        <v>389</v>
      </c>
      <c r="F65" s="49"/>
      <c r="G65" s="95"/>
      <c r="K65" s="70"/>
      <c r="L65" s="70"/>
    </row>
    <row r="66" spans="1:13" x14ac:dyDescent="0.2">
      <c r="A66">
        <f t="shared" si="1"/>
        <v>59</v>
      </c>
      <c r="B66" t="s">
        <v>17</v>
      </c>
      <c r="C66" t="s">
        <v>526</v>
      </c>
      <c r="D66" t="s">
        <v>484</v>
      </c>
      <c r="F66" s="49"/>
      <c r="G66" s="95"/>
      <c r="K66" s="70"/>
      <c r="L66" s="70"/>
    </row>
    <row r="67" spans="1:13" x14ac:dyDescent="0.2">
      <c r="A67">
        <f t="shared" si="1"/>
        <v>60</v>
      </c>
      <c r="B67" t="s">
        <v>17</v>
      </c>
      <c r="C67" t="s">
        <v>527</v>
      </c>
      <c r="F67" s="49"/>
      <c r="G67" s="95"/>
      <c r="K67" s="70"/>
      <c r="L67" s="70"/>
    </row>
    <row r="68" spans="1:13" x14ac:dyDescent="0.2">
      <c r="A68">
        <f t="shared" si="1"/>
        <v>61</v>
      </c>
      <c r="B68" t="s">
        <v>17</v>
      </c>
      <c r="C68" t="s">
        <v>529</v>
      </c>
      <c r="F68" s="49"/>
      <c r="G68" s="95"/>
      <c r="K68" s="70"/>
      <c r="L68" s="70"/>
    </row>
    <row r="69" spans="1:13" x14ac:dyDescent="0.2">
      <c r="A69">
        <f t="shared" si="1"/>
        <v>62</v>
      </c>
      <c r="B69" t="s">
        <v>17</v>
      </c>
      <c r="C69" t="s">
        <v>568</v>
      </c>
      <c r="F69" s="49"/>
      <c r="G69" s="95"/>
      <c r="K69" s="70"/>
      <c r="L69" s="70"/>
    </row>
    <row r="70" spans="1:13" x14ac:dyDescent="0.2">
      <c r="A70">
        <f t="shared" si="1"/>
        <v>63</v>
      </c>
      <c r="B70" t="s">
        <v>17</v>
      </c>
      <c r="C70" t="s">
        <v>534</v>
      </c>
      <c r="F70" s="49"/>
      <c r="G70" s="95"/>
      <c r="K70" s="70"/>
      <c r="L70" s="70" t="s">
        <v>536</v>
      </c>
    </row>
    <row r="71" spans="1:13" x14ac:dyDescent="0.2">
      <c r="A71">
        <f t="shared" si="1"/>
        <v>64</v>
      </c>
      <c r="B71" t="s">
        <v>17</v>
      </c>
      <c r="C71" t="s">
        <v>571</v>
      </c>
      <c r="D71" t="s">
        <v>538</v>
      </c>
      <c r="F71" s="49"/>
      <c r="G71" s="95"/>
      <c r="K71" s="70"/>
      <c r="L71" s="70"/>
    </row>
    <row r="72" spans="1:13" x14ac:dyDescent="0.2">
      <c r="F72" s="49"/>
      <c r="G72" s="95"/>
      <c r="K72" s="70"/>
      <c r="L72" s="70"/>
    </row>
    <row r="73" spans="1:13" x14ac:dyDescent="0.2">
      <c r="B73" t="s">
        <v>545</v>
      </c>
      <c r="C73" t="s">
        <v>546</v>
      </c>
      <c r="D73" t="s">
        <v>484</v>
      </c>
      <c r="E73" s="11">
        <v>162.9</v>
      </c>
      <c r="F73" s="49">
        <f>E73*1.25</f>
        <v>203.625</v>
      </c>
      <c r="G73" s="95">
        <v>203.63</v>
      </c>
      <c r="H73" s="78" t="s">
        <v>400</v>
      </c>
      <c r="K73" s="70"/>
      <c r="L73" s="70"/>
      <c r="M73" s="29" t="s">
        <v>547</v>
      </c>
    </row>
    <row r="74" spans="1:13" x14ac:dyDescent="0.2">
      <c r="B74" t="s">
        <v>545</v>
      </c>
      <c r="C74" t="s">
        <v>548</v>
      </c>
      <c r="D74" t="s">
        <v>549</v>
      </c>
      <c r="E74" s="11">
        <v>39.950000000000003</v>
      </c>
      <c r="F74" s="85">
        <f>E74*1.25</f>
        <v>49.9375</v>
      </c>
      <c r="G74" s="95">
        <v>49.94</v>
      </c>
      <c r="H74" s="78" t="s">
        <v>485</v>
      </c>
      <c r="K74" s="70"/>
      <c r="L74" s="70"/>
      <c r="M74" s="29" t="s">
        <v>550</v>
      </c>
    </row>
    <row r="75" spans="1:13" x14ac:dyDescent="0.2">
      <c r="B75" t="s">
        <v>545</v>
      </c>
      <c r="C75" t="s">
        <v>551</v>
      </c>
      <c r="D75" t="s">
        <v>505</v>
      </c>
      <c r="F75" s="49">
        <f>93+196+154+12.5</f>
        <v>455.5</v>
      </c>
      <c r="G75" s="95"/>
      <c r="K75" s="70"/>
      <c r="L75" s="70"/>
      <c r="M75" s="29" t="s">
        <v>552</v>
      </c>
    </row>
    <row r="76" spans="1:13" x14ac:dyDescent="0.2">
      <c r="B76" t="s">
        <v>545</v>
      </c>
      <c r="C76" t="s">
        <v>553</v>
      </c>
      <c r="D76" t="s">
        <v>538</v>
      </c>
      <c r="E76" s="11">
        <v>76</v>
      </c>
      <c r="F76" s="49">
        <f>E76*1.25</f>
        <v>95</v>
      </c>
      <c r="G76" s="95"/>
      <c r="K76" s="70"/>
      <c r="L76" s="70"/>
      <c r="M76" s="29" t="s">
        <v>554</v>
      </c>
    </row>
    <row r="77" spans="1:13" ht="30.75" customHeight="1" x14ac:dyDescent="0.2">
      <c r="B77" t="s">
        <v>545</v>
      </c>
      <c r="C77" t="s">
        <v>555</v>
      </c>
      <c r="D77" t="s">
        <v>484</v>
      </c>
      <c r="E77" s="39">
        <v>163.68</v>
      </c>
      <c r="F77" s="49">
        <f>E77*1.25</f>
        <v>204.60000000000002</v>
      </c>
      <c r="G77" s="95">
        <v>204.6</v>
      </c>
      <c r="H77" s="78" t="s">
        <v>485</v>
      </c>
      <c r="K77" s="70"/>
      <c r="L77" s="169" t="s">
        <v>556</v>
      </c>
      <c r="M77" s="29" t="s">
        <v>557</v>
      </c>
    </row>
    <row r="78" spans="1:13" x14ac:dyDescent="0.2">
      <c r="B78" t="s">
        <v>545</v>
      </c>
      <c r="C78" t="s">
        <v>558</v>
      </c>
      <c r="D78" t="s">
        <v>484</v>
      </c>
      <c r="E78" s="11">
        <v>115.68</v>
      </c>
      <c r="F78" s="49">
        <f>E78*1.25</f>
        <v>144.60000000000002</v>
      </c>
      <c r="G78" s="95">
        <v>144.6</v>
      </c>
      <c r="H78" s="78" t="s">
        <v>485</v>
      </c>
      <c r="K78" s="70"/>
      <c r="L78" s="170" t="s">
        <v>559</v>
      </c>
      <c r="M78" s="29" t="s">
        <v>560</v>
      </c>
    </row>
    <row r="79" spans="1:13" x14ac:dyDescent="0.2">
      <c r="A79">
        <f>+A71+1</f>
        <v>65</v>
      </c>
      <c r="F79" s="49"/>
      <c r="G79" s="95"/>
      <c r="K79" s="70"/>
      <c r="L79" s="70"/>
    </row>
    <row r="80" spans="1:13" x14ac:dyDescent="0.2">
      <c r="A80">
        <f t="shared" si="0"/>
        <v>66</v>
      </c>
      <c r="B80" t="s">
        <v>18</v>
      </c>
      <c r="C80" t="s">
        <v>561</v>
      </c>
      <c r="F80" s="49"/>
      <c r="G80" s="95"/>
      <c r="K80" s="70"/>
      <c r="L80" s="70"/>
    </row>
    <row r="81" spans="1:13" x14ac:dyDescent="0.2">
      <c r="A81">
        <f t="shared" si="0"/>
        <v>67</v>
      </c>
      <c r="B81" t="s">
        <v>18</v>
      </c>
      <c r="C81" t="s">
        <v>526</v>
      </c>
      <c r="D81" t="s">
        <v>484</v>
      </c>
      <c r="F81" s="49"/>
      <c r="G81" s="95"/>
      <c r="K81" s="70"/>
      <c r="L81" s="70"/>
    </row>
    <row r="82" spans="1:13" x14ac:dyDescent="0.2">
      <c r="A82">
        <f t="shared" ref="A82:A97" si="2">+A81+1</f>
        <v>68</v>
      </c>
      <c r="B82" t="s">
        <v>18</v>
      </c>
      <c r="C82" t="s">
        <v>527</v>
      </c>
      <c r="F82" s="49"/>
      <c r="G82" s="95"/>
      <c r="K82" s="70"/>
      <c r="L82" s="70"/>
    </row>
    <row r="83" spans="1:13" x14ac:dyDescent="0.2">
      <c r="A83">
        <f t="shared" si="2"/>
        <v>69</v>
      </c>
      <c r="B83" t="s">
        <v>18</v>
      </c>
      <c r="C83" t="s">
        <v>497</v>
      </c>
      <c r="D83" t="s">
        <v>498</v>
      </c>
      <c r="F83" s="49"/>
      <c r="G83" s="95"/>
      <c r="K83" s="70"/>
      <c r="L83" s="70"/>
    </row>
    <row r="84" spans="1:13" x14ac:dyDescent="0.2">
      <c r="A84">
        <f t="shared" si="2"/>
        <v>70</v>
      </c>
      <c r="B84" t="s">
        <v>18</v>
      </c>
      <c r="C84" t="s">
        <v>616</v>
      </c>
      <c r="D84" t="s">
        <v>498</v>
      </c>
      <c r="E84" s="11">
        <v>340</v>
      </c>
      <c r="F84" s="49">
        <f>E84*1.25</f>
        <v>425</v>
      </c>
      <c r="G84" s="95"/>
      <c r="K84" s="70"/>
      <c r="L84" s="70"/>
    </row>
    <row r="85" spans="1:13" x14ac:dyDescent="0.2">
      <c r="A85">
        <f t="shared" si="2"/>
        <v>71</v>
      </c>
      <c r="B85" t="s">
        <v>18</v>
      </c>
      <c r="C85" t="s">
        <v>565</v>
      </c>
      <c r="F85" s="49"/>
      <c r="G85" s="95"/>
      <c r="K85" s="70"/>
      <c r="L85" s="70"/>
    </row>
    <row r="86" spans="1:13" x14ac:dyDescent="0.2">
      <c r="A86">
        <f t="shared" si="2"/>
        <v>72</v>
      </c>
      <c r="B86" t="s">
        <v>18</v>
      </c>
      <c r="C86" t="s">
        <v>567</v>
      </c>
      <c r="D86" t="s">
        <v>495</v>
      </c>
      <c r="F86" s="49">
        <v>970</v>
      </c>
      <c r="G86" s="95"/>
      <c r="K86" s="70"/>
      <c r="L86" s="70"/>
      <c r="M86" s="29" t="s">
        <v>496</v>
      </c>
    </row>
    <row r="87" spans="1:13" x14ac:dyDescent="0.2">
      <c r="A87">
        <f t="shared" si="2"/>
        <v>73</v>
      </c>
      <c r="B87" t="s">
        <v>18</v>
      </c>
      <c r="C87" t="s">
        <v>568</v>
      </c>
      <c r="F87" s="49"/>
      <c r="G87" s="95"/>
      <c r="K87" s="70"/>
      <c r="L87" s="70"/>
    </row>
    <row r="88" spans="1:13" x14ac:dyDescent="0.2">
      <c r="A88">
        <f t="shared" si="2"/>
        <v>74</v>
      </c>
      <c r="B88" t="s">
        <v>18</v>
      </c>
      <c r="C88" t="s">
        <v>534</v>
      </c>
      <c r="F88" s="49"/>
      <c r="G88" s="95"/>
      <c r="K88" s="70"/>
      <c r="L88" s="70"/>
    </row>
    <row r="89" spans="1:13" x14ac:dyDescent="0.2">
      <c r="A89">
        <f t="shared" si="2"/>
        <v>75</v>
      </c>
      <c r="B89" t="s">
        <v>18</v>
      </c>
      <c r="C89" t="s">
        <v>571</v>
      </c>
      <c r="F89" s="49"/>
      <c r="G89" s="95"/>
      <c r="K89" s="70"/>
      <c r="L89" s="70"/>
    </row>
    <row r="90" spans="1:13" x14ac:dyDescent="0.2">
      <c r="A90">
        <f t="shared" si="2"/>
        <v>76</v>
      </c>
      <c r="B90" t="s">
        <v>18</v>
      </c>
      <c r="C90" t="s">
        <v>575</v>
      </c>
      <c r="D90" t="s">
        <v>576</v>
      </c>
      <c r="F90" s="49"/>
      <c r="G90" s="95"/>
      <c r="K90" s="70"/>
      <c r="L90" s="70"/>
    </row>
    <row r="91" spans="1:13" x14ac:dyDescent="0.2">
      <c r="A91">
        <f t="shared" si="2"/>
        <v>77</v>
      </c>
      <c r="B91" t="s">
        <v>18</v>
      </c>
      <c r="C91" t="s">
        <v>617</v>
      </c>
      <c r="F91" s="49"/>
      <c r="G91" s="95"/>
      <c r="K91" s="70"/>
      <c r="L91" s="70"/>
    </row>
    <row r="92" spans="1:13" x14ac:dyDescent="0.2">
      <c r="A92">
        <f t="shared" si="2"/>
        <v>78</v>
      </c>
      <c r="B92" t="s">
        <v>18</v>
      </c>
      <c r="C92" t="s">
        <v>581</v>
      </c>
      <c r="F92" s="49"/>
      <c r="G92" s="95"/>
      <c r="K92" s="70"/>
      <c r="L92" s="70"/>
    </row>
    <row r="93" spans="1:13" x14ac:dyDescent="0.2">
      <c r="A93">
        <f t="shared" si="2"/>
        <v>79</v>
      </c>
      <c r="B93" t="s">
        <v>18</v>
      </c>
      <c r="C93" t="s">
        <v>582</v>
      </c>
      <c r="F93" s="49"/>
      <c r="G93" s="95"/>
      <c r="K93" s="70"/>
      <c r="L93" s="70"/>
    </row>
    <row r="94" spans="1:13" x14ac:dyDescent="0.2">
      <c r="A94">
        <f t="shared" si="2"/>
        <v>80</v>
      </c>
      <c r="B94" t="s">
        <v>18</v>
      </c>
      <c r="C94" t="s">
        <v>388</v>
      </c>
      <c r="D94" t="s">
        <v>389</v>
      </c>
      <c r="F94" s="49"/>
      <c r="G94" s="95"/>
      <c r="K94" s="70"/>
      <c r="L94" s="70"/>
    </row>
    <row r="95" spans="1:13" x14ac:dyDescent="0.2">
      <c r="A95">
        <f t="shared" si="2"/>
        <v>81</v>
      </c>
      <c r="B95" t="s">
        <v>18</v>
      </c>
      <c r="C95" t="s">
        <v>523</v>
      </c>
      <c r="D95" t="s">
        <v>524</v>
      </c>
      <c r="F95" s="49"/>
      <c r="G95" s="95"/>
      <c r="K95" s="70"/>
      <c r="L95" s="70"/>
    </row>
    <row r="96" spans="1:13" x14ac:dyDescent="0.2">
      <c r="A96">
        <f t="shared" si="2"/>
        <v>82</v>
      </c>
      <c r="G96" s="95"/>
      <c r="K96" s="70"/>
      <c r="L96" s="70"/>
    </row>
    <row r="97" spans="1:12" x14ac:dyDescent="0.2">
      <c r="A97">
        <f t="shared" si="2"/>
        <v>83</v>
      </c>
      <c r="B97" s="56"/>
      <c r="C97" s="56"/>
      <c r="D97" s="56"/>
      <c r="E97" s="55"/>
      <c r="F97" s="74"/>
      <c r="G97" s="99"/>
      <c r="K97" s="70"/>
      <c r="L97" s="70"/>
    </row>
    <row r="98" spans="1:12" x14ac:dyDescent="0.2">
      <c r="E98" s="11" t="s">
        <v>594</v>
      </c>
      <c r="F98" s="9">
        <f>SUM(F2:F97)</f>
        <v>61881.851476873046</v>
      </c>
      <c r="G98" s="64">
        <f>SUM(G2:G97)</f>
        <v>12765.48</v>
      </c>
      <c r="K98" s="70"/>
      <c r="L98" s="70"/>
    </row>
  </sheetData>
  <hyperlinks>
    <hyperlink ref="M4" r:id="rId1" xr:uid="{11DB7BA6-D3D9-4B79-B44A-513B3BC803EA}"/>
    <hyperlink ref="M5" r:id="rId2" xr:uid="{DE0F831F-61A3-4F3C-BD54-03CDE1B7B841}"/>
    <hyperlink ref="M38" r:id="rId3" xr:uid="{58BE9B84-DDFF-4600-B12E-43C78215BF04}"/>
    <hyperlink ref="M48" r:id="rId4" xr:uid="{3AD718E7-0B6E-46C1-AA1B-AE3A2683D307}"/>
    <hyperlink ref="M49" r:id="rId5" xr:uid="{DB676FD1-2951-45C0-955E-DE53D1BDB966}"/>
    <hyperlink ref="M53" r:id="rId6" xr:uid="{15C12198-2726-4854-8410-E61A43B6A263}"/>
    <hyperlink ref="M86" r:id="rId7" xr:uid="{58105B86-665D-4610-A6FF-76A62CDC2508}"/>
    <hyperlink ref="M30" r:id="rId8" xr:uid="{818D79C8-58C2-4EC3-9F6B-E96BA65789C6}"/>
    <hyperlink ref="M27" r:id="rId9" xr:uid="{080985E0-1119-4263-996F-267EBD870163}"/>
    <hyperlink ref="M21" r:id="rId10" xr:uid="{A7823314-B590-48E5-A3C2-B98A61953C15}"/>
    <hyperlink ref="M40" r:id="rId11" xr:uid="{503526E3-811E-4BEC-8726-BDB4C82F1BF2}"/>
    <hyperlink ref="M12" r:id="rId12" xr:uid="{BB90B24E-BB36-455F-901E-95A0820E806E}"/>
    <hyperlink ref="M33" r:id="rId13" xr:uid="{DA18B10F-BA83-40AA-81D7-D70B94CFE401}"/>
    <hyperlink ref="M42" r:id="rId14" xr:uid="{F56862EC-AE31-48E8-B2F1-565760A909BB}"/>
    <hyperlink ref="M43" r:id="rId15" xr:uid="{ED5AECC8-21B6-42CB-A413-59B7F8B7AB8C}"/>
    <hyperlink ref="M46" r:id="rId16" xr:uid="{B484BD70-3C90-4A03-8332-8A43C1DC8F17}"/>
    <hyperlink ref="M45" r:id="rId17" xr:uid="{048C25F0-78C8-484B-8885-D211C6E586B2}"/>
    <hyperlink ref="M25" r:id="rId18" xr:uid="{483375CB-3DE6-48F7-82FC-DEDCC0040CA6}"/>
    <hyperlink ref="M24" r:id="rId19" xr:uid="{DD996EAC-BA91-438C-9541-D01CEF76C0F6}"/>
    <hyperlink ref="M11" r:id="rId20" xr:uid="{4B7ADB10-4FD9-435C-82B0-997AC11DD583}"/>
    <hyperlink ref="M73" r:id="rId21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OK130223%2D080901%2Epdf&amp;parent=%2Fpersonal%2Fedo%5Fseifried%5Fmgs%2Dgrupa%5Fcom%2FDocuments%2FMGS%20POSLOVANJE%202023%2FPonude%20%2D%20projekti%2FPUG" xr:uid="{D7FFF26B-6D3A-467D-A18F-6BDDE595C75E}"/>
    <hyperlink ref="M76" r:id="rId22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SK%2Epdf&amp;parent=%2Fpersonal%2Fedo%5Fseifried%5Fmgs%2Dgrupa%5Fcom%2FDocuments%2FMGS%20POSLOVANJE%202023%2FPonude%20%2D%20projekti%2FPUG" xr:uid="{A3A34D5F-E560-4457-8DF0-13081357D235}"/>
    <hyperlink ref="M74" r:id="rId23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PON%2D23%2D000428%2Epdf&amp;parent=%2Fpersonal%2Fedo%5Fseifried%5Fmgs%2Dgrupa%5Fcom%2FDocuments%2FMGS%20POSLOVANJE%202023%2FPonude%20%2D%20projekti%2FPUG" xr:uid="{9DD5F278-AE09-4D38-936A-E432A891BF67}"/>
    <hyperlink ref="M75" r:id="rId24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Protiplam%20%2D%20PUG%2Epdf&amp;parent=%2Fpersonal%2Fedo%5Fseifried%5Fmgs%2Dgrupa%5Fcom%2FDocuments%2FMGS%20POSLOVANJE%202023%2FPonude%20%2D%20projekti%2FPUG" xr:uid="{58951546-7686-4E67-8113-7CA3EAC9DA3D}"/>
    <hyperlink ref="M10" r:id="rId25" xr:uid="{5B478134-BC81-4BC9-8190-09A5D18F816F}"/>
    <hyperlink ref="M34" r:id="rId26" xr:uid="{75B610A3-6BD1-4652-B39C-EB9CDCBD2848}"/>
    <hyperlink ref="M78" r:id="rId27" xr:uid="{A96E0E12-881E-4BD1-B3B2-CE5B13F3DEF8}"/>
    <hyperlink ref="M77" r:id="rId28" xr:uid="{F3AE431A-84E5-4AD0-A3D4-ECEAC062DC93}"/>
    <hyperlink ref="M64" r:id="rId29" xr:uid="{BDA7136F-D2BF-413C-9C53-B898798067AE}"/>
    <hyperlink ref="M50" r:id="rId30" xr:uid="{9B6FD709-E21E-4650-BC97-6BC9AD0517B7}"/>
    <hyperlink ref="M51" r:id="rId31" xr:uid="{362191FD-9217-446E-A2D7-326DB8C4B947}"/>
  </hyperlinks>
  <pageMargins left="0.7" right="0.7" top="0.75" bottom="0.75" header="0.3" footer="0.3"/>
  <pageSetup paperSize="9" orientation="portrait" r:id="rId32"/>
  <legacyDrawing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DC05-8051-4A9A-84C8-0608E259A594}">
  <dimension ref="A1:H150"/>
  <sheetViews>
    <sheetView topLeftCell="A31" zoomScaleNormal="100" workbookViewId="0">
      <selection activeCell="D86" sqref="D86"/>
    </sheetView>
  </sheetViews>
  <sheetFormatPr defaultRowHeight="15" x14ac:dyDescent="0.2"/>
  <cols>
    <col min="2" max="2" width="40.89453125" customWidth="1"/>
    <col min="3" max="3" width="10.89453125" customWidth="1"/>
    <col min="4" max="5" width="15.46875" style="11" customWidth="1"/>
    <col min="6" max="6" width="14.66015625" customWidth="1"/>
    <col min="7" max="7" width="35.37890625" customWidth="1"/>
    <col min="8" max="8" width="61.4765625" customWidth="1"/>
  </cols>
  <sheetData>
    <row r="1" spans="1:8" x14ac:dyDescent="0.2">
      <c r="B1" t="s">
        <v>635</v>
      </c>
      <c r="C1" t="s">
        <v>636</v>
      </c>
      <c r="D1" s="11" t="s">
        <v>123</v>
      </c>
      <c r="E1" s="11" t="s">
        <v>124</v>
      </c>
      <c r="F1" t="s">
        <v>637</v>
      </c>
      <c r="G1" t="s">
        <v>5</v>
      </c>
      <c r="H1" t="s">
        <v>638</v>
      </c>
    </row>
    <row r="2" spans="1:8" x14ac:dyDescent="0.2">
      <c r="A2">
        <v>1</v>
      </c>
      <c r="B2" s="30"/>
      <c r="E2" s="31"/>
      <c r="F2" s="27"/>
    </row>
    <row r="3" spans="1:8" ht="20.45" customHeight="1" x14ac:dyDescent="0.2">
      <c r="A3">
        <f>+A2+1</f>
        <v>2</v>
      </c>
      <c r="B3" s="30" t="s">
        <v>126</v>
      </c>
      <c r="E3" s="48">
        <v>1613.87</v>
      </c>
      <c r="F3" t="s">
        <v>127</v>
      </c>
    </row>
    <row r="4" spans="1:8" x14ac:dyDescent="0.2">
      <c r="A4">
        <f t="shared" ref="A4:A67" si="0">+A3+1</f>
        <v>3</v>
      </c>
      <c r="B4" s="30" t="s">
        <v>126</v>
      </c>
      <c r="E4" s="48">
        <v>132.72</v>
      </c>
      <c r="F4" t="s">
        <v>127</v>
      </c>
      <c r="H4" s="17"/>
    </row>
    <row r="5" spans="1:8" x14ac:dyDescent="0.2">
      <c r="A5">
        <f t="shared" si="0"/>
        <v>4</v>
      </c>
      <c r="B5" s="30"/>
      <c r="E5" s="31"/>
    </row>
    <row r="6" spans="1:8" x14ac:dyDescent="0.2">
      <c r="A6">
        <f t="shared" si="0"/>
        <v>5</v>
      </c>
      <c r="B6" s="30" t="s">
        <v>128</v>
      </c>
      <c r="E6" s="31"/>
      <c r="F6" t="s">
        <v>127</v>
      </c>
    </row>
    <row r="7" spans="1:8" x14ac:dyDescent="0.2">
      <c r="A7">
        <f t="shared" si="0"/>
        <v>6</v>
      </c>
      <c r="B7" s="30" t="s">
        <v>129</v>
      </c>
      <c r="E7" s="48">
        <v>13527.35</v>
      </c>
      <c r="F7" t="s">
        <v>127</v>
      </c>
    </row>
    <row r="8" spans="1:8" x14ac:dyDescent="0.2">
      <c r="A8">
        <f t="shared" si="0"/>
        <v>7</v>
      </c>
      <c r="B8" s="30" t="s">
        <v>130</v>
      </c>
      <c r="E8" s="48">
        <v>229.98</v>
      </c>
      <c r="F8" t="s">
        <v>127</v>
      </c>
    </row>
    <row r="9" spans="1:8" x14ac:dyDescent="0.2">
      <c r="A9">
        <f t="shared" si="0"/>
        <v>8</v>
      </c>
      <c r="B9" s="30" t="s">
        <v>131</v>
      </c>
      <c r="E9" s="48">
        <v>82.87</v>
      </c>
      <c r="F9" t="s">
        <v>127</v>
      </c>
    </row>
    <row r="10" spans="1:8" x14ac:dyDescent="0.2">
      <c r="A10">
        <f t="shared" si="0"/>
        <v>9</v>
      </c>
      <c r="B10" s="30" t="s">
        <v>132</v>
      </c>
      <c r="E10" s="48">
        <v>122.77</v>
      </c>
      <c r="F10" t="s">
        <v>127</v>
      </c>
    </row>
    <row r="11" spans="1:8" x14ac:dyDescent="0.2">
      <c r="A11">
        <f t="shared" si="0"/>
        <v>10</v>
      </c>
      <c r="B11" s="30" t="s">
        <v>133</v>
      </c>
      <c r="E11" s="48">
        <v>270.2</v>
      </c>
      <c r="F11" t="s">
        <v>127</v>
      </c>
    </row>
    <row r="12" spans="1:8" x14ac:dyDescent="0.2">
      <c r="A12">
        <f t="shared" si="0"/>
        <v>11</v>
      </c>
      <c r="B12" s="30" t="s">
        <v>134</v>
      </c>
      <c r="E12" s="48">
        <v>11.11</v>
      </c>
      <c r="F12" t="s">
        <v>127</v>
      </c>
    </row>
    <row r="13" spans="1:8" x14ac:dyDescent="0.2">
      <c r="A13">
        <f t="shared" si="0"/>
        <v>12</v>
      </c>
      <c r="B13" s="30" t="s">
        <v>135</v>
      </c>
      <c r="E13" s="48">
        <v>33.67</v>
      </c>
      <c r="F13" t="s">
        <v>127</v>
      </c>
    </row>
    <row r="14" spans="1:8" x14ac:dyDescent="0.2">
      <c r="A14">
        <f t="shared" si="0"/>
        <v>13</v>
      </c>
      <c r="B14" s="30" t="s">
        <v>136</v>
      </c>
      <c r="E14" s="48">
        <v>2176.37</v>
      </c>
      <c r="F14" t="s">
        <v>127</v>
      </c>
    </row>
    <row r="15" spans="1:8" x14ac:dyDescent="0.2">
      <c r="A15">
        <f t="shared" si="0"/>
        <v>14</v>
      </c>
      <c r="B15" s="30" t="s">
        <v>137</v>
      </c>
      <c r="E15" s="48">
        <v>725.46</v>
      </c>
      <c r="F15" t="s">
        <v>127</v>
      </c>
    </row>
    <row r="16" spans="1:8" x14ac:dyDescent="0.2">
      <c r="A16">
        <f t="shared" si="0"/>
        <v>15</v>
      </c>
      <c r="B16" s="30" t="s">
        <v>138</v>
      </c>
      <c r="E16" s="48">
        <v>2157.9</v>
      </c>
      <c r="F16" t="s">
        <v>127</v>
      </c>
    </row>
    <row r="17" spans="1:8" x14ac:dyDescent="0.2">
      <c r="A17">
        <f t="shared" si="0"/>
        <v>16</v>
      </c>
      <c r="B17" s="30" t="s">
        <v>139</v>
      </c>
      <c r="E17" s="48">
        <v>829.52</v>
      </c>
      <c r="F17" t="s">
        <v>127</v>
      </c>
    </row>
    <row r="18" spans="1:8" x14ac:dyDescent="0.2">
      <c r="A18">
        <f t="shared" si="0"/>
        <v>17</v>
      </c>
      <c r="B18" s="30" t="s">
        <v>140</v>
      </c>
      <c r="E18" s="31">
        <v>20331.63</v>
      </c>
      <c r="F18" t="s">
        <v>127</v>
      </c>
      <c r="G18">
        <v>20354.099999999999</v>
      </c>
      <c r="H18" t="s">
        <v>141</v>
      </c>
    </row>
    <row r="19" spans="1:8" x14ac:dyDescent="0.2">
      <c r="A19">
        <f t="shared" si="0"/>
        <v>18</v>
      </c>
      <c r="B19" s="30" t="s">
        <v>142</v>
      </c>
      <c r="E19" s="48">
        <v>229.55</v>
      </c>
      <c r="F19" t="s">
        <v>127</v>
      </c>
    </row>
    <row r="20" spans="1:8" x14ac:dyDescent="0.2">
      <c r="A20">
        <f t="shared" si="0"/>
        <v>19</v>
      </c>
      <c r="B20" s="30" t="s">
        <v>143</v>
      </c>
      <c r="E20" s="48">
        <v>936.17</v>
      </c>
      <c r="F20" t="s">
        <v>127</v>
      </c>
    </row>
    <row r="21" spans="1:8" x14ac:dyDescent="0.2">
      <c r="A21">
        <f t="shared" si="0"/>
        <v>20</v>
      </c>
      <c r="B21" s="30" t="s">
        <v>144</v>
      </c>
      <c r="E21" s="48">
        <v>219.08</v>
      </c>
      <c r="F21" t="s">
        <v>127</v>
      </c>
    </row>
    <row r="22" spans="1:8" ht="27.75" x14ac:dyDescent="0.2">
      <c r="A22">
        <f t="shared" si="0"/>
        <v>21</v>
      </c>
      <c r="B22" s="32" t="s">
        <v>145</v>
      </c>
      <c r="E22" s="48">
        <v>241.71</v>
      </c>
      <c r="F22" t="s">
        <v>127</v>
      </c>
    </row>
    <row r="23" spans="1:8" x14ac:dyDescent="0.2">
      <c r="A23">
        <f t="shared" si="0"/>
        <v>22</v>
      </c>
      <c r="B23" s="30" t="s">
        <v>146</v>
      </c>
      <c r="E23" s="48">
        <v>184.41</v>
      </c>
      <c r="F23" t="s">
        <v>127</v>
      </c>
    </row>
    <row r="24" spans="1:8" x14ac:dyDescent="0.2">
      <c r="A24">
        <f t="shared" si="0"/>
        <v>23</v>
      </c>
      <c r="B24" s="30" t="s">
        <v>147</v>
      </c>
      <c r="E24" s="48">
        <v>107.43</v>
      </c>
      <c r="F24" t="s">
        <v>127</v>
      </c>
    </row>
    <row r="25" spans="1:8" x14ac:dyDescent="0.2">
      <c r="A25">
        <f t="shared" si="0"/>
        <v>24</v>
      </c>
      <c r="B25" s="30" t="s">
        <v>129</v>
      </c>
      <c r="E25" s="48">
        <v>10.62</v>
      </c>
      <c r="F25" t="s">
        <v>127</v>
      </c>
    </row>
    <row r="26" spans="1:8" x14ac:dyDescent="0.2">
      <c r="A26">
        <f t="shared" si="0"/>
        <v>25</v>
      </c>
      <c r="B26" s="30" t="s">
        <v>148</v>
      </c>
      <c r="E26" s="48">
        <v>56.41</v>
      </c>
      <c r="F26" t="s">
        <v>127</v>
      </c>
    </row>
    <row r="27" spans="1:8" x14ac:dyDescent="0.2">
      <c r="A27">
        <f t="shared" si="0"/>
        <v>26</v>
      </c>
      <c r="B27" s="30" t="s">
        <v>149</v>
      </c>
      <c r="E27" s="48">
        <v>262.13</v>
      </c>
      <c r="F27" t="s">
        <v>127</v>
      </c>
    </row>
    <row r="28" spans="1:8" x14ac:dyDescent="0.2">
      <c r="A28">
        <f t="shared" si="0"/>
        <v>27</v>
      </c>
      <c r="B28" s="30" t="s">
        <v>150</v>
      </c>
      <c r="E28" s="48">
        <v>1660.78</v>
      </c>
      <c r="F28" t="s">
        <v>127</v>
      </c>
    </row>
    <row r="29" spans="1:8" x14ac:dyDescent="0.2">
      <c r="A29">
        <f t="shared" si="0"/>
        <v>28</v>
      </c>
      <c r="B29" s="30" t="s">
        <v>151</v>
      </c>
      <c r="E29" s="48">
        <v>514.38</v>
      </c>
      <c r="F29" t="s">
        <v>127</v>
      </c>
    </row>
    <row r="30" spans="1:8" x14ac:dyDescent="0.2">
      <c r="A30">
        <f t="shared" si="0"/>
        <v>29</v>
      </c>
      <c r="B30" s="30" t="s">
        <v>152</v>
      </c>
      <c r="E30" s="48">
        <v>162.56</v>
      </c>
      <c r="F30" t="s">
        <v>127</v>
      </c>
    </row>
    <row r="31" spans="1:8" x14ac:dyDescent="0.2">
      <c r="A31">
        <f t="shared" si="0"/>
        <v>30</v>
      </c>
      <c r="B31" s="30" t="s">
        <v>153</v>
      </c>
      <c r="E31" s="48">
        <v>4571.59</v>
      </c>
      <c r="F31" t="s">
        <v>127</v>
      </c>
    </row>
    <row r="32" spans="1:8" x14ac:dyDescent="0.2">
      <c r="A32">
        <f t="shared" si="0"/>
        <v>31</v>
      </c>
      <c r="B32" s="30" t="s">
        <v>154</v>
      </c>
      <c r="E32" s="48">
        <v>9500</v>
      </c>
      <c r="F32" t="s">
        <v>127</v>
      </c>
    </row>
    <row r="33" spans="1:7" x14ac:dyDescent="0.2">
      <c r="A33">
        <f t="shared" si="0"/>
        <v>32</v>
      </c>
      <c r="B33" t="s">
        <v>155</v>
      </c>
      <c r="E33" s="54">
        <v>1945.68</v>
      </c>
      <c r="F33" t="s">
        <v>127</v>
      </c>
    </row>
    <row r="34" spans="1:7" x14ac:dyDescent="0.2">
      <c r="A34">
        <f t="shared" si="0"/>
        <v>33</v>
      </c>
      <c r="B34" t="s">
        <v>156</v>
      </c>
      <c r="E34" s="54">
        <v>1.33</v>
      </c>
      <c r="F34" t="s">
        <v>127</v>
      </c>
    </row>
    <row r="35" spans="1:7" x14ac:dyDescent="0.2">
      <c r="A35">
        <f t="shared" si="0"/>
        <v>34</v>
      </c>
      <c r="B35" t="s">
        <v>157</v>
      </c>
      <c r="E35" s="54">
        <v>17.899999999999999</v>
      </c>
      <c r="F35" t="s">
        <v>127</v>
      </c>
    </row>
    <row r="36" spans="1:7" x14ac:dyDescent="0.2">
      <c r="A36">
        <f t="shared" si="0"/>
        <v>35</v>
      </c>
      <c r="B36" t="s">
        <v>157</v>
      </c>
      <c r="E36" s="54">
        <v>64.180000000000007</v>
      </c>
      <c r="F36" t="s">
        <v>127</v>
      </c>
    </row>
    <row r="37" spans="1:7" x14ac:dyDescent="0.2">
      <c r="A37">
        <f t="shared" si="0"/>
        <v>36</v>
      </c>
      <c r="B37" t="s">
        <v>158</v>
      </c>
      <c r="E37" s="54">
        <v>70</v>
      </c>
      <c r="F37" t="s">
        <v>127</v>
      </c>
    </row>
    <row r="38" spans="1:7" x14ac:dyDescent="0.2">
      <c r="A38">
        <f t="shared" si="0"/>
        <v>37</v>
      </c>
      <c r="B38" t="s">
        <v>159</v>
      </c>
      <c r="E38" s="54">
        <v>195.23</v>
      </c>
      <c r="F38" t="s">
        <v>127</v>
      </c>
    </row>
    <row r="39" spans="1:7" x14ac:dyDescent="0.2">
      <c r="A39">
        <f t="shared" si="0"/>
        <v>38</v>
      </c>
      <c r="B39" t="s">
        <v>160</v>
      </c>
      <c r="E39" s="54">
        <v>133.03</v>
      </c>
      <c r="F39" t="s">
        <v>127</v>
      </c>
    </row>
    <row r="40" spans="1:7" x14ac:dyDescent="0.2">
      <c r="A40">
        <f t="shared" si="0"/>
        <v>39</v>
      </c>
      <c r="B40" t="s">
        <v>161</v>
      </c>
      <c r="E40" s="54">
        <v>196.97</v>
      </c>
      <c r="F40" t="s">
        <v>127</v>
      </c>
    </row>
    <row r="41" spans="1:7" x14ac:dyDescent="0.2">
      <c r="A41">
        <f t="shared" si="0"/>
        <v>40</v>
      </c>
      <c r="B41" t="s">
        <v>153</v>
      </c>
      <c r="E41" s="54">
        <v>653.66999999999996</v>
      </c>
      <c r="F41" t="s">
        <v>127</v>
      </c>
      <c r="G41" t="s">
        <v>162</v>
      </c>
    </row>
    <row r="42" spans="1:7" x14ac:dyDescent="0.2">
      <c r="A42">
        <f t="shared" si="0"/>
        <v>41</v>
      </c>
      <c r="B42" t="s">
        <v>156</v>
      </c>
      <c r="E42" s="54">
        <v>6.64</v>
      </c>
      <c r="F42" t="s">
        <v>127</v>
      </c>
    </row>
    <row r="43" spans="1:7" x14ac:dyDescent="0.2">
      <c r="A43">
        <f t="shared" si="0"/>
        <v>42</v>
      </c>
      <c r="B43" t="s">
        <v>163</v>
      </c>
      <c r="E43" s="54">
        <v>31.5</v>
      </c>
      <c r="F43" t="s">
        <v>127</v>
      </c>
    </row>
    <row r="44" spans="1:7" x14ac:dyDescent="0.2">
      <c r="A44">
        <f t="shared" si="0"/>
        <v>43</v>
      </c>
      <c r="B44" t="s">
        <v>164</v>
      </c>
      <c r="E44" s="54">
        <v>17.25</v>
      </c>
      <c r="F44" t="s">
        <v>127</v>
      </c>
    </row>
    <row r="45" spans="1:7" x14ac:dyDescent="0.2">
      <c r="A45">
        <f t="shared" si="0"/>
        <v>44</v>
      </c>
      <c r="B45" t="s">
        <v>164</v>
      </c>
      <c r="E45" s="54">
        <v>1.99</v>
      </c>
      <c r="F45" t="s">
        <v>127</v>
      </c>
    </row>
    <row r="46" spans="1:7" x14ac:dyDescent="0.2">
      <c r="A46">
        <f t="shared" si="0"/>
        <v>45</v>
      </c>
      <c r="B46" t="s">
        <v>165</v>
      </c>
      <c r="E46" s="54">
        <v>12000</v>
      </c>
      <c r="F46" t="s">
        <v>127</v>
      </c>
    </row>
    <row r="47" spans="1:7" x14ac:dyDescent="0.2">
      <c r="A47">
        <f t="shared" si="0"/>
        <v>46</v>
      </c>
      <c r="B47" t="s">
        <v>153</v>
      </c>
      <c r="E47" s="54">
        <v>4213.95</v>
      </c>
      <c r="F47" t="s">
        <v>127</v>
      </c>
      <c r="G47" t="s">
        <v>162</v>
      </c>
    </row>
    <row r="48" spans="1:7" x14ac:dyDescent="0.2">
      <c r="A48">
        <f t="shared" si="0"/>
        <v>47</v>
      </c>
      <c r="B48" t="s">
        <v>166</v>
      </c>
      <c r="E48" s="54">
        <v>312.83</v>
      </c>
      <c r="F48" t="s">
        <v>127</v>
      </c>
    </row>
    <row r="49" spans="1:7" x14ac:dyDescent="0.2">
      <c r="A49">
        <f t="shared" si="0"/>
        <v>48</v>
      </c>
      <c r="B49" t="s">
        <v>156</v>
      </c>
      <c r="E49" s="54">
        <v>36.31</v>
      </c>
      <c r="F49" t="s">
        <v>127</v>
      </c>
    </row>
    <row r="50" spans="1:7" x14ac:dyDescent="0.2">
      <c r="A50">
        <f t="shared" si="0"/>
        <v>49</v>
      </c>
      <c r="B50" t="s">
        <v>167</v>
      </c>
      <c r="E50" s="54">
        <v>709.65</v>
      </c>
      <c r="F50" t="s">
        <v>127</v>
      </c>
    </row>
    <row r="51" spans="1:7" x14ac:dyDescent="0.2">
      <c r="A51">
        <f t="shared" si="0"/>
        <v>50</v>
      </c>
      <c r="B51" t="s">
        <v>168</v>
      </c>
      <c r="E51" s="54">
        <v>618.77</v>
      </c>
      <c r="F51" t="s">
        <v>127</v>
      </c>
    </row>
    <row r="52" spans="1:7" x14ac:dyDescent="0.2">
      <c r="A52">
        <f t="shared" si="0"/>
        <v>51</v>
      </c>
      <c r="B52" t="s">
        <v>169</v>
      </c>
      <c r="E52" s="54">
        <v>9.68</v>
      </c>
      <c r="F52" t="s">
        <v>127</v>
      </c>
    </row>
    <row r="53" spans="1:7" x14ac:dyDescent="0.2">
      <c r="A53">
        <f t="shared" si="0"/>
        <v>52</v>
      </c>
      <c r="B53" t="s">
        <v>170</v>
      </c>
      <c r="E53" s="54">
        <v>469.71</v>
      </c>
      <c r="F53" t="s">
        <v>127</v>
      </c>
      <c r="G53" t="s">
        <v>171</v>
      </c>
    </row>
    <row r="54" spans="1:7" x14ac:dyDescent="0.2">
      <c r="A54">
        <f t="shared" si="0"/>
        <v>53</v>
      </c>
      <c r="B54" t="s">
        <v>172</v>
      </c>
      <c r="E54" s="54">
        <v>492.33</v>
      </c>
      <c r="F54" t="s">
        <v>127</v>
      </c>
    </row>
    <row r="55" spans="1:7" x14ac:dyDescent="0.2">
      <c r="A55">
        <f t="shared" si="0"/>
        <v>54</v>
      </c>
      <c r="B55" t="s">
        <v>173</v>
      </c>
      <c r="E55" s="54">
        <v>156.44</v>
      </c>
      <c r="F55" t="s">
        <v>127</v>
      </c>
    </row>
    <row r="56" spans="1:7" x14ac:dyDescent="0.2">
      <c r="A56">
        <f t="shared" si="0"/>
        <v>55</v>
      </c>
      <c r="B56" t="s">
        <v>174</v>
      </c>
      <c r="E56" s="54">
        <v>644</v>
      </c>
      <c r="F56" t="s">
        <v>127</v>
      </c>
    </row>
    <row r="57" spans="1:7" x14ac:dyDescent="0.2">
      <c r="A57">
        <f t="shared" si="0"/>
        <v>56</v>
      </c>
      <c r="B57" t="s">
        <v>157</v>
      </c>
      <c r="E57" s="54">
        <v>72.900000000000006</v>
      </c>
      <c r="F57" t="s">
        <v>127</v>
      </c>
    </row>
    <row r="58" spans="1:7" x14ac:dyDescent="0.2">
      <c r="A58">
        <f t="shared" si="0"/>
        <v>57</v>
      </c>
      <c r="B58" t="s">
        <v>157</v>
      </c>
      <c r="E58" s="54">
        <v>77.69</v>
      </c>
      <c r="F58" t="s">
        <v>127</v>
      </c>
    </row>
    <row r="59" spans="1:7" x14ac:dyDescent="0.2">
      <c r="A59">
        <f t="shared" si="0"/>
        <v>58</v>
      </c>
      <c r="B59" t="s">
        <v>175</v>
      </c>
      <c r="E59" s="54">
        <v>119.9</v>
      </c>
      <c r="F59" t="s">
        <v>127</v>
      </c>
    </row>
    <row r="60" spans="1:7" x14ac:dyDescent="0.2">
      <c r="A60">
        <f t="shared" si="0"/>
        <v>59</v>
      </c>
      <c r="B60" t="s">
        <v>176</v>
      </c>
      <c r="E60" s="54">
        <v>60.81</v>
      </c>
      <c r="F60" t="s">
        <v>127</v>
      </c>
    </row>
    <row r="61" spans="1:7" x14ac:dyDescent="0.2">
      <c r="A61">
        <f t="shared" si="0"/>
        <v>60</v>
      </c>
      <c r="B61" t="s">
        <v>177</v>
      </c>
      <c r="E61" s="54">
        <v>7.8</v>
      </c>
      <c r="F61" t="s">
        <v>127</v>
      </c>
    </row>
    <row r="62" spans="1:7" x14ac:dyDescent="0.2">
      <c r="A62">
        <f t="shared" si="0"/>
        <v>61</v>
      </c>
      <c r="B62" t="s">
        <v>178</v>
      </c>
      <c r="E62" s="54">
        <v>13.5</v>
      </c>
      <c r="F62" t="s">
        <v>127</v>
      </c>
    </row>
    <row r="63" spans="1:7" x14ac:dyDescent="0.2">
      <c r="A63">
        <f t="shared" si="0"/>
        <v>62</v>
      </c>
      <c r="B63" t="s">
        <v>178</v>
      </c>
      <c r="E63" s="54">
        <v>13.5</v>
      </c>
      <c r="F63" t="s">
        <v>127</v>
      </c>
    </row>
    <row r="64" spans="1:7" x14ac:dyDescent="0.2">
      <c r="A64">
        <f t="shared" si="0"/>
        <v>63</v>
      </c>
      <c r="B64" t="s">
        <v>179</v>
      </c>
      <c r="E64" s="54">
        <v>7.8</v>
      </c>
      <c r="F64" t="s">
        <v>127</v>
      </c>
    </row>
    <row r="65" spans="1:7" x14ac:dyDescent="0.2">
      <c r="A65">
        <f t="shared" si="0"/>
        <v>64</v>
      </c>
      <c r="B65" t="s">
        <v>180</v>
      </c>
      <c r="E65" s="54">
        <v>51.95</v>
      </c>
      <c r="F65" t="s">
        <v>127</v>
      </c>
    </row>
    <row r="66" spans="1:7" x14ac:dyDescent="0.2">
      <c r="A66">
        <f t="shared" si="0"/>
        <v>65</v>
      </c>
      <c r="B66" t="s">
        <v>181</v>
      </c>
      <c r="E66" s="54">
        <v>68.72</v>
      </c>
      <c r="F66" t="s">
        <v>127</v>
      </c>
    </row>
    <row r="67" spans="1:7" x14ac:dyDescent="0.2">
      <c r="A67">
        <f t="shared" si="0"/>
        <v>66</v>
      </c>
      <c r="B67" t="s">
        <v>182</v>
      </c>
      <c r="E67" s="54">
        <v>1.9</v>
      </c>
      <c r="F67" t="s">
        <v>127</v>
      </c>
    </row>
    <row r="68" spans="1:7" x14ac:dyDescent="0.2">
      <c r="A68">
        <f t="shared" ref="A68:A131" si="1">+A67+1</f>
        <v>67</v>
      </c>
      <c r="B68" t="s">
        <v>183</v>
      </c>
      <c r="E68" s="54">
        <v>2113.14</v>
      </c>
      <c r="F68" t="s">
        <v>127</v>
      </c>
    </row>
    <row r="69" spans="1:7" x14ac:dyDescent="0.2">
      <c r="A69">
        <f t="shared" si="1"/>
        <v>68</v>
      </c>
      <c r="B69" t="s">
        <v>184</v>
      </c>
      <c r="E69" s="11">
        <v>70.88</v>
      </c>
      <c r="F69" t="s">
        <v>127</v>
      </c>
      <c r="G69" t="s">
        <v>185</v>
      </c>
    </row>
    <row r="70" spans="1:7" x14ac:dyDescent="0.2">
      <c r="A70">
        <f t="shared" si="1"/>
        <v>69</v>
      </c>
      <c r="B70" t="s">
        <v>186</v>
      </c>
      <c r="E70" s="11">
        <v>53.09</v>
      </c>
      <c r="G70" t="s">
        <v>187</v>
      </c>
    </row>
    <row r="71" spans="1:7" x14ac:dyDescent="0.2">
      <c r="A71">
        <f t="shared" si="1"/>
        <v>70</v>
      </c>
      <c r="B71" t="s">
        <v>188</v>
      </c>
      <c r="E71" s="11">
        <v>711.44</v>
      </c>
    </row>
    <row r="72" spans="1:7" x14ac:dyDescent="0.2">
      <c r="A72">
        <f t="shared" si="1"/>
        <v>71</v>
      </c>
      <c r="B72" t="s">
        <v>189</v>
      </c>
      <c r="E72" s="11">
        <v>9073.92</v>
      </c>
    </row>
    <row r="73" spans="1:7" x14ac:dyDescent="0.2">
      <c r="A73">
        <f t="shared" si="1"/>
        <v>72</v>
      </c>
    </row>
    <row r="74" spans="1:7" x14ac:dyDescent="0.2">
      <c r="A74">
        <f t="shared" si="1"/>
        <v>73</v>
      </c>
      <c r="B74" t="s">
        <v>190</v>
      </c>
      <c r="E74" s="11">
        <f>2.48+657.01+11.36+4939.82+62.02+1.33+1.33+10.76+651.78+2.29</f>
        <v>6340.18</v>
      </c>
    </row>
    <row r="75" spans="1:7" x14ac:dyDescent="0.2">
      <c r="A75">
        <f t="shared" si="1"/>
        <v>74</v>
      </c>
      <c r="B75" t="s">
        <v>191</v>
      </c>
      <c r="E75" s="11">
        <v>60</v>
      </c>
    </row>
    <row r="76" spans="1:7" x14ac:dyDescent="0.2">
      <c r="A76">
        <f t="shared" si="1"/>
        <v>75</v>
      </c>
      <c r="B76" t="s">
        <v>192</v>
      </c>
      <c r="E76" s="11">
        <v>4445</v>
      </c>
    </row>
    <row r="77" spans="1:7" x14ac:dyDescent="0.2">
      <c r="A77">
        <f t="shared" si="1"/>
        <v>76</v>
      </c>
      <c r="B77" t="s">
        <v>193</v>
      </c>
      <c r="E77" s="11">
        <v>390</v>
      </c>
    </row>
    <row r="78" spans="1:7" x14ac:dyDescent="0.2">
      <c r="A78">
        <f t="shared" si="1"/>
        <v>77</v>
      </c>
      <c r="B78" t="s">
        <v>194</v>
      </c>
      <c r="E78" s="11">
        <v>72.8</v>
      </c>
    </row>
    <row r="79" spans="1:7" x14ac:dyDescent="0.2">
      <c r="A79">
        <f t="shared" si="1"/>
        <v>78</v>
      </c>
      <c r="B79" t="s">
        <v>195</v>
      </c>
      <c r="E79" s="11">
        <v>150</v>
      </c>
      <c r="G79" t="s">
        <v>196</v>
      </c>
    </row>
    <row r="80" spans="1:7" x14ac:dyDescent="0.2">
      <c r="A80">
        <f t="shared" si="1"/>
        <v>79</v>
      </c>
      <c r="B80" t="s">
        <v>149</v>
      </c>
      <c r="E80" s="11">
        <v>262.13</v>
      </c>
    </row>
    <row r="81" spans="1:7" x14ac:dyDescent="0.2">
      <c r="A81">
        <f t="shared" si="1"/>
        <v>80</v>
      </c>
      <c r="B81" t="s">
        <v>197</v>
      </c>
      <c r="E81" s="11">
        <v>436</v>
      </c>
      <c r="G81" t="s">
        <v>198</v>
      </c>
    </row>
    <row r="82" spans="1:7" x14ac:dyDescent="0.2">
      <c r="A82">
        <f t="shared" si="1"/>
        <v>81</v>
      </c>
      <c r="B82" t="s">
        <v>199</v>
      </c>
      <c r="E82" s="11">
        <v>72.84</v>
      </c>
    </row>
    <row r="83" spans="1:7" x14ac:dyDescent="0.2">
      <c r="A83">
        <f t="shared" si="1"/>
        <v>82</v>
      </c>
      <c r="B83" t="s">
        <v>200</v>
      </c>
      <c r="E83" s="11">
        <v>1495.91</v>
      </c>
    </row>
    <row r="84" spans="1:7" x14ac:dyDescent="0.2">
      <c r="A84">
        <f t="shared" si="1"/>
        <v>83</v>
      </c>
      <c r="B84" t="s">
        <v>201</v>
      </c>
      <c r="E84" s="11">
        <v>6.64</v>
      </c>
    </row>
    <row r="85" spans="1:7" x14ac:dyDescent="0.2">
      <c r="A85">
        <f t="shared" si="1"/>
        <v>84</v>
      </c>
      <c r="B85" t="s">
        <v>202</v>
      </c>
      <c r="E85" s="11">
        <v>90.46</v>
      </c>
    </row>
    <row r="86" spans="1:7" x14ac:dyDescent="0.2">
      <c r="A86">
        <f t="shared" si="1"/>
        <v>85</v>
      </c>
    </row>
    <row r="87" spans="1:7" x14ac:dyDescent="0.2">
      <c r="A87">
        <f t="shared" si="1"/>
        <v>86</v>
      </c>
    </row>
    <row r="88" spans="1:7" x14ac:dyDescent="0.2">
      <c r="A88">
        <f t="shared" si="1"/>
        <v>87</v>
      </c>
    </row>
    <row r="89" spans="1:7" x14ac:dyDescent="0.2">
      <c r="A89">
        <f t="shared" si="1"/>
        <v>88</v>
      </c>
    </row>
    <row r="90" spans="1:7" x14ac:dyDescent="0.2">
      <c r="A90">
        <f t="shared" si="1"/>
        <v>89</v>
      </c>
    </row>
    <row r="91" spans="1:7" x14ac:dyDescent="0.2">
      <c r="A91">
        <f t="shared" si="1"/>
        <v>90</v>
      </c>
    </row>
    <row r="92" spans="1:7" x14ac:dyDescent="0.2">
      <c r="A92">
        <f t="shared" si="1"/>
        <v>91</v>
      </c>
    </row>
    <row r="93" spans="1:7" x14ac:dyDescent="0.2">
      <c r="A93">
        <f t="shared" si="1"/>
        <v>92</v>
      </c>
    </row>
    <row r="94" spans="1:7" x14ac:dyDescent="0.2">
      <c r="A94">
        <f t="shared" si="1"/>
        <v>93</v>
      </c>
    </row>
    <row r="95" spans="1:7" x14ac:dyDescent="0.2">
      <c r="A95">
        <f t="shared" si="1"/>
        <v>94</v>
      </c>
    </row>
    <row r="96" spans="1:7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si="1"/>
        <v>130</v>
      </c>
    </row>
    <row r="132" spans="1:1" x14ac:dyDescent="0.2">
      <c r="A132">
        <f t="shared" ref="A132:A149" si="2">+A131+1</f>
        <v>131</v>
      </c>
    </row>
    <row r="133" spans="1:1" x14ac:dyDescent="0.2">
      <c r="A133">
        <f t="shared" si="2"/>
        <v>132</v>
      </c>
    </row>
    <row r="134" spans="1:1" x14ac:dyDescent="0.2">
      <c r="A134">
        <f t="shared" si="2"/>
        <v>133</v>
      </c>
    </row>
    <row r="135" spans="1:1" x14ac:dyDescent="0.2">
      <c r="A135">
        <f t="shared" si="2"/>
        <v>134</v>
      </c>
    </row>
    <row r="136" spans="1:1" x14ac:dyDescent="0.2">
      <c r="A136">
        <f t="shared" si="2"/>
        <v>135</v>
      </c>
    </row>
    <row r="137" spans="1:1" x14ac:dyDescent="0.2">
      <c r="A137">
        <f t="shared" si="2"/>
        <v>136</v>
      </c>
    </row>
    <row r="138" spans="1:1" x14ac:dyDescent="0.2">
      <c r="A138">
        <f t="shared" si="2"/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5" x14ac:dyDescent="0.2">
      <c r="A145">
        <f t="shared" si="2"/>
        <v>144</v>
      </c>
    </row>
    <row r="146" spans="1:5" x14ac:dyDescent="0.2">
      <c r="A146">
        <f t="shared" si="2"/>
        <v>145</v>
      </c>
    </row>
    <row r="147" spans="1:5" x14ac:dyDescent="0.2">
      <c r="A147">
        <f t="shared" si="2"/>
        <v>146</v>
      </c>
    </row>
    <row r="148" spans="1:5" x14ac:dyDescent="0.2">
      <c r="A148">
        <f t="shared" si="2"/>
        <v>147</v>
      </c>
    </row>
    <row r="149" spans="1:5" x14ac:dyDescent="0.2">
      <c r="A149" s="33">
        <f t="shared" si="2"/>
        <v>148</v>
      </c>
      <c r="B149" s="33"/>
      <c r="C149" s="33"/>
      <c r="D149" s="34"/>
      <c r="E149" s="34"/>
    </row>
    <row r="150" spans="1:5" x14ac:dyDescent="0.2">
      <c r="E150" s="11">
        <f>SUM(E2:E149)</f>
        <v>110242.18000000001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20DE-366F-4A0E-9C44-F2A3481FED19}">
  <dimension ref="A1:N95"/>
  <sheetViews>
    <sheetView workbookViewId="0">
      <pane ySplit="1" topLeftCell="A30" activePane="bottomLeft" state="frozen"/>
      <selection activeCell="C1" sqref="C1"/>
      <selection pane="bottomLeft" activeCell="C1" sqref="C1"/>
    </sheetView>
  </sheetViews>
  <sheetFormatPr defaultRowHeight="15" x14ac:dyDescent="0.2"/>
  <cols>
    <col min="1" max="1" width="4.9765625" customWidth="1"/>
    <col min="2" max="2" width="24.078125" customWidth="1"/>
    <col min="3" max="3" width="33.8984375" customWidth="1"/>
    <col min="4" max="4" width="25.421875" customWidth="1"/>
    <col min="5" max="5" width="12.375" style="11" customWidth="1"/>
    <col min="6" max="6" width="15.46875" style="9" customWidth="1"/>
    <col min="7" max="7" width="13.046875" style="60" customWidth="1"/>
    <col min="8" max="8" width="9.01171875" style="11" customWidth="1"/>
    <col min="9" max="10" width="9.28125" style="11" customWidth="1"/>
    <col min="11" max="11" width="11.1640625" customWidth="1"/>
    <col min="12" max="12" width="8.609375" customWidth="1"/>
    <col min="13" max="13" width="10.625" style="4" customWidth="1"/>
    <col min="14" max="14" width="137.34765625" bestFit="1" customWidth="1"/>
  </cols>
  <sheetData>
    <row r="1" spans="1:14" ht="41.25" x14ac:dyDescent="0.2">
      <c r="B1" s="3" t="s">
        <v>381</v>
      </c>
      <c r="C1" s="3" t="s">
        <v>121</v>
      </c>
      <c r="D1" s="3" t="s">
        <v>122</v>
      </c>
      <c r="E1" s="39" t="s">
        <v>123</v>
      </c>
      <c r="F1" s="40" t="s">
        <v>382</v>
      </c>
      <c r="G1" s="59" t="s">
        <v>383</v>
      </c>
      <c r="H1" s="40" t="s">
        <v>639</v>
      </c>
      <c r="I1" s="40" t="s">
        <v>385</v>
      </c>
      <c r="J1" s="40" t="s">
        <v>331</v>
      </c>
      <c r="K1" s="5" t="s">
        <v>640</v>
      </c>
      <c r="L1" s="5" t="s">
        <v>641</v>
      </c>
      <c r="M1" s="43" t="s">
        <v>386</v>
      </c>
      <c r="N1" s="3" t="s">
        <v>387</v>
      </c>
    </row>
    <row r="2" spans="1:14" x14ac:dyDescent="0.2">
      <c r="A2">
        <v>1</v>
      </c>
      <c r="B2" t="s">
        <v>15</v>
      </c>
      <c r="C2" t="s">
        <v>642</v>
      </c>
      <c r="D2" t="s">
        <v>643</v>
      </c>
      <c r="E2" s="11">
        <v>30168.07</v>
      </c>
      <c r="F2" s="72">
        <f>+E2*1.19</f>
        <v>35900.003299999997</v>
      </c>
      <c r="G2" s="60">
        <f>F2</f>
        <v>35900.003299999997</v>
      </c>
      <c r="K2" s="70" t="s">
        <v>127</v>
      </c>
      <c r="L2" t="s">
        <v>127</v>
      </c>
      <c r="M2" s="71" t="s">
        <v>644</v>
      </c>
    </row>
    <row r="3" spans="1:14" x14ac:dyDescent="0.2">
      <c r="A3">
        <f>+A2+1</f>
        <v>2</v>
      </c>
      <c r="B3" t="s">
        <v>15</v>
      </c>
      <c r="C3" t="s">
        <v>645</v>
      </c>
      <c r="D3" t="s">
        <v>646</v>
      </c>
      <c r="E3" s="11">
        <v>460.87</v>
      </c>
      <c r="F3" s="49">
        <v>576.09</v>
      </c>
      <c r="G3" s="60">
        <v>576.09</v>
      </c>
      <c r="K3" s="70" t="s">
        <v>127</v>
      </c>
      <c r="M3" s="70"/>
      <c r="N3" s="29" t="s">
        <v>647</v>
      </c>
    </row>
    <row r="4" spans="1:14" x14ac:dyDescent="0.2">
      <c r="A4">
        <f t="shared" ref="A4:A9" si="0">+A3+1</f>
        <v>3</v>
      </c>
      <c r="B4" t="s">
        <v>15</v>
      </c>
      <c r="C4" t="s">
        <v>648</v>
      </c>
      <c r="D4" t="s">
        <v>649</v>
      </c>
      <c r="E4" s="11">
        <v>466.65</v>
      </c>
      <c r="F4" s="49">
        <f>+E4*1.25</f>
        <v>583.3125</v>
      </c>
      <c r="G4" s="61">
        <f>+F4</f>
        <v>583.3125</v>
      </c>
      <c r="K4" s="70" t="s">
        <v>127</v>
      </c>
      <c r="M4" s="70"/>
      <c r="N4" s="29" t="s">
        <v>650</v>
      </c>
    </row>
    <row r="5" spans="1:14" x14ac:dyDescent="0.2">
      <c r="A5">
        <f t="shared" si="0"/>
        <v>4</v>
      </c>
      <c r="B5" t="s">
        <v>15</v>
      </c>
      <c r="C5" t="s">
        <v>651</v>
      </c>
      <c r="D5" t="s">
        <v>652</v>
      </c>
      <c r="E5" s="11">
        <v>244</v>
      </c>
      <c r="F5" s="49">
        <f>+E5*1.25</f>
        <v>305</v>
      </c>
      <c r="G5" s="61">
        <f>+F5</f>
        <v>305</v>
      </c>
      <c r="K5" s="70" t="s">
        <v>127</v>
      </c>
      <c r="M5" s="70"/>
      <c r="N5" s="29" t="s">
        <v>653</v>
      </c>
    </row>
    <row r="6" spans="1:14" x14ac:dyDescent="0.2">
      <c r="A6">
        <f t="shared" si="0"/>
        <v>5</v>
      </c>
      <c r="B6" t="s">
        <v>15</v>
      </c>
      <c r="C6" t="s">
        <v>388</v>
      </c>
      <c r="D6" t="s">
        <v>389</v>
      </c>
      <c r="F6" s="49"/>
      <c r="K6" s="70"/>
      <c r="M6" s="70"/>
    </row>
    <row r="7" spans="1:14" x14ac:dyDescent="0.2">
      <c r="A7">
        <f t="shared" si="0"/>
        <v>6</v>
      </c>
      <c r="B7" t="s">
        <v>390</v>
      </c>
      <c r="C7" t="s">
        <v>391</v>
      </c>
      <c r="D7" t="s">
        <v>392</v>
      </c>
      <c r="E7" s="11">
        <f>2.12*5*2</f>
        <v>21.200000000000003</v>
      </c>
      <c r="F7" s="49">
        <f>E7*1.25</f>
        <v>26.500000000000004</v>
      </c>
      <c r="K7" s="70"/>
      <c r="M7" s="70"/>
      <c r="N7" t="s">
        <v>393</v>
      </c>
    </row>
    <row r="8" spans="1:14" x14ac:dyDescent="0.2">
      <c r="A8">
        <f t="shared" si="0"/>
        <v>7</v>
      </c>
      <c r="B8" t="str">
        <f>B2</f>
        <v>DVD Kraljevica</v>
      </c>
      <c r="C8" t="s">
        <v>394</v>
      </c>
      <c r="E8" s="11">
        <v>1075.01</v>
      </c>
      <c r="F8" s="49">
        <f>+E8*1.25</f>
        <v>1343.7625</v>
      </c>
      <c r="J8" s="11">
        <f>+F8-E8</f>
        <v>268.75250000000005</v>
      </c>
      <c r="K8" s="70"/>
      <c r="M8" s="70">
        <v>44946</v>
      </c>
      <c r="N8" s="29" t="s">
        <v>395</v>
      </c>
    </row>
    <row r="9" spans="1:14" x14ac:dyDescent="0.2">
      <c r="A9">
        <f t="shared" si="0"/>
        <v>8</v>
      </c>
      <c r="B9" t="str">
        <f>B2</f>
        <v>DVD Kraljevica</v>
      </c>
      <c r="C9" t="s">
        <v>396</v>
      </c>
      <c r="E9" s="11">
        <v>1061.77</v>
      </c>
      <c r="F9" s="49">
        <f>+E9*1.25</f>
        <v>1327.2125000000001</v>
      </c>
      <c r="J9" s="11">
        <f>+F9-E9</f>
        <v>265.44250000000011</v>
      </c>
      <c r="K9" s="70"/>
      <c r="M9" s="70"/>
      <c r="N9" s="29" t="s">
        <v>397</v>
      </c>
    </row>
    <row r="10" spans="1:14" x14ac:dyDescent="0.2">
      <c r="A10">
        <f t="shared" ref="A10:A40" si="1">+A9+1</f>
        <v>9</v>
      </c>
      <c r="B10" t="s">
        <v>15</v>
      </c>
      <c r="C10" t="s">
        <v>398</v>
      </c>
      <c r="F10" s="49"/>
      <c r="K10" s="70"/>
      <c r="M10" s="70"/>
    </row>
    <row r="11" spans="1:14" x14ac:dyDescent="0.2">
      <c r="A11">
        <f t="shared" si="1"/>
        <v>10</v>
      </c>
      <c r="B11" t="s">
        <v>390</v>
      </c>
      <c r="C11" t="s">
        <v>654</v>
      </c>
      <c r="D11" t="s">
        <v>655</v>
      </c>
      <c r="F11" s="49">
        <v>411.39</v>
      </c>
      <c r="G11" s="61">
        <f>+F11</f>
        <v>411.39</v>
      </c>
      <c r="K11" s="70" t="s">
        <v>127</v>
      </c>
      <c r="M11" s="70"/>
      <c r="N11" s="29" t="s">
        <v>656</v>
      </c>
    </row>
    <row r="12" spans="1:14" x14ac:dyDescent="0.2">
      <c r="A12">
        <f t="shared" si="1"/>
        <v>11</v>
      </c>
      <c r="F12" s="49"/>
      <c r="K12" s="70"/>
      <c r="M12" s="70"/>
    </row>
    <row r="13" spans="1:14" s="2" customFormat="1" x14ac:dyDescent="0.2">
      <c r="A13" s="2">
        <f t="shared" si="1"/>
        <v>12</v>
      </c>
      <c r="B13" s="2" t="s">
        <v>16</v>
      </c>
      <c r="C13" s="2" t="s">
        <v>479</v>
      </c>
      <c r="D13" s="6" t="s">
        <v>657</v>
      </c>
      <c r="E13" s="9"/>
      <c r="F13" s="49">
        <v>32800</v>
      </c>
      <c r="G13" s="62">
        <v>32800</v>
      </c>
      <c r="H13" s="9"/>
      <c r="I13" s="9"/>
      <c r="J13" s="9"/>
      <c r="K13" s="70" t="s">
        <v>658</v>
      </c>
      <c r="M13" s="44"/>
      <c r="N13" s="50" t="s">
        <v>659</v>
      </c>
    </row>
    <row r="14" spans="1:14" x14ac:dyDescent="0.2">
      <c r="A14">
        <f t="shared" si="1"/>
        <v>13</v>
      </c>
      <c r="B14" t="s">
        <v>16</v>
      </c>
      <c r="C14" t="s">
        <v>401</v>
      </c>
      <c r="D14" t="s">
        <v>402</v>
      </c>
      <c r="F14" s="49">
        <v>500</v>
      </c>
      <c r="K14" s="70" t="s">
        <v>658</v>
      </c>
      <c r="M14" s="70"/>
    </row>
    <row r="15" spans="1:14" x14ac:dyDescent="0.2">
      <c r="A15">
        <f t="shared" si="1"/>
        <v>14</v>
      </c>
      <c r="B15" t="s">
        <v>16</v>
      </c>
      <c r="C15" t="s">
        <v>403</v>
      </c>
      <c r="F15" s="49">
        <v>668.96</v>
      </c>
      <c r="K15" s="70" t="s">
        <v>658</v>
      </c>
      <c r="M15" s="70"/>
    </row>
    <row r="16" spans="1:14" x14ac:dyDescent="0.2">
      <c r="A16">
        <f t="shared" si="1"/>
        <v>15</v>
      </c>
      <c r="B16" t="s">
        <v>16</v>
      </c>
      <c r="C16" t="s">
        <v>497</v>
      </c>
      <c r="D16" t="s">
        <v>498</v>
      </c>
      <c r="E16" s="222">
        <v>2656.2</v>
      </c>
      <c r="F16" s="220">
        <f>E16*1.25</f>
        <v>3320.25</v>
      </c>
      <c r="G16" s="221"/>
      <c r="K16" s="70" t="s">
        <v>658</v>
      </c>
      <c r="M16" s="70"/>
      <c r="N16" s="29" t="s">
        <v>660</v>
      </c>
    </row>
    <row r="17" spans="1:14" x14ac:dyDescent="0.2">
      <c r="A17">
        <f t="shared" si="1"/>
        <v>16</v>
      </c>
      <c r="B17" t="s">
        <v>16</v>
      </c>
      <c r="C17" t="s">
        <v>411</v>
      </c>
      <c r="D17" t="s">
        <v>498</v>
      </c>
      <c r="E17" s="222"/>
      <c r="F17" s="220"/>
      <c r="G17" s="221"/>
      <c r="K17" s="70" t="s">
        <v>658</v>
      </c>
      <c r="M17" s="70"/>
      <c r="N17" s="29" t="s">
        <v>660</v>
      </c>
    </row>
    <row r="18" spans="1:14" x14ac:dyDescent="0.2">
      <c r="A18">
        <f t="shared" si="1"/>
        <v>17</v>
      </c>
      <c r="B18" t="s">
        <v>16</v>
      </c>
      <c r="C18" t="s">
        <v>388</v>
      </c>
      <c r="D18" t="s">
        <v>389</v>
      </c>
      <c r="F18" s="49"/>
      <c r="K18" s="70" t="s">
        <v>658</v>
      </c>
      <c r="M18" s="70"/>
    </row>
    <row r="19" spans="1:14" x14ac:dyDescent="0.2">
      <c r="A19">
        <f t="shared" si="1"/>
        <v>18</v>
      </c>
      <c r="B19" t="s">
        <v>16</v>
      </c>
      <c r="C19" t="s">
        <v>415</v>
      </c>
      <c r="F19" s="49">
        <v>220</v>
      </c>
      <c r="K19" s="70"/>
      <c r="M19" s="70"/>
    </row>
    <row r="20" spans="1:14" x14ac:dyDescent="0.2">
      <c r="A20">
        <f t="shared" si="1"/>
        <v>19</v>
      </c>
      <c r="B20" t="s">
        <v>16</v>
      </c>
      <c r="C20" t="s">
        <v>416</v>
      </c>
      <c r="F20" s="49">
        <v>350</v>
      </c>
      <c r="K20" s="70"/>
      <c r="M20" s="70"/>
    </row>
    <row r="21" spans="1:14" x14ac:dyDescent="0.2">
      <c r="A21">
        <f t="shared" si="1"/>
        <v>20</v>
      </c>
      <c r="B21" t="s">
        <v>16</v>
      </c>
      <c r="C21" t="s">
        <v>417</v>
      </c>
      <c r="F21" s="49"/>
      <c r="K21" s="70"/>
      <c r="M21" s="70"/>
    </row>
    <row r="22" spans="1:14" x14ac:dyDescent="0.2">
      <c r="A22">
        <f t="shared" si="1"/>
        <v>21</v>
      </c>
      <c r="K22" s="70"/>
      <c r="M22" s="70"/>
    </row>
    <row r="23" spans="1:14" x14ac:dyDescent="0.2">
      <c r="A23">
        <f t="shared" si="1"/>
        <v>22</v>
      </c>
      <c r="B23" t="s">
        <v>661</v>
      </c>
      <c r="C23" t="s">
        <v>662</v>
      </c>
      <c r="D23" s="17" t="s">
        <v>663</v>
      </c>
      <c r="F23" s="49">
        <f>'Knjiga narudžbi 2023'!I13</f>
        <v>4642.1099999999997</v>
      </c>
      <c r="G23" s="61">
        <f>+F23</f>
        <v>4642.1099999999997</v>
      </c>
      <c r="H23" s="38">
        <v>44950</v>
      </c>
      <c r="K23" s="70" t="s">
        <v>127</v>
      </c>
      <c r="M23" s="70"/>
      <c r="N23" s="29" t="s">
        <v>664</v>
      </c>
    </row>
    <row r="24" spans="1:14" x14ac:dyDescent="0.2">
      <c r="A24">
        <f t="shared" si="1"/>
        <v>23</v>
      </c>
      <c r="B24" t="s">
        <v>25</v>
      </c>
      <c r="C24" t="s">
        <v>424</v>
      </c>
      <c r="D24" t="s">
        <v>425</v>
      </c>
      <c r="E24" s="11" t="e">
        <f>'Knjiga narudžbi 2023'!#REF!</f>
        <v>#REF!</v>
      </c>
      <c r="F24" s="49" t="e">
        <f>E24*1.25</f>
        <v>#REF!</v>
      </c>
      <c r="K24" s="70"/>
      <c r="M24" s="70"/>
      <c r="N24" s="29" t="s">
        <v>426</v>
      </c>
    </row>
    <row r="25" spans="1:14" x14ac:dyDescent="0.2">
      <c r="A25">
        <f>+A24+1</f>
        <v>24</v>
      </c>
      <c r="K25" s="70"/>
      <c r="M25" s="70"/>
    </row>
    <row r="26" spans="1:14" x14ac:dyDescent="0.2">
      <c r="A26">
        <f t="shared" si="1"/>
        <v>25</v>
      </c>
      <c r="B26" s="2" t="s">
        <v>23</v>
      </c>
      <c r="C26" s="17" t="s">
        <v>427</v>
      </c>
      <c r="K26" s="70"/>
      <c r="M26" s="70"/>
    </row>
    <row r="27" spans="1:14" x14ac:dyDescent="0.2">
      <c r="A27">
        <f t="shared" si="1"/>
        <v>26</v>
      </c>
      <c r="B27" s="2" t="s">
        <v>24</v>
      </c>
      <c r="C27" t="s">
        <v>428</v>
      </c>
      <c r="D27" t="s">
        <v>429</v>
      </c>
      <c r="K27" s="70"/>
      <c r="M27" s="70"/>
    </row>
    <row r="28" spans="1:14" x14ac:dyDescent="0.2">
      <c r="A28">
        <f t="shared" si="1"/>
        <v>27</v>
      </c>
      <c r="K28" s="70"/>
      <c r="M28" s="70"/>
    </row>
    <row r="29" spans="1:14" x14ac:dyDescent="0.2">
      <c r="A29">
        <f t="shared" si="1"/>
        <v>28</v>
      </c>
      <c r="B29" s="2" t="s">
        <v>27</v>
      </c>
      <c r="C29" t="s">
        <v>436</v>
      </c>
      <c r="F29" s="9">
        <f>25.99*50</f>
        <v>1299.5</v>
      </c>
      <c r="K29" s="70"/>
      <c r="M29" s="70"/>
      <c r="N29" s="29" t="s">
        <v>439</v>
      </c>
    </row>
    <row r="30" spans="1:14" x14ac:dyDescent="0.2">
      <c r="A30">
        <f t="shared" si="1"/>
        <v>29</v>
      </c>
      <c r="B30" s="2" t="s">
        <v>29</v>
      </c>
      <c r="C30" t="s">
        <v>629</v>
      </c>
      <c r="D30" t="s">
        <v>630</v>
      </c>
      <c r="K30" s="70"/>
      <c r="M30" s="70"/>
    </row>
    <row r="31" spans="1:14" x14ac:dyDescent="0.2">
      <c r="A31">
        <f t="shared" si="1"/>
        <v>30</v>
      </c>
      <c r="B31" s="2" t="s">
        <v>29</v>
      </c>
      <c r="C31" t="s">
        <v>442</v>
      </c>
      <c r="D31" t="s">
        <v>443</v>
      </c>
      <c r="K31" s="70"/>
      <c r="M31" s="70"/>
    </row>
    <row r="32" spans="1:14" x14ac:dyDescent="0.2">
      <c r="A32">
        <f t="shared" si="1"/>
        <v>31</v>
      </c>
      <c r="B32" s="2" t="s">
        <v>30</v>
      </c>
      <c r="C32" t="s">
        <v>445</v>
      </c>
      <c r="D32" t="s">
        <v>425</v>
      </c>
      <c r="F32" s="49"/>
      <c r="K32" s="70"/>
      <c r="M32" s="70"/>
      <c r="N32" s="29" t="s">
        <v>613</v>
      </c>
    </row>
    <row r="33" spans="1:14" x14ac:dyDescent="0.2">
      <c r="A33">
        <f t="shared" si="1"/>
        <v>32</v>
      </c>
      <c r="B33" s="2" t="s">
        <v>31</v>
      </c>
      <c r="C33" t="s">
        <v>665</v>
      </c>
      <c r="D33" t="s">
        <v>443</v>
      </c>
      <c r="F33" s="49">
        <v>413.28</v>
      </c>
      <c r="G33" s="60">
        <v>413.28</v>
      </c>
      <c r="H33" s="11">
        <v>27.01</v>
      </c>
      <c r="K33" s="70"/>
      <c r="M33" s="70"/>
      <c r="N33" s="29" t="s">
        <v>666</v>
      </c>
    </row>
    <row r="34" spans="1:14" x14ac:dyDescent="0.2">
      <c r="A34">
        <f t="shared" si="1"/>
        <v>33</v>
      </c>
      <c r="K34" s="70"/>
      <c r="M34" s="70"/>
    </row>
    <row r="35" spans="1:14" x14ac:dyDescent="0.2">
      <c r="A35">
        <f t="shared" si="1"/>
        <v>34</v>
      </c>
      <c r="F35" s="49"/>
      <c r="K35" s="70"/>
      <c r="M35" s="70"/>
    </row>
    <row r="36" spans="1:14" x14ac:dyDescent="0.2">
      <c r="A36">
        <f t="shared" si="1"/>
        <v>35</v>
      </c>
      <c r="B36" t="str">
        <f>'Knjiga narudžbi 2023'!B9</f>
        <v>DVD ADAMOVEC</v>
      </c>
      <c r="C36" t="s">
        <v>449</v>
      </c>
      <c r="D36" t="s">
        <v>450</v>
      </c>
      <c r="F36" s="49">
        <v>2244.52</v>
      </c>
      <c r="K36" s="70"/>
      <c r="M36" s="70"/>
    </row>
    <row r="37" spans="1:14" x14ac:dyDescent="0.2">
      <c r="A37">
        <f t="shared" si="1"/>
        <v>36</v>
      </c>
      <c r="B37" t="str">
        <f>B36</f>
        <v>DVD ADAMOVEC</v>
      </c>
      <c r="C37" t="s">
        <v>667</v>
      </c>
      <c r="D37" s="17" t="s">
        <v>668</v>
      </c>
      <c r="E37" s="11">
        <v>775</v>
      </c>
      <c r="F37" s="49">
        <f>E37*1.25</f>
        <v>968.75</v>
      </c>
      <c r="K37" s="70"/>
      <c r="M37" s="70"/>
    </row>
    <row r="38" spans="1:14" x14ac:dyDescent="0.2">
      <c r="A38">
        <f t="shared" si="1"/>
        <v>37</v>
      </c>
      <c r="K38" s="70"/>
      <c r="M38" s="70"/>
    </row>
    <row r="39" spans="1:14" ht="27.75" x14ac:dyDescent="0.2">
      <c r="A39">
        <f t="shared" si="1"/>
        <v>38</v>
      </c>
      <c r="B39" s="17" t="s">
        <v>669</v>
      </c>
      <c r="C39" t="s">
        <v>670</v>
      </c>
      <c r="F39" s="72">
        <v>3365</v>
      </c>
      <c r="G39" s="60">
        <v>3365</v>
      </c>
      <c r="K39" s="70" t="s">
        <v>127</v>
      </c>
      <c r="L39" t="s">
        <v>127</v>
      </c>
      <c r="M39" s="70">
        <v>44953</v>
      </c>
    </row>
    <row r="40" spans="1:14" ht="27.75" x14ac:dyDescent="0.2">
      <c r="A40">
        <f t="shared" si="1"/>
        <v>39</v>
      </c>
      <c r="B40" s="17" t="s">
        <v>671</v>
      </c>
      <c r="C40" t="s">
        <v>672</v>
      </c>
      <c r="F40" s="72">
        <v>3803</v>
      </c>
      <c r="G40" s="60">
        <v>3803</v>
      </c>
      <c r="K40" s="70" t="s">
        <v>127</v>
      </c>
      <c r="L40" t="s">
        <v>127</v>
      </c>
      <c r="M40" s="70">
        <v>44953</v>
      </c>
    </row>
    <row r="41" spans="1:14" x14ac:dyDescent="0.2">
      <c r="A41">
        <f>+A40+1</f>
        <v>40</v>
      </c>
      <c r="B41" s="46" t="s">
        <v>457</v>
      </c>
      <c r="C41" s="46" t="s">
        <v>458</v>
      </c>
      <c r="D41" s="46"/>
      <c r="E41" s="47">
        <f>130000/7.53453</f>
        <v>17253.89639433382</v>
      </c>
      <c r="F41" s="73">
        <f>+E41*1.25</f>
        <v>21567.370492917275</v>
      </c>
      <c r="I41" s="11">
        <f>+J41</f>
        <v>4313.4740985834542</v>
      </c>
      <c r="J41" s="11">
        <f>+F41-E41</f>
        <v>4313.4740985834542</v>
      </c>
      <c r="K41" s="70"/>
      <c r="M41" s="70"/>
    </row>
    <row r="42" spans="1:14" x14ac:dyDescent="0.2">
      <c r="A42">
        <f t="shared" ref="A42:A73" si="2">+A41+1</f>
        <v>41</v>
      </c>
      <c r="B42" t="s">
        <v>457</v>
      </c>
      <c r="C42" t="s">
        <v>673</v>
      </c>
      <c r="E42" s="42">
        <f>+F42/1.25</f>
        <v>21235.649346340168</v>
      </c>
      <c r="F42" s="49">
        <f>200000/7.5345</f>
        <v>26544.56168292521</v>
      </c>
      <c r="G42" s="61">
        <f>+F42</f>
        <v>26544.56168292521</v>
      </c>
      <c r="H42" s="35">
        <v>44950</v>
      </c>
      <c r="J42" s="11">
        <f>+F42-E42</f>
        <v>5308.9123365850428</v>
      </c>
      <c r="K42" s="70"/>
      <c r="M42" s="70"/>
    </row>
    <row r="43" spans="1:14" ht="27.75" x14ac:dyDescent="0.2">
      <c r="A43">
        <f t="shared" si="2"/>
        <v>42</v>
      </c>
      <c r="B43" t="s">
        <v>462</v>
      </c>
      <c r="C43" s="17" t="s">
        <v>463</v>
      </c>
      <c r="F43" s="49">
        <v>2260</v>
      </c>
      <c r="H43" s="37"/>
      <c r="K43" s="70"/>
      <c r="M43" s="70"/>
      <c r="N43" s="29" t="s">
        <v>464</v>
      </c>
    </row>
    <row r="44" spans="1:14" x14ac:dyDescent="0.2">
      <c r="A44">
        <f t="shared" si="2"/>
        <v>43</v>
      </c>
      <c r="K44" s="70"/>
      <c r="M44" s="70"/>
    </row>
    <row r="45" spans="1:14" x14ac:dyDescent="0.2">
      <c r="A45">
        <f t="shared" si="2"/>
        <v>44</v>
      </c>
      <c r="B45" t="s">
        <v>465</v>
      </c>
      <c r="C45" s="17" t="s">
        <v>466</v>
      </c>
      <c r="E45" s="42">
        <v>176.01</v>
      </c>
      <c r="F45" s="49">
        <f>E45*1.25</f>
        <v>220.01249999999999</v>
      </c>
      <c r="G45" s="60" t="s">
        <v>674</v>
      </c>
      <c r="H45" s="37"/>
      <c r="K45" s="70" t="s">
        <v>675</v>
      </c>
      <c r="M45" s="70"/>
      <c r="N45" s="29" t="s">
        <v>468</v>
      </c>
    </row>
    <row r="46" spans="1:14" x14ac:dyDescent="0.2">
      <c r="A46">
        <f t="shared" si="2"/>
        <v>45</v>
      </c>
      <c r="C46" s="17"/>
      <c r="F46" s="49"/>
      <c r="H46" s="37"/>
      <c r="K46" s="70"/>
      <c r="M46" s="70"/>
      <c r="N46" s="29"/>
    </row>
    <row r="47" spans="1:14" x14ac:dyDescent="0.2">
      <c r="A47">
        <f t="shared" si="2"/>
        <v>46</v>
      </c>
      <c r="B47" t="s">
        <v>21</v>
      </c>
      <c r="C47" s="17"/>
      <c r="F47" s="49"/>
      <c r="H47" s="37"/>
      <c r="K47" s="70"/>
      <c r="M47" s="70"/>
      <c r="N47" s="29"/>
    </row>
    <row r="48" spans="1:14" x14ac:dyDescent="0.2">
      <c r="A48">
        <f t="shared" si="2"/>
        <v>47</v>
      </c>
      <c r="C48" s="17"/>
      <c r="F48" s="49"/>
      <c r="H48" s="37"/>
      <c r="K48" s="70"/>
      <c r="M48" s="70"/>
      <c r="N48" s="29"/>
    </row>
    <row r="49" spans="1:14" x14ac:dyDescent="0.2">
      <c r="A49">
        <f t="shared" si="2"/>
        <v>48</v>
      </c>
      <c r="C49" s="17"/>
      <c r="F49" s="49"/>
      <c r="H49" s="37"/>
      <c r="K49" s="70"/>
      <c r="M49" s="70"/>
      <c r="N49" s="29"/>
    </row>
    <row r="50" spans="1:14" x14ac:dyDescent="0.2">
      <c r="A50">
        <f t="shared" si="2"/>
        <v>49</v>
      </c>
      <c r="B50" t="s">
        <v>20</v>
      </c>
      <c r="C50" s="17"/>
      <c r="F50" s="49"/>
      <c r="H50" s="37"/>
      <c r="K50" s="70"/>
      <c r="M50" s="70"/>
      <c r="N50" s="29"/>
    </row>
    <row r="51" spans="1:14" x14ac:dyDescent="0.2">
      <c r="A51">
        <f t="shared" si="2"/>
        <v>50</v>
      </c>
      <c r="C51" s="17"/>
      <c r="F51" s="49"/>
      <c r="H51" s="37"/>
      <c r="K51" s="70"/>
      <c r="M51" s="70"/>
      <c r="N51" s="29"/>
    </row>
    <row r="52" spans="1:14" x14ac:dyDescent="0.2">
      <c r="A52">
        <f t="shared" si="2"/>
        <v>51</v>
      </c>
      <c r="F52" s="49"/>
      <c r="K52" s="70"/>
      <c r="M52" s="70"/>
    </row>
    <row r="53" spans="1:14" x14ac:dyDescent="0.2">
      <c r="A53">
        <f t="shared" si="2"/>
        <v>52</v>
      </c>
      <c r="B53" t="s">
        <v>17</v>
      </c>
      <c r="C53" t="s">
        <v>479</v>
      </c>
      <c r="D53" t="s">
        <v>676</v>
      </c>
      <c r="E53" s="58">
        <v>31595.25</v>
      </c>
      <c r="F53" s="49">
        <v>39494.06</v>
      </c>
      <c r="K53" s="70"/>
      <c r="M53" s="70"/>
      <c r="N53" s="29" t="s">
        <v>631</v>
      </c>
    </row>
    <row r="54" spans="1:14" x14ac:dyDescent="0.2">
      <c r="A54">
        <f t="shared" si="2"/>
        <v>53</v>
      </c>
      <c r="B54" t="s">
        <v>17</v>
      </c>
      <c r="C54" t="s">
        <v>480</v>
      </c>
      <c r="D54" t="s">
        <v>481</v>
      </c>
      <c r="E54" s="58">
        <v>11011.5</v>
      </c>
      <c r="F54" s="49">
        <v>13764.38</v>
      </c>
      <c r="K54" s="70"/>
      <c r="M54" s="70"/>
      <c r="N54" s="29" t="s">
        <v>482</v>
      </c>
    </row>
    <row r="55" spans="1:14" x14ac:dyDescent="0.2">
      <c r="A55">
        <f t="shared" si="2"/>
        <v>54</v>
      </c>
      <c r="B55" t="s">
        <v>17</v>
      </c>
      <c r="C55" t="s">
        <v>632</v>
      </c>
      <c r="D55" t="s">
        <v>491</v>
      </c>
      <c r="E55" s="58">
        <v>270</v>
      </c>
      <c r="F55" s="49">
        <f>E55*1.25</f>
        <v>337.5</v>
      </c>
      <c r="K55" s="70"/>
      <c r="M55" s="70"/>
    </row>
    <row r="56" spans="1:14" x14ac:dyDescent="0.2">
      <c r="A56">
        <f t="shared" si="2"/>
        <v>55</v>
      </c>
      <c r="B56" t="s">
        <v>17</v>
      </c>
      <c r="C56" t="s">
        <v>494</v>
      </c>
      <c r="D56" t="s">
        <v>495</v>
      </c>
      <c r="E56" s="58"/>
      <c r="F56" s="49">
        <v>1420</v>
      </c>
      <c r="K56" s="70"/>
      <c r="M56" s="70"/>
      <c r="N56" s="29" t="s">
        <v>496</v>
      </c>
    </row>
    <row r="57" spans="1:14" x14ac:dyDescent="0.2">
      <c r="A57">
        <f t="shared" si="2"/>
        <v>56</v>
      </c>
      <c r="B57" t="s">
        <v>17</v>
      </c>
      <c r="C57" t="s">
        <v>497</v>
      </c>
      <c r="D57" t="s">
        <v>498</v>
      </c>
      <c r="E57" s="11">
        <f>344+327</f>
        <v>671</v>
      </c>
      <c r="F57" s="49">
        <f>E57*1.25</f>
        <v>838.75</v>
      </c>
      <c r="K57" s="70"/>
      <c r="M57" s="70"/>
    </row>
    <row r="58" spans="1:14" x14ac:dyDescent="0.2">
      <c r="A58">
        <f t="shared" si="2"/>
        <v>57</v>
      </c>
      <c r="B58" t="s">
        <v>17</v>
      </c>
      <c r="C58" t="s">
        <v>500</v>
      </c>
      <c r="F58" s="49"/>
      <c r="K58" s="70"/>
      <c r="M58" s="70"/>
    </row>
    <row r="59" spans="1:14" x14ac:dyDescent="0.2">
      <c r="A59">
        <f t="shared" si="2"/>
        <v>58</v>
      </c>
      <c r="B59" t="s">
        <v>17</v>
      </c>
      <c r="C59" t="s">
        <v>502</v>
      </c>
      <c r="F59" s="49"/>
      <c r="K59" s="70"/>
      <c r="M59" s="70"/>
    </row>
    <row r="60" spans="1:14" x14ac:dyDescent="0.2">
      <c r="A60">
        <f t="shared" si="2"/>
        <v>59</v>
      </c>
      <c r="B60" t="s">
        <v>17</v>
      </c>
      <c r="C60" t="s">
        <v>504</v>
      </c>
      <c r="D60" t="s">
        <v>505</v>
      </c>
      <c r="F60" s="49"/>
      <c r="K60" s="70"/>
      <c r="M60" s="70"/>
    </row>
    <row r="61" spans="1:14" x14ac:dyDescent="0.2">
      <c r="A61">
        <f t="shared" si="2"/>
        <v>60</v>
      </c>
      <c r="B61" t="s">
        <v>17</v>
      </c>
      <c r="C61" t="s">
        <v>507</v>
      </c>
      <c r="F61" s="49"/>
      <c r="K61" s="70"/>
      <c r="M61" s="70"/>
    </row>
    <row r="62" spans="1:14" x14ac:dyDescent="0.2">
      <c r="A62">
        <f t="shared" si="2"/>
        <v>61</v>
      </c>
      <c r="B62" t="s">
        <v>17</v>
      </c>
      <c r="C62" t="s">
        <v>508</v>
      </c>
      <c r="F62" s="49"/>
      <c r="K62" s="70"/>
      <c r="M62" s="70"/>
    </row>
    <row r="63" spans="1:14" x14ac:dyDescent="0.2">
      <c r="A63">
        <f t="shared" si="2"/>
        <v>62</v>
      </c>
      <c r="B63" t="s">
        <v>17</v>
      </c>
      <c r="C63" t="s">
        <v>510</v>
      </c>
      <c r="F63" s="49"/>
      <c r="K63" s="70"/>
      <c r="M63" s="70"/>
    </row>
    <row r="64" spans="1:14" x14ac:dyDescent="0.2">
      <c r="A64">
        <f t="shared" si="2"/>
        <v>63</v>
      </c>
      <c r="B64" t="s">
        <v>17</v>
      </c>
      <c r="C64" t="s">
        <v>633</v>
      </c>
      <c r="F64" s="49"/>
      <c r="K64" s="70"/>
      <c r="M64" s="70"/>
    </row>
    <row r="65" spans="1:13" x14ac:dyDescent="0.2">
      <c r="A65">
        <f t="shared" si="2"/>
        <v>64</v>
      </c>
      <c r="B65" t="s">
        <v>17</v>
      </c>
      <c r="C65" t="s">
        <v>516</v>
      </c>
      <c r="F65" s="49"/>
      <c r="K65" s="70"/>
      <c r="M65" s="70"/>
    </row>
    <row r="66" spans="1:13" x14ac:dyDescent="0.2">
      <c r="A66">
        <f t="shared" si="2"/>
        <v>65</v>
      </c>
      <c r="B66" t="s">
        <v>17</v>
      </c>
      <c r="C66" t="s">
        <v>634</v>
      </c>
      <c r="F66" s="49"/>
      <c r="K66" s="70"/>
      <c r="M66" s="70"/>
    </row>
    <row r="67" spans="1:13" x14ac:dyDescent="0.2">
      <c r="A67">
        <f t="shared" si="2"/>
        <v>66</v>
      </c>
      <c r="B67" t="s">
        <v>17</v>
      </c>
      <c r="C67" t="s">
        <v>523</v>
      </c>
      <c r="D67" t="s">
        <v>524</v>
      </c>
      <c r="F67" s="49"/>
      <c r="K67" s="70"/>
      <c r="M67" s="70"/>
    </row>
    <row r="68" spans="1:13" x14ac:dyDescent="0.2">
      <c r="A68">
        <f t="shared" si="2"/>
        <v>67</v>
      </c>
      <c r="B68" t="s">
        <v>17</v>
      </c>
      <c r="C68" t="s">
        <v>388</v>
      </c>
      <c r="D68" t="s">
        <v>389</v>
      </c>
      <c r="F68" s="49"/>
      <c r="K68" s="70"/>
      <c r="M68" s="70"/>
    </row>
    <row r="69" spans="1:13" x14ac:dyDescent="0.2">
      <c r="A69">
        <f t="shared" si="2"/>
        <v>68</v>
      </c>
      <c r="B69" t="s">
        <v>17</v>
      </c>
      <c r="C69" t="s">
        <v>526</v>
      </c>
      <c r="D69" t="s">
        <v>484</v>
      </c>
      <c r="F69" s="49"/>
      <c r="K69" s="70"/>
      <c r="M69" s="70"/>
    </row>
    <row r="70" spans="1:13" x14ac:dyDescent="0.2">
      <c r="A70">
        <f t="shared" si="2"/>
        <v>69</v>
      </c>
      <c r="B70" t="s">
        <v>17</v>
      </c>
      <c r="C70" t="s">
        <v>527</v>
      </c>
      <c r="F70" s="49"/>
      <c r="K70" s="70"/>
      <c r="M70" s="70"/>
    </row>
    <row r="71" spans="1:13" x14ac:dyDescent="0.2">
      <c r="A71">
        <f t="shared" si="2"/>
        <v>70</v>
      </c>
      <c r="B71" t="s">
        <v>17</v>
      </c>
      <c r="C71" t="s">
        <v>529</v>
      </c>
      <c r="F71" s="49"/>
      <c r="K71" s="70"/>
      <c r="M71" s="70"/>
    </row>
    <row r="72" spans="1:13" x14ac:dyDescent="0.2">
      <c r="A72">
        <f t="shared" si="2"/>
        <v>71</v>
      </c>
      <c r="B72" t="s">
        <v>17</v>
      </c>
      <c r="C72" t="s">
        <v>568</v>
      </c>
      <c r="F72" s="49"/>
      <c r="K72" s="70"/>
      <c r="M72" s="70"/>
    </row>
    <row r="73" spans="1:13" x14ac:dyDescent="0.2">
      <c r="A73">
        <f t="shared" si="2"/>
        <v>72</v>
      </c>
      <c r="B73" t="s">
        <v>17</v>
      </c>
      <c r="C73" t="s">
        <v>534</v>
      </c>
      <c r="F73" s="49"/>
      <c r="K73" s="70"/>
      <c r="M73" s="70"/>
    </row>
    <row r="74" spans="1:13" x14ac:dyDescent="0.2">
      <c r="A74">
        <f t="shared" ref="A74:A94" si="3">+A73+1</f>
        <v>73</v>
      </c>
      <c r="B74" t="s">
        <v>17</v>
      </c>
      <c r="C74" t="s">
        <v>571</v>
      </c>
      <c r="D74" t="s">
        <v>538</v>
      </c>
      <c r="F74" s="49"/>
      <c r="K74" s="70"/>
      <c r="M74" s="70"/>
    </row>
    <row r="75" spans="1:13" x14ac:dyDescent="0.2">
      <c r="A75">
        <f t="shared" si="3"/>
        <v>74</v>
      </c>
      <c r="F75" s="49"/>
      <c r="K75" s="70"/>
      <c r="M75" s="70"/>
    </row>
    <row r="76" spans="1:13" x14ac:dyDescent="0.2">
      <c r="A76">
        <f t="shared" si="3"/>
        <v>75</v>
      </c>
      <c r="B76" t="s">
        <v>18</v>
      </c>
      <c r="C76" t="s">
        <v>561</v>
      </c>
      <c r="F76" s="49"/>
      <c r="K76" s="70"/>
      <c r="M76" s="70"/>
    </row>
    <row r="77" spans="1:13" x14ac:dyDescent="0.2">
      <c r="A77">
        <f t="shared" si="3"/>
        <v>76</v>
      </c>
      <c r="B77" t="s">
        <v>18</v>
      </c>
      <c r="C77" t="s">
        <v>526</v>
      </c>
      <c r="D77" t="s">
        <v>484</v>
      </c>
      <c r="F77" s="49"/>
      <c r="K77" s="70"/>
      <c r="M77" s="70"/>
    </row>
    <row r="78" spans="1:13" x14ac:dyDescent="0.2">
      <c r="A78">
        <f t="shared" si="3"/>
        <v>77</v>
      </c>
      <c r="B78" t="s">
        <v>18</v>
      </c>
      <c r="C78" t="s">
        <v>527</v>
      </c>
      <c r="F78" s="49"/>
      <c r="K78" s="70"/>
      <c r="M78" s="70"/>
    </row>
    <row r="79" spans="1:13" x14ac:dyDescent="0.2">
      <c r="A79">
        <f t="shared" si="3"/>
        <v>78</v>
      </c>
      <c r="B79" t="s">
        <v>18</v>
      </c>
      <c r="C79" t="s">
        <v>497</v>
      </c>
      <c r="D79" t="s">
        <v>498</v>
      </c>
      <c r="F79" s="49"/>
      <c r="K79" s="70"/>
      <c r="M79" s="70"/>
    </row>
    <row r="80" spans="1:13" x14ac:dyDescent="0.2">
      <c r="A80">
        <f t="shared" si="3"/>
        <v>79</v>
      </c>
      <c r="B80" t="s">
        <v>18</v>
      </c>
      <c r="C80" t="s">
        <v>616</v>
      </c>
      <c r="D80" t="s">
        <v>498</v>
      </c>
      <c r="E80" s="11">
        <v>340</v>
      </c>
      <c r="F80" s="49">
        <f>E80*1.25</f>
        <v>425</v>
      </c>
      <c r="K80" s="70"/>
      <c r="M80" s="70"/>
    </row>
    <row r="81" spans="1:14" x14ac:dyDescent="0.2">
      <c r="A81">
        <f t="shared" si="3"/>
        <v>80</v>
      </c>
      <c r="B81" t="s">
        <v>18</v>
      </c>
      <c r="C81" t="s">
        <v>565</v>
      </c>
      <c r="F81" s="49"/>
      <c r="K81" s="70"/>
      <c r="M81" s="70"/>
    </row>
    <row r="82" spans="1:14" x14ac:dyDescent="0.2">
      <c r="A82">
        <f t="shared" si="3"/>
        <v>81</v>
      </c>
      <c r="B82" t="s">
        <v>18</v>
      </c>
      <c r="C82" t="s">
        <v>567</v>
      </c>
      <c r="D82" t="s">
        <v>495</v>
      </c>
      <c r="F82" s="49">
        <v>970</v>
      </c>
      <c r="K82" s="70"/>
      <c r="M82" s="70"/>
      <c r="N82" s="29" t="s">
        <v>496</v>
      </c>
    </row>
    <row r="83" spans="1:14" x14ac:dyDescent="0.2">
      <c r="A83">
        <f t="shared" si="3"/>
        <v>82</v>
      </c>
      <c r="B83" t="s">
        <v>18</v>
      </c>
      <c r="C83" t="s">
        <v>568</v>
      </c>
      <c r="F83" s="49"/>
      <c r="K83" s="70"/>
      <c r="M83" s="70"/>
    </row>
    <row r="84" spans="1:14" x14ac:dyDescent="0.2">
      <c r="A84">
        <f t="shared" si="3"/>
        <v>83</v>
      </c>
      <c r="B84" t="s">
        <v>18</v>
      </c>
      <c r="C84" t="s">
        <v>534</v>
      </c>
      <c r="F84" s="49"/>
      <c r="K84" s="70"/>
      <c r="M84" s="70"/>
    </row>
    <row r="85" spans="1:14" x14ac:dyDescent="0.2">
      <c r="A85">
        <f t="shared" si="3"/>
        <v>84</v>
      </c>
      <c r="B85" t="s">
        <v>18</v>
      </c>
      <c r="C85" t="s">
        <v>571</v>
      </c>
      <c r="F85" s="49"/>
      <c r="K85" s="70"/>
      <c r="M85" s="70"/>
    </row>
    <row r="86" spans="1:14" x14ac:dyDescent="0.2">
      <c r="A86">
        <f t="shared" si="3"/>
        <v>85</v>
      </c>
      <c r="B86" t="s">
        <v>18</v>
      </c>
      <c r="C86" t="s">
        <v>575</v>
      </c>
      <c r="D86" t="s">
        <v>576</v>
      </c>
      <c r="F86" s="49"/>
      <c r="K86" s="70"/>
      <c r="M86" s="70"/>
    </row>
    <row r="87" spans="1:14" x14ac:dyDescent="0.2">
      <c r="A87">
        <f t="shared" si="3"/>
        <v>86</v>
      </c>
      <c r="B87" t="s">
        <v>18</v>
      </c>
      <c r="C87" t="s">
        <v>617</v>
      </c>
      <c r="F87" s="49"/>
      <c r="K87" s="70"/>
      <c r="M87" s="70"/>
    </row>
    <row r="88" spans="1:14" x14ac:dyDescent="0.2">
      <c r="A88">
        <f t="shared" si="3"/>
        <v>87</v>
      </c>
      <c r="B88" t="s">
        <v>18</v>
      </c>
      <c r="C88" t="s">
        <v>581</v>
      </c>
      <c r="F88" s="49"/>
      <c r="K88" s="70"/>
      <c r="M88" s="70"/>
    </row>
    <row r="89" spans="1:14" x14ac:dyDescent="0.2">
      <c r="A89">
        <f t="shared" si="3"/>
        <v>88</v>
      </c>
      <c r="B89" t="s">
        <v>18</v>
      </c>
      <c r="C89" t="s">
        <v>582</v>
      </c>
      <c r="F89" s="49"/>
      <c r="K89" s="70"/>
      <c r="M89" s="70"/>
    </row>
    <row r="90" spans="1:14" x14ac:dyDescent="0.2">
      <c r="A90">
        <f t="shared" si="3"/>
        <v>89</v>
      </c>
      <c r="B90" t="s">
        <v>18</v>
      </c>
      <c r="C90" t="s">
        <v>388</v>
      </c>
      <c r="D90" t="s">
        <v>389</v>
      </c>
      <c r="F90" s="49"/>
      <c r="K90" s="70"/>
      <c r="M90" s="70"/>
    </row>
    <row r="91" spans="1:14" x14ac:dyDescent="0.2">
      <c r="A91">
        <f t="shared" si="3"/>
        <v>90</v>
      </c>
      <c r="B91" t="s">
        <v>18</v>
      </c>
      <c r="C91" t="s">
        <v>523</v>
      </c>
      <c r="D91" t="s">
        <v>524</v>
      </c>
      <c r="F91" s="49"/>
      <c r="K91" s="70"/>
      <c r="M91" s="70"/>
    </row>
    <row r="92" spans="1:14" x14ac:dyDescent="0.2">
      <c r="A92">
        <f t="shared" si="3"/>
        <v>91</v>
      </c>
      <c r="K92" s="70"/>
      <c r="M92" s="70"/>
    </row>
    <row r="93" spans="1:14" x14ac:dyDescent="0.2">
      <c r="A93">
        <f t="shared" si="3"/>
        <v>92</v>
      </c>
      <c r="B93" t="s">
        <v>677</v>
      </c>
      <c r="C93" t="s">
        <v>678</v>
      </c>
      <c r="D93" t="s">
        <v>443</v>
      </c>
      <c r="F93" s="49">
        <v>679.5</v>
      </c>
      <c r="G93" s="60">
        <v>679.5</v>
      </c>
      <c r="H93" s="11">
        <v>27.01</v>
      </c>
      <c r="K93" s="70"/>
      <c r="M93" s="70"/>
      <c r="N93" s="29" t="s">
        <v>666</v>
      </c>
    </row>
    <row r="94" spans="1:14" x14ac:dyDescent="0.2">
      <c r="A94" s="56">
        <f t="shared" si="3"/>
        <v>93</v>
      </c>
      <c r="B94" s="56"/>
      <c r="C94" s="56"/>
      <c r="D94" s="56"/>
      <c r="E94" s="55"/>
      <c r="F94" s="74"/>
      <c r="G94" s="63"/>
      <c r="K94" s="70"/>
      <c r="M94" s="70"/>
    </row>
    <row r="95" spans="1:14" x14ac:dyDescent="0.2">
      <c r="E95" s="11" t="s">
        <v>594</v>
      </c>
      <c r="F95" s="9" t="e">
        <f>SUM(F2:F94)</f>
        <v>#REF!</v>
      </c>
      <c r="G95" s="64">
        <f>SUM(G2:G94)</f>
        <v>110023.2474829252</v>
      </c>
      <c r="M95" s="70"/>
    </row>
  </sheetData>
  <mergeCells count="3">
    <mergeCell ref="F16:F17"/>
    <mergeCell ref="G16:G17"/>
    <mergeCell ref="E16:E17"/>
  </mergeCells>
  <hyperlinks>
    <hyperlink ref="N8" r:id="rId1" xr:uid="{4FFDD52D-EE97-44DD-B916-64462B0C3C0E}"/>
    <hyperlink ref="N9" r:id="rId2" xr:uid="{A37A30F6-7226-4556-8B7C-960EA2C33DDF}"/>
    <hyperlink ref="N3" r:id="rId3" xr:uid="{9BFCBDE1-FE10-477F-89F8-00C667F649BA}"/>
    <hyperlink ref="N43" r:id="rId4" xr:uid="{EA1E3CC7-1C1C-4798-94AE-F9385ED5054C}"/>
    <hyperlink ref="N13" r:id="rId5" xr:uid="{0292AB5A-4CED-4883-A368-39142204318D}"/>
    <hyperlink ref="N53" r:id="rId6" xr:uid="{7F2A8980-6F75-4ED6-807C-E2B1458D0FF0}"/>
    <hyperlink ref="N54" r:id="rId7" xr:uid="{11C717CA-9AAC-4342-8F8B-18A7DEBE7BC5}"/>
    <hyperlink ref="N56" r:id="rId8" xr:uid="{28948FDA-C768-4606-8351-770FBDCA5B85}"/>
    <hyperlink ref="N82" r:id="rId9" xr:uid="{2219EA97-D969-4AE8-9D7A-EA26543930B4}"/>
    <hyperlink ref="N4" r:id="rId10" xr:uid="{219DBB9C-3C3A-4B6A-A2E3-3AA38E9A4D8C}"/>
    <hyperlink ref="N32" r:id="rId11" xr:uid="{1F6B5760-23CC-439F-8334-D4E0F300F0F4}"/>
    <hyperlink ref="N29" r:id="rId12" xr:uid="{BFFD5836-C664-4B98-9E6C-48C71AEEB9DE}"/>
    <hyperlink ref="N11" r:id="rId13" xr:uid="{3EAABF91-B753-45F8-85D4-8F6C912BB808}"/>
    <hyperlink ref="N24" r:id="rId14" xr:uid="{D1FE7494-31E7-4A87-BCEF-6A2F6650D29C}"/>
    <hyperlink ref="N23" r:id="rId15" xr:uid="{99733F6D-B03D-4F93-BB7B-C04BECF39E41}"/>
    <hyperlink ref="N5" r:id="rId16" xr:uid="{FC31846F-5974-4C6F-83BC-703EF199AD12}"/>
    <hyperlink ref="N45" r:id="rId17" xr:uid="{61E9F42C-D12D-4A4C-B12F-0B9CBEDB758F}"/>
    <hyperlink ref="N16" r:id="rId18" xr:uid="{B888FA3B-21A4-4CF9-8E31-AEC301B349DF}"/>
    <hyperlink ref="N17" r:id="rId19" xr:uid="{B94ADB41-B150-49F4-BB3A-9A9EE00A3AD8}"/>
    <hyperlink ref="N33" r:id="rId20" xr:uid="{5C3C7145-5445-485D-8B07-14CA6650E004}"/>
    <hyperlink ref="N93" r:id="rId21" xr:uid="{8F23DDAB-17C6-470E-963F-73B919D8AFA7}"/>
  </hyperlinks>
  <pageMargins left="0.7" right="0.7" top="0.75" bottom="0.75" header="0.3" footer="0.3"/>
  <pageSetup paperSize="9" orientation="portrait" r:id="rId22"/>
  <legacyDrawing r:id="rId2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D8BB-08E3-4A7D-892E-5D2B6BAC3CDD}">
  <dimension ref="A1:I13"/>
  <sheetViews>
    <sheetView workbookViewId="0">
      <selection activeCell="C3" sqref="C3"/>
    </sheetView>
  </sheetViews>
  <sheetFormatPr defaultRowHeight="15" x14ac:dyDescent="0.2"/>
  <cols>
    <col min="1" max="1" width="15.87109375" customWidth="1"/>
    <col min="2" max="2" width="21.5234375" style="11" customWidth="1"/>
    <col min="3" max="3" width="19.50390625" style="11" customWidth="1"/>
  </cols>
  <sheetData>
    <row r="1" spans="1:9" x14ac:dyDescent="0.2">
      <c r="A1" s="223" t="s">
        <v>679</v>
      </c>
      <c r="B1" s="223"/>
      <c r="C1" s="223"/>
      <c r="D1" s="223"/>
      <c r="E1" s="223"/>
      <c r="F1" s="223"/>
      <c r="G1" s="223"/>
      <c r="I1">
        <v>7.5345000000000004</v>
      </c>
    </row>
    <row r="2" spans="1:9" x14ac:dyDescent="0.2">
      <c r="A2" t="s">
        <v>680</v>
      </c>
      <c r="B2" s="11" t="s">
        <v>681</v>
      </c>
      <c r="C2" s="11" t="s">
        <v>682</v>
      </c>
    </row>
    <row r="3" spans="1:9" x14ac:dyDescent="0.2">
      <c r="A3" t="s">
        <v>203</v>
      </c>
      <c r="B3" s="11">
        <v>37220</v>
      </c>
      <c r="C3" s="11">
        <f>+B3/$I$1</f>
        <v>4939.9429291923816</v>
      </c>
    </row>
    <row r="4" spans="1:9" x14ac:dyDescent="0.2">
      <c r="A4" t="s">
        <v>205</v>
      </c>
      <c r="B4" s="11">
        <v>100000</v>
      </c>
      <c r="C4" s="11">
        <f t="shared" ref="C4:C12" si="0">+B4/$I$1</f>
        <v>13272.280841462605</v>
      </c>
    </row>
    <row r="5" spans="1:9" x14ac:dyDescent="0.2">
      <c r="A5" t="s">
        <v>206</v>
      </c>
      <c r="B5" s="11">
        <v>6500</v>
      </c>
      <c r="C5" s="11">
        <f t="shared" si="0"/>
        <v>862.69825469506929</v>
      </c>
    </row>
    <row r="6" spans="1:9" x14ac:dyDescent="0.2">
      <c r="A6" t="s">
        <v>683</v>
      </c>
      <c r="B6" s="11">
        <v>137223</v>
      </c>
      <c r="C6" s="11">
        <f t="shared" si="0"/>
        <v>18212.621939080229</v>
      </c>
    </row>
    <row r="7" spans="1:9" x14ac:dyDescent="0.2">
      <c r="A7" t="s">
        <v>684</v>
      </c>
      <c r="B7" s="11">
        <v>5000</v>
      </c>
      <c r="C7" s="11">
        <f t="shared" si="0"/>
        <v>663.61404207313024</v>
      </c>
    </row>
    <row r="8" spans="1:9" x14ac:dyDescent="0.2">
      <c r="A8" t="s">
        <v>309</v>
      </c>
      <c r="B8" s="11">
        <v>5500</v>
      </c>
      <c r="C8" s="11">
        <f t="shared" si="0"/>
        <v>729.97544628044329</v>
      </c>
    </row>
    <row r="9" spans="1:9" x14ac:dyDescent="0.2">
      <c r="A9" t="s">
        <v>685</v>
      </c>
      <c r="B9" s="11">
        <v>500</v>
      </c>
      <c r="C9" s="11">
        <f t="shared" si="0"/>
        <v>66.361404207313029</v>
      </c>
    </row>
    <row r="10" spans="1:9" x14ac:dyDescent="0.2">
      <c r="A10" t="s">
        <v>686</v>
      </c>
      <c r="B10" s="11">
        <f>75+575+300+400+200+160+170+5000+5000+8750+200+1000</f>
        <v>21830</v>
      </c>
      <c r="C10" s="11">
        <f t="shared" si="0"/>
        <v>2897.3389076912867</v>
      </c>
    </row>
    <row r="11" spans="1:9" ht="27" customHeight="1" x14ac:dyDescent="0.2">
      <c r="A11" s="17" t="s">
        <v>687</v>
      </c>
      <c r="B11" s="11">
        <v>15000</v>
      </c>
      <c r="C11" s="11">
        <f t="shared" si="0"/>
        <v>1990.8421262193906</v>
      </c>
    </row>
    <row r="12" spans="1:9" ht="27" customHeight="1" x14ac:dyDescent="0.2">
      <c r="A12" s="17" t="s">
        <v>688</v>
      </c>
      <c r="B12" s="11">
        <v>7500</v>
      </c>
      <c r="C12" s="11">
        <f t="shared" si="0"/>
        <v>995.4210631096953</v>
      </c>
    </row>
    <row r="13" spans="1:9" x14ac:dyDescent="0.2">
      <c r="B13" s="11" t="s">
        <v>689</v>
      </c>
      <c r="C13" s="16">
        <f>SUM(C3:C12)</f>
        <v>44631.096954011533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7184-040B-4456-9E50-882ACB1E51BA}">
  <dimension ref="A1:J17"/>
  <sheetViews>
    <sheetView topLeftCell="A2" workbookViewId="0">
      <selection activeCell="E7" sqref="E7"/>
    </sheetView>
  </sheetViews>
  <sheetFormatPr defaultColWidth="9.14453125" defaultRowHeight="15" customHeight="1" x14ac:dyDescent="0.2"/>
  <cols>
    <col min="1" max="1" width="25.2890625" customWidth="1"/>
    <col min="2" max="2" width="15.33203125" customWidth="1"/>
    <col min="3" max="3" width="17.890625" customWidth="1"/>
    <col min="4" max="4" width="23.67578125" style="11" customWidth="1"/>
    <col min="5" max="6" width="18.6953125" customWidth="1"/>
    <col min="7" max="7" width="22.328125" customWidth="1"/>
    <col min="8" max="8" width="13.85546875" bestFit="1" customWidth="1"/>
    <col min="9" max="9" width="14.52734375" customWidth="1"/>
    <col min="10" max="10" width="13.31640625" bestFit="1" customWidth="1"/>
  </cols>
  <sheetData>
    <row r="1" spans="1:10" x14ac:dyDescent="0.2">
      <c r="A1" s="207" t="s">
        <v>39</v>
      </c>
      <c r="B1" s="207"/>
      <c r="C1" s="207"/>
      <c r="D1" s="207"/>
      <c r="E1" s="207"/>
      <c r="F1" s="207"/>
      <c r="G1" s="207"/>
      <c r="H1" s="207"/>
      <c r="I1" s="207"/>
    </row>
    <row r="2" spans="1:10" ht="27.75" x14ac:dyDescent="0.2">
      <c r="A2" s="1"/>
      <c r="B2" s="1" t="s">
        <v>40</v>
      </c>
      <c r="C2" s="1"/>
      <c r="D2" s="1"/>
      <c r="E2" s="1"/>
      <c r="F2" s="1"/>
      <c r="G2" s="1"/>
      <c r="H2" s="1"/>
      <c r="I2" s="1"/>
    </row>
    <row r="3" spans="1:10" ht="27.75" x14ac:dyDescent="0.2">
      <c r="B3" s="24"/>
      <c r="C3" s="17" t="s">
        <v>41</v>
      </c>
      <c r="D3" s="25" t="s">
        <v>42</v>
      </c>
      <c r="E3" s="22" t="s">
        <v>43</v>
      </c>
      <c r="F3" s="22" t="s">
        <v>44</v>
      </c>
      <c r="G3" s="6"/>
    </row>
    <row r="4" spans="1:10" x14ac:dyDescent="0.2">
      <c r="A4" t="s">
        <v>45</v>
      </c>
      <c r="H4">
        <v>8000</v>
      </c>
    </row>
    <row r="5" spans="1:10" x14ac:dyDescent="0.2">
      <c r="A5" t="s">
        <v>46</v>
      </c>
      <c r="B5" s="18">
        <f>Prihodi!C19</f>
        <v>255232.73000000004</v>
      </c>
      <c r="C5" s="18">
        <f>'rashodi siječanj-ostalo- poslov'!E150</f>
        <v>110242.18000000001</v>
      </c>
      <c r="D5" s="11">
        <f>'rashodi siječanj-projekti'!G95</f>
        <v>110023.2474829252</v>
      </c>
      <c r="E5" s="168">
        <f>B5-C5-D5</f>
        <v>34967.302517074844</v>
      </c>
      <c r="F5" s="19"/>
      <c r="G5" s="19"/>
      <c r="H5" s="11">
        <v>12462.97</v>
      </c>
    </row>
    <row r="6" spans="1:10" x14ac:dyDescent="0.2">
      <c r="A6" t="s">
        <v>47</v>
      </c>
      <c r="B6" s="20">
        <f>Prihodi!C28</f>
        <v>52603.759999999995</v>
      </c>
      <c r="C6" s="18">
        <f>'rashodi veljača - ostalo'!E68</f>
        <v>64522.572929192385</v>
      </c>
      <c r="D6" s="11">
        <f>'rashodi veljača-projekti (2)'!G98</f>
        <v>12765.48</v>
      </c>
      <c r="E6" s="168">
        <f>B6+E5-(C6+D6)</f>
        <v>10283.00958788245</v>
      </c>
      <c r="F6" s="19"/>
      <c r="G6" s="19"/>
      <c r="H6" s="11">
        <f>+'rashodi veljača-projekti (2)'!F48/3</f>
        <v>0</v>
      </c>
    </row>
    <row r="7" spans="1:10" x14ac:dyDescent="0.2">
      <c r="A7" t="s">
        <v>48</v>
      </c>
      <c r="B7" s="18">
        <f>Prihodi!C56</f>
        <v>83196.34</v>
      </c>
      <c r="C7" s="18">
        <f>'Rashodi '!E221</f>
        <v>58374.419999999984</v>
      </c>
      <c r="D7" s="11">
        <f>+'rashodi ožujak-projekti'!G100</f>
        <v>48077.01</v>
      </c>
      <c r="E7" s="168">
        <f>B7+E6-(C7+D7)</f>
        <v>-12972.080412117546</v>
      </c>
      <c r="F7" s="19"/>
      <c r="G7" s="19"/>
      <c r="H7" s="19"/>
    </row>
    <row r="8" spans="1:10" x14ac:dyDescent="0.2">
      <c r="A8" t="s">
        <v>49</v>
      </c>
      <c r="B8" s="18"/>
      <c r="C8" s="18"/>
      <c r="E8" s="19"/>
      <c r="F8" s="19"/>
      <c r="G8" t="s">
        <v>50</v>
      </c>
      <c r="H8" s="18">
        <f>+C5+D5+C6+D6</f>
        <v>297553.48041211755</v>
      </c>
    </row>
    <row r="9" spans="1:10" x14ac:dyDescent="0.2">
      <c r="A9" t="s">
        <v>51</v>
      </c>
      <c r="C9" s="18"/>
      <c r="E9" s="19"/>
      <c r="F9" s="19"/>
      <c r="G9" t="s">
        <v>52</v>
      </c>
      <c r="H9" s="18"/>
    </row>
    <row r="10" spans="1:10" x14ac:dyDescent="0.2">
      <c r="A10" t="s">
        <v>53</v>
      </c>
      <c r="C10" s="18"/>
      <c r="E10" s="19"/>
      <c r="F10" s="19"/>
      <c r="G10" t="s">
        <v>54</v>
      </c>
      <c r="H10" s="18">
        <f>+B5+B6</f>
        <v>307836.49000000005</v>
      </c>
    </row>
    <row r="11" spans="1:10" x14ac:dyDescent="0.2">
      <c r="A11" t="s">
        <v>55</v>
      </c>
      <c r="C11" s="18"/>
      <c r="E11" s="19"/>
      <c r="F11" s="19"/>
      <c r="H11" s="19">
        <f>+H10-H8</f>
        <v>10283.009587882494</v>
      </c>
      <c r="J11" s="11"/>
    </row>
    <row r="12" spans="1:10" x14ac:dyDescent="0.2">
      <c r="A12" t="s">
        <v>56</v>
      </c>
      <c r="C12" s="18"/>
      <c r="E12" s="19"/>
      <c r="F12" s="19"/>
      <c r="J12" s="11"/>
    </row>
    <row r="13" spans="1:10" x14ac:dyDescent="0.2">
      <c r="A13" t="s">
        <v>57</v>
      </c>
      <c r="C13" s="18"/>
      <c r="E13" s="19"/>
      <c r="F13" s="19"/>
      <c r="I13" s="18"/>
      <c r="J13" s="19"/>
    </row>
    <row r="14" spans="1:10" x14ac:dyDescent="0.2">
      <c r="A14" t="s">
        <v>58</v>
      </c>
      <c r="C14" s="18"/>
      <c r="E14" s="19"/>
      <c r="F14" s="19"/>
    </row>
    <row r="15" spans="1:10" x14ac:dyDescent="0.2">
      <c r="A15" t="s">
        <v>59</v>
      </c>
      <c r="C15" s="18"/>
      <c r="E15" s="19"/>
      <c r="F15" s="19"/>
      <c r="H15" s="19"/>
    </row>
    <row r="16" spans="1:10" x14ac:dyDescent="0.2">
      <c r="A16" t="s">
        <v>60</v>
      </c>
      <c r="C16" s="18"/>
      <c r="E16" s="19"/>
      <c r="F16" s="19"/>
    </row>
    <row r="17" spans="3:9" x14ac:dyDescent="0.2">
      <c r="C17" s="18"/>
      <c r="E17" s="19"/>
      <c r="I17" s="19"/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4E7E-534C-4824-AAE1-A7E1B3DD66F8}">
  <dimension ref="A1:L79"/>
  <sheetViews>
    <sheetView tabSelected="1" workbookViewId="0">
      <pane ySplit="1" topLeftCell="A59" activePane="bottomLeft" state="frozen"/>
      <selection pane="bottomLeft" activeCell="B81" sqref="B81"/>
    </sheetView>
  </sheetViews>
  <sheetFormatPr defaultRowHeight="15" x14ac:dyDescent="0.2"/>
  <cols>
    <col min="1" max="1" width="12.375" style="127" customWidth="1"/>
    <col min="2" max="2" width="13.44921875" style="69" customWidth="1"/>
    <col min="3" max="3" width="13.44921875" style="165" customWidth="1"/>
    <col min="4" max="4" width="15.33203125" customWidth="1"/>
    <col min="5" max="5" width="17.890625" customWidth="1"/>
    <col min="6" max="6" width="23.67578125" style="11" customWidth="1"/>
    <col min="7" max="8" width="18.6953125" customWidth="1"/>
    <col min="9" max="9" width="22.328125" customWidth="1"/>
    <col min="10" max="10" width="13.85546875" bestFit="1" customWidth="1"/>
    <col min="11" max="11" width="14.52734375" customWidth="1"/>
    <col min="12" max="12" width="13.31640625" bestFit="1" customWidth="1"/>
  </cols>
  <sheetData>
    <row r="1" spans="1:12" x14ac:dyDescent="0.2">
      <c r="A1" s="190" t="s">
        <v>61</v>
      </c>
      <c r="B1" s="162" t="s">
        <v>62</v>
      </c>
      <c r="C1" s="164" t="s">
        <v>63</v>
      </c>
      <c r="D1" s="1"/>
      <c r="E1" s="1"/>
      <c r="F1" s="1"/>
      <c r="G1" s="1"/>
      <c r="H1" s="1"/>
      <c r="I1" s="1"/>
      <c r="J1" s="1"/>
      <c r="K1" s="1"/>
    </row>
    <row r="2" spans="1:12" x14ac:dyDescent="0.2">
      <c r="A2" s="127">
        <v>45000</v>
      </c>
      <c r="B2" s="69">
        <v>11325.04</v>
      </c>
      <c r="C2" s="167">
        <v>6262.45</v>
      </c>
      <c r="E2" s="17"/>
      <c r="F2" s="25"/>
      <c r="G2" s="22"/>
      <c r="H2" s="22"/>
      <c r="I2" s="6"/>
    </row>
    <row r="3" spans="1:12" x14ac:dyDescent="0.2">
      <c r="A3" s="127">
        <v>45001</v>
      </c>
    </row>
    <row r="4" spans="1:12" x14ac:dyDescent="0.2">
      <c r="A4" s="127">
        <v>45002</v>
      </c>
      <c r="D4" s="18"/>
      <c r="E4" s="18"/>
      <c r="G4" s="19"/>
      <c r="H4" s="19"/>
      <c r="I4" s="19"/>
      <c r="J4" s="11"/>
    </row>
    <row r="5" spans="1:12" x14ac:dyDescent="0.2">
      <c r="A5" s="127">
        <v>45003</v>
      </c>
      <c r="B5" s="163"/>
      <c r="C5" s="166"/>
      <c r="D5" s="20"/>
      <c r="E5" s="18"/>
      <c r="G5" s="19"/>
      <c r="H5" s="19"/>
      <c r="I5" s="19"/>
      <c r="J5" s="11"/>
    </row>
    <row r="6" spans="1:12" x14ac:dyDescent="0.2">
      <c r="A6" s="127">
        <v>45004</v>
      </c>
      <c r="D6" s="18"/>
      <c r="E6" s="18"/>
      <c r="G6" s="19"/>
      <c r="H6" s="19"/>
      <c r="I6" s="19"/>
      <c r="J6" s="19"/>
    </row>
    <row r="7" spans="1:12" x14ac:dyDescent="0.2">
      <c r="A7" s="127">
        <v>45005</v>
      </c>
      <c r="D7" s="18"/>
      <c r="E7" s="18"/>
      <c r="G7" s="19"/>
      <c r="H7" s="19"/>
      <c r="J7" s="18"/>
    </row>
    <row r="8" spans="1:12" x14ac:dyDescent="0.2">
      <c r="A8" s="127">
        <v>45006</v>
      </c>
      <c r="E8" s="18"/>
      <c r="G8" s="19"/>
      <c r="H8" s="19"/>
      <c r="J8" s="18"/>
    </row>
    <row r="9" spans="1:12" x14ac:dyDescent="0.2">
      <c r="A9" s="127">
        <v>45007</v>
      </c>
      <c r="E9" s="18"/>
      <c r="G9" s="19"/>
      <c r="H9" s="19"/>
      <c r="J9" s="18"/>
    </row>
    <row r="10" spans="1:12" x14ac:dyDescent="0.2">
      <c r="A10" s="127">
        <v>45008</v>
      </c>
      <c r="E10" s="18"/>
      <c r="G10" s="19"/>
      <c r="H10" s="19"/>
      <c r="J10" s="19"/>
      <c r="L10" s="11"/>
    </row>
    <row r="11" spans="1:12" x14ac:dyDescent="0.2">
      <c r="A11" s="127">
        <v>45009</v>
      </c>
      <c r="E11" s="18"/>
      <c r="G11" s="19"/>
      <c r="H11" s="19"/>
      <c r="L11" s="11"/>
    </row>
    <row r="12" spans="1:12" x14ac:dyDescent="0.2">
      <c r="A12" s="127">
        <v>45010</v>
      </c>
      <c r="E12" s="18"/>
      <c r="G12" s="19"/>
      <c r="H12" s="19"/>
      <c r="K12" s="18"/>
      <c r="L12" s="19"/>
    </row>
    <row r="13" spans="1:12" x14ac:dyDescent="0.2">
      <c r="A13" s="127">
        <v>45011</v>
      </c>
      <c r="E13" s="18"/>
      <c r="G13" s="19"/>
      <c r="H13" s="19"/>
    </row>
    <row r="14" spans="1:12" x14ac:dyDescent="0.2">
      <c r="A14" s="127">
        <v>45012</v>
      </c>
      <c r="B14" s="69">
        <v>44873.599999999999</v>
      </c>
      <c r="E14" s="18"/>
      <c r="G14" s="19"/>
      <c r="H14" s="19"/>
      <c r="J14" s="19"/>
    </row>
    <row r="15" spans="1:12" x14ac:dyDescent="0.2">
      <c r="A15" s="127">
        <v>45013</v>
      </c>
      <c r="E15" s="18"/>
      <c r="G15" s="19"/>
      <c r="H15" s="19"/>
    </row>
    <row r="16" spans="1:12" x14ac:dyDescent="0.2">
      <c r="A16" s="127">
        <v>45014</v>
      </c>
      <c r="E16" s="18"/>
      <c r="G16" s="19"/>
      <c r="K16" s="19"/>
    </row>
    <row r="17" spans="1:1" x14ac:dyDescent="0.2">
      <c r="A17" s="127">
        <v>45015</v>
      </c>
    </row>
    <row r="18" spans="1:1" x14ac:dyDescent="0.2">
      <c r="A18" s="127">
        <v>45016</v>
      </c>
    </row>
    <row r="19" spans="1:1" x14ac:dyDescent="0.2">
      <c r="A19" s="127">
        <v>45017</v>
      </c>
    </row>
    <row r="20" spans="1:1" x14ac:dyDescent="0.2">
      <c r="A20" s="127">
        <v>45018</v>
      </c>
    </row>
    <row r="21" spans="1:1" x14ac:dyDescent="0.2">
      <c r="A21" s="127">
        <v>45019</v>
      </c>
    </row>
    <row r="22" spans="1:1" x14ac:dyDescent="0.2">
      <c r="A22" s="127">
        <v>45020</v>
      </c>
    </row>
    <row r="23" spans="1:1" x14ac:dyDescent="0.2">
      <c r="A23" s="127">
        <v>45021</v>
      </c>
    </row>
    <row r="24" spans="1:1" x14ac:dyDescent="0.2">
      <c r="A24" s="127">
        <v>45022</v>
      </c>
    </row>
    <row r="25" spans="1:1" x14ac:dyDescent="0.2">
      <c r="A25" s="127">
        <v>45023</v>
      </c>
    </row>
    <row r="26" spans="1:1" x14ac:dyDescent="0.2">
      <c r="A26" s="127">
        <v>45024</v>
      </c>
    </row>
    <row r="27" spans="1:1" x14ac:dyDescent="0.2">
      <c r="A27" s="127">
        <v>45025</v>
      </c>
    </row>
    <row r="28" spans="1:1" x14ac:dyDescent="0.2">
      <c r="A28" s="127">
        <v>45026</v>
      </c>
    </row>
    <row r="29" spans="1:1" x14ac:dyDescent="0.2">
      <c r="A29" s="127">
        <v>45027</v>
      </c>
    </row>
    <row r="30" spans="1:1" x14ac:dyDescent="0.2">
      <c r="A30" s="127">
        <v>45028</v>
      </c>
    </row>
    <row r="31" spans="1:1" x14ac:dyDescent="0.2">
      <c r="A31" s="127">
        <v>45029</v>
      </c>
    </row>
    <row r="32" spans="1:1" x14ac:dyDescent="0.2">
      <c r="A32" s="127">
        <v>45030</v>
      </c>
    </row>
    <row r="33" spans="1:1" x14ac:dyDescent="0.2">
      <c r="A33" s="127">
        <v>45031</v>
      </c>
    </row>
    <row r="34" spans="1:1" x14ac:dyDescent="0.2">
      <c r="A34" s="127">
        <v>45032</v>
      </c>
    </row>
    <row r="35" spans="1:1" x14ac:dyDescent="0.2">
      <c r="A35" s="127">
        <v>45033</v>
      </c>
    </row>
    <row r="36" spans="1:1" x14ac:dyDescent="0.2">
      <c r="A36" s="127">
        <v>45034</v>
      </c>
    </row>
    <row r="37" spans="1:1" x14ac:dyDescent="0.2">
      <c r="A37" s="127">
        <v>45035</v>
      </c>
    </row>
    <row r="38" spans="1:1" x14ac:dyDescent="0.2">
      <c r="A38" s="127">
        <v>45036</v>
      </c>
    </row>
    <row r="39" spans="1:1" x14ac:dyDescent="0.2">
      <c r="A39" s="127">
        <v>45037</v>
      </c>
    </row>
    <row r="40" spans="1:1" x14ac:dyDescent="0.2">
      <c r="A40" s="127">
        <v>45038</v>
      </c>
    </row>
    <row r="41" spans="1:1" x14ac:dyDescent="0.2">
      <c r="A41" s="127">
        <v>45039</v>
      </c>
    </row>
    <row r="42" spans="1:1" x14ac:dyDescent="0.2">
      <c r="A42" s="127">
        <v>45040</v>
      </c>
    </row>
    <row r="43" spans="1:1" x14ac:dyDescent="0.2">
      <c r="A43" s="127">
        <v>45041</v>
      </c>
    </row>
    <row r="44" spans="1:1" x14ac:dyDescent="0.2">
      <c r="A44" s="127">
        <v>45042</v>
      </c>
    </row>
    <row r="45" spans="1:1" x14ac:dyDescent="0.2">
      <c r="A45" s="127">
        <v>45043</v>
      </c>
    </row>
    <row r="46" spans="1:1" x14ac:dyDescent="0.2">
      <c r="A46" s="127">
        <v>45044</v>
      </c>
    </row>
    <row r="47" spans="1:1" x14ac:dyDescent="0.2">
      <c r="A47" s="127">
        <v>45045</v>
      </c>
    </row>
    <row r="48" spans="1:1" x14ac:dyDescent="0.2">
      <c r="A48" s="127">
        <v>45046</v>
      </c>
    </row>
    <row r="49" spans="1:1" x14ac:dyDescent="0.2">
      <c r="A49" s="127">
        <v>45047</v>
      </c>
    </row>
    <row r="50" spans="1:1" x14ac:dyDescent="0.2">
      <c r="A50" s="127">
        <v>45048</v>
      </c>
    </row>
    <row r="51" spans="1:1" x14ac:dyDescent="0.2">
      <c r="A51" s="127">
        <v>45049</v>
      </c>
    </row>
    <row r="52" spans="1:1" x14ac:dyDescent="0.2">
      <c r="A52" s="127">
        <v>45050</v>
      </c>
    </row>
    <row r="53" spans="1:1" x14ac:dyDescent="0.2">
      <c r="A53" s="127">
        <v>45051</v>
      </c>
    </row>
    <row r="54" spans="1:1" x14ac:dyDescent="0.2">
      <c r="A54" s="127">
        <v>45052</v>
      </c>
    </row>
    <row r="55" spans="1:1" x14ac:dyDescent="0.2">
      <c r="A55" s="127">
        <v>45053</v>
      </c>
    </row>
    <row r="56" spans="1:1" x14ac:dyDescent="0.2">
      <c r="A56" s="127">
        <v>45054</v>
      </c>
    </row>
    <row r="57" spans="1:1" x14ac:dyDescent="0.2">
      <c r="A57" s="127">
        <v>45055</v>
      </c>
    </row>
    <row r="58" spans="1:1" x14ac:dyDescent="0.2">
      <c r="A58" s="127">
        <v>45056</v>
      </c>
    </row>
    <row r="59" spans="1:1" x14ac:dyDescent="0.2">
      <c r="A59" s="127">
        <v>45057</v>
      </c>
    </row>
    <row r="60" spans="1:1" x14ac:dyDescent="0.2">
      <c r="A60" s="127">
        <v>45058</v>
      </c>
    </row>
    <row r="61" spans="1:1" x14ac:dyDescent="0.2">
      <c r="A61" s="127">
        <v>45059</v>
      </c>
    </row>
    <row r="62" spans="1:1" x14ac:dyDescent="0.2">
      <c r="A62" s="127">
        <v>45060</v>
      </c>
    </row>
    <row r="63" spans="1:1" x14ac:dyDescent="0.2">
      <c r="A63" s="127">
        <v>45061</v>
      </c>
    </row>
    <row r="64" spans="1:1" x14ac:dyDescent="0.2">
      <c r="A64" s="127">
        <v>45062</v>
      </c>
    </row>
    <row r="65" spans="1:2" x14ac:dyDescent="0.2">
      <c r="A65" s="127">
        <v>45063</v>
      </c>
      <c r="B65" s="69">
        <v>37000</v>
      </c>
    </row>
    <row r="66" spans="1:2" x14ac:dyDescent="0.2">
      <c r="A66" s="127">
        <v>45064</v>
      </c>
    </row>
    <row r="67" spans="1:2" x14ac:dyDescent="0.2">
      <c r="A67" s="127">
        <v>45065</v>
      </c>
    </row>
    <row r="68" spans="1:2" x14ac:dyDescent="0.2">
      <c r="A68" s="127">
        <v>45066</v>
      </c>
    </row>
    <row r="69" spans="1:2" x14ac:dyDescent="0.2">
      <c r="A69" s="127">
        <v>45067</v>
      </c>
    </row>
    <row r="70" spans="1:2" x14ac:dyDescent="0.2">
      <c r="A70" s="127">
        <v>45068</v>
      </c>
    </row>
    <row r="71" spans="1:2" x14ac:dyDescent="0.2">
      <c r="A71" s="127">
        <v>45069</v>
      </c>
    </row>
    <row r="72" spans="1:2" x14ac:dyDescent="0.2">
      <c r="A72" s="127">
        <v>45070</v>
      </c>
    </row>
    <row r="73" spans="1:2" x14ac:dyDescent="0.2">
      <c r="A73" s="127">
        <v>45071</v>
      </c>
    </row>
    <row r="74" spans="1:2" x14ac:dyDescent="0.2">
      <c r="A74" s="127">
        <v>45072</v>
      </c>
    </row>
    <row r="75" spans="1:2" x14ac:dyDescent="0.2">
      <c r="A75" s="127">
        <v>45073</v>
      </c>
    </row>
    <row r="76" spans="1:2" x14ac:dyDescent="0.2">
      <c r="A76" s="127">
        <v>45074</v>
      </c>
    </row>
    <row r="77" spans="1:2" x14ac:dyDescent="0.2">
      <c r="A77" s="127">
        <v>45075</v>
      </c>
    </row>
    <row r="78" spans="1:2" x14ac:dyDescent="0.2">
      <c r="A78" s="127">
        <v>45076</v>
      </c>
    </row>
    <row r="79" spans="1:2" x14ac:dyDescent="0.2">
      <c r="A79" s="127">
        <v>45077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2D19-F63A-4668-847F-9F66CC54266E}">
  <dimension ref="A1:R237"/>
  <sheetViews>
    <sheetView workbookViewId="0">
      <pane ySplit="1" topLeftCell="A45" activePane="bottomLeft" state="frozen"/>
      <selection pane="bottomLeft" activeCell="B111" sqref="B111"/>
    </sheetView>
  </sheetViews>
  <sheetFormatPr defaultRowHeight="15" x14ac:dyDescent="0.2"/>
  <cols>
    <col min="1" max="1" width="6.05078125" customWidth="1"/>
    <col min="2" max="2" width="22.8671875" bestFit="1" customWidth="1"/>
    <col min="3" max="3" width="12.375" bestFit="1" customWidth="1"/>
    <col min="4" max="4" width="14.9296875" bestFit="1" customWidth="1"/>
    <col min="5" max="5" width="20.04296875" bestFit="1" customWidth="1"/>
    <col min="6" max="6" width="15.33203125" customWidth="1"/>
    <col min="7" max="7" width="16.27734375" customWidth="1"/>
    <col min="8" max="9" width="18.6953125" customWidth="1"/>
    <col min="10" max="10" width="16.6796875" customWidth="1"/>
    <col min="11" max="11" width="27.98046875" bestFit="1" customWidth="1"/>
    <col min="12" max="12" width="20.71484375" customWidth="1"/>
    <col min="13" max="13" width="17.62109375" customWidth="1"/>
    <col min="14" max="14" width="14.52734375" customWidth="1"/>
    <col min="16" max="16" width="14.390625" customWidth="1"/>
    <col min="18" max="18" width="10.0859375" bestFit="1" customWidth="1"/>
    <col min="19" max="19" width="18.6953125" bestFit="1" customWidth="1"/>
    <col min="20" max="21" width="10.625" bestFit="1" customWidth="1"/>
    <col min="22" max="22" width="9.28125" bestFit="1" customWidth="1"/>
    <col min="23" max="23" width="10.22265625" bestFit="1" customWidth="1"/>
  </cols>
  <sheetData>
    <row r="1" spans="1:18" s="151" customFormat="1" x14ac:dyDescent="0.2">
      <c r="B1" s="159" t="s">
        <v>64</v>
      </c>
      <c r="C1" s="160" t="s">
        <v>65</v>
      </c>
      <c r="D1" s="160" t="s">
        <v>66</v>
      </c>
      <c r="E1" s="160" t="s">
        <v>67</v>
      </c>
    </row>
    <row r="2" spans="1:18" x14ac:dyDescent="0.2">
      <c r="A2" s="1"/>
      <c r="B2" s="210" t="s">
        <v>68</v>
      </c>
      <c r="C2" s="211"/>
      <c r="D2" s="211"/>
      <c r="E2" s="212"/>
      <c r="F2" s="23"/>
      <c r="G2" s="19"/>
      <c r="H2" s="19"/>
      <c r="I2" s="19"/>
      <c r="J2" s="19"/>
      <c r="K2" s="19"/>
      <c r="L2" s="19"/>
      <c r="M2" s="19"/>
    </row>
    <row r="3" spans="1:18" x14ac:dyDescent="0.2">
      <c r="A3" s="1">
        <v>1</v>
      </c>
      <c r="B3" s="114" t="s">
        <v>69</v>
      </c>
      <c r="C3" s="109">
        <v>561.33000000000004</v>
      </c>
      <c r="D3" s="111">
        <v>44927</v>
      </c>
      <c r="E3" s="105"/>
      <c r="G3" s="19"/>
      <c r="H3" s="19"/>
      <c r="I3" s="19"/>
      <c r="J3" s="19"/>
      <c r="K3" s="19"/>
      <c r="L3" s="19"/>
      <c r="M3" s="19"/>
      <c r="N3" s="31"/>
      <c r="O3" s="31"/>
      <c r="P3" s="31"/>
      <c r="Q3" s="31"/>
    </row>
    <row r="4" spans="1:18" x14ac:dyDescent="0.2">
      <c r="A4" s="1">
        <v>2</v>
      </c>
      <c r="B4" s="114" t="s">
        <v>70</v>
      </c>
      <c r="C4" s="109">
        <v>6361.29</v>
      </c>
      <c r="D4" s="111">
        <v>44927</v>
      </c>
      <c r="E4" s="105"/>
      <c r="F4" s="26"/>
      <c r="G4" s="19"/>
      <c r="H4" s="19"/>
      <c r="I4" s="19"/>
      <c r="J4" s="19"/>
      <c r="K4" s="19"/>
      <c r="L4" s="19"/>
      <c r="M4" s="19"/>
      <c r="N4" s="26"/>
      <c r="O4" s="26"/>
      <c r="P4" s="26"/>
      <c r="Q4" s="26"/>
      <c r="R4" s="86"/>
    </row>
    <row r="5" spans="1:18" x14ac:dyDescent="0.2">
      <c r="A5" s="1">
        <v>3</v>
      </c>
      <c r="B5" s="115" t="s">
        <v>71</v>
      </c>
      <c r="C5" s="110">
        <v>3284.89</v>
      </c>
      <c r="D5" s="112">
        <v>44936</v>
      </c>
      <c r="E5" s="106"/>
      <c r="F5" s="20"/>
      <c r="G5" s="19"/>
      <c r="H5" s="19"/>
      <c r="I5" s="19"/>
      <c r="J5" s="19"/>
      <c r="K5" s="19"/>
      <c r="L5" s="19"/>
      <c r="M5" s="19"/>
    </row>
    <row r="6" spans="1:18" x14ac:dyDescent="0.2">
      <c r="A6" s="1">
        <v>4</v>
      </c>
      <c r="B6" s="114" t="s">
        <v>72</v>
      </c>
      <c r="C6" s="109">
        <v>114990</v>
      </c>
      <c r="D6" s="111">
        <v>44938</v>
      </c>
      <c r="E6" s="107"/>
      <c r="F6" s="18"/>
      <c r="G6" s="19"/>
      <c r="H6" s="19"/>
      <c r="I6" s="19"/>
      <c r="J6" s="19"/>
      <c r="K6" s="19"/>
      <c r="L6" s="19"/>
      <c r="M6" s="19"/>
    </row>
    <row r="7" spans="1:18" x14ac:dyDescent="0.2">
      <c r="A7" s="1">
        <v>5</v>
      </c>
      <c r="B7" s="114" t="s">
        <v>73</v>
      </c>
      <c r="C7" s="109">
        <v>6500</v>
      </c>
      <c r="D7" s="111">
        <v>44941</v>
      </c>
      <c r="E7" s="107"/>
      <c r="F7" s="18"/>
      <c r="G7" s="19"/>
      <c r="H7" s="19"/>
      <c r="I7" s="19"/>
      <c r="J7" s="19"/>
      <c r="K7" s="19"/>
      <c r="L7" s="19"/>
      <c r="M7" s="19"/>
    </row>
    <row r="8" spans="1:18" x14ac:dyDescent="0.2">
      <c r="A8" s="1">
        <v>6</v>
      </c>
      <c r="B8" s="116" t="s">
        <v>74</v>
      </c>
      <c r="C8" s="109">
        <v>9500</v>
      </c>
      <c r="D8" s="111">
        <v>44936</v>
      </c>
      <c r="E8" s="65"/>
      <c r="G8" s="19"/>
      <c r="H8" s="19"/>
      <c r="I8" s="19"/>
      <c r="J8" s="19"/>
      <c r="K8" s="19"/>
      <c r="L8" s="19"/>
      <c r="M8" s="19"/>
    </row>
    <row r="9" spans="1:18" x14ac:dyDescent="0.2">
      <c r="A9" s="1">
        <v>7</v>
      </c>
      <c r="B9" s="114" t="s">
        <v>75</v>
      </c>
      <c r="C9" s="69">
        <v>63063.29</v>
      </c>
      <c r="D9" s="111">
        <v>44946</v>
      </c>
      <c r="E9" s="65"/>
      <c r="G9" s="19"/>
      <c r="H9" s="19"/>
      <c r="I9" s="19"/>
      <c r="J9" s="19"/>
      <c r="K9" s="19"/>
      <c r="L9" s="19"/>
      <c r="M9" s="19"/>
    </row>
    <row r="10" spans="1:18" x14ac:dyDescent="0.2">
      <c r="A10" s="1">
        <v>8</v>
      </c>
      <c r="B10" s="115" t="s">
        <v>76</v>
      </c>
      <c r="C10" s="109">
        <v>39597.839999999997</v>
      </c>
      <c r="D10" s="111">
        <v>44946</v>
      </c>
      <c r="E10" s="65"/>
      <c r="G10" s="19"/>
      <c r="H10" s="19"/>
      <c r="I10" s="19"/>
      <c r="J10" s="19"/>
      <c r="K10" s="19"/>
      <c r="L10" s="19"/>
      <c r="M10" s="19"/>
    </row>
    <row r="11" spans="1:18" x14ac:dyDescent="0.2">
      <c r="A11" s="1">
        <v>9</v>
      </c>
      <c r="B11" s="117" t="s">
        <v>77</v>
      </c>
      <c r="C11" s="109">
        <v>250</v>
      </c>
      <c r="D11" s="113">
        <v>44937</v>
      </c>
      <c r="E11" s="65"/>
      <c r="G11" s="19"/>
      <c r="H11" s="19"/>
      <c r="I11" s="19"/>
      <c r="J11" s="19"/>
      <c r="K11" s="19"/>
      <c r="L11" s="19"/>
      <c r="M11" s="19"/>
    </row>
    <row r="12" spans="1:18" x14ac:dyDescent="0.2">
      <c r="A12" s="1">
        <v>10</v>
      </c>
      <c r="B12" s="114" t="s">
        <v>78</v>
      </c>
      <c r="C12" s="109">
        <v>184</v>
      </c>
      <c r="D12" s="113">
        <v>44937</v>
      </c>
      <c r="E12" s="65"/>
      <c r="G12" s="19"/>
      <c r="H12" s="19"/>
      <c r="I12" s="19"/>
      <c r="J12" s="19"/>
      <c r="K12" s="19"/>
      <c r="L12" s="19"/>
      <c r="M12" s="19"/>
    </row>
    <row r="13" spans="1:18" x14ac:dyDescent="0.2">
      <c r="A13" s="1">
        <v>11</v>
      </c>
      <c r="B13" s="114" t="s">
        <v>79</v>
      </c>
      <c r="C13" s="109">
        <v>133</v>
      </c>
      <c r="D13" s="113">
        <v>44942</v>
      </c>
      <c r="E13" s="65"/>
      <c r="G13" s="19"/>
      <c r="H13" s="19"/>
      <c r="I13" s="19"/>
      <c r="J13" s="19"/>
      <c r="K13" s="19"/>
      <c r="L13" s="19"/>
      <c r="M13" s="19"/>
    </row>
    <row r="14" spans="1:18" x14ac:dyDescent="0.2">
      <c r="A14" s="1">
        <v>12</v>
      </c>
      <c r="B14" s="114" t="s">
        <v>80</v>
      </c>
      <c r="C14" s="109">
        <v>148.97999999999999</v>
      </c>
      <c r="D14" s="113">
        <v>44937</v>
      </c>
      <c r="E14" s="65"/>
      <c r="G14" s="19"/>
      <c r="H14" s="19"/>
      <c r="I14" s="19"/>
      <c r="J14" s="19"/>
      <c r="K14" s="19"/>
      <c r="L14" s="19"/>
      <c r="M14" s="19"/>
    </row>
    <row r="15" spans="1:18" x14ac:dyDescent="0.2">
      <c r="A15" s="1">
        <v>13</v>
      </c>
      <c r="B15" s="114" t="s">
        <v>81</v>
      </c>
      <c r="C15" s="69">
        <v>5731.93</v>
      </c>
      <c r="D15" s="111">
        <v>44950</v>
      </c>
      <c r="E15" s="65"/>
    </row>
    <row r="16" spans="1:18" x14ac:dyDescent="0.2">
      <c r="A16" s="1">
        <v>14</v>
      </c>
      <c r="B16" s="114" t="s">
        <v>82</v>
      </c>
      <c r="C16" s="69">
        <v>1475.39</v>
      </c>
      <c r="D16" s="111">
        <v>44950</v>
      </c>
      <c r="E16" s="65"/>
    </row>
    <row r="17" spans="1:5" x14ac:dyDescent="0.2">
      <c r="A17" s="1">
        <v>15</v>
      </c>
      <c r="B17" s="114" t="s">
        <v>83</v>
      </c>
      <c r="C17" s="69">
        <v>3284.89</v>
      </c>
      <c r="D17" s="111">
        <v>44950</v>
      </c>
      <c r="E17" s="65"/>
    </row>
    <row r="18" spans="1:5" x14ac:dyDescent="0.2">
      <c r="A18" s="1">
        <v>16</v>
      </c>
      <c r="B18" s="146" t="s">
        <v>84</v>
      </c>
      <c r="C18" s="147">
        <v>165.9</v>
      </c>
      <c r="D18" s="111">
        <v>44943</v>
      </c>
      <c r="E18" s="65"/>
    </row>
    <row r="19" spans="1:5" x14ac:dyDescent="0.2">
      <c r="A19" s="208" t="s">
        <v>85</v>
      </c>
      <c r="B19" s="209"/>
      <c r="C19" s="145">
        <f>SUM(C3:C18)</f>
        <v>255232.73000000004</v>
      </c>
      <c r="D19" s="118"/>
      <c r="E19" s="119"/>
    </row>
    <row r="20" spans="1:5" x14ac:dyDescent="0.2">
      <c r="A20" s="144"/>
      <c r="B20" s="144"/>
      <c r="C20" s="148"/>
      <c r="D20" s="118"/>
      <c r="E20" s="119"/>
    </row>
    <row r="21" spans="1:5" x14ac:dyDescent="0.2">
      <c r="B21" s="210" t="s">
        <v>86</v>
      </c>
      <c r="C21" s="211"/>
      <c r="D21" s="211"/>
      <c r="E21" s="212"/>
    </row>
    <row r="22" spans="1:5" x14ac:dyDescent="0.2">
      <c r="A22">
        <v>17</v>
      </c>
      <c r="B22" s="114" t="s">
        <v>87</v>
      </c>
      <c r="C22" s="69"/>
      <c r="D22" s="111" t="s">
        <v>88</v>
      </c>
      <c r="E22" s="65"/>
    </row>
    <row r="23" spans="1:5" x14ac:dyDescent="0.2">
      <c r="A23">
        <v>18</v>
      </c>
      <c r="B23" s="114" t="s">
        <v>89</v>
      </c>
      <c r="C23" s="69">
        <v>44413.53</v>
      </c>
      <c r="D23" s="111" t="s">
        <v>90</v>
      </c>
      <c r="E23" s="65"/>
    </row>
    <row r="24" spans="1:5" x14ac:dyDescent="0.2">
      <c r="A24">
        <v>19</v>
      </c>
      <c r="B24" s="114" t="s">
        <v>91</v>
      </c>
      <c r="C24" s="69">
        <v>3456.31</v>
      </c>
      <c r="D24" s="111" t="s">
        <v>92</v>
      </c>
      <c r="E24" s="65"/>
    </row>
    <row r="25" spans="1:5" x14ac:dyDescent="0.2">
      <c r="A25">
        <v>20</v>
      </c>
      <c r="B25" s="114" t="s">
        <v>73</v>
      </c>
      <c r="C25" s="69">
        <v>4557.74</v>
      </c>
      <c r="D25" s="111" t="s">
        <v>92</v>
      </c>
      <c r="E25" s="65"/>
    </row>
    <row r="26" spans="1:5" x14ac:dyDescent="0.2">
      <c r="A26">
        <v>21</v>
      </c>
      <c r="B26" s="114" t="s">
        <v>73</v>
      </c>
      <c r="C26" s="69">
        <v>121.43</v>
      </c>
      <c r="D26" s="111" t="s">
        <v>92</v>
      </c>
      <c r="E26" s="65"/>
    </row>
    <row r="27" spans="1:5" x14ac:dyDescent="0.2">
      <c r="A27">
        <v>22</v>
      </c>
      <c r="B27" s="114" t="s">
        <v>93</v>
      </c>
      <c r="C27" s="69">
        <v>54.75</v>
      </c>
      <c r="D27" s="111" t="s">
        <v>92</v>
      </c>
      <c r="E27" s="65"/>
    </row>
    <row r="28" spans="1:5" x14ac:dyDescent="0.2">
      <c r="A28" s="208" t="s">
        <v>94</v>
      </c>
      <c r="B28" s="209"/>
      <c r="C28" s="145">
        <f>SUM(C22:C27)</f>
        <v>52603.759999999995</v>
      </c>
      <c r="D28" s="111"/>
      <c r="E28" s="65"/>
    </row>
    <row r="29" spans="1:5" x14ac:dyDescent="0.2">
      <c r="A29" s="144"/>
      <c r="B29" s="144"/>
      <c r="C29" s="149"/>
      <c r="D29" s="118"/>
      <c r="E29" s="119"/>
    </row>
    <row r="30" spans="1:5" x14ac:dyDescent="0.2">
      <c r="B30" s="210" t="s">
        <v>95</v>
      </c>
      <c r="C30" s="211"/>
      <c r="D30" s="211"/>
      <c r="E30" s="212"/>
    </row>
    <row r="31" spans="1:5" x14ac:dyDescent="0.2">
      <c r="A31">
        <v>23</v>
      </c>
      <c r="B31" s="65" t="s">
        <v>96</v>
      </c>
      <c r="C31" s="69">
        <v>413.6</v>
      </c>
      <c r="D31" s="111">
        <v>44986</v>
      </c>
      <c r="E31" s="65"/>
    </row>
    <row r="32" spans="1:5" x14ac:dyDescent="0.2">
      <c r="A32">
        <v>24</v>
      </c>
      <c r="B32" s="65" t="s">
        <v>91</v>
      </c>
      <c r="C32" s="69">
        <v>547.5</v>
      </c>
      <c r="D32" s="111">
        <v>44987</v>
      </c>
      <c r="E32" s="65"/>
    </row>
    <row r="33" spans="1:5" x14ac:dyDescent="0.2">
      <c r="A33">
        <v>25</v>
      </c>
      <c r="B33" s="65" t="s">
        <v>97</v>
      </c>
      <c r="C33" s="69">
        <v>17000</v>
      </c>
      <c r="D33" s="111">
        <v>44991</v>
      </c>
      <c r="E33" s="65"/>
    </row>
    <row r="34" spans="1:5" x14ac:dyDescent="0.2">
      <c r="A34">
        <v>26</v>
      </c>
      <c r="B34" s="65" t="s">
        <v>78</v>
      </c>
      <c r="C34" s="69">
        <v>21.88</v>
      </c>
      <c r="D34" s="111">
        <v>44992</v>
      </c>
      <c r="E34" s="65"/>
    </row>
    <row r="35" spans="1:5" x14ac:dyDescent="0.2">
      <c r="A35">
        <v>27</v>
      </c>
      <c r="B35" s="65" t="s">
        <v>78</v>
      </c>
      <c r="C35" s="69">
        <v>131.25</v>
      </c>
      <c r="D35" s="111">
        <v>44998</v>
      </c>
      <c r="E35" s="108"/>
    </row>
    <row r="36" spans="1:5" x14ac:dyDescent="0.2">
      <c r="A36">
        <v>28</v>
      </c>
      <c r="B36" s="65" t="s">
        <v>91</v>
      </c>
      <c r="C36" s="69">
        <v>924.5</v>
      </c>
      <c r="D36" s="111">
        <v>44998</v>
      </c>
      <c r="E36" s="65"/>
    </row>
    <row r="37" spans="1:5" x14ac:dyDescent="0.2">
      <c r="A37">
        <v>29</v>
      </c>
      <c r="B37" s="65" t="s">
        <v>98</v>
      </c>
      <c r="C37" s="69">
        <v>10231.27</v>
      </c>
      <c r="D37" s="111">
        <v>44987</v>
      </c>
      <c r="E37" s="65"/>
    </row>
    <row r="38" spans="1:5" x14ac:dyDescent="0.2">
      <c r="A38">
        <v>30</v>
      </c>
      <c r="B38" s="65" t="s">
        <v>99</v>
      </c>
      <c r="C38" s="69">
        <v>1503.5</v>
      </c>
      <c r="D38" s="111">
        <v>44998</v>
      </c>
      <c r="E38" s="65"/>
    </row>
    <row r="39" spans="1:5" x14ac:dyDescent="0.2">
      <c r="A39">
        <v>31</v>
      </c>
      <c r="B39" s="65" t="s">
        <v>100</v>
      </c>
      <c r="C39" s="69">
        <v>95.75</v>
      </c>
      <c r="D39" s="111" t="s">
        <v>101</v>
      </c>
      <c r="E39" s="65" t="s">
        <v>102</v>
      </c>
    </row>
    <row r="40" spans="1:5" x14ac:dyDescent="0.2">
      <c r="A40">
        <v>32</v>
      </c>
      <c r="B40" s="65" t="s">
        <v>103</v>
      </c>
      <c r="C40" s="69">
        <v>3447.27</v>
      </c>
      <c r="D40" s="111" t="s">
        <v>104</v>
      </c>
      <c r="E40" s="65"/>
    </row>
    <row r="41" spans="1:5" x14ac:dyDescent="0.2">
      <c r="A41">
        <v>33</v>
      </c>
      <c r="B41" s="65" t="s">
        <v>79</v>
      </c>
      <c r="C41" s="69">
        <v>133</v>
      </c>
      <c r="D41" s="111" t="s">
        <v>105</v>
      </c>
      <c r="E41" s="65" t="s">
        <v>106</v>
      </c>
    </row>
    <row r="42" spans="1:5" x14ac:dyDescent="0.2">
      <c r="A42">
        <v>34</v>
      </c>
      <c r="B42" s="65" t="s">
        <v>107</v>
      </c>
      <c r="C42" s="69">
        <v>33500</v>
      </c>
      <c r="D42" s="111" t="s">
        <v>108</v>
      </c>
      <c r="E42" s="65" t="s">
        <v>109</v>
      </c>
    </row>
    <row r="43" spans="1:5" x14ac:dyDescent="0.2">
      <c r="A43">
        <v>35</v>
      </c>
      <c r="B43" s="65" t="s">
        <v>110</v>
      </c>
      <c r="C43" s="69">
        <v>2339.2399999999998</v>
      </c>
      <c r="D43" s="111" t="s">
        <v>111</v>
      </c>
      <c r="E43" s="65" t="s">
        <v>112</v>
      </c>
    </row>
    <row r="44" spans="1:5" x14ac:dyDescent="0.2">
      <c r="A44">
        <v>36</v>
      </c>
      <c r="B44" s="65" t="s">
        <v>110</v>
      </c>
      <c r="C44" s="69">
        <v>3276.59</v>
      </c>
      <c r="D44" s="111" t="s">
        <v>111</v>
      </c>
      <c r="E44" s="65" t="s">
        <v>112</v>
      </c>
    </row>
    <row r="45" spans="1:5" x14ac:dyDescent="0.2">
      <c r="A45">
        <v>37</v>
      </c>
      <c r="B45" s="65" t="s">
        <v>113</v>
      </c>
      <c r="C45" s="69">
        <v>298.75</v>
      </c>
      <c r="D45" s="111" t="s">
        <v>111</v>
      </c>
      <c r="E45" s="65" t="s">
        <v>114</v>
      </c>
    </row>
    <row r="46" spans="1:5" x14ac:dyDescent="0.2">
      <c r="A46">
        <v>38</v>
      </c>
      <c r="B46" s="65" t="s">
        <v>107</v>
      </c>
      <c r="C46" s="69">
        <v>6000</v>
      </c>
      <c r="D46" s="111" t="s">
        <v>111</v>
      </c>
      <c r="E46" s="65" t="s">
        <v>109</v>
      </c>
    </row>
    <row r="47" spans="1:5" x14ac:dyDescent="0.2">
      <c r="A47">
        <v>39</v>
      </c>
      <c r="B47" s="65" t="s">
        <v>115</v>
      </c>
      <c r="C47" s="69">
        <v>3332.24</v>
      </c>
      <c r="D47" s="111" t="s">
        <v>116</v>
      </c>
      <c r="E47" s="65" t="s">
        <v>117</v>
      </c>
    </row>
    <row r="48" spans="1:5" x14ac:dyDescent="0.2">
      <c r="A48">
        <v>40</v>
      </c>
      <c r="B48" s="65"/>
      <c r="C48" s="69"/>
      <c r="D48" s="111"/>
      <c r="E48" s="65"/>
    </row>
    <row r="49" spans="1:5" x14ac:dyDescent="0.2">
      <c r="A49">
        <v>41</v>
      </c>
      <c r="B49" s="65"/>
      <c r="C49" s="69"/>
      <c r="D49" s="111"/>
      <c r="E49" s="65"/>
    </row>
    <row r="50" spans="1:5" x14ac:dyDescent="0.2">
      <c r="A50">
        <v>42</v>
      </c>
      <c r="B50" s="65"/>
      <c r="C50" s="69"/>
      <c r="D50" s="111"/>
      <c r="E50" s="65"/>
    </row>
    <row r="51" spans="1:5" x14ac:dyDescent="0.2">
      <c r="A51">
        <v>43</v>
      </c>
      <c r="B51" s="65"/>
      <c r="C51" s="69"/>
      <c r="D51" s="111"/>
      <c r="E51" s="65"/>
    </row>
    <row r="52" spans="1:5" x14ac:dyDescent="0.2">
      <c r="A52">
        <v>44</v>
      </c>
      <c r="B52" s="65"/>
      <c r="C52" s="69"/>
      <c r="D52" s="111"/>
      <c r="E52" s="65"/>
    </row>
    <row r="53" spans="1:5" x14ac:dyDescent="0.2">
      <c r="A53">
        <v>45</v>
      </c>
      <c r="B53" s="65"/>
      <c r="C53" s="69"/>
      <c r="D53" s="111"/>
      <c r="E53" s="65"/>
    </row>
    <row r="54" spans="1:5" x14ac:dyDescent="0.2">
      <c r="A54">
        <v>46</v>
      </c>
      <c r="B54" s="65"/>
      <c r="C54" s="69"/>
      <c r="D54" s="111"/>
      <c r="E54" s="65"/>
    </row>
    <row r="55" spans="1:5" x14ac:dyDescent="0.2">
      <c r="A55">
        <v>47</v>
      </c>
      <c r="B55" s="65"/>
      <c r="C55" s="69"/>
      <c r="D55" s="111"/>
      <c r="E55" s="65"/>
    </row>
    <row r="56" spans="1:5" x14ac:dyDescent="0.2">
      <c r="A56" s="208" t="s">
        <v>118</v>
      </c>
      <c r="B56" s="209"/>
      <c r="C56" s="145">
        <f>SUM(C31:C55)</f>
        <v>83196.34</v>
      </c>
      <c r="D56" s="111"/>
      <c r="E56" s="65"/>
    </row>
    <row r="57" spans="1:5" x14ac:dyDescent="0.2">
      <c r="B57" s="65"/>
      <c r="C57" s="69"/>
      <c r="D57" s="111"/>
      <c r="E57" s="65"/>
    </row>
    <row r="58" spans="1:5" x14ac:dyDescent="0.2">
      <c r="A58">
        <v>48</v>
      </c>
      <c r="B58" s="65"/>
      <c r="C58" s="69"/>
      <c r="D58" s="111"/>
      <c r="E58" s="65"/>
    </row>
    <row r="59" spans="1:5" x14ac:dyDescent="0.2">
      <c r="A59">
        <v>49</v>
      </c>
      <c r="B59" s="65"/>
      <c r="C59" s="69"/>
      <c r="D59" s="111"/>
      <c r="E59" s="65"/>
    </row>
    <row r="60" spans="1:5" x14ac:dyDescent="0.2">
      <c r="A60">
        <v>50</v>
      </c>
      <c r="B60" s="65"/>
      <c r="C60" s="69"/>
      <c r="D60" s="111"/>
      <c r="E60" s="65"/>
    </row>
    <row r="61" spans="1:5" x14ac:dyDescent="0.2">
      <c r="A61">
        <v>51</v>
      </c>
      <c r="B61" s="65"/>
      <c r="C61" s="69"/>
      <c r="D61" s="111"/>
      <c r="E61" s="65"/>
    </row>
    <row r="62" spans="1:5" x14ac:dyDescent="0.2">
      <c r="A62">
        <v>52</v>
      </c>
      <c r="B62" s="65"/>
      <c r="C62" s="69"/>
      <c r="D62" s="111"/>
      <c r="E62" s="65"/>
    </row>
    <row r="63" spans="1:5" x14ac:dyDescent="0.2">
      <c r="A63">
        <v>53</v>
      </c>
      <c r="B63" s="65"/>
      <c r="C63" s="69"/>
      <c r="D63" s="111"/>
      <c r="E63" s="65"/>
    </row>
    <row r="64" spans="1:5" x14ac:dyDescent="0.2">
      <c r="A64">
        <v>54</v>
      </c>
      <c r="B64" s="65"/>
      <c r="C64" s="69"/>
      <c r="D64" s="111"/>
      <c r="E64" s="65"/>
    </row>
    <row r="65" spans="1:5" x14ac:dyDescent="0.2">
      <c r="A65">
        <v>55</v>
      </c>
      <c r="B65" s="65"/>
      <c r="C65" s="69"/>
      <c r="D65" s="111"/>
      <c r="E65" s="65"/>
    </row>
    <row r="66" spans="1:5" x14ac:dyDescent="0.2">
      <c r="A66">
        <v>56</v>
      </c>
      <c r="B66" s="65"/>
      <c r="C66" s="69"/>
      <c r="D66" s="111"/>
      <c r="E66" s="65"/>
    </row>
    <row r="67" spans="1:5" x14ac:dyDescent="0.2">
      <c r="A67">
        <v>57</v>
      </c>
      <c r="B67" s="65"/>
      <c r="C67" s="69"/>
      <c r="D67" s="111"/>
      <c r="E67" s="65"/>
    </row>
    <row r="68" spans="1:5" x14ac:dyDescent="0.2">
      <c r="A68">
        <v>58</v>
      </c>
      <c r="B68" s="65"/>
      <c r="C68" s="69"/>
      <c r="D68" s="111"/>
      <c r="E68" s="65"/>
    </row>
    <row r="69" spans="1:5" x14ac:dyDescent="0.2">
      <c r="A69">
        <v>59</v>
      </c>
      <c r="B69" s="65"/>
      <c r="C69" s="69"/>
      <c r="D69" s="111"/>
      <c r="E69" s="65"/>
    </row>
    <row r="70" spans="1:5" x14ac:dyDescent="0.2">
      <c r="A70">
        <v>60</v>
      </c>
      <c r="B70" s="65"/>
      <c r="C70" s="69"/>
      <c r="D70" s="111"/>
      <c r="E70" s="65"/>
    </row>
    <row r="71" spans="1:5" x14ac:dyDescent="0.2">
      <c r="A71">
        <v>61</v>
      </c>
      <c r="B71" s="65"/>
      <c r="C71" s="69"/>
      <c r="D71" s="111"/>
      <c r="E71" s="65"/>
    </row>
    <row r="72" spans="1:5" x14ac:dyDescent="0.2">
      <c r="A72">
        <v>62</v>
      </c>
      <c r="B72" s="65"/>
      <c r="C72" s="69"/>
      <c r="D72" s="111"/>
      <c r="E72" s="65"/>
    </row>
    <row r="73" spans="1:5" x14ac:dyDescent="0.2">
      <c r="A73">
        <v>63</v>
      </c>
      <c r="B73" s="65"/>
      <c r="C73" s="69"/>
      <c r="D73" s="111"/>
      <c r="E73" s="65"/>
    </row>
    <row r="74" spans="1:5" x14ac:dyDescent="0.2">
      <c r="A74">
        <v>64</v>
      </c>
      <c r="B74" s="65"/>
      <c r="C74" s="69"/>
      <c r="D74" s="111"/>
      <c r="E74" s="65"/>
    </row>
    <row r="75" spans="1:5" x14ac:dyDescent="0.2">
      <c r="A75">
        <v>65</v>
      </c>
      <c r="B75" s="65"/>
      <c r="C75" s="69"/>
      <c r="D75" s="111"/>
      <c r="E75" s="65"/>
    </row>
    <row r="76" spans="1:5" x14ac:dyDescent="0.2">
      <c r="A76">
        <v>66</v>
      </c>
      <c r="B76" s="65"/>
      <c r="C76" s="69"/>
      <c r="D76" s="111"/>
      <c r="E76" s="65"/>
    </row>
    <row r="77" spans="1:5" x14ac:dyDescent="0.2">
      <c r="A77">
        <v>67</v>
      </c>
      <c r="B77" s="65"/>
      <c r="C77" s="69"/>
      <c r="D77" s="111"/>
      <c r="E77" s="65"/>
    </row>
    <row r="78" spans="1:5" x14ac:dyDescent="0.2">
      <c r="A78">
        <v>68</v>
      </c>
      <c r="B78" s="65"/>
      <c r="C78" s="69"/>
      <c r="D78" s="111"/>
      <c r="E78" s="65"/>
    </row>
    <row r="79" spans="1:5" ht="15.75" thickBot="1" x14ac:dyDescent="0.25">
      <c r="A79">
        <v>69</v>
      </c>
      <c r="B79" s="65"/>
      <c r="C79" s="69"/>
      <c r="D79" s="111"/>
      <c r="E79" s="65"/>
    </row>
    <row r="80" spans="1:5" ht="15.75" thickBot="1" x14ac:dyDescent="0.25">
      <c r="A80" s="208" t="s">
        <v>119</v>
      </c>
      <c r="B80" s="209"/>
      <c r="C80" s="145">
        <f>SUM(C57:C79)</f>
        <v>0</v>
      </c>
      <c r="D80" s="111"/>
      <c r="E80" s="65"/>
    </row>
    <row r="81" spans="1:5" x14ac:dyDescent="0.2">
      <c r="A81">
        <v>70</v>
      </c>
      <c r="B81" s="65"/>
      <c r="C81" s="69"/>
      <c r="D81" s="111"/>
      <c r="E81" s="65"/>
    </row>
    <row r="82" spans="1:5" x14ac:dyDescent="0.2">
      <c r="A82">
        <v>71</v>
      </c>
      <c r="B82" s="65"/>
      <c r="C82" s="69"/>
      <c r="D82" s="111"/>
      <c r="E82" s="65"/>
    </row>
    <row r="83" spans="1:5" x14ac:dyDescent="0.2">
      <c r="A83">
        <v>72</v>
      </c>
      <c r="B83" s="65"/>
      <c r="C83" s="69"/>
      <c r="D83" s="111"/>
      <c r="E83" s="65"/>
    </row>
    <row r="84" spans="1:5" x14ac:dyDescent="0.2">
      <c r="A84">
        <v>73</v>
      </c>
      <c r="B84" s="65"/>
      <c r="C84" s="69"/>
      <c r="D84" s="111"/>
      <c r="E84" s="65"/>
    </row>
    <row r="85" spans="1:5" x14ac:dyDescent="0.2">
      <c r="A85">
        <v>74</v>
      </c>
      <c r="B85" s="65"/>
      <c r="C85" s="69"/>
      <c r="D85" s="111"/>
      <c r="E85" s="65"/>
    </row>
    <row r="86" spans="1:5" x14ac:dyDescent="0.2">
      <c r="A86">
        <v>75</v>
      </c>
      <c r="B86" s="65"/>
      <c r="C86" s="69"/>
      <c r="D86" s="111"/>
      <c r="E86" s="65"/>
    </row>
    <row r="87" spans="1:5" x14ac:dyDescent="0.2">
      <c r="A87">
        <v>76</v>
      </c>
      <c r="B87" s="65"/>
      <c r="C87" s="69"/>
      <c r="D87" s="111"/>
      <c r="E87" s="65"/>
    </row>
    <row r="88" spans="1:5" x14ac:dyDescent="0.2">
      <c r="A88">
        <v>77</v>
      </c>
      <c r="B88" s="65"/>
      <c r="C88" s="69"/>
      <c r="D88" s="111"/>
      <c r="E88" s="65"/>
    </row>
    <row r="89" spans="1:5" x14ac:dyDescent="0.2">
      <c r="A89">
        <v>78</v>
      </c>
      <c r="B89" s="65"/>
      <c r="C89" s="69"/>
      <c r="D89" s="111"/>
      <c r="E89" s="65"/>
    </row>
    <row r="90" spans="1:5" x14ac:dyDescent="0.2">
      <c r="A90">
        <v>79</v>
      </c>
      <c r="B90" s="65"/>
      <c r="C90" s="69"/>
      <c r="D90" s="111"/>
      <c r="E90" s="65"/>
    </row>
    <row r="91" spans="1:5" x14ac:dyDescent="0.2">
      <c r="A91" s="208" t="s">
        <v>120</v>
      </c>
      <c r="B91" s="209"/>
      <c r="C91" s="145">
        <f>SUM(C68:C90)</f>
        <v>0</v>
      </c>
      <c r="D91" s="111"/>
      <c r="E91" s="65"/>
    </row>
    <row r="92" spans="1:5" x14ac:dyDescent="0.2">
      <c r="A92">
        <v>80</v>
      </c>
      <c r="B92" s="65"/>
      <c r="C92" s="69"/>
      <c r="D92" s="111"/>
      <c r="E92" s="65"/>
    </row>
    <row r="93" spans="1:5" x14ac:dyDescent="0.2">
      <c r="A93">
        <v>81</v>
      </c>
      <c r="B93" s="65"/>
      <c r="C93" s="69"/>
      <c r="D93" s="111"/>
      <c r="E93" s="65"/>
    </row>
    <row r="94" spans="1:5" x14ac:dyDescent="0.2">
      <c r="A94">
        <v>82</v>
      </c>
      <c r="B94" s="65"/>
      <c r="C94" s="69"/>
      <c r="D94" s="111"/>
      <c r="E94" s="65"/>
    </row>
    <row r="95" spans="1:5" x14ac:dyDescent="0.2">
      <c r="A95">
        <v>83</v>
      </c>
      <c r="B95" s="65"/>
      <c r="C95" s="69"/>
      <c r="D95" s="111"/>
      <c r="E95" s="65"/>
    </row>
    <row r="96" spans="1:5" x14ac:dyDescent="0.2">
      <c r="A96">
        <v>84</v>
      </c>
      <c r="B96" s="65"/>
      <c r="C96" s="69"/>
      <c r="D96" s="111"/>
      <c r="E96" s="65"/>
    </row>
    <row r="97" spans="1:5" x14ac:dyDescent="0.2">
      <c r="A97">
        <v>85</v>
      </c>
      <c r="B97" s="65"/>
      <c r="C97" s="69"/>
      <c r="D97" s="111"/>
      <c r="E97" s="65"/>
    </row>
    <row r="98" spans="1:5" x14ac:dyDescent="0.2">
      <c r="A98">
        <v>86</v>
      </c>
      <c r="B98" s="65"/>
      <c r="C98" s="69"/>
      <c r="D98" s="111"/>
      <c r="E98" s="65"/>
    </row>
    <row r="99" spans="1:5" x14ac:dyDescent="0.2">
      <c r="A99">
        <v>87</v>
      </c>
      <c r="B99" s="65"/>
      <c r="C99" s="69"/>
      <c r="D99" s="111"/>
      <c r="E99" s="65"/>
    </row>
    <row r="100" spans="1:5" x14ac:dyDescent="0.2">
      <c r="A100">
        <v>88</v>
      </c>
      <c r="B100" s="65"/>
      <c r="C100" s="69"/>
      <c r="D100" s="111"/>
      <c r="E100" s="65"/>
    </row>
    <row r="101" spans="1:5" x14ac:dyDescent="0.2">
      <c r="A101">
        <v>89</v>
      </c>
      <c r="B101" s="65"/>
      <c r="C101" s="69"/>
      <c r="D101" s="111"/>
      <c r="E101" s="65"/>
    </row>
    <row r="102" spans="1:5" x14ac:dyDescent="0.2">
      <c r="A102">
        <v>90</v>
      </c>
      <c r="B102" s="65"/>
      <c r="C102" s="69"/>
      <c r="D102" s="111"/>
      <c r="E102" s="65"/>
    </row>
    <row r="103" spans="1:5" x14ac:dyDescent="0.2">
      <c r="A103">
        <v>91</v>
      </c>
      <c r="B103" s="65"/>
      <c r="C103" s="69"/>
      <c r="D103" s="111"/>
      <c r="E103" s="65"/>
    </row>
    <row r="104" spans="1:5" x14ac:dyDescent="0.2">
      <c r="A104">
        <v>92</v>
      </c>
      <c r="B104" s="65"/>
      <c r="C104" s="69"/>
      <c r="D104" s="111"/>
      <c r="E104" s="65"/>
    </row>
    <row r="105" spans="1:5" x14ac:dyDescent="0.2">
      <c r="A105">
        <v>93</v>
      </c>
      <c r="B105" s="65"/>
      <c r="C105" s="69"/>
      <c r="D105" s="111"/>
      <c r="E105" s="65"/>
    </row>
    <row r="106" spans="1:5" x14ac:dyDescent="0.2">
      <c r="A106">
        <v>94</v>
      </c>
      <c r="B106" s="65"/>
      <c r="C106" s="69"/>
      <c r="D106" s="111"/>
      <c r="E106" s="65"/>
    </row>
    <row r="107" spans="1:5" x14ac:dyDescent="0.2">
      <c r="A107">
        <v>95</v>
      </c>
      <c r="B107" s="65"/>
      <c r="C107" s="69"/>
      <c r="D107" s="111"/>
      <c r="E107" s="65"/>
    </row>
    <row r="108" spans="1:5" x14ac:dyDescent="0.2">
      <c r="A108">
        <v>96</v>
      </c>
      <c r="B108" s="65"/>
      <c r="C108" s="69"/>
      <c r="D108" s="111"/>
      <c r="E108" s="65"/>
    </row>
    <row r="109" spans="1:5" x14ac:dyDescent="0.2">
      <c r="A109">
        <v>97</v>
      </c>
      <c r="B109" s="65"/>
      <c r="C109" s="69"/>
      <c r="D109" s="111"/>
      <c r="E109" s="65"/>
    </row>
    <row r="110" spans="1:5" x14ac:dyDescent="0.2">
      <c r="A110">
        <v>98</v>
      </c>
      <c r="B110" s="65"/>
      <c r="C110" s="69"/>
      <c r="D110" s="111"/>
      <c r="E110" s="65"/>
    </row>
    <row r="111" spans="1:5" x14ac:dyDescent="0.2">
      <c r="A111">
        <v>99</v>
      </c>
      <c r="B111" s="65"/>
      <c r="C111" s="69"/>
      <c r="D111" s="111"/>
      <c r="E111" s="65"/>
    </row>
    <row r="112" spans="1:5" x14ac:dyDescent="0.2">
      <c r="A112">
        <v>100</v>
      </c>
      <c r="B112" s="65"/>
      <c r="C112" s="69"/>
      <c r="D112" s="111"/>
      <c r="E112" s="65"/>
    </row>
    <row r="113" spans="1:5" x14ac:dyDescent="0.2">
      <c r="A113">
        <v>101</v>
      </c>
      <c r="B113" s="65"/>
      <c r="C113" s="69"/>
      <c r="D113" s="111"/>
      <c r="E113" s="65"/>
    </row>
    <row r="114" spans="1:5" x14ac:dyDescent="0.2">
      <c r="B114" s="65"/>
      <c r="C114" s="69"/>
      <c r="D114" s="111"/>
      <c r="E114" s="65"/>
    </row>
    <row r="115" spans="1:5" x14ac:dyDescent="0.2">
      <c r="B115" s="65"/>
      <c r="C115" s="69"/>
      <c r="D115" s="111"/>
      <c r="E115" s="65"/>
    </row>
    <row r="116" spans="1:5" x14ac:dyDescent="0.2">
      <c r="B116" s="65"/>
      <c r="C116" s="69"/>
      <c r="D116" s="111"/>
      <c r="E116" s="65"/>
    </row>
    <row r="117" spans="1:5" x14ac:dyDescent="0.2">
      <c r="B117" s="65"/>
      <c r="C117" s="69"/>
      <c r="D117" s="111"/>
      <c r="E117" s="65"/>
    </row>
    <row r="118" spans="1:5" x14ac:dyDescent="0.2">
      <c r="B118" s="65"/>
      <c r="C118" s="69"/>
      <c r="D118" s="111"/>
      <c r="E118" s="65"/>
    </row>
    <row r="119" spans="1:5" x14ac:dyDescent="0.2">
      <c r="B119" s="65"/>
      <c r="C119" s="69"/>
      <c r="D119" s="111"/>
      <c r="E119" s="65"/>
    </row>
    <row r="120" spans="1:5" x14ac:dyDescent="0.2">
      <c r="B120" s="65"/>
      <c r="C120" s="69"/>
      <c r="D120" s="111"/>
      <c r="E120" s="65"/>
    </row>
    <row r="121" spans="1:5" x14ac:dyDescent="0.2">
      <c r="B121" s="65"/>
      <c r="C121" s="69"/>
      <c r="D121" s="111"/>
      <c r="E121" s="65"/>
    </row>
    <row r="122" spans="1:5" x14ac:dyDescent="0.2">
      <c r="B122" s="65"/>
      <c r="C122" s="69"/>
      <c r="D122" s="111"/>
      <c r="E122" s="65"/>
    </row>
    <row r="123" spans="1:5" x14ac:dyDescent="0.2">
      <c r="B123" s="65"/>
      <c r="C123" s="69"/>
      <c r="D123" s="111"/>
      <c r="E123" s="65"/>
    </row>
    <row r="124" spans="1:5" x14ac:dyDescent="0.2">
      <c r="B124" s="65"/>
      <c r="C124" s="69"/>
      <c r="D124" s="111"/>
      <c r="E124" s="65"/>
    </row>
    <row r="125" spans="1:5" x14ac:dyDescent="0.2">
      <c r="B125" s="65"/>
      <c r="C125" s="69"/>
      <c r="D125" s="111"/>
      <c r="E125" s="65"/>
    </row>
    <row r="126" spans="1:5" x14ac:dyDescent="0.2">
      <c r="B126" s="65"/>
      <c r="C126" s="69"/>
      <c r="D126" s="111"/>
      <c r="E126" s="65"/>
    </row>
    <row r="127" spans="1:5" x14ac:dyDescent="0.2">
      <c r="B127" s="65"/>
      <c r="C127" s="69"/>
      <c r="D127" s="111"/>
      <c r="E127" s="65"/>
    </row>
    <row r="128" spans="1:5" x14ac:dyDescent="0.2">
      <c r="B128" s="65"/>
      <c r="C128" s="69"/>
      <c r="D128" s="111"/>
      <c r="E128" s="65"/>
    </row>
    <row r="129" spans="2:5" x14ac:dyDescent="0.2">
      <c r="B129" s="65"/>
      <c r="C129" s="69"/>
      <c r="D129" s="111"/>
      <c r="E129" s="65"/>
    </row>
    <row r="130" spans="2:5" x14ac:dyDescent="0.2">
      <c r="B130" s="65"/>
      <c r="C130" s="69"/>
      <c r="D130" s="111"/>
      <c r="E130" s="65"/>
    </row>
    <row r="131" spans="2:5" x14ac:dyDescent="0.2">
      <c r="B131" s="65"/>
      <c r="C131" s="69"/>
      <c r="D131" s="111"/>
      <c r="E131" s="65"/>
    </row>
    <row r="132" spans="2:5" x14ac:dyDescent="0.2">
      <c r="B132" s="65"/>
      <c r="C132" s="69"/>
      <c r="D132" s="111"/>
      <c r="E132" s="65"/>
    </row>
    <row r="133" spans="2:5" x14ac:dyDescent="0.2">
      <c r="B133" s="65"/>
      <c r="C133" s="69"/>
      <c r="D133" s="111"/>
      <c r="E133" s="65"/>
    </row>
    <row r="134" spans="2:5" x14ac:dyDescent="0.2">
      <c r="B134" s="65"/>
      <c r="C134" s="69"/>
      <c r="D134" s="111"/>
      <c r="E134" s="65"/>
    </row>
    <row r="135" spans="2:5" x14ac:dyDescent="0.2">
      <c r="B135" s="65"/>
      <c r="C135" s="69"/>
      <c r="D135" s="111"/>
      <c r="E135" s="65"/>
    </row>
    <row r="136" spans="2:5" x14ac:dyDescent="0.2">
      <c r="B136" s="65"/>
      <c r="C136" s="69"/>
      <c r="D136" s="111"/>
      <c r="E136" s="65"/>
    </row>
    <row r="137" spans="2:5" x14ac:dyDescent="0.2">
      <c r="B137" s="65"/>
      <c r="C137" s="69"/>
      <c r="D137" s="111"/>
      <c r="E137" s="65"/>
    </row>
    <row r="138" spans="2:5" x14ac:dyDescent="0.2">
      <c r="B138" s="65"/>
      <c r="C138" s="69"/>
      <c r="D138" s="111"/>
      <c r="E138" s="65"/>
    </row>
    <row r="139" spans="2:5" x14ac:dyDescent="0.2">
      <c r="B139" s="65"/>
      <c r="C139" s="69"/>
      <c r="D139" s="111"/>
      <c r="E139" s="65"/>
    </row>
    <row r="140" spans="2:5" x14ac:dyDescent="0.2">
      <c r="B140" s="65"/>
      <c r="C140" s="69"/>
      <c r="D140" s="111"/>
      <c r="E140" s="65"/>
    </row>
    <row r="141" spans="2:5" x14ac:dyDescent="0.2">
      <c r="B141" s="65"/>
      <c r="C141" s="69"/>
      <c r="D141" s="111"/>
      <c r="E141" s="65"/>
    </row>
    <row r="142" spans="2:5" x14ac:dyDescent="0.2">
      <c r="B142" s="65"/>
      <c r="C142" s="69"/>
      <c r="D142" s="111"/>
      <c r="E142" s="65"/>
    </row>
    <row r="143" spans="2:5" x14ac:dyDescent="0.2">
      <c r="B143" s="65"/>
      <c r="C143" s="69"/>
      <c r="D143" s="111"/>
      <c r="E143" s="65"/>
    </row>
    <row r="144" spans="2:5" x14ac:dyDescent="0.2">
      <c r="B144" s="65"/>
      <c r="C144" s="69"/>
      <c r="D144" s="111"/>
      <c r="E144" s="65"/>
    </row>
    <row r="145" spans="2:5" x14ac:dyDescent="0.2">
      <c r="B145" s="65"/>
      <c r="C145" s="69"/>
      <c r="D145" s="111"/>
      <c r="E145" s="65"/>
    </row>
    <row r="146" spans="2:5" x14ac:dyDescent="0.2">
      <c r="B146" s="65"/>
      <c r="C146" s="69"/>
      <c r="D146" s="111"/>
      <c r="E146" s="65"/>
    </row>
    <row r="147" spans="2:5" x14ac:dyDescent="0.2">
      <c r="B147" s="65"/>
      <c r="C147" s="69"/>
      <c r="D147" s="111"/>
      <c r="E147" s="65"/>
    </row>
    <row r="148" spans="2:5" x14ac:dyDescent="0.2">
      <c r="B148" s="65"/>
      <c r="C148" s="69"/>
      <c r="D148" s="111"/>
      <c r="E148" s="65"/>
    </row>
    <row r="149" spans="2:5" x14ac:dyDescent="0.2">
      <c r="B149" s="65"/>
      <c r="C149" s="69"/>
      <c r="D149" s="111"/>
      <c r="E149" s="65"/>
    </row>
    <row r="150" spans="2:5" x14ac:dyDescent="0.2">
      <c r="B150" s="65"/>
      <c r="C150" s="69"/>
      <c r="D150" s="111"/>
      <c r="E150" s="65"/>
    </row>
    <row r="151" spans="2:5" x14ac:dyDescent="0.2">
      <c r="B151" s="65"/>
      <c r="C151" s="69"/>
      <c r="D151" s="111"/>
      <c r="E151" s="65"/>
    </row>
    <row r="152" spans="2:5" x14ac:dyDescent="0.2">
      <c r="B152" s="65"/>
      <c r="C152" s="69"/>
      <c r="D152" s="111"/>
      <c r="E152" s="65"/>
    </row>
    <row r="153" spans="2:5" x14ac:dyDescent="0.2">
      <c r="B153" s="65"/>
      <c r="C153" s="69"/>
      <c r="D153" s="111"/>
      <c r="E153" s="65"/>
    </row>
    <row r="154" spans="2:5" x14ac:dyDescent="0.2">
      <c r="B154" s="65"/>
      <c r="C154" s="69"/>
      <c r="D154" s="111"/>
      <c r="E154" s="65"/>
    </row>
    <row r="155" spans="2:5" x14ac:dyDescent="0.2">
      <c r="B155" s="65"/>
      <c r="C155" s="69"/>
      <c r="D155" s="111"/>
      <c r="E155" s="65"/>
    </row>
    <row r="156" spans="2:5" x14ac:dyDescent="0.2">
      <c r="B156" s="65"/>
      <c r="C156" s="69"/>
      <c r="D156" s="111"/>
      <c r="E156" s="65"/>
    </row>
    <row r="157" spans="2:5" x14ac:dyDescent="0.2">
      <c r="B157" s="65"/>
      <c r="C157" s="69"/>
      <c r="D157" s="111"/>
      <c r="E157" s="65"/>
    </row>
    <row r="158" spans="2:5" x14ac:dyDescent="0.2">
      <c r="B158" s="65"/>
      <c r="C158" s="69"/>
      <c r="D158" s="111"/>
      <c r="E158" s="65"/>
    </row>
    <row r="159" spans="2:5" x14ac:dyDescent="0.2">
      <c r="B159" s="65"/>
      <c r="C159" s="69"/>
      <c r="D159" s="111"/>
      <c r="E159" s="65"/>
    </row>
    <row r="160" spans="2:5" x14ac:dyDescent="0.2">
      <c r="B160" s="65"/>
      <c r="C160" s="69"/>
      <c r="D160" s="111"/>
      <c r="E160" s="65"/>
    </row>
    <row r="161" spans="2:5" x14ac:dyDescent="0.2">
      <c r="B161" s="65"/>
      <c r="C161" s="69"/>
      <c r="D161" s="111"/>
      <c r="E161" s="65"/>
    </row>
    <row r="162" spans="2:5" x14ac:dyDescent="0.2">
      <c r="B162" s="65"/>
      <c r="C162" s="69"/>
      <c r="D162" s="111"/>
      <c r="E162" s="65"/>
    </row>
    <row r="163" spans="2:5" x14ac:dyDescent="0.2">
      <c r="B163" s="65"/>
      <c r="C163" s="69"/>
      <c r="D163" s="111"/>
      <c r="E163" s="65"/>
    </row>
    <row r="164" spans="2:5" x14ac:dyDescent="0.2">
      <c r="B164" s="65"/>
      <c r="C164" s="69"/>
      <c r="D164" s="111"/>
      <c r="E164" s="65"/>
    </row>
    <row r="165" spans="2:5" x14ac:dyDescent="0.2">
      <c r="B165" s="65"/>
      <c r="C165" s="69"/>
      <c r="D165" s="111"/>
      <c r="E165" s="65"/>
    </row>
    <row r="166" spans="2:5" x14ac:dyDescent="0.2">
      <c r="B166" s="65"/>
      <c r="C166" s="69"/>
      <c r="D166" s="111"/>
      <c r="E166" s="65"/>
    </row>
    <row r="167" spans="2:5" x14ac:dyDescent="0.2">
      <c r="B167" s="65"/>
      <c r="C167" s="69"/>
      <c r="D167" s="111"/>
      <c r="E167" s="65"/>
    </row>
    <row r="168" spans="2:5" x14ac:dyDescent="0.2">
      <c r="B168" s="65"/>
      <c r="C168" s="69"/>
      <c r="D168" s="111"/>
      <c r="E168" s="65"/>
    </row>
    <row r="169" spans="2:5" x14ac:dyDescent="0.2">
      <c r="B169" s="65"/>
      <c r="C169" s="69"/>
      <c r="D169" s="111"/>
      <c r="E169" s="65"/>
    </row>
    <row r="170" spans="2:5" x14ac:dyDescent="0.2">
      <c r="B170" s="65"/>
      <c r="C170" s="69"/>
      <c r="D170" s="111"/>
      <c r="E170" s="65"/>
    </row>
    <row r="171" spans="2:5" x14ac:dyDescent="0.2">
      <c r="B171" s="65"/>
      <c r="C171" s="69"/>
      <c r="D171" s="111"/>
      <c r="E171" s="65"/>
    </row>
    <row r="172" spans="2:5" x14ac:dyDescent="0.2">
      <c r="B172" s="65"/>
      <c r="C172" s="69"/>
      <c r="D172" s="111"/>
      <c r="E172" s="65"/>
    </row>
    <row r="173" spans="2:5" x14ac:dyDescent="0.2">
      <c r="B173" s="65"/>
      <c r="C173" s="69"/>
      <c r="D173" s="111"/>
      <c r="E173" s="65"/>
    </row>
    <row r="174" spans="2:5" x14ac:dyDescent="0.2">
      <c r="B174" s="65"/>
      <c r="C174" s="69"/>
      <c r="D174" s="111"/>
      <c r="E174" s="65"/>
    </row>
    <row r="175" spans="2:5" x14ac:dyDescent="0.2">
      <c r="B175" s="65"/>
      <c r="C175" s="69"/>
      <c r="D175" s="111"/>
      <c r="E175" s="65"/>
    </row>
    <row r="176" spans="2:5" x14ac:dyDescent="0.2">
      <c r="B176" s="65"/>
      <c r="C176" s="69"/>
      <c r="D176" s="111"/>
      <c r="E176" s="65"/>
    </row>
    <row r="177" spans="2:5" x14ac:dyDescent="0.2">
      <c r="B177" s="65"/>
      <c r="C177" s="69"/>
      <c r="D177" s="111"/>
      <c r="E177" s="65"/>
    </row>
    <row r="178" spans="2:5" x14ac:dyDescent="0.2">
      <c r="B178" s="65"/>
      <c r="C178" s="69"/>
      <c r="D178" s="111"/>
      <c r="E178" s="65"/>
    </row>
    <row r="179" spans="2:5" x14ac:dyDescent="0.2">
      <c r="B179" s="65"/>
      <c r="C179" s="69"/>
      <c r="D179" s="111"/>
      <c r="E179" s="65"/>
    </row>
    <row r="180" spans="2:5" x14ac:dyDescent="0.2">
      <c r="B180" s="65"/>
      <c r="C180" s="69"/>
      <c r="D180" s="111"/>
      <c r="E180" s="65"/>
    </row>
    <row r="181" spans="2:5" x14ac:dyDescent="0.2">
      <c r="B181" s="65"/>
      <c r="C181" s="69"/>
      <c r="D181" s="111"/>
      <c r="E181" s="65"/>
    </row>
    <row r="182" spans="2:5" x14ac:dyDescent="0.2">
      <c r="B182" s="65"/>
      <c r="C182" s="69"/>
      <c r="D182" s="111"/>
      <c r="E182" s="65"/>
    </row>
    <row r="183" spans="2:5" x14ac:dyDescent="0.2">
      <c r="B183" s="65"/>
      <c r="C183" s="69"/>
      <c r="D183" s="111"/>
      <c r="E183" s="65"/>
    </row>
    <row r="184" spans="2:5" x14ac:dyDescent="0.2">
      <c r="B184" s="65"/>
      <c r="C184" s="69"/>
      <c r="D184" s="111"/>
      <c r="E184" s="65"/>
    </row>
    <row r="185" spans="2:5" x14ac:dyDescent="0.2">
      <c r="B185" s="65"/>
      <c r="C185" s="69"/>
      <c r="D185" s="111"/>
      <c r="E185" s="65"/>
    </row>
    <row r="186" spans="2:5" x14ac:dyDescent="0.2">
      <c r="B186" s="65"/>
      <c r="C186" s="69"/>
      <c r="D186" s="111"/>
      <c r="E186" s="65"/>
    </row>
    <row r="187" spans="2:5" x14ac:dyDescent="0.2">
      <c r="B187" s="65"/>
      <c r="C187" s="69"/>
      <c r="D187" s="111"/>
      <c r="E187" s="65"/>
    </row>
    <row r="188" spans="2:5" x14ac:dyDescent="0.2">
      <c r="B188" s="65"/>
      <c r="C188" s="69"/>
      <c r="D188" s="111"/>
      <c r="E188" s="65"/>
    </row>
    <row r="189" spans="2:5" x14ac:dyDescent="0.2">
      <c r="B189" s="65"/>
      <c r="C189" s="69"/>
      <c r="D189" s="111"/>
      <c r="E189" s="65"/>
    </row>
    <row r="190" spans="2:5" x14ac:dyDescent="0.2">
      <c r="B190" s="65"/>
      <c r="C190" s="69"/>
      <c r="D190" s="111"/>
      <c r="E190" s="65"/>
    </row>
    <row r="191" spans="2:5" x14ac:dyDescent="0.2">
      <c r="B191" s="65"/>
      <c r="C191" s="69"/>
      <c r="D191" s="111"/>
      <c r="E191" s="65"/>
    </row>
    <row r="192" spans="2:5" x14ac:dyDescent="0.2">
      <c r="B192" s="65"/>
      <c r="C192" s="69"/>
      <c r="D192" s="111"/>
      <c r="E192" s="65"/>
    </row>
    <row r="193" spans="2:5" x14ac:dyDescent="0.2">
      <c r="B193" s="65"/>
      <c r="C193" s="69"/>
      <c r="D193" s="111"/>
      <c r="E193" s="65"/>
    </row>
    <row r="194" spans="2:5" x14ac:dyDescent="0.2">
      <c r="B194" s="65"/>
      <c r="C194" s="69"/>
      <c r="D194" s="111"/>
      <c r="E194" s="65"/>
    </row>
    <row r="195" spans="2:5" x14ac:dyDescent="0.2">
      <c r="B195" s="65"/>
      <c r="C195" s="69"/>
      <c r="D195" s="111"/>
      <c r="E195" s="65"/>
    </row>
    <row r="196" spans="2:5" x14ac:dyDescent="0.2">
      <c r="B196" s="65"/>
      <c r="C196" s="69"/>
      <c r="D196" s="111"/>
      <c r="E196" s="65"/>
    </row>
    <row r="197" spans="2:5" x14ac:dyDescent="0.2">
      <c r="B197" s="65"/>
      <c r="C197" s="69"/>
      <c r="D197" s="111"/>
      <c r="E197" s="65"/>
    </row>
    <row r="198" spans="2:5" x14ac:dyDescent="0.2">
      <c r="B198" s="65"/>
      <c r="C198" s="69"/>
      <c r="D198" s="111"/>
      <c r="E198" s="65"/>
    </row>
    <row r="199" spans="2:5" x14ac:dyDescent="0.2">
      <c r="B199" s="65"/>
      <c r="C199" s="69"/>
      <c r="D199" s="111"/>
      <c r="E199" s="65"/>
    </row>
    <row r="200" spans="2:5" x14ac:dyDescent="0.2">
      <c r="B200" s="65"/>
      <c r="C200" s="69"/>
      <c r="D200" s="111"/>
      <c r="E200" s="65"/>
    </row>
    <row r="201" spans="2:5" x14ac:dyDescent="0.2">
      <c r="B201" s="65"/>
      <c r="C201" s="69"/>
      <c r="D201" s="111"/>
      <c r="E201" s="65"/>
    </row>
    <row r="202" spans="2:5" x14ac:dyDescent="0.2">
      <c r="B202" s="65"/>
      <c r="C202" s="69"/>
      <c r="D202" s="111"/>
      <c r="E202" s="65"/>
    </row>
    <row r="203" spans="2:5" x14ac:dyDescent="0.2">
      <c r="B203" s="65"/>
      <c r="C203" s="69"/>
      <c r="D203" s="111"/>
      <c r="E203" s="65"/>
    </row>
    <row r="204" spans="2:5" x14ac:dyDescent="0.2">
      <c r="B204" s="65"/>
      <c r="C204" s="69"/>
      <c r="D204" s="111"/>
      <c r="E204" s="65"/>
    </row>
    <row r="205" spans="2:5" x14ac:dyDescent="0.2">
      <c r="B205" s="65"/>
      <c r="C205" s="69"/>
      <c r="D205" s="111"/>
      <c r="E205" s="65"/>
    </row>
    <row r="206" spans="2:5" x14ac:dyDescent="0.2">
      <c r="B206" s="65"/>
      <c r="C206" s="69"/>
      <c r="D206" s="111"/>
      <c r="E206" s="65"/>
    </row>
    <row r="207" spans="2:5" x14ac:dyDescent="0.2">
      <c r="B207" s="65"/>
      <c r="C207" s="69"/>
      <c r="D207" s="111"/>
      <c r="E207" s="65"/>
    </row>
    <row r="208" spans="2:5" x14ac:dyDescent="0.2">
      <c r="B208" s="65"/>
      <c r="C208" s="69"/>
      <c r="D208" s="111"/>
      <c r="E208" s="65"/>
    </row>
    <row r="209" spans="2:5" x14ac:dyDescent="0.2">
      <c r="B209" s="65"/>
      <c r="C209" s="69"/>
      <c r="D209" s="111"/>
      <c r="E209" s="65"/>
    </row>
    <row r="210" spans="2:5" x14ac:dyDescent="0.2">
      <c r="B210" s="65"/>
      <c r="C210" s="69"/>
      <c r="D210" s="111"/>
      <c r="E210" s="65"/>
    </row>
    <row r="211" spans="2:5" x14ac:dyDescent="0.2">
      <c r="B211" s="65"/>
      <c r="C211" s="69"/>
      <c r="D211" s="111"/>
      <c r="E211" s="65"/>
    </row>
    <row r="212" spans="2:5" x14ac:dyDescent="0.2">
      <c r="B212" s="65"/>
      <c r="C212" s="69"/>
      <c r="D212" s="111"/>
      <c r="E212" s="65"/>
    </row>
    <row r="213" spans="2:5" x14ac:dyDescent="0.2">
      <c r="B213" s="65"/>
      <c r="C213" s="69"/>
      <c r="D213" s="111"/>
      <c r="E213" s="65"/>
    </row>
    <row r="214" spans="2:5" x14ac:dyDescent="0.2">
      <c r="B214" s="65"/>
      <c r="C214" s="69"/>
      <c r="D214" s="111"/>
      <c r="E214" s="65"/>
    </row>
    <row r="215" spans="2:5" x14ac:dyDescent="0.2">
      <c r="B215" s="65"/>
      <c r="C215" s="69"/>
      <c r="D215" s="111"/>
      <c r="E215" s="65"/>
    </row>
    <row r="216" spans="2:5" x14ac:dyDescent="0.2">
      <c r="B216" s="65"/>
      <c r="C216" s="69"/>
      <c r="D216" s="111"/>
      <c r="E216" s="65"/>
    </row>
    <row r="217" spans="2:5" x14ac:dyDescent="0.2">
      <c r="B217" s="65"/>
      <c r="C217" s="69"/>
      <c r="D217" s="111"/>
      <c r="E217" s="65"/>
    </row>
    <row r="218" spans="2:5" x14ac:dyDescent="0.2">
      <c r="B218" s="65"/>
      <c r="C218" s="69"/>
      <c r="D218" s="111"/>
      <c r="E218" s="65"/>
    </row>
    <row r="219" spans="2:5" x14ac:dyDescent="0.2">
      <c r="B219" s="65"/>
      <c r="C219" s="69"/>
      <c r="D219" s="111"/>
      <c r="E219" s="65"/>
    </row>
    <row r="220" spans="2:5" x14ac:dyDescent="0.2">
      <c r="B220" s="65"/>
      <c r="C220" s="69"/>
      <c r="D220" s="111"/>
      <c r="E220" s="65"/>
    </row>
    <row r="221" spans="2:5" x14ac:dyDescent="0.2">
      <c r="B221" s="65"/>
      <c r="C221" s="69"/>
      <c r="D221" s="111"/>
      <c r="E221" s="65"/>
    </row>
    <row r="222" spans="2:5" x14ac:dyDescent="0.2">
      <c r="B222" s="65"/>
      <c r="C222" s="69"/>
      <c r="D222" s="111"/>
      <c r="E222" s="65"/>
    </row>
    <row r="223" spans="2:5" x14ac:dyDescent="0.2">
      <c r="B223" s="65"/>
      <c r="C223" s="69"/>
      <c r="D223" s="111"/>
      <c r="E223" s="65"/>
    </row>
    <row r="224" spans="2:5" x14ac:dyDescent="0.2">
      <c r="B224" s="65"/>
      <c r="C224" s="69"/>
      <c r="D224" s="111"/>
      <c r="E224" s="65"/>
    </row>
    <row r="225" spans="2:5" x14ac:dyDescent="0.2">
      <c r="B225" s="65"/>
      <c r="C225" s="69"/>
      <c r="D225" s="111"/>
      <c r="E225" s="65"/>
    </row>
    <row r="226" spans="2:5" x14ac:dyDescent="0.2">
      <c r="D226" s="7"/>
    </row>
    <row r="227" spans="2:5" x14ac:dyDescent="0.2">
      <c r="D227" s="7"/>
    </row>
    <row r="228" spans="2:5" x14ac:dyDescent="0.2">
      <c r="D228" s="7"/>
    </row>
    <row r="229" spans="2:5" x14ac:dyDescent="0.2">
      <c r="D229" s="7"/>
    </row>
    <row r="230" spans="2:5" x14ac:dyDescent="0.2">
      <c r="D230" s="7"/>
    </row>
    <row r="231" spans="2:5" x14ac:dyDescent="0.2">
      <c r="D231" s="7"/>
    </row>
    <row r="232" spans="2:5" x14ac:dyDescent="0.2">
      <c r="D232" s="7"/>
    </row>
    <row r="233" spans="2:5" x14ac:dyDescent="0.2">
      <c r="D233" s="7"/>
    </row>
    <row r="234" spans="2:5" x14ac:dyDescent="0.2">
      <c r="D234" s="7"/>
    </row>
    <row r="235" spans="2:5" x14ac:dyDescent="0.2">
      <c r="D235" s="7"/>
    </row>
    <row r="236" spans="2:5" x14ac:dyDescent="0.2">
      <c r="D236" s="7"/>
    </row>
    <row r="237" spans="2:5" x14ac:dyDescent="0.2">
      <c r="D237" s="7"/>
    </row>
  </sheetData>
  <mergeCells count="8">
    <mergeCell ref="A91:B91"/>
    <mergeCell ref="A80:B80"/>
    <mergeCell ref="A56:B56"/>
    <mergeCell ref="B2:E2"/>
    <mergeCell ref="B21:E21"/>
    <mergeCell ref="B30:E30"/>
    <mergeCell ref="A19:B19"/>
    <mergeCell ref="A28:B2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C046-ED46-4307-A67F-F74C1DE126CA}">
  <dimension ref="A1:H337"/>
  <sheetViews>
    <sheetView zoomScaleNormal="100" workbookViewId="0">
      <pane ySplit="1" topLeftCell="A202" activePane="bottomLeft" state="frozen"/>
      <selection pane="bottomLeft" activeCell="A325" sqref="A325"/>
    </sheetView>
  </sheetViews>
  <sheetFormatPr defaultRowHeight="15" x14ac:dyDescent="0.2"/>
  <cols>
    <col min="1" max="1" width="6.45703125" customWidth="1"/>
    <col min="2" max="2" width="40.89453125" customWidth="1"/>
    <col min="3" max="3" width="31.4765625" bestFit="1" customWidth="1"/>
    <col min="4" max="5" width="15.46875" style="11" customWidth="1"/>
    <col min="6" max="6" width="19.37109375" hidden="1" customWidth="1"/>
    <col min="7" max="7" width="17.890625" customWidth="1"/>
    <col min="8" max="8" width="36.453125" customWidth="1"/>
  </cols>
  <sheetData>
    <row r="1" spans="1:8" x14ac:dyDescent="0.2">
      <c r="A1" s="68"/>
      <c r="B1" s="137" t="s">
        <v>121</v>
      </c>
      <c r="C1" s="137" t="s">
        <v>122</v>
      </c>
      <c r="D1" s="138" t="s">
        <v>123</v>
      </c>
      <c r="E1" s="138" t="s">
        <v>124</v>
      </c>
      <c r="F1" s="137" t="s">
        <v>125</v>
      </c>
      <c r="G1" s="137" t="s">
        <v>66</v>
      </c>
      <c r="H1" s="137" t="s">
        <v>67</v>
      </c>
    </row>
    <row r="2" spans="1:8" ht="18.75" x14ac:dyDescent="0.25">
      <c r="A2" s="128"/>
      <c r="B2" s="215" t="s">
        <v>68</v>
      </c>
      <c r="C2" s="216"/>
      <c r="D2" s="216"/>
      <c r="E2" s="216"/>
      <c r="F2" s="216"/>
      <c r="G2" s="216"/>
      <c r="H2" s="217"/>
    </row>
    <row r="3" spans="1:8" ht="20.45" customHeight="1" x14ac:dyDescent="0.2">
      <c r="A3" s="65">
        <f>+A2+1</f>
        <v>1</v>
      </c>
      <c r="B3" s="129" t="s">
        <v>126</v>
      </c>
      <c r="C3" s="130"/>
      <c r="D3" s="131"/>
      <c r="E3" s="132">
        <v>1613.87</v>
      </c>
      <c r="F3" s="130" t="s">
        <v>127</v>
      </c>
      <c r="G3" s="133"/>
      <c r="H3" s="130"/>
    </row>
    <row r="4" spans="1:8" x14ac:dyDescent="0.2">
      <c r="A4" s="65">
        <f t="shared" ref="A4:A67" si="0">+A3+1</f>
        <v>2</v>
      </c>
      <c r="B4" s="121" t="s">
        <v>126</v>
      </c>
      <c r="C4" s="65"/>
      <c r="D4" s="120"/>
      <c r="E4" s="122">
        <v>132.72</v>
      </c>
      <c r="F4" s="65" t="s">
        <v>127</v>
      </c>
      <c r="G4" s="127"/>
      <c r="H4" s="123"/>
    </row>
    <row r="5" spans="1:8" x14ac:dyDescent="0.2">
      <c r="A5" s="65">
        <f t="shared" si="0"/>
        <v>3</v>
      </c>
      <c r="B5" s="121"/>
      <c r="C5" s="65"/>
      <c r="D5" s="120"/>
      <c r="E5" s="124"/>
      <c r="F5" s="65"/>
      <c r="G5" s="127"/>
      <c r="H5" s="65"/>
    </row>
    <row r="6" spans="1:8" x14ac:dyDescent="0.2">
      <c r="A6" s="65">
        <f t="shared" si="0"/>
        <v>4</v>
      </c>
      <c r="B6" s="121" t="s">
        <v>128</v>
      </c>
      <c r="C6" s="65"/>
      <c r="D6" s="120"/>
      <c r="E6" s="124"/>
      <c r="F6" s="65" t="s">
        <v>127</v>
      </c>
      <c r="G6" s="127"/>
      <c r="H6" s="65"/>
    </row>
    <row r="7" spans="1:8" x14ac:dyDescent="0.2">
      <c r="A7" s="65">
        <f t="shared" si="0"/>
        <v>5</v>
      </c>
      <c r="B7" s="121" t="s">
        <v>129</v>
      </c>
      <c r="C7" s="65"/>
      <c r="D7" s="120"/>
      <c r="E7" s="122">
        <v>13527.35</v>
      </c>
      <c r="F7" s="65" t="s">
        <v>127</v>
      </c>
      <c r="G7" s="127"/>
      <c r="H7" s="65"/>
    </row>
    <row r="8" spans="1:8" x14ac:dyDescent="0.2">
      <c r="A8" s="65">
        <f t="shared" si="0"/>
        <v>6</v>
      </c>
      <c r="B8" s="121" t="s">
        <v>130</v>
      </c>
      <c r="C8" s="65"/>
      <c r="D8" s="120"/>
      <c r="E8" s="122">
        <v>229.98</v>
      </c>
      <c r="F8" s="65" t="s">
        <v>127</v>
      </c>
      <c r="G8" s="127"/>
      <c r="H8" s="65"/>
    </row>
    <row r="9" spans="1:8" x14ac:dyDescent="0.2">
      <c r="A9" s="65">
        <f t="shared" si="0"/>
        <v>7</v>
      </c>
      <c r="B9" s="121" t="s">
        <v>131</v>
      </c>
      <c r="C9" s="65"/>
      <c r="D9" s="120"/>
      <c r="E9" s="122">
        <v>82.87</v>
      </c>
      <c r="F9" s="65" t="s">
        <v>127</v>
      </c>
      <c r="G9" s="127"/>
      <c r="H9" s="65"/>
    </row>
    <row r="10" spans="1:8" x14ac:dyDescent="0.2">
      <c r="A10" s="65">
        <f t="shared" si="0"/>
        <v>8</v>
      </c>
      <c r="B10" s="121" t="s">
        <v>132</v>
      </c>
      <c r="C10" s="65"/>
      <c r="D10" s="120"/>
      <c r="E10" s="122">
        <v>122.77</v>
      </c>
      <c r="F10" s="65" t="s">
        <v>127</v>
      </c>
      <c r="G10" s="127"/>
      <c r="H10" s="65"/>
    </row>
    <row r="11" spans="1:8" x14ac:dyDescent="0.2">
      <c r="A11" s="65">
        <f t="shared" si="0"/>
        <v>9</v>
      </c>
      <c r="B11" s="121" t="s">
        <v>133</v>
      </c>
      <c r="C11" s="65"/>
      <c r="D11" s="120"/>
      <c r="E11" s="122">
        <v>270.2</v>
      </c>
      <c r="F11" s="65" t="s">
        <v>127</v>
      </c>
      <c r="G11" s="127"/>
      <c r="H11" s="65"/>
    </row>
    <row r="12" spans="1:8" x14ac:dyDescent="0.2">
      <c r="A12" s="65">
        <f t="shared" si="0"/>
        <v>10</v>
      </c>
      <c r="B12" s="121" t="s">
        <v>134</v>
      </c>
      <c r="C12" s="65"/>
      <c r="D12" s="120"/>
      <c r="E12" s="122">
        <v>11.11</v>
      </c>
      <c r="F12" s="65" t="s">
        <v>127</v>
      </c>
      <c r="G12" s="127"/>
      <c r="H12" s="65"/>
    </row>
    <row r="13" spans="1:8" x14ac:dyDescent="0.2">
      <c r="A13" s="65">
        <f t="shared" si="0"/>
        <v>11</v>
      </c>
      <c r="B13" s="121" t="s">
        <v>135</v>
      </c>
      <c r="C13" s="65"/>
      <c r="D13" s="120"/>
      <c r="E13" s="122">
        <v>33.67</v>
      </c>
      <c r="F13" s="65" t="s">
        <v>127</v>
      </c>
      <c r="G13" s="127"/>
      <c r="H13" s="65"/>
    </row>
    <row r="14" spans="1:8" x14ac:dyDescent="0.2">
      <c r="A14" s="65">
        <f t="shared" si="0"/>
        <v>12</v>
      </c>
      <c r="B14" s="121" t="s">
        <v>136</v>
      </c>
      <c r="C14" s="65"/>
      <c r="D14" s="120"/>
      <c r="E14" s="122">
        <v>2176.37</v>
      </c>
      <c r="F14" s="65" t="s">
        <v>127</v>
      </c>
      <c r="G14" s="127"/>
      <c r="H14" s="65"/>
    </row>
    <row r="15" spans="1:8" x14ac:dyDescent="0.2">
      <c r="A15" s="65">
        <f t="shared" si="0"/>
        <v>13</v>
      </c>
      <c r="B15" s="121" t="s">
        <v>137</v>
      </c>
      <c r="C15" s="65"/>
      <c r="D15" s="120"/>
      <c r="E15" s="122">
        <v>725.46</v>
      </c>
      <c r="F15" s="65" t="s">
        <v>127</v>
      </c>
      <c r="G15" s="127"/>
      <c r="H15" s="65"/>
    </row>
    <row r="16" spans="1:8" x14ac:dyDescent="0.2">
      <c r="A16" s="65">
        <f t="shared" si="0"/>
        <v>14</v>
      </c>
      <c r="B16" s="121" t="s">
        <v>138</v>
      </c>
      <c r="C16" s="65"/>
      <c r="D16" s="120"/>
      <c r="E16" s="122">
        <v>2157.9</v>
      </c>
      <c r="F16" s="65" t="s">
        <v>127</v>
      </c>
      <c r="G16" s="127"/>
      <c r="H16" s="65"/>
    </row>
    <row r="17" spans="1:8" x14ac:dyDescent="0.2">
      <c r="A17" s="65">
        <f t="shared" si="0"/>
        <v>15</v>
      </c>
      <c r="B17" s="121" t="s">
        <v>139</v>
      </c>
      <c r="C17" s="65"/>
      <c r="D17" s="120"/>
      <c r="E17" s="122">
        <v>829.52</v>
      </c>
      <c r="F17" s="65" t="s">
        <v>127</v>
      </c>
      <c r="G17" s="127"/>
      <c r="H17" s="65"/>
    </row>
    <row r="18" spans="1:8" x14ac:dyDescent="0.2">
      <c r="A18" s="65">
        <f t="shared" si="0"/>
        <v>16</v>
      </c>
      <c r="B18" s="121" t="s">
        <v>140</v>
      </c>
      <c r="C18" s="65"/>
      <c r="D18" s="120"/>
      <c r="E18" s="124">
        <v>20331.63</v>
      </c>
      <c r="F18" s="65" t="s">
        <v>127</v>
      </c>
      <c r="G18" s="127">
        <v>20354.099999999999</v>
      </c>
      <c r="H18" s="65" t="s">
        <v>141</v>
      </c>
    </row>
    <row r="19" spans="1:8" x14ac:dyDescent="0.2">
      <c r="A19" s="65">
        <f t="shared" si="0"/>
        <v>17</v>
      </c>
      <c r="B19" s="121" t="s">
        <v>142</v>
      </c>
      <c r="C19" s="65"/>
      <c r="D19" s="120"/>
      <c r="E19" s="122">
        <v>229.55</v>
      </c>
      <c r="F19" s="65" t="s">
        <v>127</v>
      </c>
      <c r="G19" s="127"/>
      <c r="H19" s="65"/>
    </row>
    <row r="20" spans="1:8" x14ac:dyDescent="0.2">
      <c r="A20" s="65">
        <f t="shared" si="0"/>
        <v>18</v>
      </c>
      <c r="B20" s="121" t="s">
        <v>143</v>
      </c>
      <c r="C20" s="65"/>
      <c r="D20" s="120"/>
      <c r="E20" s="122">
        <v>936.17</v>
      </c>
      <c r="F20" s="65" t="s">
        <v>127</v>
      </c>
      <c r="G20" s="127"/>
      <c r="H20" s="65"/>
    </row>
    <row r="21" spans="1:8" x14ac:dyDescent="0.2">
      <c r="A21" s="65">
        <f t="shared" si="0"/>
        <v>19</v>
      </c>
      <c r="B21" s="121" t="s">
        <v>144</v>
      </c>
      <c r="C21" s="65"/>
      <c r="D21" s="120"/>
      <c r="E21" s="122">
        <v>219.08</v>
      </c>
      <c r="F21" s="65" t="s">
        <v>127</v>
      </c>
      <c r="G21" s="127"/>
      <c r="H21" s="65"/>
    </row>
    <row r="22" spans="1:8" ht="27.75" x14ac:dyDescent="0.2">
      <c r="A22" s="65">
        <f t="shared" si="0"/>
        <v>20</v>
      </c>
      <c r="B22" s="125" t="s">
        <v>145</v>
      </c>
      <c r="C22" s="65"/>
      <c r="D22" s="120"/>
      <c r="E22" s="122">
        <v>241.71</v>
      </c>
      <c r="F22" s="65" t="s">
        <v>127</v>
      </c>
      <c r="G22" s="127"/>
      <c r="H22" s="65"/>
    </row>
    <row r="23" spans="1:8" x14ac:dyDescent="0.2">
      <c r="A23" s="65">
        <f t="shared" si="0"/>
        <v>21</v>
      </c>
      <c r="B23" s="121" t="s">
        <v>146</v>
      </c>
      <c r="C23" s="65"/>
      <c r="D23" s="120"/>
      <c r="E23" s="122">
        <v>184.41</v>
      </c>
      <c r="F23" s="65" t="s">
        <v>127</v>
      </c>
      <c r="G23" s="127"/>
      <c r="H23" s="65"/>
    </row>
    <row r="24" spans="1:8" x14ac:dyDescent="0.2">
      <c r="A24" s="65">
        <f t="shared" si="0"/>
        <v>22</v>
      </c>
      <c r="B24" s="121" t="s">
        <v>147</v>
      </c>
      <c r="C24" s="65"/>
      <c r="D24" s="120"/>
      <c r="E24" s="122">
        <v>107.43</v>
      </c>
      <c r="F24" s="65" t="s">
        <v>127</v>
      </c>
      <c r="G24" s="127"/>
      <c r="H24" s="65"/>
    </row>
    <row r="25" spans="1:8" x14ac:dyDescent="0.2">
      <c r="A25" s="65">
        <f t="shared" si="0"/>
        <v>23</v>
      </c>
      <c r="B25" s="121" t="s">
        <v>129</v>
      </c>
      <c r="C25" s="65"/>
      <c r="D25" s="120"/>
      <c r="E25" s="122">
        <v>10.62</v>
      </c>
      <c r="F25" s="65" t="s">
        <v>127</v>
      </c>
      <c r="G25" s="127"/>
      <c r="H25" s="65"/>
    </row>
    <row r="26" spans="1:8" x14ac:dyDescent="0.2">
      <c r="A26" s="65">
        <f t="shared" si="0"/>
        <v>24</v>
      </c>
      <c r="B26" s="121" t="s">
        <v>148</v>
      </c>
      <c r="C26" s="65"/>
      <c r="D26" s="120"/>
      <c r="E26" s="122">
        <v>56.41</v>
      </c>
      <c r="F26" s="65" t="s">
        <v>127</v>
      </c>
      <c r="G26" s="127"/>
      <c r="H26" s="65"/>
    </row>
    <row r="27" spans="1:8" x14ac:dyDescent="0.2">
      <c r="A27" s="65">
        <f t="shared" si="0"/>
        <v>25</v>
      </c>
      <c r="B27" s="121" t="s">
        <v>149</v>
      </c>
      <c r="C27" s="65"/>
      <c r="D27" s="120"/>
      <c r="E27" s="122">
        <v>262.13</v>
      </c>
      <c r="F27" s="65" t="s">
        <v>127</v>
      </c>
      <c r="G27" s="127"/>
      <c r="H27" s="65"/>
    </row>
    <row r="28" spans="1:8" x14ac:dyDescent="0.2">
      <c r="A28" s="65">
        <f t="shared" si="0"/>
        <v>26</v>
      </c>
      <c r="B28" s="121" t="s">
        <v>150</v>
      </c>
      <c r="C28" s="65"/>
      <c r="D28" s="120"/>
      <c r="E28" s="122">
        <v>1660.78</v>
      </c>
      <c r="F28" s="65" t="s">
        <v>127</v>
      </c>
      <c r="G28" s="127"/>
      <c r="H28" s="65"/>
    </row>
    <row r="29" spans="1:8" x14ac:dyDescent="0.2">
      <c r="A29" s="65">
        <f t="shared" si="0"/>
        <v>27</v>
      </c>
      <c r="B29" s="121" t="s">
        <v>151</v>
      </c>
      <c r="C29" s="65"/>
      <c r="D29" s="120"/>
      <c r="E29" s="122">
        <v>514.38</v>
      </c>
      <c r="F29" s="65" t="s">
        <v>127</v>
      </c>
      <c r="G29" s="127"/>
      <c r="H29" s="65"/>
    </row>
    <row r="30" spans="1:8" x14ac:dyDescent="0.2">
      <c r="A30" s="65">
        <f t="shared" si="0"/>
        <v>28</v>
      </c>
      <c r="B30" s="121" t="s">
        <v>152</v>
      </c>
      <c r="C30" s="65"/>
      <c r="D30" s="120"/>
      <c r="E30" s="122">
        <v>162.56</v>
      </c>
      <c r="F30" s="65" t="s">
        <v>127</v>
      </c>
      <c r="G30" s="127"/>
      <c r="H30" s="65"/>
    </row>
    <row r="31" spans="1:8" x14ac:dyDescent="0.2">
      <c r="A31" s="65">
        <f t="shared" si="0"/>
        <v>29</v>
      </c>
      <c r="B31" s="121" t="s">
        <v>153</v>
      </c>
      <c r="C31" s="65"/>
      <c r="D31" s="120"/>
      <c r="E31" s="122">
        <v>4571.59</v>
      </c>
      <c r="F31" s="65" t="s">
        <v>127</v>
      </c>
      <c r="G31" s="127"/>
      <c r="H31" s="65"/>
    </row>
    <row r="32" spans="1:8" x14ac:dyDescent="0.2">
      <c r="A32" s="65">
        <f t="shared" si="0"/>
        <v>30</v>
      </c>
      <c r="B32" s="121" t="s">
        <v>154</v>
      </c>
      <c r="C32" s="65"/>
      <c r="D32" s="120"/>
      <c r="E32" s="122">
        <v>9500</v>
      </c>
      <c r="F32" s="65" t="s">
        <v>127</v>
      </c>
      <c r="G32" s="127"/>
      <c r="H32" s="65"/>
    </row>
    <row r="33" spans="1:8" x14ac:dyDescent="0.2">
      <c r="A33" s="65">
        <f t="shared" si="0"/>
        <v>31</v>
      </c>
      <c r="B33" s="65" t="s">
        <v>155</v>
      </c>
      <c r="C33" s="65"/>
      <c r="D33" s="120"/>
      <c r="E33" s="126">
        <v>1945.68</v>
      </c>
      <c r="F33" s="65" t="s">
        <v>127</v>
      </c>
      <c r="G33" s="127"/>
      <c r="H33" s="65"/>
    </row>
    <row r="34" spans="1:8" x14ac:dyDescent="0.2">
      <c r="A34" s="65">
        <f t="shared" si="0"/>
        <v>32</v>
      </c>
      <c r="B34" s="65" t="s">
        <v>156</v>
      </c>
      <c r="C34" s="65"/>
      <c r="D34" s="120"/>
      <c r="E34" s="126">
        <v>1.33</v>
      </c>
      <c r="F34" s="65" t="s">
        <v>127</v>
      </c>
      <c r="G34" s="127"/>
      <c r="H34" s="65"/>
    </row>
    <row r="35" spans="1:8" x14ac:dyDescent="0.2">
      <c r="A35" s="65">
        <f t="shared" si="0"/>
        <v>33</v>
      </c>
      <c r="B35" s="65" t="s">
        <v>157</v>
      </c>
      <c r="C35" s="65"/>
      <c r="D35" s="120"/>
      <c r="E35" s="126">
        <v>17.899999999999999</v>
      </c>
      <c r="F35" s="65" t="s">
        <v>127</v>
      </c>
      <c r="G35" s="127"/>
      <c r="H35" s="65"/>
    </row>
    <row r="36" spans="1:8" x14ac:dyDescent="0.2">
      <c r="A36" s="65">
        <f t="shared" si="0"/>
        <v>34</v>
      </c>
      <c r="B36" s="65" t="s">
        <v>157</v>
      </c>
      <c r="C36" s="65"/>
      <c r="D36" s="120"/>
      <c r="E36" s="126">
        <v>64.180000000000007</v>
      </c>
      <c r="F36" s="65" t="s">
        <v>127</v>
      </c>
      <c r="G36" s="127"/>
      <c r="H36" s="65"/>
    </row>
    <row r="37" spans="1:8" x14ac:dyDescent="0.2">
      <c r="A37" s="65">
        <f t="shared" si="0"/>
        <v>35</v>
      </c>
      <c r="B37" s="65" t="s">
        <v>158</v>
      </c>
      <c r="C37" s="65"/>
      <c r="D37" s="120"/>
      <c r="E37" s="126">
        <v>70</v>
      </c>
      <c r="F37" s="65" t="s">
        <v>127</v>
      </c>
      <c r="G37" s="127"/>
      <c r="H37" s="65"/>
    </row>
    <row r="38" spans="1:8" x14ac:dyDescent="0.2">
      <c r="A38" s="65">
        <f t="shared" si="0"/>
        <v>36</v>
      </c>
      <c r="B38" s="65" t="s">
        <v>159</v>
      </c>
      <c r="C38" s="65"/>
      <c r="D38" s="120"/>
      <c r="E38" s="126">
        <v>195.23</v>
      </c>
      <c r="F38" s="65" t="s">
        <v>127</v>
      </c>
      <c r="G38" s="127"/>
      <c r="H38" s="65"/>
    </row>
    <row r="39" spans="1:8" x14ac:dyDescent="0.2">
      <c r="A39" s="65">
        <f t="shared" si="0"/>
        <v>37</v>
      </c>
      <c r="B39" s="65" t="s">
        <v>160</v>
      </c>
      <c r="C39" s="65"/>
      <c r="D39" s="120"/>
      <c r="E39" s="126">
        <v>133.03</v>
      </c>
      <c r="F39" s="65" t="s">
        <v>127</v>
      </c>
      <c r="G39" s="127"/>
      <c r="H39" s="65"/>
    </row>
    <row r="40" spans="1:8" x14ac:dyDescent="0.2">
      <c r="A40" s="65">
        <f t="shared" si="0"/>
        <v>38</v>
      </c>
      <c r="B40" s="65" t="s">
        <v>161</v>
      </c>
      <c r="C40" s="65"/>
      <c r="D40" s="120"/>
      <c r="E40" s="126">
        <v>196.97</v>
      </c>
      <c r="F40" s="65" t="s">
        <v>127</v>
      </c>
      <c r="G40" s="127"/>
      <c r="H40" s="65"/>
    </row>
    <row r="41" spans="1:8" x14ac:dyDescent="0.2">
      <c r="A41" s="65">
        <f t="shared" si="0"/>
        <v>39</v>
      </c>
      <c r="B41" s="65" t="s">
        <v>153</v>
      </c>
      <c r="C41" s="65"/>
      <c r="D41" s="120"/>
      <c r="E41" s="126">
        <v>653.66999999999996</v>
      </c>
      <c r="F41" s="65" t="s">
        <v>127</v>
      </c>
      <c r="G41" s="127"/>
      <c r="H41" s="65" t="s">
        <v>162</v>
      </c>
    </row>
    <row r="42" spans="1:8" x14ac:dyDescent="0.2">
      <c r="A42" s="65">
        <f t="shared" si="0"/>
        <v>40</v>
      </c>
      <c r="B42" s="65" t="s">
        <v>156</v>
      </c>
      <c r="C42" s="65"/>
      <c r="D42" s="120"/>
      <c r="E42" s="126">
        <v>6.64</v>
      </c>
      <c r="F42" s="65" t="s">
        <v>127</v>
      </c>
      <c r="G42" s="127"/>
      <c r="H42" s="65"/>
    </row>
    <row r="43" spans="1:8" x14ac:dyDescent="0.2">
      <c r="A43" s="65">
        <f t="shared" si="0"/>
        <v>41</v>
      </c>
      <c r="B43" s="65" t="s">
        <v>163</v>
      </c>
      <c r="C43" s="65"/>
      <c r="D43" s="120"/>
      <c r="E43" s="126">
        <v>31.5</v>
      </c>
      <c r="F43" s="65" t="s">
        <v>127</v>
      </c>
      <c r="G43" s="127"/>
      <c r="H43" s="65"/>
    </row>
    <row r="44" spans="1:8" x14ac:dyDescent="0.2">
      <c r="A44" s="65">
        <f t="shared" si="0"/>
        <v>42</v>
      </c>
      <c r="B44" s="65" t="s">
        <v>164</v>
      </c>
      <c r="C44" s="65"/>
      <c r="D44" s="120"/>
      <c r="E44" s="126">
        <v>17.25</v>
      </c>
      <c r="F44" s="65" t="s">
        <v>127</v>
      </c>
      <c r="G44" s="127"/>
      <c r="H44" s="65"/>
    </row>
    <row r="45" spans="1:8" x14ac:dyDescent="0.2">
      <c r="A45" s="65">
        <f t="shared" si="0"/>
        <v>43</v>
      </c>
      <c r="B45" s="65" t="s">
        <v>164</v>
      </c>
      <c r="C45" s="65"/>
      <c r="D45" s="120"/>
      <c r="E45" s="126">
        <v>1.99</v>
      </c>
      <c r="F45" s="65" t="s">
        <v>127</v>
      </c>
      <c r="G45" s="127"/>
      <c r="H45" s="65"/>
    </row>
    <row r="46" spans="1:8" x14ac:dyDescent="0.2">
      <c r="A46" s="65">
        <f t="shared" si="0"/>
        <v>44</v>
      </c>
      <c r="B46" s="65" t="s">
        <v>165</v>
      </c>
      <c r="C46" s="65"/>
      <c r="D46" s="120"/>
      <c r="E46" s="126">
        <v>12000</v>
      </c>
      <c r="F46" s="65" t="s">
        <v>127</v>
      </c>
      <c r="G46" s="127"/>
      <c r="H46" s="65"/>
    </row>
    <row r="47" spans="1:8" x14ac:dyDescent="0.2">
      <c r="A47" s="65">
        <f t="shared" si="0"/>
        <v>45</v>
      </c>
      <c r="B47" s="65" t="s">
        <v>153</v>
      </c>
      <c r="C47" s="65"/>
      <c r="D47" s="120"/>
      <c r="E47" s="126">
        <v>4213.95</v>
      </c>
      <c r="F47" s="65" t="s">
        <v>127</v>
      </c>
      <c r="G47" s="127"/>
      <c r="H47" s="65" t="s">
        <v>162</v>
      </c>
    </row>
    <row r="48" spans="1:8" x14ac:dyDescent="0.2">
      <c r="A48" s="65">
        <f t="shared" si="0"/>
        <v>46</v>
      </c>
      <c r="B48" s="65" t="s">
        <v>166</v>
      </c>
      <c r="C48" s="65"/>
      <c r="D48" s="120"/>
      <c r="E48" s="126">
        <v>312.83</v>
      </c>
      <c r="F48" s="65" t="s">
        <v>127</v>
      </c>
      <c r="G48" s="127"/>
      <c r="H48" s="65"/>
    </row>
    <row r="49" spans="1:8" x14ac:dyDescent="0.2">
      <c r="A49" s="65">
        <f t="shared" si="0"/>
        <v>47</v>
      </c>
      <c r="B49" s="65" t="s">
        <v>156</v>
      </c>
      <c r="C49" s="65"/>
      <c r="D49" s="120"/>
      <c r="E49" s="126">
        <v>36.31</v>
      </c>
      <c r="F49" s="65" t="s">
        <v>127</v>
      </c>
      <c r="G49" s="127"/>
      <c r="H49" s="65"/>
    </row>
    <row r="50" spans="1:8" x14ac:dyDescent="0.2">
      <c r="A50" s="65">
        <f t="shared" si="0"/>
        <v>48</v>
      </c>
      <c r="B50" s="65" t="s">
        <v>167</v>
      </c>
      <c r="C50" s="65"/>
      <c r="D50" s="120"/>
      <c r="E50" s="126">
        <v>709.65</v>
      </c>
      <c r="F50" s="65" t="s">
        <v>127</v>
      </c>
      <c r="G50" s="127"/>
      <c r="H50" s="65"/>
    </row>
    <row r="51" spans="1:8" x14ac:dyDescent="0.2">
      <c r="A51" s="65">
        <f t="shared" si="0"/>
        <v>49</v>
      </c>
      <c r="B51" s="65" t="s">
        <v>168</v>
      </c>
      <c r="C51" s="65"/>
      <c r="D51" s="120"/>
      <c r="E51" s="126">
        <v>618.77</v>
      </c>
      <c r="F51" s="65" t="s">
        <v>127</v>
      </c>
      <c r="G51" s="127"/>
      <c r="H51" s="65"/>
    </row>
    <row r="52" spans="1:8" x14ac:dyDescent="0.2">
      <c r="A52" s="65">
        <f t="shared" si="0"/>
        <v>50</v>
      </c>
      <c r="B52" s="65" t="s">
        <v>169</v>
      </c>
      <c r="C52" s="65"/>
      <c r="D52" s="120"/>
      <c r="E52" s="126">
        <v>9.68</v>
      </c>
      <c r="F52" s="65" t="s">
        <v>127</v>
      </c>
      <c r="G52" s="127"/>
      <c r="H52" s="65"/>
    </row>
    <row r="53" spans="1:8" x14ac:dyDescent="0.2">
      <c r="A53" s="65">
        <f t="shared" si="0"/>
        <v>51</v>
      </c>
      <c r="B53" s="65" t="s">
        <v>170</v>
      </c>
      <c r="C53" s="65"/>
      <c r="D53" s="120"/>
      <c r="E53" s="126">
        <v>469.71</v>
      </c>
      <c r="F53" s="65" t="s">
        <v>127</v>
      </c>
      <c r="G53" s="127"/>
      <c r="H53" s="65" t="s">
        <v>171</v>
      </c>
    </row>
    <row r="54" spans="1:8" x14ac:dyDescent="0.2">
      <c r="A54" s="65">
        <f t="shared" si="0"/>
        <v>52</v>
      </c>
      <c r="B54" s="65" t="s">
        <v>172</v>
      </c>
      <c r="C54" s="65"/>
      <c r="D54" s="120"/>
      <c r="E54" s="126">
        <v>492.33</v>
      </c>
      <c r="F54" s="65" t="s">
        <v>127</v>
      </c>
      <c r="G54" s="127"/>
      <c r="H54" s="65"/>
    </row>
    <row r="55" spans="1:8" x14ac:dyDescent="0.2">
      <c r="A55" s="65">
        <f t="shared" si="0"/>
        <v>53</v>
      </c>
      <c r="B55" s="65" t="s">
        <v>173</v>
      </c>
      <c r="C55" s="65"/>
      <c r="D55" s="120"/>
      <c r="E55" s="126">
        <v>156.44</v>
      </c>
      <c r="F55" s="65" t="s">
        <v>127</v>
      </c>
      <c r="G55" s="127"/>
      <c r="H55" s="65"/>
    </row>
    <row r="56" spans="1:8" x14ac:dyDescent="0.2">
      <c r="A56" s="65">
        <f t="shared" si="0"/>
        <v>54</v>
      </c>
      <c r="B56" s="65" t="s">
        <v>174</v>
      </c>
      <c r="C56" s="65"/>
      <c r="D56" s="120"/>
      <c r="E56" s="126">
        <v>644</v>
      </c>
      <c r="F56" s="65" t="s">
        <v>127</v>
      </c>
      <c r="G56" s="127"/>
      <c r="H56" s="65"/>
    </row>
    <row r="57" spans="1:8" x14ac:dyDescent="0.2">
      <c r="A57" s="65">
        <f t="shared" si="0"/>
        <v>55</v>
      </c>
      <c r="B57" s="65" t="s">
        <v>157</v>
      </c>
      <c r="C57" s="65"/>
      <c r="D57" s="120"/>
      <c r="E57" s="126">
        <v>72.900000000000006</v>
      </c>
      <c r="F57" s="65" t="s">
        <v>127</v>
      </c>
      <c r="G57" s="127"/>
      <c r="H57" s="65"/>
    </row>
    <row r="58" spans="1:8" x14ac:dyDescent="0.2">
      <c r="A58" s="65">
        <f t="shared" si="0"/>
        <v>56</v>
      </c>
      <c r="B58" s="65" t="s">
        <v>157</v>
      </c>
      <c r="C58" s="65"/>
      <c r="D58" s="120"/>
      <c r="E58" s="126">
        <v>77.69</v>
      </c>
      <c r="F58" s="65" t="s">
        <v>127</v>
      </c>
      <c r="G58" s="127"/>
      <c r="H58" s="65"/>
    </row>
    <row r="59" spans="1:8" x14ac:dyDescent="0.2">
      <c r="A59" s="65">
        <f t="shared" si="0"/>
        <v>57</v>
      </c>
      <c r="B59" s="65" t="s">
        <v>175</v>
      </c>
      <c r="C59" s="65"/>
      <c r="D59" s="120"/>
      <c r="E59" s="126">
        <v>119.9</v>
      </c>
      <c r="F59" s="65" t="s">
        <v>127</v>
      </c>
      <c r="G59" s="127"/>
      <c r="H59" s="65"/>
    </row>
    <row r="60" spans="1:8" x14ac:dyDescent="0.2">
      <c r="A60" s="65">
        <f t="shared" si="0"/>
        <v>58</v>
      </c>
      <c r="B60" s="65" t="s">
        <v>176</v>
      </c>
      <c r="C60" s="65"/>
      <c r="D60" s="120"/>
      <c r="E60" s="126">
        <v>60.81</v>
      </c>
      <c r="F60" s="65" t="s">
        <v>127</v>
      </c>
      <c r="G60" s="127"/>
      <c r="H60" s="65"/>
    </row>
    <row r="61" spans="1:8" x14ac:dyDescent="0.2">
      <c r="A61" s="65">
        <f t="shared" si="0"/>
        <v>59</v>
      </c>
      <c r="B61" s="65" t="s">
        <v>177</v>
      </c>
      <c r="C61" s="65"/>
      <c r="D61" s="120"/>
      <c r="E61" s="126">
        <v>7.8</v>
      </c>
      <c r="F61" s="65" t="s">
        <v>127</v>
      </c>
      <c r="G61" s="127"/>
      <c r="H61" s="65"/>
    </row>
    <row r="62" spans="1:8" x14ac:dyDescent="0.2">
      <c r="A62" s="65">
        <f t="shared" si="0"/>
        <v>60</v>
      </c>
      <c r="B62" s="65" t="s">
        <v>178</v>
      </c>
      <c r="C62" s="65"/>
      <c r="D62" s="120"/>
      <c r="E62" s="126">
        <v>13.5</v>
      </c>
      <c r="F62" s="65" t="s">
        <v>127</v>
      </c>
      <c r="G62" s="127"/>
      <c r="H62" s="65"/>
    </row>
    <row r="63" spans="1:8" x14ac:dyDescent="0.2">
      <c r="A63" s="65">
        <f t="shared" si="0"/>
        <v>61</v>
      </c>
      <c r="B63" s="65" t="s">
        <v>178</v>
      </c>
      <c r="C63" s="65"/>
      <c r="D63" s="120"/>
      <c r="E63" s="126">
        <v>13.5</v>
      </c>
      <c r="F63" s="65" t="s">
        <v>127</v>
      </c>
      <c r="G63" s="127"/>
      <c r="H63" s="65"/>
    </row>
    <row r="64" spans="1:8" x14ac:dyDescent="0.2">
      <c r="A64" s="65">
        <f t="shared" si="0"/>
        <v>62</v>
      </c>
      <c r="B64" s="65" t="s">
        <v>179</v>
      </c>
      <c r="C64" s="65"/>
      <c r="D64" s="120"/>
      <c r="E64" s="126">
        <v>7.8</v>
      </c>
      <c r="F64" s="65" t="s">
        <v>127</v>
      </c>
      <c r="G64" s="127"/>
      <c r="H64" s="65"/>
    </row>
    <row r="65" spans="1:8" x14ac:dyDescent="0.2">
      <c r="A65" s="65">
        <f t="shared" si="0"/>
        <v>63</v>
      </c>
      <c r="B65" s="65" t="s">
        <v>180</v>
      </c>
      <c r="C65" s="65"/>
      <c r="D65" s="120"/>
      <c r="E65" s="126">
        <v>51.95</v>
      </c>
      <c r="F65" s="65" t="s">
        <v>127</v>
      </c>
      <c r="G65" s="127"/>
      <c r="H65" s="65"/>
    </row>
    <row r="66" spans="1:8" x14ac:dyDescent="0.2">
      <c r="A66" s="65">
        <f t="shared" si="0"/>
        <v>64</v>
      </c>
      <c r="B66" s="65" t="s">
        <v>181</v>
      </c>
      <c r="C66" s="65"/>
      <c r="D66" s="120"/>
      <c r="E66" s="126">
        <v>68.72</v>
      </c>
      <c r="F66" s="65" t="s">
        <v>127</v>
      </c>
      <c r="G66" s="127"/>
      <c r="H66" s="65"/>
    </row>
    <row r="67" spans="1:8" x14ac:dyDescent="0.2">
      <c r="A67" s="65">
        <f t="shared" si="0"/>
        <v>65</v>
      </c>
      <c r="B67" s="65" t="s">
        <v>182</v>
      </c>
      <c r="C67" s="65"/>
      <c r="D67" s="120"/>
      <c r="E67" s="126">
        <v>1.9</v>
      </c>
      <c r="F67" s="65" t="s">
        <v>127</v>
      </c>
      <c r="G67" s="127"/>
      <c r="H67" s="65"/>
    </row>
    <row r="68" spans="1:8" x14ac:dyDescent="0.2">
      <c r="A68" s="65">
        <f t="shared" ref="A68:A131" si="1">+A67+1</f>
        <v>66</v>
      </c>
      <c r="B68" s="65" t="s">
        <v>183</v>
      </c>
      <c r="C68" s="65"/>
      <c r="D68" s="120"/>
      <c r="E68" s="126">
        <v>2113.14</v>
      </c>
      <c r="F68" s="65" t="s">
        <v>127</v>
      </c>
      <c r="G68" s="127"/>
      <c r="H68" s="65"/>
    </row>
    <row r="69" spans="1:8" x14ac:dyDescent="0.2">
      <c r="A69" s="65">
        <f t="shared" si="1"/>
        <v>67</v>
      </c>
      <c r="B69" s="65" t="s">
        <v>184</v>
      </c>
      <c r="C69" s="65"/>
      <c r="D69" s="120"/>
      <c r="E69" s="120">
        <v>70.88</v>
      </c>
      <c r="F69" s="65" t="s">
        <v>127</v>
      </c>
      <c r="G69" s="127"/>
      <c r="H69" s="65" t="s">
        <v>185</v>
      </c>
    </row>
    <row r="70" spans="1:8" x14ac:dyDescent="0.2">
      <c r="A70" s="65">
        <f t="shared" si="1"/>
        <v>68</v>
      </c>
      <c r="B70" s="65" t="s">
        <v>186</v>
      </c>
      <c r="C70" s="65"/>
      <c r="D70" s="120"/>
      <c r="E70" s="120">
        <v>53.09</v>
      </c>
      <c r="F70" s="65"/>
      <c r="G70" s="127"/>
      <c r="H70" s="65" t="s">
        <v>187</v>
      </c>
    </row>
    <row r="71" spans="1:8" x14ac:dyDescent="0.2">
      <c r="A71" s="65">
        <f t="shared" si="1"/>
        <v>69</v>
      </c>
      <c r="B71" s="65" t="s">
        <v>188</v>
      </c>
      <c r="C71" s="65"/>
      <c r="D71" s="120"/>
      <c r="E71" s="120">
        <v>711.44</v>
      </c>
      <c r="F71" s="65"/>
      <c r="G71" s="127"/>
      <c r="H71" s="65"/>
    </row>
    <row r="72" spans="1:8" x14ac:dyDescent="0.2">
      <c r="A72" s="65">
        <f t="shared" si="1"/>
        <v>70</v>
      </c>
      <c r="B72" s="65" t="s">
        <v>189</v>
      </c>
      <c r="C72" s="65"/>
      <c r="D72" s="120"/>
      <c r="E72" s="120">
        <v>9073.92</v>
      </c>
      <c r="F72" s="65"/>
      <c r="G72" s="127"/>
      <c r="H72" s="65"/>
    </row>
    <row r="73" spans="1:8" x14ac:dyDescent="0.2">
      <c r="A73" s="65">
        <f t="shared" si="1"/>
        <v>71</v>
      </c>
      <c r="B73" s="65"/>
      <c r="C73" s="65"/>
      <c r="D73" s="120"/>
      <c r="E73" s="120"/>
      <c r="F73" s="65"/>
      <c r="G73" s="127"/>
      <c r="H73" s="65"/>
    </row>
    <row r="74" spans="1:8" x14ac:dyDescent="0.2">
      <c r="A74" s="65">
        <f t="shared" si="1"/>
        <v>72</v>
      </c>
      <c r="B74" s="65" t="s">
        <v>190</v>
      </c>
      <c r="C74" s="65"/>
      <c r="D74" s="120"/>
      <c r="E74" s="120">
        <f>2.48+657.01+11.36+4939.82+62.02+1.33+1.33+10.76+651.78+2.29</f>
        <v>6340.18</v>
      </c>
      <c r="F74" s="65"/>
      <c r="G74" s="127"/>
      <c r="H74" s="65"/>
    </row>
    <row r="75" spans="1:8" x14ac:dyDescent="0.2">
      <c r="A75" s="65">
        <f t="shared" si="1"/>
        <v>73</v>
      </c>
      <c r="B75" s="65" t="s">
        <v>191</v>
      </c>
      <c r="C75" s="65"/>
      <c r="D75" s="120"/>
      <c r="E75" s="120">
        <v>60</v>
      </c>
      <c r="F75" s="65"/>
      <c r="G75" s="127"/>
      <c r="H75" s="65"/>
    </row>
    <row r="76" spans="1:8" x14ac:dyDescent="0.2">
      <c r="A76" s="65">
        <f t="shared" si="1"/>
        <v>74</v>
      </c>
      <c r="B76" s="65" t="s">
        <v>192</v>
      </c>
      <c r="C76" s="65"/>
      <c r="D76" s="120"/>
      <c r="E76" s="120">
        <v>4445</v>
      </c>
      <c r="F76" s="65"/>
      <c r="G76" s="127"/>
      <c r="H76" s="65"/>
    </row>
    <row r="77" spans="1:8" x14ac:dyDescent="0.2">
      <c r="A77" s="65">
        <f t="shared" si="1"/>
        <v>75</v>
      </c>
      <c r="B77" s="65" t="s">
        <v>193</v>
      </c>
      <c r="C77" s="65"/>
      <c r="D77" s="120"/>
      <c r="E77" s="120">
        <v>390</v>
      </c>
      <c r="F77" s="65"/>
      <c r="G77" s="127"/>
      <c r="H77" s="65"/>
    </row>
    <row r="78" spans="1:8" x14ac:dyDescent="0.2">
      <c r="A78" s="65">
        <f t="shared" si="1"/>
        <v>76</v>
      </c>
      <c r="B78" s="65" t="s">
        <v>194</v>
      </c>
      <c r="C78" s="65"/>
      <c r="D78" s="120"/>
      <c r="E78" s="120">
        <v>72.8</v>
      </c>
      <c r="F78" s="65"/>
      <c r="G78" s="127"/>
      <c r="H78" s="65"/>
    </row>
    <row r="79" spans="1:8" x14ac:dyDescent="0.2">
      <c r="A79" s="65">
        <f t="shared" si="1"/>
        <v>77</v>
      </c>
      <c r="B79" s="65" t="s">
        <v>195</v>
      </c>
      <c r="C79" s="65"/>
      <c r="D79" s="120"/>
      <c r="E79" s="120">
        <v>150</v>
      </c>
      <c r="F79" s="65"/>
      <c r="G79" s="127"/>
      <c r="H79" s="65" t="s">
        <v>196</v>
      </c>
    </row>
    <row r="80" spans="1:8" x14ac:dyDescent="0.2">
      <c r="A80" s="65">
        <f t="shared" si="1"/>
        <v>78</v>
      </c>
      <c r="B80" s="65" t="s">
        <v>149</v>
      </c>
      <c r="C80" s="65"/>
      <c r="D80" s="120"/>
      <c r="E80" s="120">
        <v>262.13</v>
      </c>
      <c r="F80" s="65"/>
      <c r="G80" s="127"/>
      <c r="H80" s="65"/>
    </row>
    <row r="81" spans="1:8" x14ac:dyDescent="0.2">
      <c r="A81" s="65">
        <f t="shared" si="1"/>
        <v>79</v>
      </c>
      <c r="B81" s="65" t="s">
        <v>197</v>
      </c>
      <c r="C81" s="65"/>
      <c r="D81" s="120"/>
      <c r="E81" s="120">
        <v>436</v>
      </c>
      <c r="F81" s="65"/>
      <c r="G81" s="127"/>
      <c r="H81" s="65" t="s">
        <v>198</v>
      </c>
    </row>
    <row r="82" spans="1:8" x14ac:dyDescent="0.2">
      <c r="A82" s="65">
        <f t="shared" si="1"/>
        <v>80</v>
      </c>
      <c r="B82" s="65" t="s">
        <v>199</v>
      </c>
      <c r="C82" s="65"/>
      <c r="D82" s="120"/>
      <c r="E82" s="120">
        <v>72.84</v>
      </c>
      <c r="F82" s="65"/>
      <c r="G82" s="127"/>
      <c r="H82" s="65"/>
    </row>
    <row r="83" spans="1:8" x14ac:dyDescent="0.2">
      <c r="A83" s="65">
        <f t="shared" si="1"/>
        <v>81</v>
      </c>
      <c r="B83" s="65" t="s">
        <v>200</v>
      </c>
      <c r="C83" s="65"/>
      <c r="D83" s="120"/>
      <c r="E83" s="120">
        <v>1495.91</v>
      </c>
      <c r="F83" s="65"/>
      <c r="G83" s="127"/>
      <c r="H83" s="65"/>
    </row>
    <row r="84" spans="1:8" x14ac:dyDescent="0.2">
      <c r="A84" s="65">
        <f t="shared" si="1"/>
        <v>82</v>
      </c>
      <c r="B84" s="65" t="s">
        <v>201</v>
      </c>
      <c r="C84" s="65"/>
      <c r="D84" s="120"/>
      <c r="E84" s="120">
        <v>6.64</v>
      </c>
      <c r="F84" s="65"/>
      <c r="G84" s="127"/>
      <c r="H84" s="65"/>
    </row>
    <row r="85" spans="1:8" x14ac:dyDescent="0.2">
      <c r="A85" s="139">
        <f t="shared" si="1"/>
        <v>83</v>
      </c>
      <c r="B85" s="139" t="s">
        <v>202</v>
      </c>
      <c r="C85" s="139"/>
      <c r="D85" s="143"/>
      <c r="E85" s="143">
        <v>90.46</v>
      </c>
      <c r="F85" s="65"/>
      <c r="G85" s="70"/>
      <c r="H85" s="65"/>
    </row>
    <row r="86" spans="1:8" ht="14.45" customHeight="1" x14ac:dyDescent="0.2">
      <c r="A86" s="213" t="s">
        <v>85</v>
      </c>
      <c r="B86" s="214"/>
      <c r="C86" s="214"/>
      <c r="D86" s="141">
        <f>SUM(D2:D85)</f>
        <v>0</v>
      </c>
      <c r="E86" s="142">
        <f>SUM(E2:E85)</f>
        <v>110242.18000000001</v>
      </c>
      <c r="F86" s="119"/>
      <c r="G86" s="127"/>
      <c r="H86" s="65"/>
    </row>
    <row r="87" spans="1:8" x14ac:dyDescent="0.2">
      <c r="G87" s="70"/>
    </row>
    <row r="88" spans="1:8" ht="18.75" x14ac:dyDescent="0.25">
      <c r="B88" s="215" t="s">
        <v>86</v>
      </c>
      <c r="C88" s="216"/>
      <c r="D88" s="216"/>
      <c r="E88" s="216"/>
      <c r="F88" s="216"/>
      <c r="G88" s="216"/>
      <c r="H88" s="217"/>
    </row>
    <row r="89" spans="1:8" x14ac:dyDescent="0.2">
      <c r="A89" s="65">
        <f t="shared" si="1"/>
        <v>1</v>
      </c>
      <c r="B89" s="130" t="s">
        <v>203</v>
      </c>
      <c r="C89" s="130"/>
      <c r="D89" s="131"/>
      <c r="E89" s="94">
        <v>4939.9399999999996</v>
      </c>
      <c r="F89" s="130" t="s">
        <v>204</v>
      </c>
      <c r="G89" s="130"/>
      <c r="H89" s="130"/>
    </row>
    <row r="90" spans="1:8" x14ac:dyDescent="0.2">
      <c r="A90" s="65">
        <f t="shared" si="1"/>
        <v>2</v>
      </c>
      <c r="B90" s="65" t="s">
        <v>205</v>
      </c>
      <c r="C90" s="65"/>
      <c r="D90" s="120"/>
      <c r="E90" s="134"/>
      <c r="F90" s="65"/>
      <c r="G90" s="65"/>
      <c r="H90" s="65"/>
    </row>
    <row r="91" spans="1:8" x14ac:dyDescent="0.2">
      <c r="A91" s="65">
        <f t="shared" si="1"/>
        <v>3</v>
      </c>
      <c r="B91" s="65" t="s">
        <v>206</v>
      </c>
      <c r="C91" s="65"/>
      <c r="D91" s="120"/>
      <c r="E91" s="134"/>
      <c r="F91" s="65"/>
      <c r="G91" s="65"/>
      <c r="H91" s="123"/>
    </row>
    <row r="92" spans="1:8" x14ac:dyDescent="0.2">
      <c r="A92" s="65">
        <f t="shared" si="1"/>
        <v>4</v>
      </c>
      <c r="B92" s="65"/>
      <c r="C92" s="65"/>
      <c r="D92" s="120"/>
      <c r="E92" s="134"/>
      <c r="F92" s="65"/>
      <c r="G92" s="65"/>
      <c r="H92" s="65"/>
    </row>
    <row r="93" spans="1:8" x14ac:dyDescent="0.2">
      <c r="A93" s="65">
        <f t="shared" si="1"/>
        <v>5</v>
      </c>
      <c r="B93" s="65"/>
      <c r="C93" s="65"/>
      <c r="D93" s="120"/>
      <c r="E93" s="134"/>
      <c r="F93" s="65"/>
      <c r="G93" s="65"/>
      <c r="H93" s="65"/>
    </row>
    <row r="94" spans="1:8" x14ac:dyDescent="0.2">
      <c r="A94" s="65">
        <f t="shared" si="1"/>
        <v>6</v>
      </c>
      <c r="B94" s="65" t="s">
        <v>207</v>
      </c>
      <c r="C94" s="65" t="s">
        <v>208</v>
      </c>
      <c r="D94" s="120"/>
      <c r="E94" s="134">
        <v>43.78</v>
      </c>
      <c r="F94" s="65" t="s">
        <v>127</v>
      </c>
      <c r="G94" s="65"/>
      <c r="H94" s="65"/>
    </row>
    <row r="95" spans="1:8" x14ac:dyDescent="0.2">
      <c r="A95" s="65">
        <f t="shared" si="1"/>
        <v>7</v>
      </c>
      <c r="B95" s="65" t="s">
        <v>207</v>
      </c>
      <c r="C95" s="65" t="s">
        <v>208</v>
      </c>
      <c r="D95" s="120"/>
      <c r="E95" s="134">
        <v>148.83000000000001</v>
      </c>
      <c r="F95" s="65" t="s">
        <v>127</v>
      </c>
      <c r="G95" s="65"/>
      <c r="H95" s="65"/>
    </row>
    <row r="96" spans="1:8" x14ac:dyDescent="0.2">
      <c r="A96" s="65">
        <f t="shared" si="1"/>
        <v>8</v>
      </c>
      <c r="B96" s="65" t="s">
        <v>209</v>
      </c>
      <c r="C96" s="65"/>
      <c r="D96" s="120"/>
      <c r="E96" s="134">
        <v>245.01</v>
      </c>
      <c r="F96" s="65" t="s">
        <v>127</v>
      </c>
      <c r="G96" s="65"/>
      <c r="H96" s="65"/>
    </row>
    <row r="97" spans="1:8" x14ac:dyDescent="0.2">
      <c r="A97" s="65">
        <f t="shared" si="1"/>
        <v>9</v>
      </c>
      <c r="B97" s="65" t="s">
        <v>210</v>
      </c>
      <c r="C97" s="65" t="s">
        <v>208</v>
      </c>
      <c r="D97" s="120"/>
      <c r="E97" s="134">
        <v>223.13</v>
      </c>
      <c r="F97" s="65" t="s">
        <v>127</v>
      </c>
      <c r="G97" s="65"/>
      <c r="H97" s="65"/>
    </row>
    <row r="98" spans="1:8" x14ac:dyDescent="0.2">
      <c r="A98" s="65">
        <f t="shared" si="1"/>
        <v>10</v>
      </c>
      <c r="B98" s="65" t="s">
        <v>211</v>
      </c>
      <c r="C98" s="65" t="s">
        <v>212</v>
      </c>
      <c r="D98" s="120"/>
      <c r="E98" s="134">
        <v>220.01</v>
      </c>
      <c r="F98" s="65" t="s">
        <v>213</v>
      </c>
      <c r="G98" s="65"/>
      <c r="H98" s="65"/>
    </row>
    <row r="99" spans="1:8" x14ac:dyDescent="0.2">
      <c r="A99" s="65">
        <f t="shared" si="1"/>
        <v>11</v>
      </c>
      <c r="B99" s="65" t="s">
        <v>214</v>
      </c>
      <c r="C99" s="65" t="s">
        <v>215</v>
      </c>
      <c r="D99" s="120"/>
      <c r="E99" s="134">
        <v>199.84</v>
      </c>
      <c r="F99" s="65"/>
      <c r="G99" s="65"/>
      <c r="H99" s="65"/>
    </row>
    <row r="100" spans="1:8" x14ac:dyDescent="0.2">
      <c r="A100" s="65">
        <f t="shared" si="1"/>
        <v>12</v>
      </c>
      <c r="B100" s="65" t="s">
        <v>216</v>
      </c>
      <c r="C100" s="65" t="s">
        <v>217</v>
      </c>
      <c r="D100" s="120"/>
      <c r="E100" s="134">
        <v>358.35</v>
      </c>
      <c r="F100" s="65"/>
      <c r="G100" s="65"/>
      <c r="H100" s="65"/>
    </row>
    <row r="101" spans="1:8" x14ac:dyDescent="0.2">
      <c r="A101" s="65">
        <f t="shared" si="1"/>
        <v>13</v>
      </c>
      <c r="B101" s="65" t="s">
        <v>218</v>
      </c>
      <c r="C101" s="65" t="s">
        <v>219</v>
      </c>
      <c r="D101" s="120"/>
      <c r="E101" s="134">
        <v>0.4</v>
      </c>
      <c r="F101" s="65"/>
      <c r="G101" s="65"/>
      <c r="H101" s="65"/>
    </row>
    <row r="102" spans="1:8" x14ac:dyDescent="0.2">
      <c r="A102" s="65">
        <f t="shared" si="1"/>
        <v>14</v>
      </c>
      <c r="B102" s="65" t="s">
        <v>218</v>
      </c>
      <c r="C102" s="65" t="s">
        <v>219</v>
      </c>
      <c r="D102" s="120"/>
      <c r="E102" s="134">
        <v>0.4</v>
      </c>
      <c r="F102" s="65"/>
      <c r="G102" s="65"/>
      <c r="H102" s="65"/>
    </row>
    <row r="103" spans="1:8" x14ac:dyDescent="0.2">
      <c r="A103" s="65">
        <f t="shared" si="1"/>
        <v>15</v>
      </c>
      <c r="B103" s="65" t="s">
        <v>220</v>
      </c>
      <c r="C103" s="65" t="s">
        <v>221</v>
      </c>
      <c r="D103" s="120"/>
      <c r="E103" s="134">
        <v>65.8</v>
      </c>
      <c r="F103" s="65" t="s">
        <v>222</v>
      </c>
      <c r="G103" s="65"/>
      <c r="H103" s="65"/>
    </row>
    <row r="104" spans="1:8" x14ac:dyDescent="0.2">
      <c r="A104" s="65">
        <f t="shared" si="1"/>
        <v>16</v>
      </c>
      <c r="B104" s="65" t="s">
        <v>223</v>
      </c>
      <c r="C104" s="65"/>
      <c r="D104" s="120"/>
      <c r="E104" s="134">
        <v>69.790000000000006</v>
      </c>
      <c r="F104" s="65" t="s">
        <v>224</v>
      </c>
      <c r="G104" s="65"/>
      <c r="H104" s="65" t="s">
        <v>225</v>
      </c>
    </row>
    <row r="105" spans="1:8" x14ac:dyDescent="0.2">
      <c r="A105" s="65">
        <f t="shared" si="1"/>
        <v>17</v>
      </c>
      <c r="B105" s="65" t="s">
        <v>226</v>
      </c>
      <c r="C105" s="65" t="s">
        <v>227</v>
      </c>
      <c r="D105" s="120"/>
      <c r="E105" s="134">
        <v>100.08</v>
      </c>
      <c r="F105" s="65" t="s">
        <v>228</v>
      </c>
      <c r="G105" s="65"/>
      <c r="H105" s="65" t="s">
        <v>229</v>
      </c>
    </row>
    <row r="106" spans="1:8" x14ac:dyDescent="0.2">
      <c r="A106" s="65">
        <f t="shared" si="1"/>
        <v>18</v>
      </c>
      <c r="B106" s="65" t="s">
        <v>218</v>
      </c>
      <c r="C106" s="65" t="s">
        <v>219</v>
      </c>
      <c r="D106" s="120"/>
      <c r="E106" s="134">
        <v>0.4</v>
      </c>
      <c r="F106" s="65"/>
      <c r="G106" s="65"/>
      <c r="H106" s="65"/>
    </row>
    <row r="107" spans="1:8" x14ac:dyDescent="0.2">
      <c r="A107" s="65">
        <f t="shared" si="1"/>
        <v>19</v>
      </c>
      <c r="B107" s="65" t="s">
        <v>230</v>
      </c>
      <c r="C107" s="65"/>
      <c r="D107" s="120"/>
      <c r="E107" s="134">
        <v>233.46</v>
      </c>
      <c r="F107" s="65"/>
      <c r="G107" s="65"/>
      <c r="H107" s="65" t="s">
        <v>231</v>
      </c>
    </row>
    <row r="108" spans="1:8" x14ac:dyDescent="0.2">
      <c r="A108" s="65">
        <f t="shared" si="1"/>
        <v>20</v>
      </c>
      <c r="B108" s="65"/>
      <c r="C108" s="65"/>
      <c r="D108" s="120"/>
      <c r="E108" s="134"/>
      <c r="F108" s="65"/>
      <c r="G108" s="65"/>
      <c r="H108" s="65"/>
    </row>
    <row r="109" spans="1:8" x14ac:dyDescent="0.2">
      <c r="A109" s="65">
        <f t="shared" si="1"/>
        <v>21</v>
      </c>
      <c r="B109" s="65"/>
      <c r="C109" s="65"/>
      <c r="D109" s="120"/>
      <c r="E109" s="134"/>
      <c r="F109" s="65"/>
      <c r="G109" s="65"/>
      <c r="H109" s="65"/>
    </row>
    <row r="110" spans="1:8" x14ac:dyDescent="0.2">
      <c r="A110" s="65">
        <f t="shared" si="1"/>
        <v>22</v>
      </c>
      <c r="B110" s="65" t="s">
        <v>232</v>
      </c>
      <c r="C110" s="65"/>
      <c r="D110" s="120"/>
      <c r="E110" s="134">
        <v>74.88</v>
      </c>
      <c r="F110" s="65" t="s">
        <v>233</v>
      </c>
      <c r="G110" s="65"/>
      <c r="H110" s="65"/>
    </row>
    <row r="111" spans="1:8" x14ac:dyDescent="0.2">
      <c r="A111" s="65">
        <f t="shared" si="1"/>
        <v>23</v>
      </c>
      <c r="B111" s="65" t="s">
        <v>234</v>
      </c>
      <c r="C111" s="65"/>
      <c r="D111" s="120"/>
      <c r="E111" s="134">
        <v>97.24</v>
      </c>
      <c r="F111" s="65"/>
      <c r="G111" s="65"/>
      <c r="H111" s="65"/>
    </row>
    <row r="112" spans="1:8" x14ac:dyDescent="0.2">
      <c r="A112" s="65">
        <f t="shared" si="1"/>
        <v>24</v>
      </c>
      <c r="B112" s="65" t="s">
        <v>235</v>
      </c>
      <c r="C112" s="65"/>
      <c r="D112" s="120"/>
      <c r="E112" s="134">
        <v>92.61</v>
      </c>
      <c r="F112" s="65"/>
      <c r="G112" s="65"/>
      <c r="H112" s="65"/>
    </row>
    <row r="113" spans="1:8" x14ac:dyDescent="0.2">
      <c r="A113" s="65">
        <f t="shared" si="1"/>
        <v>25</v>
      </c>
      <c r="B113" s="65" t="s">
        <v>236</v>
      </c>
      <c r="C113" s="65" t="s">
        <v>237</v>
      </c>
      <c r="D113" s="120"/>
      <c r="E113" s="134">
        <v>21.81</v>
      </c>
      <c r="F113" s="65"/>
      <c r="G113" s="65"/>
      <c r="H113" s="65"/>
    </row>
    <row r="114" spans="1:8" x14ac:dyDescent="0.2">
      <c r="A114" s="65">
        <f t="shared" si="1"/>
        <v>26</v>
      </c>
      <c r="B114" s="65" t="s">
        <v>238</v>
      </c>
      <c r="C114" s="65" t="s">
        <v>239</v>
      </c>
      <c r="D114" s="120"/>
      <c r="E114" s="134">
        <v>500</v>
      </c>
      <c r="F114" s="65"/>
      <c r="G114" s="65"/>
      <c r="H114" s="65"/>
    </row>
    <row r="115" spans="1:8" x14ac:dyDescent="0.2">
      <c r="A115" s="65">
        <f t="shared" si="1"/>
        <v>27</v>
      </c>
      <c r="B115" s="65" t="s">
        <v>240</v>
      </c>
      <c r="C115" s="65" t="s">
        <v>241</v>
      </c>
      <c r="D115" s="120"/>
      <c r="E115" s="134">
        <v>6.64</v>
      </c>
      <c r="F115" s="65"/>
      <c r="G115" s="65"/>
      <c r="H115" s="65"/>
    </row>
    <row r="116" spans="1:8" x14ac:dyDescent="0.2">
      <c r="A116" s="65">
        <f t="shared" si="1"/>
        <v>28</v>
      </c>
      <c r="B116" s="65" t="s">
        <v>240</v>
      </c>
      <c r="C116" s="65" t="s">
        <v>241</v>
      </c>
      <c r="D116" s="120"/>
      <c r="E116" s="134">
        <v>6.64</v>
      </c>
      <c r="F116" s="65"/>
      <c r="G116" s="65"/>
      <c r="H116" s="65"/>
    </row>
    <row r="117" spans="1:8" x14ac:dyDescent="0.2">
      <c r="A117" s="65">
        <f t="shared" si="1"/>
        <v>29</v>
      </c>
      <c r="B117" s="65" t="s">
        <v>240</v>
      </c>
      <c r="C117" s="65" t="s">
        <v>242</v>
      </c>
      <c r="D117" s="120"/>
      <c r="E117" s="134">
        <v>300</v>
      </c>
      <c r="F117" s="65"/>
      <c r="G117" s="65"/>
      <c r="H117" s="65"/>
    </row>
    <row r="118" spans="1:8" x14ac:dyDescent="0.2">
      <c r="A118" s="65">
        <f t="shared" si="1"/>
        <v>30</v>
      </c>
      <c r="B118" s="65" t="s">
        <v>243</v>
      </c>
      <c r="C118" s="65" t="s">
        <v>244</v>
      </c>
      <c r="D118" s="120"/>
      <c r="E118" s="134">
        <v>50.33</v>
      </c>
      <c r="F118" s="65"/>
      <c r="G118" s="65"/>
      <c r="H118" s="65"/>
    </row>
    <row r="119" spans="1:8" x14ac:dyDescent="0.2">
      <c r="A119" s="65">
        <f t="shared" si="1"/>
        <v>31</v>
      </c>
      <c r="B119" s="65" t="s">
        <v>245</v>
      </c>
      <c r="C119" s="65"/>
      <c r="D119" s="120"/>
      <c r="E119" s="134">
        <v>25.48</v>
      </c>
      <c r="F119" s="65"/>
      <c r="G119" s="65"/>
      <c r="H119" s="65"/>
    </row>
    <row r="120" spans="1:8" x14ac:dyDescent="0.2">
      <c r="A120" s="65">
        <f t="shared" si="1"/>
        <v>32</v>
      </c>
      <c r="B120" s="65" t="s">
        <v>246</v>
      </c>
      <c r="C120" s="65" t="s">
        <v>247</v>
      </c>
      <c r="D120" s="120"/>
      <c r="E120" s="134">
        <v>178.54</v>
      </c>
      <c r="F120" s="65"/>
      <c r="G120" s="65"/>
      <c r="H120" s="65"/>
    </row>
    <row r="121" spans="1:8" x14ac:dyDescent="0.2">
      <c r="A121" s="65">
        <f t="shared" si="1"/>
        <v>33</v>
      </c>
      <c r="B121" s="65" t="s">
        <v>248</v>
      </c>
      <c r="C121" s="65"/>
      <c r="D121" s="120"/>
      <c r="E121" s="134">
        <v>98.15</v>
      </c>
      <c r="F121" s="65" t="s">
        <v>249</v>
      </c>
      <c r="G121" s="65"/>
      <c r="H121" s="65"/>
    </row>
    <row r="122" spans="1:8" x14ac:dyDescent="0.2">
      <c r="A122" s="65">
        <f t="shared" si="1"/>
        <v>34</v>
      </c>
      <c r="B122" s="65" t="s">
        <v>248</v>
      </c>
      <c r="C122" s="65"/>
      <c r="D122" s="120"/>
      <c r="E122" s="134">
        <v>72.22</v>
      </c>
      <c r="F122" s="65" t="s">
        <v>250</v>
      </c>
      <c r="G122" s="65"/>
      <c r="H122" s="65"/>
    </row>
    <row r="123" spans="1:8" x14ac:dyDescent="0.2">
      <c r="A123" s="65">
        <f t="shared" si="1"/>
        <v>35</v>
      </c>
      <c r="B123" s="65" t="s">
        <v>251</v>
      </c>
      <c r="C123" s="65" t="s">
        <v>252</v>
      </c>
      <c r="D123" s="120"/>
      <c r="E123" s="134">
        <v>542.55999999999995</v>
      </c>
      <c r="F123" s="65"/>
      <c r="G123" s="65"/>
      <c r="H123" s="65"/>
    </row>
    <row r="124" spans="1:8" x14ac:dyDescent="0.2">
      <c r="A124" s="65">
        <f t="shared" si="1"/>
        <v>36</v>
      </c>
      <c r="B124" s="65" t="s">
        <v>240</v>
      </c>
      <c r="C124" s="65" t="s">
        <v>218</v>
      </c>
      <c r="D124" s="120"/>
      <c r="E124" s="134">
        <v>6.64</v>
      </c>
      <c r="F124" s="65"/>
      <c r="G124" s="65"/>
      <c r="H124" s="65"/>
    </row>
    <row r="125" spans="1:8" x14ac:dyDescent="0.2">
      <c r="A125" s="65">
        <f t="shared" si="1"/>
        <v>37</v>
      </c>
      <c r="B125" s="65" t="s">
        <v>240</v>
      </c>
      <c r="C125" s="65" t="s">
        <v>253</v>
      </c>
      <c r="D125" s="120"/>
      <c r="E125" s="134">
        <v>21.35</v>
      </c>
      <c r="F125" s="65"/>
      <c r="G125" s="65"/>
      <c r="H125" s="65"/>
    </row>
    <row r="126" spans="1:8" x14ac:dyDescent="0.2">
      <c r="A126" s="65">
        <f t="shared" si="1"/>
        <v>38</v>
      </c>
      <c r="B126" s="65" t="s">
        <v>254</v>
      </c>
      <c r="C126" s="65" t="s">
        <v>255</v>
      </c>
      <c r="D126" s="120"/>
      <c r="E126" s="134">
        <v>687.44</v>
      </c>
      <c r="F126" s="65"/>
      <c r="G126" s="65"/>
      <c r="H126" s="65"/>
    </row>
    <row r="127" spans="1:8" x14ac:dyDescent="0.2">
      <c r="A127" s="65">
        <f t="shared" si="1"/>
        <v>39</v>
      </c>
      <c r="B127" s="65" t="s">
        <v>256</v>
      </c>
      <c r="C127" s="65" t="s">
        <v>257</v>
      </c>
      <c r="D127" s="120"/>
      <c r="E127" s="134">
        <v>2099.77</v>
      </c>
      <c r="F127" s="65"/>
      <c r="G127" s="65"/>
      <c r="H127" s="65"/>
    </row>
    <row r="128" spans="1:8" x14ac:dyDescent="0.2">
      <c r="A128" s="65">
        <f t="shared" si="1"/>
        <v>40</v>
      </c>
      <c r="B128" s="65" t="s">
        <v>258</v>
      </c>
      <c r="C128" s="65" t="s">
        <v>259</v>
      </c>
      <c r="D128" s="120"/>
      <c r="E128" s="134">
        <v>3979.66</v>
      </c>
      <c r="F128" s="65" t="s">
        <v>260</v>
      </c>
      <c r="G128" s="65"/>
      <c r="H128" s="65"/>
    </row>
    <row r="129" spans="1:8" x14ac:dyDescent="0.2">
      <c r="A129" s="65">
        <f t="shared" si="1"/>
        <v>41</v>
      </c>
      <c r="B129" s="65" t="s">
        <v>261</v>
      </c>
      <c r="C129" s="65" t="s">
        <v>253</v>
      </c>
      <c r="D129" s="120"/>
      <c r="E129" s="134">
        <v>23.18</v>
      </c>
      <c r="F129" s="65"/>
      <c r="G129" s="65"/>
      <c r="H129" s="65"/>
    </row>
    <row r="130" spans="1:8" x14ac:dyDescent="0.2">
      <c r="A130" s="65">
        <f t="shared" si="1"/>
        <v>42</v>
      </c>
      <c r="B130" s="65" t="s">
        <v>262</v>
      </c>
      <c r="C130" s="65" t="s">
        <v>263</v>
      </c>
      <c r="D130" s="120"/>
      <c r="E130" s="134">
        <v>500</v>
      </c>
      <c r="F130" s="65"/>
      <c r="G130" s="65"/>
      <c r="H130" s="65"/>
    </row>
    <row r="131" spans="1:8" x14ac:dyDescent="0.2">
      <c r="A131" s="65">
        <f t="shared" si="1"/>
        <v>43</v>
      </c>
      <c r="B131" s="65" t="s">
        <v>264</v>
      </c>
      <c r="C131" s="65" t="s">
        <v>265</v>
      </c>
      <c r="D131" s="120"/>
      <c r="E131" s="134">
        <v>76.150000000000006</v>
      </c>
      <c r="F131" s="65"/>
      <c r="G131" s="65"/>
      <c r="H131" s="65"/>
    </row>
    <row r="132" spans="1:8" x14ac:dyDescent="0.2">
      <c r="A132" s="65">
        <f t="shared" ref="A132:A191" si="2">+A131+1</f>
        <v>44</v>
      </c>
      <c r="B132" s="65" t="s">
        <v>266</v>
      </c>
      <c r="C132" s="65" t="s">
        <v>267</v>
      </c>
      <c r="D132" s="120"/>
      <c r="E132" s="134">
        <v>99.54</v>
      </c>
      <c r="F132" s="65"/>
      <c r="G132" s="65"/>
      <c r="H132" s="65"/>
    </row>
    <row r="133" spans="1:8" x14ac:dyDescent="0.2">
      <c r="A133" s="65">
        <f t="shared" si="2"/>
        <v>45</v>
      </c>
      <c r="B133" s="65" t="s">
        <v>268</v>
      </c>
      <c r="C133" s="65" t="s">
        <v>269</v>
      </c>
      <c r="D133" s="120"/>
      <c r="E133" s="134">
        <v>48.93</v>
      </c>
      <c r="F133" s="65"/>
      <c r="G133" s="65"/>
      <c r="H133" s="65"/>
    </row>
    <row r="134" spans="1:8" x14ac:dyDescent="0.2">
      <c r="A134" s="65">
        <f t="shared" si="2"/>
        <v>46</v>
      </c>
      <c r="B134" s="65" t="s">
        <v>270</v>
      </c>
      <c r="C134" s="65" t="s">
        <v>271</v>
      </c>
      <c r="D134" s="120"/>
      <c r="E134" s="134">
        <v>106.11</v>
      </c>
      <c r="F134" s="65"/>
      <c r="G134" s="65"/>
      <c r="H134" s="65"/>
    </row>
    <row r="135" spans="1:8" x14ac:dyDescent="0.2">
      <c r="A135" s="65">
        <f t="shared" si="2"/>
        <v>47</v>
      </c>
      <c r="B135" s="65" t="s">
        <v>272</v>
      </c>
      <c r="C135" s="65" t="s">
        <v>273</v>
      </c>
      <c r="D135" s="120"/>
      <c r="E135" s="134">
        <v>210.42</v>
      </c>
      <c r="F135" s="65"/>
      <c r="G135" s="65"/>
      <c r="H135" s="65"/>
    </row>
    <row r="136" spans="1:8" x14ac:dyDescent="0.2">
      <c r="A136" s="65">
        <f t="shared" si="2"/>
        <v>48</v>
      </c>
      <c r="B136" s="65" t="s">
        <v>274</v>
      </c>
      <c r="C136" s="65" t="s">
        <v>275</v>
      </c>
      <c r="D136" s="120"/>
      <c r="E136" s="134">
        <v>20665.45</v>
      </c>
      <c r="F136" s="65"/>
      <c r="G136" s="65"/>
      <c r="H136" s="65"/>
    </row>
    <row r="137" spans="1:8" x14ac:dyDescent="0.2">
      <c r="A137" s="65">
        <f t="shared" si="2"/>
        <v>49</v>
      </c>
      <c r="B137" s="65" t="s">
        <v>276</v>
      </c>
      <c r="C137" s="65" t="s">
        <v>277</v>
      </c>
      <c r="D137" s="120"/>
      <c r="E137" s="134">
        <v>831.25</v>
      </c>
      <c r="F137" s="65"/>
      <c r="G137" s="65"/>
      <c r="H137" s="65"/>
    </row>
    <row r="138" spans="1:8" x14ac:dyDescent="0.2">
      <c r="A138" s="65">
        <f t="shared" si="2"/>
        <v>50</v>
      </c>
      <c r="B138" s="65" t="s">
        <v>278</v>
      </c>
      <c r="C138" s="65" t="s">
        <v>279</v>
      </c>
      <c r="D138" s="120"/>
      <c r="E138" s="134">
        <v>24.89</v>
      </c>
      <c r="F138" s="65"/>
      <c r="G138" s="65"/>
      <c r="H138" s="65"/>
    </row>
    <row r="139" spans="1:8" x14ac:dyDescent="0.2">
      <c r="A139" s="65">
        <f t="shared" si="2"/>
        <v>51</v>
      </c>
      <c r="B139" s="65" t="s">
        <v>261</v>
      </c>
      <c r="C139" s="65" t="s">
        <v>280</v>
      </c>
      <c r="D139" s="120"/>
      <c r="E139" s="134">
        <v>1341.94</v>
      </c>
      <c r="F139" s="65"/>
      <c r="G139" s="65"/>
      <c r="H139" s="65"/>
    </row>
    <row r="140" spans="1:8" x14ac:dyDescent="0.2">
      <c r="A140" s="65">
        <f t="shared" si="2"/>
        <v>52</v>
      </c>
      <c r="B140" s="65" t="s">
        <v>281</v>
      </c>
      <c r="C140" s="65" t="s">
        <v>269</v>
      </c>
      <c r="D140" s="120"/>
      <c r="E140" s="134">
        <v>61</v>
      </c>
      <c r="F140" s="65"/>
      <c r="G140" s="65"/>
      <c r="H140" s="65"/>
    </row>
    <row r="141" spans="1:8" x14ac:dyDescent="0.2">
      <c r="A141" s="65">
        <f t="shared" si="2"/>
        <v>53</v>
      </c>
      <c r="B141" s="65" t="s">
        <v>282</v>
      </c>
      <c r="C141" s="65" t="s">
        <v>283</v>
      </c>
      <c r="D141" s="120"/>
      <c r="E141" s="134">
        <v>368.5</v>
      </c>
      <c r="F141" s="65"/>
      <c r="G141" s="65"/>
      <c r="H141" s="65"/>
    </row>
    <row r="142" spans="1:8" x14ac:dyDescent="0.2">
      <c r="A142" s="65">
        <f t="shared" si="2"/>
        <v>54</v>
      </c>
      <c r="B142" s="65" t="s">
        <v>284</v>
      </c>
      <c r="C142" s="65" t="s">
        <v>285</v>
      </c>
      <c r="D142" s="120"/>
      <c r="E142" s="134">
        <v>4879.83</v>
      </c>
      <c r="F142" s="65"/>
      <c r="G142" s="65"/>
      <c r="H142" s="65"/>
    </row>
    <row r="143" spans="1:8" x14ac:dyDescent="0.2">
      <c r="A143" s="65">
        <f t="shared" si="2"/>
        <v>55</v>
      </c>
      <c r="B143" s="65" t="s">
        <v>284</v>
      </c>
      <c r="C143" s="65" t="s">
        <v>286</v>
      </c>
      <c r="D143" s="120"/>
      <c r="E143" s="134">
        <v>651.78</v>
      </c>
      <c r="F143" s="65"/>
      <c r="G143" s="65"/>
      <c r="H143" s="65"/>
    </row>
    <row r="144" spans="1:8" x14ac:dyDescent="0.2">
      <c r="A144" s="65">
        <f t="shared" si="2"/>
        <v>56</v>
      </c>
      <c r="B144" s="65" t="s">
        <v>287</v>
      </c>
      <c r="C144" s="65"/>
      <c r="D144" s="120"/>
      <c r="E144" s="134">
        <v>1500</v>
      </c>
      <c r="F144" s="65"/>
      <c r="G144" s="65"/>
      <c r="H144" s="65"/>
    </row>
    <row r="145" spans="1:8" x14ac:dyDescent="0.2">
      <c r="A145" s="65">
        <f t="shared" si="2"/>
        <v>57</v>
      </c>
      <c r="B145" s="65" t="s">
        <v>288</v>
      </c>
      <c r="C145" s="65" t="s">
        <v>289</v>
      </c>
      <c r="D145" s="120"/>
      <c r="E145" s="134">
        <v>246.15</v>
      </c>
      <c r="F145" s="65"/>
      <c r="G145" s="65"/>
      <c r="H145" s="65"/>
    </row>
    <row r="146" spans="1:8" x14ac:dyDescent="0.2">
      <c r="A146" s="65">
        <f t="shared" si="2"/>
        <v>58</v>
      </c>
      <c r="B146" s="65" t="s">
        <v>205</v>
      </c>
      <c r="C146" s="65"/>
      <c r="D146" s="120"/>
      <c r="E146" s="134">
        <v>13584.53</v>
      </c>
      <c r="F146" s="65"/>
      <c r="G146" s="65"/>
      <c r="H146" s="65"/>
    </row>
    <row r="147" spans="1:8" x14ac:dyDescent="0.2">
      <c r="A147" s="65">
        <f t="shared" si="2"/>
        <v>59</v>
      </c>
      <c r="B147" s="65" t="s">
        <v>290</v>
      </c>
      <c r="C147" s="65" t="s">
        <v>192</v>
      </c>
      <c r="D147" s="120"/>
      <c r="E147" s="120">
        <v>1790</v>
      </c>
      <c r="F147" s="65"/>
      <c r="G147" s="65"/>
      <c r="H147" s="65"/>
    </row>
    <row r="148" spans="1:8" x14ac:dyDescent="0.2">
      <c r="A148" s="65">
        <f t="shared" si="2"/>
        <v>60</v>
      </c>
      <c r="B148" s="65" t="s">
        <v>290</v>
      </c>
      <c r="C148" s="65" t="s">
        <v>291</v>
      </c>
      <c r="D148" s="120"/>
      <c r="E148" s="120">
        <v>740</v>
      </c>
      <c r="F148" s="65"/>
      <c r="G148" s="65"/>
      <c r="H148" s="65"/>
    </row>
    <row r="149" spans="1:8" x14ac:dyDescent="0.2">
      <c r="A149" s="65">
        <f t="shared" si="2"/>
        <v>61</v>
      </c>
      <c r="B149" s="135" t="s">
        <v>292</v>
      </c>
      <c r="C149" s="135" t="s">
        <v>293</v>
      </c>
      <c r="D149" s="136"/>
      <c r="E149" s="136">
        <v>580.66</v>
      </c>
      <c r="F149" s="65"/>
      <c r="G149" s="65"/>
      <c r="H149" s="65"/>
    </row>
    <row r="150" spans="1:8" x14ac:dyDescent="0.2">
      <c r="A150" s="65">
        <f t="shared" si="2"/>
        <v>62</v>
      </c>
      <c r="B150" s="135" t="s">
        <v>294</v>
      </c>
      <c r="C150" s="135" t="s">
        <v>295</v>
      </c>
      <c r="D150" s="136"/>
      <c r="E150" s="136">
        <v>440</v>
      </c>
      <c r="F150" s="65"/>
      <c r="G150" s="65"/>
      <c r="H150" s="65"/>
    </row>
    <row r="151" spans="1:8" x14ac:dyDescent="0.2">
      <c r="A151" s="139">
        <f t="shared" si="2"/>
        <v>63</v>
      </c>
      <c r="B151" s="139" t="s">
        <v>296</v>
      </c>
      <c r="C151" s="139" t="s">
        <v>297</v>
      </c>
      <c r="D151" s="143"/>
      <c r="E151" s="143">
        <v>41.08</v>
      </c>
      <c r="F151" s="65"/>
      <c r="G151" s="65"/>
      <c r="H151" s="65"/>
    </row>
    <row r="152" spans="1:8" x14ac:dyDescent="0.2">
      <c r="A152" s="213" t="s">
        <v>94</v>
      </c>
      <c r="B152" s="214"/>
      <c r="C152" s="214"/>
      <c r="D152" s="141">
        <f>SUM(D68:D151)</f>
        <v>0</v>
      </c>
      <c r="E152" s="142">
        <f>SUM(E89:E151)</f>
        <v>64522.570000000007</v>
      </c>
      <c r="G152" s="70"/>
    </row>
    <row r="153" spans="1:8" x14ac:dyDescent="0.2">
      <c r="G153" s="70"/>
    </row>
    <row r="154" spans="1:8" ht="18.75" x14ac:dyDescent="0.25">
      <c r="A154" s="140"/>
      <c r="B154" s="215" t="s">
        <v>95</v>
      </c>
      <c r="C154" s="216"/>
      <c r="D154" s="216"/>
      <c r="E154" s="216"/>
      <c r="F154" s="216"/>
      <c r="G154" s="216"/>
      <c r="H154" s="217"/>
    </row>
    <row r="155" spans="1:8" x14ac:dyDescent="0.2">
      <c r="A155" s="65">
        <f t="shared" si="2"/>
        <v>1</v>
      </c>
      <c r="B155" s="130" t="s">
        <v>298</v>
      </c>
      <c r="C155" s="130" t="s">
        <v>299</v>
      </c>
      <c r="D155" s="131"/>
      <c r="E155" s="131">
        <v>13527.35</v>
      </c>
      <c r="F155" s="130"/>
      <c r="G155" s="133">
        <v>44987</v>
      </c>
      <c r="H155" s="130"/>
    </row>
    <row r="156" spans="1:8" x14ac:dyDescent="0.2">
      <c r="A156" s="65">
        <f t="shared" si="2"/>
        <v>2</v>
      </c>
      <c r="B156" s="65" t="s">
        <v>300</v>
      </c>
      <c r="C156" s="65" t="s">
        <v>215</v>
      </c>
      <c r="D156" s="120"/>
      <c r="E156" s="120">
        <v>49.92</v>
      </c>
      <c r="F156" s="65"/>
      <c r="G156" s="127">
        <v>44987</v>
      </c>
      <c r="H156" s="65"/>
    </row>
    <row r="157" spans="1:8" x14ac:dyDescent="0.2">
      <c r="A157" s="65">
        <f t="shared" si="2"/>
        <v>3</v>
      </c>
      <c r="B157" s="65" t="s">
        <v>300</v>
      </c>
      <c r="C157" s="65" t="s">
        <v>215</v>
      </c>
      <c r="D157" s="120"/>
      <c r="E157" s="120">
        <v>365.82</v>
      </c>
      <c r="F157" s="65"/>
      <c r="G157" s="127">
        <v>44987</v>
      </c>
      <c r="H157" s="65"/>
    </row>
    <row r="158" spans="1:8" x14ac:dyDescent="0.2">
      <c r="A158" s="65">
        <f t="shared" si="2"/>
        <v>4</v>
      </c>
      <c r="B158" s="65" t="s">
        <v>301</v>
      </c>
      <c r="C158" s="65" t="s">
        <v>302</v>
      </c>
      <c r="D158" s="120"/>
      <c r="E158" s="120">
        <v>366.21</v>
      </c>
      <c r="F158" s="65"/>
      <c r="G158" s="127">
        <v>44987</v>
      </c>
      <c r="H158" s="65"/>
    </row>
    <row r="159" spans="1:8" x14ac:dyDescent="0.2">
      <c r="A159" s="65">
        <f t="shared" si="2"/>
        <v>5</v>
      </c>
      <c r="B159" s="65" t="s">
        <v>301</v>
      </c>
      <c r="C159" s="65" t="s">
        <v>302</v>
      </c>
      <c r="D159" s="120"/>
      <c r="E159" s="120">
        <v>29.86</v>
      </c>
      <c r="F159" s="65"/>
      <c r="G159" s="127">
        <v>44987</v>
      </c>
      <c r="H159" s="65"/>
    </row>
    <row r="160" spans="1:8" x14ac:dyDescent="0.2">
      <c r="A160" s="65">
        <f t="shared" si="2"/>
        <v>6</v>
      </c>
      <c r="B160" s="65" t="s">
        <v>300</v>
      </c>
      <c r="C160" s="65" t="s">
        <v>215</v>
      </c>
      <c r="D160" s="120"/>
      <c r="E160" s="120">
        <v>356.46</v>
      </c>
      <c r="F160" s="65"/>
      <c r="G160" s="127">
        <v>44988</v>
      </c>
      <c r="H160" s="65"/>
    </row>
    <row r="161" spans="1:8" x14ac:dyDescent="0.2">
      <c r="A161" s="65">
        <f t="shared" si="2"/>
        <v>7</v>
      </c>
      <c r="B161" s="65"/>
      <c r="C161" s="65" t="s">
        <v>234</v>
      </c>
      <c r="D161" s="120"/>
      <c r="E161" s="120">
        <v>2.4</v>
      </c>
      <c r="F161" s="65"/>
      <c r="G161" s="127">
        <v>44988</v>
      </c>
      <c r="H161" s="65"/>
    </row>
    <row r="162" spans="1:8" x14ac:dyDescent="0.2">
      <c r="A162" s="65">
        <f t="shared" si="2"/>
        <v>8</v>
      </c>
      <c r="B162" s="65" t="s">
        <v>303</v>
      </c>
      <c r="C162" s="65" t="s">
        <v>304</v>
      </c>
      <c r="D162" s="120"/>
      <c r="E162" s="120">
        <v>5418.95</v>
      </c>
      <c r="F162" s="65"/>
      <c r="G162" s="127">
        <v>44988</v>
      </c>
      <c r="H162" s="65"/>
    </row>
    <row r="163" spans="1:8" x14ac:dyDescent="0.2">
      <c r="A163" s="65">
        <f t="shared" si="2"/>
        <v>9</v>
      </c>
      <c r="B163" s="65" t="s">
        <v>305</v>
      </c>
      <c r="C163" s="65" t="s">
        <v>306</v>
      </c>
      <c r="D163" s="120"/>
      <c r="E163" s="120">
        <v>1184.08</v>
      </c>
      <c r="F163" s="65"/>
      <c r="G163" s="127">
        <v>44988</v>
      </c>
      <c r="H163" s="65"/>
    </row>
    <row r="164" spans="1:8" x14ac:dyDescent="0.2">
      <c r="A164" s="65">
        <f t="shared" si="2"/>
        <v>10</v>
      </c>
      <c r="B164" s="65" t="s">
        <v>300</v>
      </c>
      <c r="C164" s="65" t="s">
        <v>307</v>
      </c>
      <c r="D164" s="120"/>
      <c r="E164" s="120">
        <v>98.28</v>
      </c>
      <c r="F164" s="65"/>
      <c r="G164" s="127">
        <v>44990</v>
      </c>
      <c r="H164" s="65"/>
    </row>
    <row r="165" spans="1:8" x14ac:dyDescent="0.2">
      <c r="A165" s="65">
        <f t="shared" si="2"/>
        <v>11</v>
      </c>
      <c r="B165" s="65" t="s">
        <v>308</v>
      </c>
      <c r="C165" s="65" t="s">
        <v>236</v>
      </c>
      <c r="D165" s="120"/>
      <c r="E165" s="120">
        <v>64.569999999999993</v>
      </c>
      <c r="F165" s="65"/>
      <c r="G165" s="127">
        <v>44992</v>
      </c>
      <c r="H165" s="65"/>
    </row>
    <row r="166" spans="1:8" x14ac:dyDescent="0.2">
      <c r="A166" s="65">
        <f t="shared" si="2"/>
        <v>12</v>
      </c>
      <c r="B166" s="65" t="s">
        <v>309</v>
      </c>
      <c r="C166" s="65" t="s">
        <v>310</v>
      </c>
      <c r="D166" s="120"/>
      <c r="E166" s="120">
        <v>797.79</v>
      </c>
      <c r="F166" s="65"/>
      <c r="G166" s="127">
        <v>44992</v>
      </c>
      <c r="H166" s="65"/>
    </row>
    <row r="167" spans="1:8" x14ac:dyDescent="0.2">
      <c r="A167" s="65">
        <f t="shared" si="2"/>
        <v>13</v>
      </c>
      <c r="B167" s="65" t="s">
        <v>311</v>
      </c>
      <c r="C167" s="65" t="s">
        <v>312</v>
      </c>
      <c r="D167" s="120"/>
      <c r="E167" s="120">
        <v>200</v>
      </c>
      <c r="F167" s="65"/>
      <c r="G167" s="127">
        <v>44992</v>
      </c>
      <c r="H167" s="65"/>
    </row>
    <row r="168" spans="1:8" x14ac:dyDescent="0.2">
      <c r="A168" s="65">
        <f t="shared" si="2"/>
        <v>14</v>
      </c>
      <c r="B168" s="65" t="s">
        <v>313</v>
      </c>
      <c r="C168" s="65" t="s">
        <v>314</v>
      </c>
      <c r="D168" s="120"/>
      <c r="E168" s="120">
        <v>500</v>
      </c>
      <c r="F168" s="65"/>
      <c r="G168" s="127">
        <v>44992</v>
      </c>
      <c r="H168" s="65"/>
    </row>
    <row r="169" spans="1:8" x14ac:dyDescent="0.2">
      <c r="A169" s="65">
        <f t="shared" si="2"/>
        <v>15</v>
      </c>
      <c r="B169" s="65" t="s">
        <v>315</v>
      </c>
      <c r="C169" s="65" t="s">
        <v>316</v>
      </c>
      <c r="D169" s="120"/>
      <c r="E169" s="120">
        <v>35.159999999999997</v>
      </c>
      <c r="F169" s="65"/>
      <c r="G169" s="127">
        <v>44993</v>
      </c>
      <c r="H169" s="65"/>
    </row>
    <row r="170" spans="1:8" x14ac:dyDescent="0.2">
      <c r="A170" s="65">
        <f t="shared" si="2"/>
        <v>16</v>
      </c>
      <c r="B170" s="65" t="s">
        <v>317</v>
      </c>
      <c r="C170" s="65" t="s">
        <v>318</v>
      </c>
      <c r="D170" s="120"/>
      <c r="E170" s="120">
        <v>455.6</v>
      </c>
      <c r="F170" s="65"/>
      <c r="G170" s="127">
        <v>44993</v>
      </c>
      <c r="H170" s="65"/>
    </row>
    <row r="171" spans="1:8" x14ac:dyDescent="0.2">
      <c r="A171" s="65">
        <f t="shared" si="2"/>
        <v>17</v>
      </c>
      <c r="B171" s="65" t="s">
        <v>319</v>
      </c>
      <c r="C171" s="65" t="s">
        <v>299</v>
      </c>
      <c r="D171" s="120"/>
      <c r="E171" s="120">
        <v>100</v>
      </c>
      <c r="F171" s="65"/>
      <c r="G171" s="127">
        <v>44993</v>
      </c>
      <c r="H171" s="65"/>
    </row>
    <row r="172" spans="1:8" x14ac:dyDescent="0.2">
      <c r="A172" s="65">
        <f t="shared" si="2"/>
        <v>18</v>
      </c>
      <c r="B172" s="65" t="s">
        <v>320</v>
      </c>
      <c r="C172" s="65" t="s">
        <v>321</v>
      </c>
      <c r="D172" s="120"/>
      <c r="E172" s="120">
        <v>29.2</v>
      </c>
      <c r="F172" s="65"/>
      <c r="G172" s="127">
        <v>44995</v>
      </c>
      <c r="H172" s="65"/>
    </row>
    <row r="173" spans="1:8" x14ac:dyDescent="0.2">
      <c r="A173" s="65">
        <f t="shared" si="2"/>
        <v>19</v>
      </c>
      <c r="B173" s="65" t="s">
        <v>322</v>
      </c>
      <c r="C173" s="65" t="s">
        <v>321</v>
      </c>
      <c r="D173" s="120"/>
      <c r="E173" s="120">
        <v>1999.94</v>
      </c>
      <c r="F173" s="65"/>
      <c r="G173" s="127">
        <v>44995</v>
      </c>
      <c r="H173" s="65"/>
    </row>
    <row r="174" spans="1:8" x14ac:dyDescent="0.2">
      <c r="A174" s="65">
        <f t="shared" si="2"/>
        <v>20</v>
      </c>
      <c r="B174" s="65" t="s">
        <v>323</v>
      </c>
      <c r="C174" s="65" t="s">
        <v>324</v>
      </c>
      <c r="D174" s="120"/>
      <c r="E174" s="120">
        <v>1161.33</v>
      </c>
      <c r="F174" s="65"/>
      <c r="G174" s="127">
        <v>44995</v>
      </c>
      <c r="H174" s="65"/>
    </row>
    <row r="175" spans="1:8" x14ac:dyDescent="0.2">
      <c r="A175" s="65">
        <f t="shared" si="2"/>
        <v>21</v>
      </c>
      <c r="B175" s="65" t="s">
        <v>325</v>
      </c>
      <c r="C175" s="65" t="s">
        <v>326</v>
      </c>
      <c r="D175" s="120"/>
      <c r="E175" s="120">
        <v>400</v>
      </c>
      <c r="F175" s="65"/>
      <c r="G175" s="127">
        <v>44995</v>
      </c>
      <c r="H175" s="65"/>
    </row>
    <row r="176" spans="1:8" x14ac:dyDescent="0.2">
      <c r="A176" s="65">
        <f t="shared" si="2"/>
        <v>22</v>
      </c>
      <c r="B176" s="65" t="s">
        <v>327</v>
      </c>
      <c r="C176" s="65" t="s">
        <v>328</v>
      </c>
      <c r="D176" s="120"/>
      <c r="E176" s="120">
        <v>1839.61</v>
      </c>
      <c r="F176" s="65"/>
      <c r="G176" s="127">
        <v>44995</v>
      </c>
      <c r="H176" s="65"/>
    </row>
    <row r="177" spans="1:8" x14ac:dyDescent="0.2">
      <c r="A177" s="65">
        <f t="shared" si="2"/>
        <v>23</v>
      </c>
      <c r="B177" s="65" t="s">
        <v>322</v>
      </c>
      <c r="C177" s="65" t="s">
        <v>321</v>
      </c>
      <c r="D177" s="120"/>
      <c r="E177" s="120">
        <v>1000</v>
      </c>
      <c r="F177" s="65"/>
      <c r="G177" s="127">
        <v>44996</v>
      </c>
      <c r="H177" s="65"/>
    </row>
    <row r="178" spans="1:8" x14ac:dyDescent="0.2">
      <c r="A178" s="65">
        <f t="shared" si="2"/>
        <v>24</v>
      </c>
      <c r="B178" s="65" t="s">
        <v>329</v>
      </c>
      <c r="C178" s="65" t="s">
        <v>330</v>
      </c>
      <c r="D178" s="120"/>
      <c r="E178" s="120">
        <v>27.7</v>
      </c>
      <c r="F178" s="65"/>
      <c r="G178" s="127">
        <v>44996</v>
      </c>
      <c r="H178" s="65"/>
    </row>
    <row r="179" spans="1:8" x14ac:dyDescent="0.2">
      <c r="A179" s="65">
        <f t="shared" si="2"/>
        <v>25</v>
      </c>
      <c r="B179" s="65" t="s">
        <v>331</v>
      </c>
      <c r="C179" s="65" t="s">
        <v>332</v>
      </c>
      <c r="D179" s="120"/>
      <c r="E179" s="120">
        <v>5600</v>
      </c>
      <c r="F179" s="65"/>
      <c r="G179" s="127">
        <v>44999</v>
      </c>
      <c r="H179" s="65"/>
    </row>
    <row r="180" spans="1:8" x14ac:dyDescent="0.2">
      <c r="A180" s="65">
        <f t="shared" si="2"/>
        <v>26</v>
      </c>
      <c r="B180" s="65" t="s">
        <v>333</v>
      </c>
      <c r="C180" s="65" t="s">
        <v>332</v>
      </c>
      <c r="D180" s="120"/>
      <c r="E180" s="120">
        <v>3400</v>
      </c>
      <c r="F180" s="65"/>
      <c r="G180" s="127">
        <v>44999</v>
      </c>
      <c r="H180" s="65"/>
    </row>
    <row r="181" spans="1:8" x14ac:dyDescent="0.2">
      <c r="A181" s="65">
        <f t="shared" si="2"/>
        <v>27</v>
      </c>
      <c r="B181" s="65" t="s">
        <v>334</v>
      </c>
      <c r="C181" s="65" t="s">
        <v>107</v>
      </c>
      <c r="D181" s="120"/>
      <c r="E181" s="120">
        <v>500</v>
      </c>
      <c r="F181" s="65"/>
      <c r="G181" s="127">
        <v>44999</v>
      </c>
      <c r="H181" s="65"/>
    </row>
    <row r="182" spans="1:8" x14ac:dyDescent="0.2">
      <c r="A182" s="65">
        <f t="shared" si="2"/>
        <v>28</v>
      </c>
      <c r="B182" s="65" t="s">
        <v>335</v>
      </c>
      <c r="C182" s="65" t="s">
        <v>336</v>
      </c>
      <c r="D182" s="120"/>
      <c r="E182" s="120">
        <v>109.32</v>
      </c>
      <c r="F182" s="65"/>
      <c r="G182" s="127">
        <v>44999</v>
      </c>
      <c r="H182" s="65"/>
    </row>
    <row r="183" spans="1:8" x14ac:dyDescent="0.2">
      <c r="A183" s="65">
        <f t="shared" si="2"/>
        <v>29</v>
      </c>
      <c r="B183" s="65" t="s">
        <v>320</v>
      </c>
      <c r="C183" s="65" t="s">
        <v>321</v>
      </c>
      <c r="D183" s="120"/>
      <c r="E183" s="120">
        <v>45.31</v>
      </c>
      <c r="F183" s="65"/>
      <c r="G183" s="127">
        <v>44999</v>
      </c>
      <c r="H183" s="65"/>
    </row>
    <row r="184" spans="1:8" x14ac:dyDescent="0.2">
      <c r="A184" s="65">
        <f t="shared" si="2"/>
        <v>30</v>
      </c>
      <c r="B184" s="65" t="s">
        <v>337</v>
      </c>
      <c r="C184" s="65" t="s">
        <v>321</v>
      </c>
      <c r="D184" s="120"/>
      <c r="E184" s="120">
        <v>100</v>
      </c>
      <c r="F184" s="65"/>
      <c r="G184" s="127">
        <v>44999</v>
      </c>
      <c r="H184" s="65"/>
    </row>
    <row r="185" spans="1:8" x14ac:dyDescent="0.2">
      <c r="A185" s="65">
        <f t="shared" si="2"/>
        <v>31</v>
      </c>
      <c r="B185" s="65" t="s">
        <v>338</v>
      </c>
      <c r="C185" s="65" t="s">
        <v>321</v>
      </c>
      <c r="D185" s="120"/>
      <c r="E185" s="120">
        <v>0.18</v>
      </c>
      <c r="F185" s="65"/>
      <c r="G185" s="127">
        <v>44999</v>
      </c>
      <c r="H185" s="65"/>
    </row>
    <row r="186" spans="1:8" x14ac:dyDescent="0.2">
      <c r="A186" s="65">
        <f t="shared" si="2"/>
        <v>32</v>
      </c>
      <c r="B186" s="65" t="s">
        <v>339</v>
      </c>
      <c r="C186" s="65" t="s">
        <v>340</v>
      </c>
      <c r="D186" s="120"/>
      <c r="E186" s="120">
        <v>272.86</v>
      </c>
      <c r="F186" s="65"/>
      <c r="G186" s="191" t="s">
        <v>341</v>
      </c>
      <c r="H186" s="65"/>
    </row>
    <row r="187" spans="1:8" x14ac:dyDescent="0.2">
      <c r="A187" s="65">
        <f t="shared" si="2"/>
        <v>33</v>
      </c>
      <c r="B187" s="65" t="s">
        <v>342</v>
      </c>
      <c r="C187" s="65" t="s">
        <v>343</v>
      </c>
      <c r="D187" s="120"/>
      <c r="E187" s="120">
        <v>167.83</v>
      </c>
      <c r="F187" s="65"/>
      <c r="G187" s="191" t="s">
        <v>101</v>
      </c>
      <c r="H187" s="65"/>
    </row>
    <row r="188" spans="1:8" x14ac:dyDescent="0.2">
      <c r="A188" s="65">
        <f t="shared" si="2"/>
        <v>34</v>
      </c>
      <c r="B188" s="65" t="s">
        <v>344</v>
      </c>
      <c r="C188" s="65" t="s">
        <v>261</v>
      </c>
      <c r="D188" s="120"/>
      <c r="E188" s="120">
        <v>1.2</v>
      </c>
      <c r="F188" s="65"/>
      <c r="G188" s="191" t="s">
        <v>101</v>
      </c>
      <c r="H188" s="65"/>
    </row>
    <row r="189" spans="1:8" x14ac:dyDescent="0.2">
      <c r="A189" s="65">
        <f t="shared" si="2"/>
        <v>35</v>
      </c>
      <c r="B189" s="65" t="s">
        <v>275</v>
      </c>
      <c r="C189" s="65" t="s">
        <v>345</v>
      </c>
      <c r="D189" s="120"/>
      <c r="E189" s="120">
        <v>7551.28</v>
      </c>
      <c r="F189" s="65"/>
      <c r="G189" s="191" t="s">
        <v>104</v>
      </c>
      <c r="H189" s="65"/>
    </row>
    <row r="190" spans="1:8" x14ac:dyDescent="0.2">
      <c r="A190" s="65">
        <f t="shared" si="2"/>
        <v>36</v>
      </c>
      <c r="B190" s="65" t="s">
        <v>346</v>
      </c>
      <c r="C190" s="65" t="s">
        <v>347</v>
      </c>
      <c r="D190" s="120"/>
      <c r="E190" s="120">
        <v>182.29</v>
      </c>
      <c r="F190" s="65"/>
      <c r="G190" s="191" t="s">
        <v>104</v>
      </c>
      <c r="H190" s="65"/>
    </row>
    <row r="191" spans="1:8" x14ac:dyDescent="0.2">
      <c r="A191" s="65">
        <f t="shared" si="2"/>
        <v>37</v>
      </c>
      <c r="B191" s="65" t="s">
        <v>348</v>
      </c>
      <c r="C191" s="65" t="s">
        <v>348</v>
      </c>
      <c r="D191" s="120"/>
      <c r="E191" s="120">
        <v>359.1</v>
      </c>
      <c r="F191" s="65"/>
      <c r="G191" s="191" t="s">
        <v>349</v>
      </c>
      <c r="H191" s="65"/>
    </row>
    <row r="192" spans="1:8" x14ac:dyDescent="0.2">
      <c r="A192" s="65">
        <f t="shared" ref="A192:A219" si="3">+A191+1</f>
        <v>38</v>
      </c>
      <c r="B192" s="65" t="s">
        <v>350</v>
      </c>
      <c r="C192" s="65" t="s">
        <v>246</v>
      </c>
      <c r="D192" s="120"/>
      <c r="E192" s="120">
        <v>135.63</v>
      </c>
      <c r="F192" s="65"/>
      <c r="G192" s="191" t="s">
        <v>349</v>
      </c>
      <c r="H192" s="65"/>
    </row>
    <row r="193" spans="1:8" x14ac:dyDescent="0.2">
      <c r="A193" s="65">
        <f t="shared" si="3"/>
        <v>39</v>
      </c>
      <c r="B193" s="65" t="s">
        <v>157</v>
      </c>
      <c r="C193" s="65" t="s">
        <v>157</v>
      </c>
      <c r="D193" s="120"/>
      <c r="E193" s="120">
        <v>39.950000000000003</v>
      </c>
      <c r="F193" s="65"/>
      <c r="G193" s="191" t="s">
        <v>105</v>
      </c>
      <c r="H193" s="65"/>
    </row>
    <row r="194" spans="1:8" x14ac:dyDescent="0.2">
      <c r="A194" s="65">
        <f t="shared" si="3"/>
        <v>40</v>
      </c>
      <c r="B194" s="65" t="s">
        <v>331</v>
      </c>
      <c r="C194" s="65" t="s">
        <v>331</v>
      </c>
      <c r="D194" s="120"/>
      <c r="E194" s="120">
        <v>2370</v>
      </c>
      <c r="F194" s="65"/>
      <c r="G194" s="191" t="s">
        <v>351</v>
      </c>
      <c r="H194" s="65"/>
    </row>
    <row r="195" spans="1:8" x14ac:dyDescent="0.2">
      <c r="A195" s="65">
        <f t="shared" si="3"/>
        <v>41</v>
      </c>
      <c r="B195" s="65" t="s">
        <v>333</v>
      </c>
      <c r="C195" s="65" t="s">
        <v>192</v>
      </c>
      <c r="D195" s="120"/>
      <c r="E195" s="120">
        <v>2400</v>
      </c>
      <c r="F195" s="65"/>
      <c r="G195" s="191" t="s">
        <v>351</v>
      </c>
      <c r="H195" s="65"/>
    </row>
    <row r="196" spans="1:8" x14ac:dyDescent="0.2">
      <c r="A196" s="65">
        <f t="shared" si="3"/>
        <v>42</v>
      </c>
      <c r="B196" s="65" t="s">
        <v>352</v>
      </c>
      <c r="C196" s="65"/>
      <c r="D196" s="120"/>
      <c r="E196" s="120">
        <v>42.48</v>
      </c>
      <c r="F196" s="65"/>
      <c r="G196" s="191" t="s">
        <v>353</v>
      </c>
      <c r="H196" s="65"/>
    </row>
    <row r="197" spans="1:8" x14ac:dyDescent="0.2">
      <c r="A197" s="65">
        <f t="shared" si="3"/>
        <v>43</v>
      </c>
      <c r="B197" s="65" t="s">
        <v>321</v>
      </c>
      <c r="C197" s="65" t="s">
        <v>354</v>
      </c>
      <c r="D197" s="120"/>
      <c r="E197" s="120">
        <v>100.18</v>
      </c>
      <c r="F197" s="65"/>
      <c r="G197" s="191" t="s">
        <v>355</v>
      </c>
      <c r="H197" s="65"/>
    </row>
    <row r="198" spans="1:8" x14ac:dyDescent="0.2">
      <c r="A198" s="65">
        <f t="shared" si="3"/>
        <v>44</v>
      </c>
      <c r="B198" s="65" t="s">
        <v>328</v>
      </c>
      <c r="C198" s="65" t="s">
        <v>356</v>
      </c>
      <c r="D198" s="120"/>
      <c r="E198" s="120">
        <v>187.5</v>
      </c>
      <c r="F198" s="65"/>
      <c r="G198" s="127" t="s">
        <v>357</v>
      </c>
      <c r="H198" s="65"/>
    </row>
    <row r="199" spans="1:8" x14ac:dyDescent="0.2">
      <c r="A199" s="65">
        <f t="shared" si="3"/>
        <v>45</v>
      </c>
      <c r="B199" s="65" t="s">
        <v>358</v>
      </c>
      <c r="C199" s="65" t="s">
        <v>359</v>
      </c>
      <c r="D199" s="120"/>
      <c r="E199" s="120">
        <v>644.70000000000005</v>
      </c>
      <c r="F199" s="65"/>
      <c r="G199" s="127" t="s">
        <v>357</v>
      </c>
      <c r="H199" s="65"/>
    </row>
    <row r="200" spans="1:8" x14ac:dyDescent="0.2">
      <c r="A200" s="65">
        <f t="shared" si="3"/>
        <v>46</v>
      </c>
      <c r="B200" s="65" t="s">
        <v>251</v>
      </c>
      <c r="C200" s="65" t="s">
        <v>360</v>
      </c>
      <c r="D200" s="120"/>
      <c r="E200" s="120">
        <v>482.43</v>
      </c>
      <c r="F200" s="65"/>
      <c r="G200" s="127" t="s">
        <v>357</v>
      </c>
      <c r="H200" s="65"/>
    </row>
    <row r="201" spans="1:8" x14ac:dyDescent="0.2">
      <c r="A201" s="65">
        <f t="shared" si="3"/>
        <v>47</v>
      </c>
      <c r="B201" s="65" t="s">
        <v>321</v>
      </c>
      <c r="C201" s="65" t="s">
        <v>361</v>
      </c>
      <c r="D201" s="120"/>
      <c r="E201" s="120">
        <v>0.4</v>
      </c>
      <c r="F201" s="65"/>
      <c r="G201" s="127" t="s">
        <v>357</v>
      </c>
      <c r="H201" s="65"/>
    </row>
    <row r="202" spans="1:8" x14ac:dyDescent="0.2">
      <c r="A202" s="65">
        <f t="shared" si="3"/>
        <v>48</v>
      </c>
      <c r="B202" s="65" t="s">
        <v>362</v>
      </c>
      <c r="C202" s="65" t="s">
        <v>363</v>
      </c>
      <c r="D202" s="120"/>
      <c r="E202" s="120">
        <v>207.95</v>
      </c>
      <c r="F202" s="65"/>
      <c r="G202" s="127" t="s">
        <v>357</v>
      </c>
      <c r="H202" s="65"/>
    </row>
    <row r="203" spans="1:8" x14ac:dyDescent="0.2">
      <c r="A203" s="65">
        <f t="shared" si="3"/>
        <v>49</v>
      </c>
      <c r="B203" s="65" t="s">
        <v>362</v>
      </c>
      <c r="C203" s="65" t="s">
        <v>363</v>
      </c>
      <c r="D203" s="120"/>
      <c r="E203" s="120">
        <v>264.58</v>
      </c>
      <c r="F203" s="65"/>
      <c r="G203" s="127" t="s">
        <v>357</v>
      </c>
      <c r="H203" s="65"/>
    </row>
    <row r="204" spans="1:8" x14ac:dyDescent="0.2">
      <c r="A204" s="65">
        <f t="shared" si="3"/>
        <v>50</v>
      </c>
      <c r="B204" s="65" t="s">
        <v>364</v>
      </c>
      <c r="C204" s="65"/>
      <c r="D204" s="120"/>
      <c r="E204" s="120">
        <v>129.72999999999999</v>
      </c>
      <c r="F204" s="65"/>
      <c r="G204" s="127" t="s">
        <v>357</v>
      </c>
      <c r="H204" s="65"/>
    </row>
    <row r="205" spans="1:8" x14ac:dyDescent="0.2">
      <c r="A205" s="65">
        <f t="shared" si="3"/>
        <v>51</v>
      </c>
      <c r="B205" s="65" t="s">
        <v>364</v>
      </c>
      <c r="C205" s="65"/>
      <c r="D205" s="120"/>
      <c r="E205" s="120">
        <v>43.88</v>
      </c>
      <c r="F205" s="65"/>
      <c r="G205" s="127" t="s">
        <v>357</v>
      </c>
      <c r="H205" s="65"/>
    </row>
    <row r="206" spans="1:8" x14ac:dyDescent="0.2">
      <c r="A206" s="65">
        <f t="shared" si="3"/>
        <v>52</v>
      </c>
      <c r="B206" s="65" t="s">
        <v>364</v>
      </c>
      <c r="C206" s="65"/>
      <c r="D206" s="120"/>
      <c r="E206" s="120">
        <v>136.15</v>
      </c>
      <c r="F206" s="65"/>
      <c r="G206" s="127" t="s">
        <v>357</v>
      </c>
      <c r="H206" s="65"/>
    </row>
    <row r="207" spans="1:8" x14ac:dyDescent="0.2">
      <c r="A207" s="65">
        <f t="shared" si="3"/>
        <v>53</v>
      </c>
      <c r="B207" s="65" t="s">
        <v>364</v>
      </c>
      <c r="C207" s="65"/>
      <c r="D207" s="120"/>
      <c r="E207" s="120">
        <v>59.25</v>
      </c>
      <c r="F207" s="65"/>
      <c r="G207" s="127" t="s">
        <v>357</v>
      </c>
      <c r="H207" s="65"/>
    </row>
    <row r="208" spans="1:8" x14ac:dyDescent="0.2">
      <c r="A208" s="197">
        <f t="shared" si="3"/>
        <v>54</v>
      </c>
      <c r="B208" s="197" t="s">
        <v>365</v>
      </c>
      <c r="C208" s="197"/>
      <c r="D208" s="198"/>
      <c r="E208" s="198">
        <v>526.03</v>
      </c>
      <c r="F208" s="197"/>
      <c r="G208" s="199" t="s">
        <v>366</v>
      </c>
      <c r="H208" s="65"/>
    </row>
    <row r="209" spans="1:8" x14ac:dyDescent="0.2">
      <c r="A209" s="65">
        <f t="shared" si="3"/>
        <v>55</v>
      </c>
      <c r="B209" s="65" t="s">
        <v>367</v>
      </c>
      <c r="C209" s="65" t="s">
        <v>368</v>
      </c>
      <c r="D209" s="120"/>
      <c r="E209" s="120">
        <v>716.7</v>
      </c>
      <c r="F209" s="65"/>
      <c r="G209" s="127" t="s">
        <v>366</v>
      </c>
      <c r="H209" s="65"/>
    </row>
    <row r="210" spans="1:8" x14ac:dyDescent="0.2">
      <c r="A210" s="65">
        <f t="shared" si="3"/>
        <v>56</v>
      </c>
      <c r="B210" s="65" t="s">
        <v>369</v>
      </c>
      <c r="C210" s="65"/>
      <c r="D210" s="120"/>
      <c r="E210" s="120">
        <v>226.96</v>
      </c>
      <c r="F210" s="65"/>
      <c r="G210" s="127" t="s">
        <v>370</v>
      </c>
      <c r="H210" s="65"/>
    </row>
    <row r="211" spans="1:8" x14ac:dyDescent="0.2">
      <c r="A211" s="65">
        <f t="shared" si="3"/>
        <v>57</v>
      </c>
      <c r="B211" s="65" t="s">
        <v>371</v>
      </c>
      <c r="C211" s="65"/>
      <c r="D211" s="120"/>
      <c r="E211" s="120">
        <v>226.96</v>
      </c>
      <c r="F211" s="65"/>
      <c r="G211" s="127" t="s">
        <v>370</v>
      </c>
      <c r="H211" s="65"/>
    </row>
    <row r="212" spans="1:8" x14ac:dyDescent="0.2">
      <c r="A212" s="65">
        <f t="shared" si="3"/>
        <v>58</v>
      </c>
      <c r="B212" s="65" t="s">
        <v>372</v>
      </c>
      <c r="C212" s="65" t="s">
        <v>373</v>
      </c>
      <c r="D212" s="120"/>
      <c r="E212" s="120">
        <v>225.19</v>
      </c>
      <c r="F212" s="65"/>
      <c r="G212" s="127" t="s">
        <v>374</v>
      </c>
      <c r="H212" s="65"/>
    </row>
    <row r="213" spans="1:8" x14ac:dyDescent="0.2">
      <c r="A213" s="197">
        <f t="shared" si="3"/>
        <v>59</v>
      </c>
      <c r="B213" s="197" t="s">
        <v>375</v>
      </c>
      <c r="C213" s="197" t="s">
        <v>376</v>
      </c>
      <c r="D213" s="198"/>
      <c r="E213" s="198">
        <v>70</v>
      </c>
      <c r="F213" s="197"/>
      <c r="G213" s="199" t="s">
        <v>374</v>
      </c>
      <c r="H213" s="65"/>
    </row>
    <row r="214" spans="1:8" x14ac:dyDescent="0.2">
      <c r="A214" s="65">
        <f t="shared" si="3"/>
        <v>60</v>
      </c>
      <c r="B214" s="65" t="s">
        <v>377</v>
      </c>
      <c r="C214" s="65" t="s">
        <v>378</v>
      </c>
      <c r="D214" s="120"/>
      <c r="E214" s="120">
        <v>667.53</v>
      </c>
      <c r="F214" s="65"/>
      <c r="G214" s="127" t="s">
        <v>374</v>
      </c>
      <c r="H214" s="65"/>
    </row>
    <row r="215" spans="1:8" x14ac:dyDescent="0.2">
      <c r="A215" s="65">
        <f t="shared" si="3"/>
        <v>61</v>
      </c>
      <c r="B215" s="65" t="s">
        <v>379</v>
      </c>
      <c r="C215" s="65"/>
      <c r="D215" s="120"/>
      <c r="E215" s="120">
        <v>119.14</v>
      </c>
      <c r="F215" s="65"/>
      <c r="G215" s="127" t="s">
        <v>374</v>
      </c>
      <c r="H215" s="65"/>
    </row>
    <row r="216" spans="1:8" x14ac:dyDescent="0.2">
      <c r="A216" s="65">
        <f t="shared" si="3"/>
        <v>62</v>
      </c>
      <c r="B216" s="65" t="s">
        <v>380</v>
      </c>
      <c r="C216" s="65"/>
      <c r="D216" s="120"/>
      <c r="E216" s="120">
        <v>51.5</v>
      </c>
      <c r="F216" s="65"/>
      <c r="G216" s="127" t="s">
        <v>374</v>
      </c>
      <c r="H216" s="65"/>
    </row>
    <row r="217" spans="1:8" x14ac:dyDescent="0.2">
      <c r="A217" s="65">
        <f t="shared" si="3"/>
        <v>63</v>
      </c>
      <c r="B217" s="65"/>
      <c r="C217" s="65"/>
      <c r="D217" s="120"/>
      <c r="E217" s="120"/>
      <c r="F217" s="65"/>
      <c r="G217" s="127"/>
      <c r="H217" s="65"/>
    </row>
    <row r="218" spans="1:8" x14ac:dyDescent="0.2">
      <c r="A218" s="65">
        <f t="shared" si="3"/>
        <v>64</v>
      </c>
      <c r="B218" s="65"/>
      <c r="C218" s="65"/>
      <c r="D218" s="120"/>
      <c r="E218" s="120"/>
      <c r="F218" s="65"/>
      <c r="G218" s="127"/>
      <c r="H218" s="65"/>
    </row>
    <row r="219" spans="1:8" x14ac:dyDescent="0.2">
      <c r="A219" s="65">
        <f t="shared" si="3"/>
        <v>65</v>
      </c>
      <c r="B219" s="65"/>
      <c r="C219" s="65"/>
      <c r="D219" s="120"/>
      <c r="E219" s="120"/>
      <c r="F219" s="65"/>
      <c r="G219" s="127"/>
      <c r="H219" s="65"/>
    </row>
    <row r="220" spans="1:8" x14ac:dyDescent="0.2">
      <c r="A220" s="139"/>
      <c r="G220" s="70"/>
    </row>
    <row r="221" spans="1:8" x14ac:dyDescent="0.2">
      <c r="A221" s="213" t="s">
        <v>118</v>
      </c>
      <c r="B221" s="214"/>
      <c r="C221" s="214"/>
      <c r="D221" s="141">
        <f>SUM(D137:D220)</f>
        <v>0</v>
      </c>
      <c r="E221" s="142">
        <f>SUM(E155:E220)</f>
        <v>58374.419999999984</v>
      </c>
      <c r="G221" s="70"/>
    </row>
    <row r="222" spans="1:8" x14ac:dyDescent="0.2">
      <c r="G222" s="70"/>
    </row>
    <row r="223" spans="1:8" x14ac:dyDescent="0.2">
      <c r="A223" s="65">
        <f>+A219+1</f>
        <v>66</v>
      </c>
      <c r="B223" s="65"/>
      <c r="C223" s="65"/>
      <c r="D223" s="120"/>
      <c r="E223" s="120"/>
      <c r="F223" s="65"/>
      <c r="G223" s="127"/>
      <c r="H223" s="65"/>
    </row>
    <row r="224" spans="1:8" x14ac:dyDescent="0.2">
      <c r="A224" s="65">
        <f t="shared" ref="A224:A265" si="4">+A223+1</f>
        <v>67</v>
      </c>
      <c r="B224" s="65"/>
      <c r="C224" s="65"/>
      <c r="D224" s="120"/>
      <c r="E224" s="120"/>
      <c r="F224" s="65"/>
      <c r="G224" s="127"/>
      <c r="H224" s="65"/>
    </row>
    <row r="225" spans="1:8" x14ac:dyDescent="0.2">
      <c r="A225" s="65">
        <f t="shared" si="4"/>
        <v>68</v>
      </c>
      <c r="B225" s="65"/>
      <c r="C225" s="65"/>
      <c r="D225" s="120"/>
      <c r="E225" s="120"/>
      <c r="F225" s="65"/>
      <c r="G225" s="127"/>
      <c r="H225" s="65"/>
    </row>
    <row r="226" spans="1:8" x14ac:dyDescent="0.2">
      <c r="A226" s="65">
        <f t="shared" si="4"/>
        <v>69</v>
      </c>
      <c r="B226" s="65"/>
      <c r="C226" s="65"/>
      <c r="D226" s="120"/>
      <c r="E226" s="120"/>
      <c r="F226" s="65"/>
      <c r="G226" s="127"/>
      <c r="H226" s="65"/>
    </row>
    <row r="227" spans="1:8" x14ac:dyDescent="0.2">
      <c r="A227" s="65">
        <f t="shared" si="4"/>
        <v>70</v>
      </c>
      <c r="B227" s="65"/>
      <c r="C227" s="65"/>
      <c r="D227" s="120"/>
      <c r="E227" s="120"/>
      <c r="F227" s="65"/>
      <c r="G227" s="127"/>
      <c r="H227" s="65"/>
    </row>
    <row r="228" spans="1:8" x14ac:dyDescent="0.2">
      <c r="A228" s="65">
        <f t="shared" si="4"/>
        <v>71</v>
      </c>
      <c r="B228" s="65"/>
      <c r="C228" s="65"/>
      <c r="D228" s="120"/>
      <c r="E228" s="120"/>
      <c r="F228" s="65"/>
      <c r="G228" s="127"/>
      <c r="H228" s="65"/>
    </row>
    <row r="229" spans="1:8" x14ac:dyDescent="0.2">
      <c r="A229" s="65">
        <f t="shared" si="4"/>
        <v>72</v>
      </c>
      <c r="B229" s="65"/>
      <c r="C229" s="65"/>
      <c r="D229" s="120"/>
      <c r="E229" s="120"/>
      <c r="F229" s="65"/>
      <c r="G229" s="127"/>
      <c r="H229" s="65"/>
    </row>
    <row r="230" spans="1:8" x14ac:dyDescent="0.2">
      <c r="A230" s="65">
        <f t="shared" si="4"/>
        <v>73</v>
      </c>
      <c r="B230" s="65"/>
      <c r="C230" s="65"/>
      <c r="D230" s="120"/>
      <c r="E230" s="120"/>
      <c r="F230" s="65"/>
      <c r="G230" s="127"/>
      <c r="H230" s="65"/>
    </row>
    <row r="231" spans="1:8" x14ac:dyDescent="0.2">
      <c r="A231" s="65">
        <f t="shared" si="4"/>
        <v>74</v>
      </c>
      <c r="B231" s="65"/>
      <c r="C231" s="65"/>
      <c r="D231" s="120"/>
      <c r="E231" s="120"/>
      <c r="F231" s="65"/>
      <c r="G231" s="127"/>
      <c r="H231" s="65"/>
    </row>
    <row r="232" spans="1:8" x14ac:dyDescent="0.2">
      <c r="A232" s="65">
        <f t="shared" si="4"/>
        <v>75</v>
      </c>
      <c r="B232" s="65"/>
      <c r="C232" s="65"/>
      <c r="D232" s="120"/>
      <c r="E232" s="120"/>
      <c r="F232" s="65"/>
      <c r="G232" s="127"/>
      <c r="H232" s="65"/>
    </row>
    <row r="233" spans="1:8" x14ac:dyDescent="0.2">
      <c r="A233" s="65">
        <f t="shared" si="4"/>
        <v>76</v>
      </c>
      <c r="B233" s="65"/>
      <c r="C233" s="65"/>
      <c r="D233" s="120"/>
      <c r="E233" s="120"/>
      <c r="F233" s="65"/>
      <c r="G233" s="127"/>
      <c r="H233" s="65"/>
    </row>
    <row r="234" spans="1:8" x14ac:dyDescent="0.2">
      <c r="A234" s="65">
        <f t="shared" si="4"/>
        <v>77</v>
      </c>
      <c r="B234" s="65"/>
      <c r="C234" s="65"/>
      <c r="D234" s="120"/>
      <c r="E234" s="120"/>
      <c r="F234" s="65"/>
      <c r="G234" s="127"/>
      <c r="H234" s="65"/>
    </row>
    <row r="235" spans="1:8" x14ac:dyDescent="0.2">
      <c r="A235" s="65">
        <f t="shared" si="4"/>
        <v>78</v>
      </c>
      <c r="B235" s="65"/>
      <c r="C235" s="65"/>
      <c r="D235" s="120"/>
      <c r="E235" s="120"/>
      <c r="F235" s="65"/>
      <c r="G235" s="127"/>
      <c r="H235" s="65"/>
    </row>
    <row r="236" spans="1:8" x14ac:dyDescent="0.2">
      <c r="A236" s="65">
        <f t="shared" si="4"/>
        <v>79</v>
      </c>
      <c r="B236" s="65"/>
      <c r="C236" s="65"/>
      <c r="D236" s="120"/>
      <c r="E236" s="120"/>
      <c r="F236" s="65"/>
      <c r="G236" s="127"/>
      <c r="H236" s="65"/>
    </row>
    <row r="237" spans="1:8" x14ac:dyDescent="0.2">
      <c r="A237" s="65">
        <f t="shared" si="4"/>
        <v>80</v>
      </c>
      <c r="B237" s="65"/>
      <c r="C237" s="65"/>
      <c r="D237" s="120"/>
      <c r="E237" s="120"/>
      <c r="F237" s="65"/>
      <c r="G237" s="127"/>
      <c r="H237" s="65"/>
    </row>
    <row r="238" spans="1:8" x14ac:dyDescent="0.2">
      <c r="A238" s="65">
        <f t="shared" si="4"/>
        <v>81</v>
      </c>
      <c r="B238" s="65"/>
      <c r="C238" s="65"/>
      <c r="D238" s="120"/>
      <c r="E238" s="120"/>
      <c r="F238" s="65"/>
      <c r="G238" s="127"/>
      <c r="H238" s="65"/>
    </row>
    <row r="239" spans="1:8" x14ac:dyDescent="0.2">
      <c r="A239" s="65">
        <f t="shared" si="4"/>
        <v>82</v>
      </c>
      <c r="B239" s="65"/>
      <c r="C239" s="65"/>
      <c r="D239" s="120"/>
      <c r="E239" s="120"/>
      <c r="F239" s="65"/>
      <c r="G239" s="127"/>
      <c r="H239" s="65"/>
    </row>
    <row r="240" spans="1:8" x14ac:dyDescent="0.2">
      <c r="A240" s="65">
        <f t="shared" si="4"/>
        <v>83</v>
      </c>
      <c r="B240" s="65"/>
      <c r="C240" s="65"/>
      <c r="D240" s="120"/>
      <c r="E240" s="120"/>
      <c r="F240" s="65"/>
      <c r="G240" s="127"/>
      <c r="H240" s="65"/>
    </row>
    <row r="241" spans="1:8" x14ac:dyDescent="0.2">
      <c r="A241" s="65">
        <f t="shared" si="4"/>
        <v>84</v>
      </c>
      <c r="B241" s="65"/>
      <c r="C241" s="65"/>
      <c r="D241" s="120"/>
      <c r="E241" s="120"/>
      <c r="F241" s="65"/>
      <c r="G241" s="127"/>
      <c r="H241" s="65"/>
    </row>
    <row r="242" spans="1:8" x14ac:dyDescent="0.2">
      <c r="A242" s="65">
        <f t="shared" si="4"/>
        <v>85</v>
      </c>
      <c r="B242" s="65"/>
      <c r="C242" s="65"/>
      <c r="D242" s="120"/>
      <c r="E242" s="120"/>
      <c r="F242" s="65"/>
      <c r="G242" s="127"/>
      <c r="H242" s="65"/>
    </row>
    <row r="243" spans="1:8" x14ac:dyDescent="0.2">
      <c r="A243" s="65">
        <f t="shared" si="4"/>
        <v>86</v>
      </c>
      <c r="B243" s="65"/>
      <c r="C243" s="65"/>
      <c r="D243" s="120"/>
      <c r="E243" s="120"/>
      <c r="F243" s="65"/>
      <c r="G243" s="127"/>
      <c r="H243" s="65"/>
    </row>
    <row r="244" spans="1:8" x14ac:dyDescent="0.2">
      <c r="A244" s="65">
        <f t="shared" si="4"/>
        <v>87</v>
      </c>
      <c r="B244" s="65"/>
      <c r="C244" s="65"/>
      <c r="D244" s="120"/>
      <c r="E244" s="120"/>
      <c r="F244" s="65"/>
      <c r="G244" s="127"/>
      <c r="H244" s="65"/>
    </row>
    <row r="245" spans="1:8" x14ac:dyDescent="0.2">
      <c r="A245" s="65">
        <f t="shared" si="4"/>
        <v>88</v>
      </c>
      <c r="B245" s="65"/>
      <c r="C245" s="65"/>
      <c r="D245" s="120"/>
      <c r="E245" s="120"/>
      <c r="F245" s="65"/>
      <c r="G245" s="127"/>
      <c r="H245" s="65"/>
    </row>
    <row r="246" spans="1:8" x14ac:dyDescent="0.2">
      <c r="A246" s="65">
        <f t="shared" si="4"/>
        <v>89</v>
      </c>
      <c r="B246" s="65"/>
      <c r="C246" s="65"/>
      <c r="D246" s="120"/>
      <c r="E246" s="120"/>
      <c r="F246" s="65"/>
      <c r="G246" s="127"/>
      <c r="H246" s="65"/>
    </row>
    <row r="247" spans="1:8" x14ac:dyDescent="0.2">
      <c r="A247" s="65">
        <f t="shared" si="4"/>
        <v>90</v>
      </c>
      <c r="B247" s="65"/>
      <c r="C247" s="65"/>
      <c r="D247" s="120"/>
      <c r="E247" s="120"/>
      <c r="F247" s="65"/>
      <c r="G247" s="127"/>
      <c r="H247" s="65"/>
    </row>
    <row r="248" spans="1:8" x14ac:dyDescent="0.2">
      <c r="A248" s="65">
        <f t="shared" si="4"/>
        <v>91</v>
      </c>
      <c r="B248" s="65"/>
      <c r="C248" s="65"/>
      <c r="D248" s="120"/>
      <c r="E248" s="120"/>
      <c r="F248" s="65"/>
      <c r="G248" s="127"/>
      <c r="H248" s="65"/>
    </row>
    <row r="249" spans="1:8" x14ac:dyDescent="0.2">
      <c r="A249" s="65">
        <f t="shared" si="4"/>
        <v>92</v>
      </c>
      <c r="B249" s="65"/>
      <c r="C249" s="65"/>
      <c r="D249" s="120"/>
      <c r="E249" s="120"/>
      <c r="F249" s="65"/>
      <c r="G249" s="127"/>
      <c r="H249" s="65"/>
    </row>
    <row r="250" spans="1:8" x14ac:dyDescent="0.2">
      <c r="A250" s="65">
        <f t="shared" si="4"/>
        <v>93</v>
      </c>
      <c r="B250" s="65"/>
      <c r="C250" s="65"/>
      <c r="D250" s="120"/>
      <c r="E250" s="120"/>
      <c r="F250" s="65"/>
      <c r="G250" s="127"/>
      <c r="H250" s="65"/>
    </row>
    <row r="251" spans="1:8" x14ac:dyDescent="0.2">
      <c r="A251" s="65">
        <f t="shared" si="4"/>
        <v>94</v>
      </c>
      <c r="B251" s="65"/>
      <c r="C251" s="65"/>
      <c r="D251" s="120"/>
      <c r="E251" s="120"/>
      <c r="F251" s="65"/>
      <c r="G251" s="127"/>
      <c r="H251" s="65"/>
    </row>
    <row r="252" spans="1:8" x14ac:dyDescent="0.2">
      <c r="A252" s="65">
        <f t="shared" si="4"/>
        <v>95</v>
      </c>
      <c r="B252" s="65"/>
      <c r="C252" s="65"/>
      <c r="D252" s="120"/>
      <c r="E252" s="120"/>
      <c r="F252" s="65"/>
      <c r="G252" s="127"/>
      <c r="H252" s="65"/>
    </row>
    <row r="253" spans="1:8" x14ac:dyDescent="0.2">
      <c r="A253" s="65">
        <f t="shared" si="4"/>
        <v>96</v>
      </c>
      <c r="B253" s="65"/>
      <c r="C253" s="65"/>
      <c r="D253" s="120"/>
      <c r="E253" s="120"/>
      <c r="F253" s="65"/>
      <c r="G253" s="127"/>
      <c r="H253" s="65"/>
    </row>
    <row r="254" spans="1:8" x14ac:dyDescent="0.2">
      <c r="A254" s="65">
        <f t="shared" si="4"/>
        <v>97</v>
      </c>
      <c r="B254" s="65"/>
      <c r="C254" s="65"/>
      <c r="D254" s="120"/>
      <c r="E254" s="120"/>
      <c r="F254" s="65"/>
      <c r="G254" s="127"/>
      <c r="H254" s="65"/>
    </row>
    <row r="255" spans="1:8" x14ac:dyDescent="0.2">
      <c r="A255" s="65">
        <f t="shared" si="4"/>
        <v>98</v>
      </c>
      <c r="B255" s="65"/>
      <c r="C255" s="65"/>
      <c r="D255" s="120"/>
      <c r="E255" s="120"/>
      <c r="F255" s="65"/>
      <c r="G255" s="127"/>
      <c r="H255" s="65"/>
    </row>
    <row r="256" spans="1:8" x14ac:dyDescent="0.2">
      <c r="A256" s="65">
        <f t="shared" si="4"/>
        <v>99</v>
      </c>
      <c r="B256" s="65"/>
      <c r="C256" s="65"/>
      <c r="D256" s="120"/>
      <c r="E256" s="120"/>
      <c r="F256" s="65"/>
      <c r="G256" s="127"/>
      <c r="H256" s="65"/>
    </row>
    <row r="257" spans="1:8" x14ac:dyDescent="0.2">
      <c r="A257" s="65">
        <f t="shared" si="4"/>
        <v>100</v>
      </c>
      <c r="B257" s="65"/>
      <c r="C257" s="65"/>
      <c r="D257" s="120"/>
      <c r="E257" s="120"/>
      <c r="F257" s="65"/>
      <c r="G257" s="127"/>
      <c r="H257" s="65"/>
    </row>
    <row r="258" spans="1:8" x14ac:dyDescent="0.2">
      <c r="A258" s="65">
        <f t="shared" si="4"/>
        <v>101</v>
      </c>
      <c r="B258" s="65"/>
      <c r="C258" s="65"/>
      <c r="D258" s="120"/>
      <c r="E258" s="120"/>
      <c r="F258" s="65"/>
      <c r="G258" s="127"/>
      <c r="H258" s="65"/>
    </row>
    <row r="259" spans="1:8" x14ac:dyDescent="0.2">
      <c r="A259" s="65">
        <f t="shared" si="4"/>
        <v>102</v>
      </c>
      <c r="B259" s="65"/>
      <c r="C259" s="65"/>
      <c r="D259" s="120"/>
      <c r="E259" s="120"/>
      <c r="F259" s="65"/>
      <c r="G259" s="127"/>
      <c r="H259" s="65"/>
    </row>
    <row r="260" spans="1:8" x14ac:dyDescent="0.2">
      <c r="A260" s="65">
        <f t="shared" si="4"/>
        <v>103</v>
      </c>
      <c r="B260" s="65"/>
      <c r="C260" s="65"/>
      <c r="D260" s="120"/>
      <c r="E260" s="120"/>
      <c r="F260" s="65"/>
      <c r="G260" s="127"/>
      <c r="H260" s="65"/>
    </row>
    <row r="261" spans="1:8" x14ac:dyDescent="0.2">
      <c r="A261" s="65">
        <f t="shared" si="4"/>
        <v>104</v>
      </c>
      <c r="B261" s="65"/>
      <c r="C261" s="65"/>
      <c r="D261" s="120"/>
      <c r="E261" s="120"/>
      <c r="F261" s="65"/>
      <c r="G261" s="127"/>
      <c r="H261" s="65"/>
    </row>
    <row r="262" spans="1:8" x14ac:dyDescent="0.2">
      <c r="A262" s="65">
        <f t="shared" si="4"/>
        <v>105</v>
      </c>
      <c r="B262" s="65"/>
      <c r="C262" s="65"/>
      <c r="D262" s="120"/>
      <c r="E262" s="120"/>
      <c r="F262" s="65"/>
      <c r="G262" s="127"/>
      <c r="H262" s="65"/>
    </row>
    <row r="263" spans="1:8" x14ac:dyDescent="0.2">
      <c r="A263" s="65">
        <f t="shared" si="4"/>
        <v>106</v>
      </c>
      <c r="B263" s="65"/>
      <c r="C263" s="65"/>
      <c r="D263" s="120"/>
      <c r="E263" s="120"/>
      <c r="F263" s="65"/>
      <c r="G263" s="127"/>
      <c r="H263" s="65"/>
    </row>
    <row r="264" spans="1:8" x14ac:dyDescent="0.2">
      <c r="A264" s="65">
        <f t="shared" si="4"/>
        <v>107</v>
      </c>
      <c r="B264" s="65"/>
      <c r="C264" s="65"/>
      <c r="D264" s="120"/>
      <c r="E264" s="120"/>
      <c r="F264" s="65"/>
      <c r="G264" s="127"/>
      <c r="H264" s="65"/>
    </row>
    <row r="265" spans="1:8" x14ac:dyDescent="0.2">
      <c r="A265" s="65">
        <f t="shared" si="4"/>
        <v>108</v>
      </c>
      <c r="B265" s="65"/>
      <c r="C265" s="65"/>
      <c r="D265" s="120"/>
      <c r="E265" s="120"/>
      <c r="F265" s="65"/>
      <c r="G265" s="127"/>
      <c r="H265" s="65"/>
    </row>
    <row r="267" spans="1:8" ht="15.75" thickBot="1" x14ac:dyDescent="0.25">
      <c r="A267" s="213" t="s">
        <v>119</v>
      </c>
      <c r="B267" s="214"/>
      <c r="C267" s="214"/>
      <c r="D267" s="141">
        <f>SUM(D186:D266)</f>
        <v>0</v>
      </c>
      <c r="E267" s="142">
        <f>SUM(E223:E266)</f>
        <v>0</v>
      </c>
    </row>
    <row r="270" spans="1:8" x14ac:dyDescent="0.2">
      <c r="A270" s="65">
        <f>+A265+1</f>
        <v>109</v>
      </c>
      <c r="B270" s="65"/>
      <c r="C270" s="65"/>
      <c r="D270" s="120"/>
      <c r="E270" s="120"/>
      <c r="F270" s="65"/>
      <c r="G270" s="127"/>
      <c r="H270" s="65"/>
    </row>
    <row r="271" spans="1:8" x14ac:dyDescent="0.2">
      <c r="A271" s="65">
        <f t="shared" ref="A270:A294" si="5">+A270+1</f>
        <v>110</v>
      </c>
      <c r="B271" s="65"/>
      <c r="C271" s="65"/>
      <c r="D271" s="120"/>
      <c r="E271" s="120"/>
      <c r="F271" s="65"/>
      <c r="G271" s="127"/>
      <c r="H271" s="65"/>
    </row>
    <row r="272" spans="1:8" x14ac:dyDescent="0.2">
      <c r="A272" s="65">
        <f t="shared" si="5"/>
        <v>111</v>
      </c>
      <c r="B272" s="65"/>
      <c r="C272" s="65"/>
      <c r="D272" s="120"/>
      <c r="E272" s="120"/>
      <c r="F272" s="65"/>
      <c r="G272" s="127"/>
      <c r="H272" s="65"/>
    </row>
    <row r="273" spans="1:8" x14ac:dyDescent="0.2">
      <c r="A273" s="65">
        <f t="shared" si="5"/>
        <v>112</v>
      </c>
      <c r="B273" s="65"/>
      <c r="C273" s="65"/>
      <c r="D273" s="120"/>
      <c r="E273" s="120"/>
      <c r="F273" s="65"/>
      <c r="G273" s="127"/>
      <c r="H273" s="65"/>
    </row>
    <row r="274" spans="1:8" x14ac:dyDescent="0.2">
      <c r="A274" s="65">
        <f t="shared" si="5"/>
        <v>113</v>
      </c>
      <c r="B274" s="65"/>
      <c r="C274" s="65"/>
      <c r="D274" s="120"/>
      <c r="E274" s="120"/>
      <c r="F274" s="65"/>
      <c r="G274" s="127"/>
      <c r="H274" s="65"/>
    </row>
    <row r="275" spans="1:8" x14ac:dyDescent="0.2">
      <c r="A275" s="65">
        <f t="shared" si="5"/>
        <v>114</v>
      </c>
      <c r="B275" s="65"/>
      <c r="C275" s="65"/>
      <c r="D275" s="120"/>
      <c r="E275" s="120"/>
      <c r="F275" s="65"/>
      <c r="G275" s="127"/>
      <c r="H275" s="65"/>
    </row>
    <row r="276" spans="1:8" x14ac:dyDescent="0.2">
      <c r="A276" s="65">
        <f t="shared" si="5"/>
        <v>115</v>
      </c>
      <c r="B276" s="65"/>
      <c r="C276" s="65"/>
      <c r="D276" s="120"/>
      <c r="E276" s="120"/>
      <c r="F276" s="65"/>
      <c r="G276" s="127"/>
      <c r="H276" s="65"/>
    </row>
    <row r="277" spans="1:8" x14ac:dyDescent="0.2">
      <c r="A277" s="65">
        <f t="shared" si="5"/>
        <v>116</v>
      </c>
      <c r="B277" s="65"/>
      <c r="C277" s="65"/>
      <c r="D277" s="120"/>
      <c r="E277" s="120"/>
      <c r="F277" s="65"/>
      <c r="G277" s="127"/>
      <c r="H277" s="65"/>
    </row>
    <row r="278" spans="1:8" x14ac:dyDescent="0.2">
      <c r="A278" s="65">
        <f t="shared" si="5"/>
        <v>117</v>
      </c>
      <c r="B278" s="65"/>
      <c r="C278" s="65"/>
      <c r="D278" s="120"/>
      <c r="E278" s="120"/>
      <c r="F278" s="65"/>
      <c r="G278" s="127"/>
      <c r="H278" s="65"/>
    </row>
    <row r="279" spans="1:8" x14ac:dyDescent="0.2">
      <c r="A279" s="65">
        <f t="shared" si="5"/>
        <v>118</v>
      </c>
      <c r="B279" s="65"/>
      <c r="C279" s="65"/>
      <c r="D279" s="120"/>
      <c r="E279" s="120"/>
      <c r="F279" s="65"/>
      <c r="G279" s="127"/>
      <c r="H279" s="65"/>
    </row>
    <row r="280" spans="1:8" x14ac:dyDescent="0.2">
      <c r="A280" s="65">
        <f t="shared" si="5"/>
        <v>119</v>
      </c>
      <c r="B280" s="65"/>
      <c r="C280" s="65"/>
      <c r="D280" s="120"/>
      <c r="E280" s="120"/>
      <c r="F280" s="65"/>
      <c r="G280" s="127"/>
      <c r="H280" s="65"/>
    </row>
    <row r="281" spans="1:8" x14ac:dyDescent="0.2">
      <c r="A281" s="65">
        <f t="shared" si="5"/>
        <v>120</v>
      </c>
      <c r="B281" s="65"/>
      <c r="C281" s="65"/>
      <c r="D281" s="120"/>
      <c r="E281" s="120"/>
      <c r="F281" s="65"/>
      <c r="G281" s="127"/>
      <c r="H281" s="65"/>
    </row>
    <row r="282" spans="1:8" x14ac:dyDescent="0.2">
      <c r="A282" s="65">
        <f t="shared" si="5"/>
        <v>121</v>
      </c>
      <c r="B282" s="65"/>
      <c r="C282" s="65"/>
      <c r="D282" s="120"/>
      <c r="E282" s="120"/>
      <c r="F282" s="65"/>
      <c r="G282" s="127"/>
      <c r="H282" s="65"/>
    </row>
    <row r="283" spans="1:8" x14ac:dyDescent="0.2">
      <c r="A283" s="65">
        <f t="shared" si="5"/>
        <v>122</v>
      </c>
      <c r="B283" s="65"/>
      <c r="C283" s="65"/>
      <c r="D283" s="120"/>
      <c r="E283" s="120"/>
      <c r="F283" s="65"/>
      <c r="G283" s="127"/>
      <c r="H283" s="65"/>
    </row>
    <row r="284" spans="1:8" x14ac:dyDescent="0.2">
      <c r="A284" s="65">
        <f t="shared" si="5"/>
        <v>123</v>
      </c>
      <c r="B284" s="65"/>
      <c r="C284" s="65"/>
      <c r="D284" s="120"/>
      <c r="E284" s="120"/>
      <c r="F284" s="65"/>
      <c r="G284" s="127"/>
      <c r="H284" s="65"/>
    </row>
    <row r="285" spans="1:8" x14ac:dyDescent="0.2">
      <c r="A285" s="65">
        <f t="shared" si="5"/>
        <v>124</v>
      </c>
      <c r="B285" s="65"/>
      <c r="C285" s="65"/>
      <c r="D285" s="120"/>
      <c r="E285" s="120"/>
      <c r="F285" s="65"/>
      <c r="G285" s="127"/>
      <c r="H285" s="65"/>
    </row>
    <row r="286" spans="1:8" x14ac:dyDescent="0.2">
      <c r="A286" s="65">
        <f t="shared" si="5"/>
        <v>125</v>
      </c>
      <c r="B286" s="65"/>
      <c r="C286" s="65"/>
      <c r="D286" s="120"/>
      <c r="E286" s="120"/>
      <c r="F286" s="65"/>
      <c r="G286" s="127"/>
      <c r="H286" s="65"/>
    </row>
    <row r="287" spans="1:8" x14ac:dyDescent="0.2">
      <c r="A287" s="65">
        <f t="shared" si="5"/>
        <v>126</v>
      </c>
      <c r="B287" s="65"/>
      <c r="C287" s="65"/>
      <c r="D287" s="120"/>
      <c r="E287" s="120"/>
      <c r="F287" s="65"/>
      <c r="G287" s="127"/>
      <c r="H287" s="65"/>
    </row>
    <row r="288" spans="1:8" x14ac:dyDescent="0.2">
      <c r="A288" s="65">
        <f t="shared" si="5"/>
        <v>127</v>
      </c>
      <c r="B288" s="65"/>
      <c r="C288" s="65"/>
      <c r="D288" s="120"/>
      <c r="E288" s="120"/>
      <c r="F288" s="65"/>
      <c r="G288" s="127"/>
      <c r="H288" s="65"/>
    </row>
    <row r="289" spans="1:8" x14ac:dyDescent="0.2">
      <c r="A289" s="65">
        <f t="shared" si="5"/>
        <v>128</v>
      </c>
      <c r="B289" s="65"/>
      <c r="C289" s="65"/>
      <c r="D289" s="120"/>
      <c r="E289" s="120"/>
      <c r="F289" s="65"/>
      <c r="G289" s="127"/>
      <c r="H289" s="65"/>
    </row>
    <row r="290" spans="1:8" x14ac:dyDescent="0.2">
      <c r="A290" s="65">
        <f t="shared" si="5"/>
        <v>129</v>
      </c>
      <c r="B290" s="65"/>
      <c r="C290" s="65"/>
      <c r="D290" s="120"/>
      <c r="E290" s="120"/>
      <c r="F290" s="65"/>
      <c r="G290" s="127"/>
      <c r="H290" s="65"/>
    </row>
    <row r="291" spans="1:8" x14ac:dyDescent="0.2">
      <c r="A291" s="65">
        <f t="shared" si="5"/>
        <v>130</v>
      </c>
      <c r="B291" s="65"/>
      <c r="C291" s="65"/>
      <c r="D291" s="120"/>
      <c r="E291" s="120"/>
      <c r="F291" s="65"/>
      <c r="G291" s="127"/>
      <c r="H291" s="65"/>
    </row>
    <row r="292" spans="1:8" x14ac:dyDescent="0.2">
      <c r="A292" s="65">
        <f t="shared" si="5"/>
        <v>131</v>
      </c>
      <c r="B292" s="65"/>
      <c r="C292" s="65"/>
      <c r="D292" s="120"/>
      <c r="E292" s="120"/>
      <c r="F292" s="65"/>
      <c r="G292" s="127"/>
      <c r="H292" s="65"/>
    </row>
    <row r="293" spans="1:8" x14ac:dyDescent="0.2">
      <c r="A293" s="65">
        <f t="shared" si="5"/>
        <v>132</v>
      </c>
      <c r="B293" s="65"/>
      <c r="C293" s="65"/>
      <c r="D293" s="120"/>
      <c r="E293" s="120"/>
      <c r="F293" s="65"/>
      <c r="G293" s="127"/>
      <c r="H293" s="65"/>
    </row>
    <row r="294" spans="1:8" x14ac:dyDescent="0.2">
      <c r="A294" s="65">
        <f t="shared" si="5"/>
        <v>133</v>
      </c>
      <c r="B294" s="65"/>
      <c r="C294" s="65"/>
      <c r="D294" s="120"/>
      <c r="E294" s="120"/>
      <c r="F294" s="65"/>
      <c r="G294" s="127"/>
      <c r="H294" s="65"/>
    </row>
    <row r="296" spans="1:8" x14ac:dyDescent="0.2">
      <c r="A296" s="213" t="s">
        <v>120</v>
      </c>
      <c r="B296" s="214"/>
      <c r="C296" s="214"/>
      <c r="D296" s="141">
        <f>SUM(D215:D295)</f>
        <v>0</v>
      </c>
      <c r="E296" s="142">
        <f>SUM(E252:E295)</f>
        <v>0</v>
      </c>
    </row>
    <row r="298" spans="1:8" x14ac:dyDescent="0.2">
      <c r="A298" s="65">
        <f>+A294+1</f>
        <v>134</v>
      </c>
      <c r="B298" s="65"/>
      <c r="C298" s="65"/>
      <c r="D298" s="120"/>
      <c r="E298" s="120"/>
      <c r="F298" s="65"/>
      <c r="G298" s="127"/>
      <c r="H298" s="65"/>
    </row>
    <row r="299" spans="1:8" x14ac:dyDescent="0.2">
      <c r="A299" s="65">
        <f t="shared" ref="A298:A337" si="6">+A298+1</f>
        <v>135</v>
      </c>
      <c r="B299" s="65"/>
      <c r="C299" s="65"/>
      <c r="D299" s="120"/>
      <c r="E299" s="120"/>
      <c r="F299" s="65"/>
      <c r="G299" s="127"/>
      <c r="H299" s="65"/>
    </row>
    <row r="300" spans="1:8" x14ac:dyDescent="0.2">
      <c r="A300" s="65">
        <f t="shared" si="6"/>
        <v>136</v>
      </c>
      <c r="B300" s="65"/>
      <c r="C300" s="65"/>
      <c r="D300" s="120"/>
      <c r="E300" s="120"/>
      <c r="F300" s="65"/>
      <c r="G300" s="127"/>
      <c r="H300" s="65"/>
    </row>
    <row r="301" spans="1:8" x14ac:dyDescent="0.2">
      <c r="A301" s="65">
        <f t="shared" si="6"/>
        <v>137</v>
      </c>
      <c r="B301" s="65"/>
      <c r="C301" s="65"/>
      <c r="D301" s="120"/>
      <c r="E301" s="120"/>
      <c r="F301" s="65"/>
      <c r="G301" s="127"/>
      <c r="H301" s="65"/>
    </row>
    <row r="302" spans="1:8" x14ac:dyDescent="0.2">
      <c r="A302" s="65">
        <f t="shared" si="6"/>
        <v>138</v>
      </c>
      <c r="B302" s="65"/>
      <c r="C302" s="65"/>
      <c r="D302" s="120"/>
      <c r="E302" s="120"/>
      <c r="F302" s="65"/>
      <c r="G302" s="127"/>
      <c r="H302" s="65"/>
    </row>
    <row r="303" spans="1:8" x14ac:dyDescent="0.2">
      <c r="A303" s="65">
        <f t="shared" si="6"/>
        <v>139</v>
      </c>
      <c r="B303" s="65"/>
      <c r="C303" s="65"/>
      <c r="D303" s="120"/>
      <c r="E303" s="120"/>
      <c r="F303" s="65"/>
      <c r="G303" s="127"/>
      <c r="H303" s="65"/>
    </row>
    <row r="304" spans="1:8" x14ac:dyDescent="0.2">
      <c r="A304" s="65">
        <f t="shared" si="6"/>
        <v>140</v>
      </c>
      <c r="B304" s="65"/>
      <c r="C304" s="65"/>
      <c r="D304" s="120"/>
      <c r="E304" s="120"/>
      <c r="F304" s="65"/>
      <c r="G304" s="127"/>
      <c r="H304" s="65"/>
    </row>
    <row r="305" spans="1:8" x14ac:dyDescent="0.2">
      <c r="A305" s="65">
        <f>+A304+1</f>
        <v>141</v>
      </c>
      <c r="B305" s="65"/>
      <c r="C305" s="65"/>
      <c r="D305" s="120"/>
      <c r="E305" s="120"/>
      <c r="F305" s="65"/>
      <c r="G305" s="127"/>
      <c r="H305" s="65"/>
    </row>
    <row r="306" spans="1:8" x14ac:dyDescent="0.2">
      <c r="A306" s="65">
        <f t="shared" si="6"/>
        <v>142</v>
      </c>
      <c r="B306" s="65"/>
      <c r="C306" s="65"/>
      <c r="D306" s="120"/>
      <c r="E306" s="120"/>
      <c r="F306" s="65"/>
      <c r="G306" s="127"/>
      <c r="H306" s="65"/>
    </row>
    <row r="307" spans="1:8" x14ac:dyDescent="0.2">
      <c r="A307" s="65">
        <f t="shared" si="6"/>
        <v>143</v>
      </c>
      <c r="B307" s="65"/>
      <c r="C307" s="65"/>
      <c r="D307" s="120"/>
      <c r="E307" s="120"/>
      <c r="F307" s="65"/>
      <c r="G307" s="127"/>
      <c r="H307" s="65"/>
    </row>
    <row r="308" spans="1:8" x14ac:dyDescent="0.2">
      <c r="A308" s="65">
        <f t="shared" si="6"/>
        <v>144</v>
      </c>
      <c r="B308" s="65"/>
      <c r="C308" s="65"/>
      <c r="D308" s="120"/>
      <c r="E308" s="120"/>
      <c r="F308" s="65"/>
      <c r="G308" s="127"/>
      <c r="H308" s="65"/>
    </row>
    <row r="309" spans="1:8" x14ac:dyDescent="0.2">
      <c r="A309" s="65">
        <f t="shared" si="6"/>
        <v>145</v>
      </c>
      <c r="B309" s="65"/>
      <c r="C309" s="65"/>
      <c r="D309" s="120"/>
      <c r="E309" s="120"/>
      <c r="F309" s="65"/>
      <c r="G309" s="127"/>
      <c r="H309" s="65"/>
    </row>
    <row r="310" spans="1:8" x14ac:dyDescent="0.2">
      <c r="A310" s="65">
        <f t="shared" si="6"/>
        <v>146</v>
      </c>
      <c r="B310" s="65"/>
      <c r="C310" s="65"/>
      <c r="D310" s="120"/>
      <c r="E310" s="120"/>
      <c r="F310" s="65"/>
      <c r="G310" s="127"/>
      <c r="H310" s="65"/>
    </row>
    <row r="311" spans="1:8" x14ac:dyDescent="0.2">
      <c r="A311" s="65">
        <f t="shared" si="6"/>
        <v>147</v>
      </c>
      <c r="B311" s="65"/>
      <c r="C311" s="65"/>
      <c r="D311" s="120"/>
      <c r="E311" s="120"/>
      <c r="F311" s="65"/>
      <c r="G311" s="127"/>
      <c r="H311" s="65"/>
    </row>
    <row r="312" spans="1:8" x14ac:dyDescent="0.2">
      <c r="A312" s="65">
        <f t="shared" si="6"/>
        <v>148</v>
      </c>
      <c r="B312" s="65"/>
      <c r="C312" s="65"/>
      <c r="D312" s="120"/>
      <c r="E312" s="120"/>
      <c r="F312" s="65"/>
      <c r="G312" s="127"/>
      <c r="H312" s="65"/>
    </row>
    <row r="313" spans="1:8" x14ac:dyDescent="0.2">
      <c r="A313" s="65">
        <f t="shared" si="6"/>
        <v>149</v>
      </c>
      <c r="B313" s="65"/>
      <c r="C313" s="65"/>
      <c r="D313" s="120"/>
      <c r="E313" s="120"/>
      <c r="F313" s="65"/>
      <c r="G313" s="127"/>
      <c r="H313" s="65"/>
    </row>
    <row r="314" spans="1:8" x14ac:dyDescent="0.2">
      <c r="A314" s="65">
        <f t="shared" si="6"/>
        <v>150</v>
      </c>
      <c r="B314" s="65"/>
      <c r="C314" s="65"/>
      <c r="D314" s="120"/>
      <c r="E314" s="120"/>
      <c r="F314" s="65"/>
      <c r="G314" s="127"/>
      <c r="H314" s="65"/>
    </row>
    <row r="315" spans="1:8" x14ac:dyDescent="0.2">
      <c r="A315" s="65">
        <f t="shared" si="6"/>
        <v>151</v>
      </c>
      <c r="B315" s="65"/>
      <c r="C315" s="65"/>
      <c r="D315" s="120"/>
      <c r="E315" s="120"/>
      <c r="F315" s="65"/>
      <c r="G315" s="127"/>
      <c r="H315" s="65"/>
    </row>
    <row r="316" spans="1:8" x14ac:dyDescent="0.2">
      <c r="A316" s="65">
        <f t="shared" si="6"/>
        <v>152</v>
      </c>
      <c r="B316" s="65"/>
      <c r="C316" s="65"/>
      <c r="D316" s="120"/>
      <c r="E316" s="120"/>
      <c r="F316" s="65"/>
      <c r="G316" s="127"/>
      <c r="H316" s="65"/>
    </row>
    <row r="317" spans="1:8" x14ac:dyDescent="0.2">
      <c r="A317" s="65">
        <f t="shared" si="6"/>
        <v>153</v>
      </c>
      <c r="B317" s="65"/>
      <c r="C317" s="65"/>
      <c r="D317" s="120"/>
      <c r="E317" s="120"/>
      <c r="F317" s="65"/>
      <c r="G317" s="127"/>
      <c r="H317" s="65"/>
    </row>
    <row r="318" spans="1:8" x14ac:dyDescent="0.2">
      <c r="A318" s="65">
        <f>+A317+1</f>
        <v>154</v>
      </c>
      <c r="B318" s="65"/>
      <c r="C318" s="65"/>
      <c r="D318" s="120"/>
      <c r="E318" s="120"/>
      <c r="F318" s="65"/>
      <c r="G318" s="127"/>
      <c r="H318" s="65"/>
    </row>
    <row r="319" spans="1:8" x14ac:dyDescent="0.2">
      <c r="A319" s="65">
        <f t="shared" si="6"/>
        <v>155</v>
      </c>
      <c r="B319" s="65"/>
      <c r="C319" s="65"/>
      <c r="D319" s="120"/>
      <c r="E319" s="120"/>
      <c r="F319" s="65"/>
      <c r="G319" s="127"/>
      <c r="H319" s="65"/>
    </row>
    <row r="320" spans="1:8" x14ac:dyDescent="0.2">
      <c r="A320" s="65">
        <f t="shared" si="6"/>
        <v>156</v>
      </c>
      <c r="B320" s="65"/>
      <c r="C320" s="65"/>
      <c r="D320" s="120"/>
      <c r="E320" s="120"/>
      <c r="F320" s="65"/>
      <c r="G320" s="127"/>
      <c r="H320" s="65"/>
    </row>
    <row r="321" spans="1:8" x14ac:dyDescent="0.2">
      <c r="A321" s="65">
        <f t="shared" si="6"/>
        <v>157</v>
      </c>
      <c r="B321" s="65"/>
      <c r="C321" s="65"/>
      <c r="D321" s="120"/>
      <c r="E321" s="120"/>
      <c r="F321" s="65"/>
      <c r="G321" s="127"/>
      <c r="H321" s="65"/>
    </row>
    <row r="322" spans="1:8" x14ac:dyDescent="0.2">
      <c r="A322" s="65">
        <f t="shared" si="6"/>
        <v>158</v>
      </c>
      <c r="B322" s="65"/>
      <c r="C322" s="65"/>
      <c r="D322" s="120"/>
      <c r="E322" s="120"/>
      <c r="F322" s="65"/>
      <c r="G322" s="127"/>
      <c r="H322" s="65"/>
    </row>
    <row r="323" spans="1:8" x14ac:dyDescent="0.2">
      <c r="A323" s="65">
        <f t="shared" si="6"/>
        <v>159</v>
      </c>
      <c r="B323" s="65"/>
      <c r="C323" s="65"/>
      <c r="D323" s="120"/>
      <c r="E323" s="120"/>
      <c r="F323" s="65"/>
      <c r="G323" s="127"/>
      <c r="H323" s="65"/>
    </row>
    <row r="324" spans="1:8" x14ac:dyDescent="0.2">
      <c r="A324" s="65">
        <f t="shared" si="6"/>
        <v>160</v>
      </c>
      <c r="B324" s="65"/>
      <c r="C324" s="65"/>
      <c r="D324" s="120"/>
      <c r="E324" s="120"/>
      <c r="F324" s="65"/>
      <c r="G324" s="127"/>
      <c r="H324" s="65"/>
    </row>
    <row r="325" spans="1:8" x14ac:dyDescent="0.2">
      <c r="A325" s="65">
        <f t="shared" si="6"/>
        <v>161</v>
      </c>
      <c r="B325" s="65"/>
      <c r="C325" s="65"/>
      <c r="D325" s="120"/>
      <c r="E325" s="120"/>
      <c r="F325" s="65"/>
      <c r="G325" s="127"/>
      <c r="H325" s="65"/>
    </row>
    <row r="326" spans="1:8" x14ac:dyDescent="0.2">
      <c r="A326" s="65">
        <f t="shared" si="6"/>
        <v>162</v>
      </c>
      <c r="B326" s="65"/>
      <c r="C326" s="65"/>
      <c r="D326" s="120"/>
      <c r="E326" s="120"/>
      <c r="F326" s="65"/>
      <c r="G326" s="127"/>
      <c r="H326" s="65"/>
    </row>
    <row r="327" spans="1:8" x14ac:dyDescent="0.2">
      <c r="A327" s="65">
        <f t="shared" si="6"/>
        <v>163</v>
      </c>
      <c r="B327" s="65"/>
      <c r="C327" s="65"/>
      <c r="D327" s="120"/>
      <c r="E327" s="120"/>
      <c r="F327" s="65"/>
      <c r="G327" s="127"/>
      <c r="H327" s="65"/>
    </row>
    <row r="328" spans="1:8" x14ac:dyDescent="0.2">
      <c r="A328" s="65">
        <f t="shared" si="6"/>
        <v>164</v>
      </c>
      <c r="B328" s="65"/>
      <c r="C328" s="65"/>
      <c r="D328" s="120"/>
      <c r="E328" s="120"/>
      <c r="F328" s="65"/>
      <c r="G328" s="127"/>
      <c r="H328" s="65"/>
    </row>
    <row r="329" spans="1:8" x14ac:dyDescent="0.2">
      <c r="A329" s="65">
        <f t="shared" si="6"/>
        <v>165</v>
      </c>
      <c r="B329" s="65"/>
      <c r="C329" s="65"/>
      <c r="D329" s="120"/>
      <c r="E329" s="120"/>
      <c r="F329" s="65"/>
      <c r="G329" s="127"/>
      <c r="H329" s="65"/>
    </row>
    <row r="330" spans="1:8" x14ac:dyDescent="0.2">
      <c r="A330" s="65">
        <f t="shared" si="6"/>
        <v>166</v>
      </c>
      <c r="B330" s="65"/>
      <c r="C330" s="65"/>
      <c r="D330" s="120"/>
      <c r="E330" s="120"/>
      <c r="F330" s="65"/>
      <c r="G330" s="127"/>
      <c r="H330" s="65"/>
    </row>
    <row r="331" spans="1:8" x14ac:dyDescent="0.2">
      <c r="A331" s="65">
        <f>+A330+1</f>
        <v>167</v>
      </c>
      <c r="B331" s="65"/>
      <c r="C331" s="65"/>
      <c r="D331" s="120"/>
      <c r="E331" s="120"/>
      <c r="F331" s="65"/>
      <c r="G331" s="127"/>
      <c r="H331" s="65"/>
    </row>
    <row r="332" spans="1:8" x14ac:dyDescent="0.2">
      <c r="A332" s="65">
        <f t="shared" si="6"/>
        <v>168</v>
      </c>
      <c r="B332" s="65"/>
      <c r="C332" s="65"/>
      <c r="D332" s="120"/>
      <c r="E332" s="120"/>
      <c r="F332" s="65"/>
      <c r="G332" s="127"/>
      <c r="H332" s="65"/>
    </row>
    <row r="333" spans="1:8" x14ac:dyDescent="0.2">
      <c r="A333" s="65">
        <f t="shared" si="6"/>
        <v>169</v>
      </c>
      <c r="B333" s="65"/>
      <c r="C333" s="65"/>
      <c r="D333" s="120"/>
      <c r="E333" s="120"/>
      <c r="F333" s="65"/>
      <c r="G333" s="127"/>
      <c r="H333" s="65"/>
    </row>
    <row r="334" spans="1:8" x14ac:dyDescent="0.2">
      <c r="A334" s="65">
        <f t="shared" si="6"/>
        <v>170</v>
      </c>
      <c r="B334" s="65"/>
      <c r="C334" s="65"/>
      <c r="D334" s="120"/>
      <c r="E334" s="120"/>
      <c r="F334" s="65"/>
      <c r="G334" s="127"/>
      <c r="H334" s="65"/>
    </row>
    <row r="335" spans="1:8" x14ac:dyDescent="0.2">
      <c r="A335" s="65">
        <f t="shared" si="6"/>
        <v>171</v>
      </c>
      <c r="B335" s="65"/>
      <c r="C335" s="65"/>
      <c r="D335" s="120"/>
      <c r="E335" s="120"/>
      <c r="F335" s="65"/>
      <c r="G335" s="127"/>
      <c r="H335" s="65"/>
    </row>
    <row r="336" spans="1:8" x14ac:dyDescent="0.2">
      <c r="A336" s="65">
        <f t="shared" si="6"/>
        <v>172</v>
      </c>
      <c r="B336" s="65"/>
      <c r="C336" s="65"/>
      <c r="D336" s="120"/>
      <c r="E336" s="120"/>
      <c r="F336" s="65"/>
      <c r="G336" s="127"/>
      <c r="H336" s="65"/>
    </row>
    <row r="337" spans="1:8" x14ac:dyDescent="0.2">
      <c r="A337" s="65">
        <f t="shared" si="6"/>
        <v>173</v>
      </c>
      <c r="B337" s="65"/>
      <c r="C337" s="65"/>
      <c r="D337" s="120"/>
      <c r="E337" s="120"/>
      <c r="F337" s="65"/>
      <c r="G337" s="127"/>
      <c r="H337" s="65"/>
    </row>
  </sheetData>
  <mergeCells count="8">
    <mergeCell ref="A296:C296"/>
    <mergeCell ref="A267:C267"/>
    <mergeCell ref="A221:C221"/>
    <mergeCell ref="A86:C86"/>
    <mergeCell ref="B2:H2"/>
    <mergeCell ref="B88:H88"/>
    <mergeCell ref="B154:H154"/>
    <mergeCell ref="A152:C1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B3CC-57CD-446F-BC5B-3242A3B979AB}">
  <dimension ref="A1:H68"/>
  <sheetViews>
    <sheetView topLeftCell="E1" workbookViewId="0">
      <selection activeCell="G2" sqref="G2"/>
    </sheetView>
  </sheetViews>
  <sheetFormatPr defaultRowHeight="15" x14ac:dyDescent="0.2"/>
  <cols>
    <col min="2" max="2" width="27.3046875" customWidth="1"/>
    <col min="3" max="3" width="31.4765625" bestFit="1" customWidth="1"/>
    <col min="4" max="5" width="15.46875" style="11" customWidth="1"/>
    <col min="6" max="6" width="18.6953125" bestFit="1" customWidth="1"/>
    <col min="7" max="7" width="14.390625" customWidth="1"/>
    <col min="8" max="8" width="56.36328125" customWidth="1"/>
  </cols>
  <sheetData>
    <row r="1" spans="1:8" x14ac:dyDescent="0.2">
      <c r="B1" t="s">
        <v>635</v>
      </c>
      <c r="C1" t="s">
        <v>636</v>
      </c>
      <c r="D1" s="11" t="s">
        <v>123</v>
      </c>
      <c r="E1" s="11" t="s">
        <v>124</v>
      </c>
      <c r="F1" t="s">
        <v>637</v>
      </c>
      <c r="G1" t="s">
        <v>5</v>
      </c>
      <c r="H1" t="s">
        <v>638</v>
      </c>
    </row>
    <row r="2" spans="1:8" x14ac:dyDescent="0.2">
      <c r="A2">
        <v>1</v>
      </c>
      <c r="B2" t="s">
        <v>203</v>
      </c>
      <c r="E2" s="94">
        <f>'fiksni trosak'!C3</f>
        <v>4939.9429291923816</v>
      </c>
      <c r="F2" t="s">
        <v>204</v>
      </c>
    </row>
    <row r="3" spans="1:8" ht="20.45" customHeight="1" x14ac:dyDescent="0.2">
      <c r="A3">
        <f>+A2+1</f>
        <v>2</v>
      </c>
      <c r="B3" t="s">
        <v>205</v>
      </c>
      <c r="E3" s="94"/>
    </row>
    <row r="4" spans="1:8" x14ac:dyDescent="0.2">
      <c r="A4">
        <f t="shared" ref="A4:A30" si="0">+A3+1</f>
        <v>3</v>
      </c>
      <c r="B4" t="s">
        <v>206</v>
      </c>
      <c r="E4" s="94"/>
      <c r="H4" s="17"/>
    </row>
    <row r="5" spans="1:8" x14ac:dyDescent="0.2">
      <c r="A5">
        <f t="shared" si="0"/>
        <v>4</v>
      </c>
      <c r="E5" s="94"/>
    </row>
    <row r="6" spans="1:8" x14ac:dyDescent="0.2">
      <c r="A6">
        <f t="shared" si="0"/>
        <v>5</v>
      </c>
      <c r="E6" s="94"/>
    </row>
    <row r="7" spans="1:8" x14ac:dyDescent="0.2">
      <c r="A7">
        <f t="shared" si="0"/>
        <v>6</v>
      </c>
      <c r="B7" t="s">
        <v>207</v>
      </c>
      <c r="C7" t="s">
        <v>208</v>
      </c>
      <c r="E7" s="94">
        <v>43.78</v>
      </c>
      <c r="F7" t="s">
        <v>127</v>
      </c>
    </row>
    <row r="8" spans="1:8" x14ac:dyDescent="0.2">
      <c r="A8">
        <f t="shared" si="0"/>
        <v>7</v>
      </c>
      <c r="B8" t="s">
        <v>207</v>
      </c>
      <c r="C8" t="s">
        <v>208</v>
      </c>
      <c r="E8" s="94">
        <v>148.83000000000001</v>
      </c>
      <c r="F8" t="s">
        <v>127</v>
      </c>
    </row>
    <row r="9" spans="1:8" x14ac:dyDescent="0.2">
      <c r="A9">
        <f t="shared" si="0"/>
        <v>8</v>
      </c>
      <c r="B9" t="s">
        <v>209</v>
      </c>
      <c r="E9" s="94">
        <v>245.01</v>
      </c>
      <c r="F9" t="s">
        <v>127</v>
      </c>
    </row>
    <row r="10" spans="1:8" x14ac:dyDescent="0.2">
      <c r="A10">
        <f t="shared" si="0"/>
        <v>9</v>
      </c>
      <c r="B10" t="s">
        <v>210</v>
      </c>
      <c r="C10" t="s">
        <v>208</v>
      </c>
      <c r="E10" s="94">
        <v>223.13</v>
      </c>
      <c r="F10" t="s">
        <v>127</v>
      </c>
    </row>
    <row r="11" spans="1:8" x14ac:dyDescent="0.2">
      <c r="A11">
        <f t="shared" si="0"/>
        <v>10</v>
      </c>
      <c r="B11" t="s">
        <v>211</v>
      </c>
      <c r="C11" t="s">
        <v>212</v>
      </c>
      <c r="E11" s="94">
        <v>220.01</v>
      </c>
      <c r="F11" t="s">
        <v>213</v>
      </c>
    </row>
    <row r="12" spans="1:8" x14ac:dyDescent="0.2">
      <c r="A12">
        <f t="shared" si="0"/>
        <v>11</v>
      </c>
      <c r="B12" t="s">
        <v>214</v>
      </c>
      <c r="C12" t="s">
        <v>215</v>
      </c>
      <c r="E12" s="94">
        <v>199.84</v>
      </c>
    </row>
    <row r="13" spans="1:8" x14ac:dyDescent="0.2">
      <c r="A13">
        <f t="shared" si="0"/>
        <v>12</v>
      </c>
      <c r="B13" t="s">
        <v>216</v>
      </c>
      <c r="C13" t="s">
        <v>217</v>
      </c>
      <c r="E13" s="94">
        <v>358.35</v>
      </c>
    </row>
    <row r="14" spans="1:8" x14ac:dyDescent="0.2">
      <c r="A14">
        <f t="shared" si="0"/>
        <v>13</v>
      </c>
      <c r="B14" t="s">
        <v>218</v>
      </c>
      <c r="C14" t="s">
        <v>219</v>
      </c>
      <c r="E14" s="94">
        <v>0.4</v>
      </c>
    </row>
    <row r="15" spans="1:8" x14ac:dyDescent="0.2">
      <c r="A15">
        <f t="shared" si="0"/>
        <v>14</v>
      </c>
      <c r="B15" t="s">
        <v>218</v>
      </c>
      <c r="C15" t="s">
        <v>219</v>
      </c>
      <c r="E15" s="94">
        <v>0.4</v>
      </c>
    </row>
    <row r="16" spans="1:8" x14ac:dyDescent="0.2">
      <c r="A16">
        <f t="shared" si="0"/>
        <v>15</v>
      </c>
      <c r="B16" t="s">
        <v>220</v>
      </c>
      <c r="C16" t="s">
        <v>221</v>
      </c>
      <c r="E16" s="94">
        <v>65.8</v>
      </c>
      <c r="F16" t="s">
        <v>222</v>
      </c>
    </row>
    <row r="17" spans="1:8" x14ac:dyDescent="0.2">
      <c r="A17">
        <f t="shared" si="0"/>
        <v>16</v>
      </c>
      <c r="B17" t="s">
        <v>223</v>
      </c>
      <c r="E17" s="94">
        <v>69.790000000000006</v>
      </c>
      <c r="F17" t="s">
        <v>224</v>
      </c>
      <c r="H17" t="s">
        <v>225</v>
      </c>
    </row>
    <row r="18" spans="1:8" x14ac:dyDescent="0.2">
      <c r="A18">
        <f t="shared" si="0"/>
        <v>17</v>
      </c>
      <c r="B18" t="s">
        <v>226</v>
      </c>
      <c r="C18" t="s">
        <v>227</v>
      </c>
      <c r="E18" s="94">
        <v>100.08</v>
      </c>
      <c r="F18" t="s">
        <v>228</v>
      </c>
      <c r="H18" t="s">
        <v>229</v>
      </c>
    </row>
    <row r="19" spans="1:8" x14ac:dyDescent="0.2">
      <c r="A19">
        <f t="shared" si="0"/>
        <v>18</v>
      </c>
      <c r="B19" t="s">
        <v>218</v>
      </c>
      <c r="C19" t="s">
        <v>219</v>
      </c>
      <c r="E19" s="94">
        <v>0.4</v>
      </c>
    </row>
    <row r="20" spans="1:8" x14ac:dyDescent="0.2">
      <c r="A20">
        <f t="shared" si="0"/>
        <v>19</v>
      </c>
      <c r="B20" t="s">
        <v>230</v>
      </c>
      <c r="E20" s="94">
        <v>233.46</v>
      </c>
      <c r="H20" t="s">
        <v>231</v>
      </c>
    </row>
    <row r="21" spans="1:8" x14ac:dyDescent="0.2">
      <c r="A21">
        <f t="shared" si="0"/>
        <v>20</v>
      </c>
      <c r="E21" s="94"/>
    </row>
    <row r="22" spans="1:8" x14ac:dyDescent="0.2">
      <c r="A22">
        <f t="shared" si="0"/>
        <v>21</v>
      </c>
      <c r="E22" s="94"/>
    </row>
    <row r="23" spans="1:8" x14ac:dyDescent="0.2">
      <c r="A23">
        <f t="shared" si="0"/>
        <v>22</v>
      </c>
      <c r="B23" t="s">
        <v>232</v>
      </c>
      <c r="E23" s="94">
        <v>74.88</v>
      </c>
      <c r="F23" t="s">
        <v>233</v>
      </c>
    </row>
    <row r="24" spans="1:8" x14ac:dyDescent="0.2">
      <c r="A24">
        <f t="shared" si="0"/>
        <v>23</v>
      </c>
      <c r="B24" t="s">
        <v>234</v>
      </c>
      <c r="E24" s="94">
        <v>97.24</v>
      </c>
    </row>
    <row r="25" spans="1:8" x14ac:dyDescent="0.2">
      <c r="A25">
        <f t="shared" si="0"/>
        <v>24</v>
      </c>
      <c r="B25" t="s">
        <v>235</v>
      </c>
      <c r="E25" s="94">
        <v>92.61</v>
      </c>
    </row>
    <row r="26" spans="1:8" x14ac:dyDescent="0.2">
      <c r="A26">
        <f t="shared" si="0"/>
        <v>25</v>
      </c>
      <c r="B26" t="s">
        <v>236</v>
      </c>
      <c r="C26" t="s">
        <v>237</v>
      </c>
      <c r="E26" s="94">
        <v>21.81</v>
      </c>
    </row>
    <row r="27" spans="1:8" x14ac:dyDescent="0.2">
      <c r="A27">
        <f t="shared" si="0"/>
        <v>26</v>
      </c>
      <c r="B27" t="s">
        <v>238</v>
      </c>
      <c r="C27" t="s">
        <v>239</v>
      </c>
      <c r="E27" s="94">
        <v>500</v>
      </c>
    </row>
    <row r="28" spans="1:8" x14ac:dyDescent="0.2">
      <c r="A28">
        <f t="shared" si="0"/>
        <v>27</v>
      </c>
      <c r="B28" t="s">
        <v>240</v>
      </c>
      <c r="C28" t="s">
        <v>241</v>
      </c>
      <c r="E28" s="94">
        <v>6.64</v>
      </c>
    </row>
    <row r="29" spans="1:8" x14ac:dyDescent="0.2">
      <c r="A29">
        <f t="shared" si="0"/>
        <v>28</v>
      </c>
      <c r="B29" t="s">
        <v>240</v>
      </c>
      <c r="C29" t="s">
        <v>241</v>
      </c>
      <c r="E29" s="94">
        <v>6.64</v>
      </c>
    </row>
    <row r="30" spans="1:8" x14ac:dyDescent="0.2">
      <c r="A30">
        <f t="shared" si="0"/>
        <v>29</v>
      </c>
      <c r="B30" t="s">
        <v>240</v>
      </c>
      <c r="C30" t="s">
        <v>242</v>
      </c>
      <c r="E30" s="94">
        <v>300</v>
      </c>
    </row>
    <row r="31" spans="1:8" x14ac:dyDescent="0.2">
      <c r="A31">
        <f t="shared" ref="A31:A47" si="1">+A30+1</f>
        <v>30</v>
      </c>
      <c r="B31" t="s">
        <v>243</v>
      </c>
      <c r="C31" t="s">
        <v>244</v>
      </c>
      <c r="E31" s="94">
        <v>50.33</v>
      </c>
    </row>
    <row r="32" spans="1:8" x14ac:dyDescent="0.2">
      <c r="A32">
        <f t="shared" si="1"/>
        <v>31</v>
      </c>
      <c r="B32" t="s">
        <v>245</v>
      </c>
      <c r="E32" s="94">
        <v>25.48</v>
      </c>
    </row>
    <row r="33" spans="1:6" x14ac:dyDescent="0.2">
      <c r="A33">
        <f t="shared" si="1"/>
        <v>32</v>
      </c>
      <c r="B33" t="s">
        <v>246</v>
      </c>
      <c r="C33" t="s">
        <v>247</v>
      </c>
      <c r="E33" s="94">
        <v>178.54</v>
      </c>
    </row>
    <row r="34" spans="1:6" x14ac:dyDescent="0.2">
      <c r="A34">
        <f t="shared" si="1"/>
        <v>33</v>
      </c>
      <c r="B34" t="s">
        <v>248</v>
      </c>
      <c r="E34" s="94">
        <v>98.15</v>
      </c>
      <c r="F34" t="s">
        <v>249</v>
      </c>
    </row>
    <row r="35" spans="1:6" x14ac:dyDescent="0.2">
      <c r="A35">
        <f t="shared" si="1"/>
        <v>34</v>
      </c>
      <c r="B35" t="s">
        <v>248</v>
      </c>
      <c r="E35" s="94">
        <v>72.22</v>
      </c>
      <c r="F35" t="s">
        <v>250</v>
      </c>
    </row>
    <row r="36" spans="1:6" x14ac:dyDescent="0.2">
      <c r="A36">
        <f t="shared" si="1"/>
        <v>35</v>
      </c>
      <c r="B36" t="s">
        <v>251</v>
      </c>
      <c r="C36" t="s">
        <v>252</v>
      </c>
      <c r="E36" s="94">
        <v>542.55999999999995</v>
      </c>
    </row>
    <row r="37" spans="1:6" x14ac:dyDescent="0.2">
      <c r="A37">
        <f t="shared" si="1"/>
        <v>36</v>
      </c>
      <c r="B37" t="s">
        <v>240</v>
      </c>
      <c r="C37" t="s">
        <v>218</v>
      </c>
      <c r="E37" s="94">
        <v>6.64</v>
      </c>
    </row>
    <row r="38" spans="1:6" x14ac:dyDescent="0.2">
      <c r="A38">
        <f t="shared" si="1"/>
        <v>37</v>
      </c>
      <c r="B38" t="s">
        <v>240</v>
      </c>
      <c r="C38" t="s">
        <v>253</v>
      </c>
      <c r="E38" s="94">
        <v>21.35</v>
      </c>
    </row>
    <row r="39" spans="1:6" x14ac:dyDescent="0.2">
      <c r="A39">
        <f t="shared" si="1"/>
        <v>38</v>
      </c>
      <c r="B39" t="s">
        <v>254</v>
      </c>
      <c r="C39" t="s">
        <v>255</v>
      </c>
      <c r="E39" s="94">
        <v>687.44</v>
      </c>
    </row>
    <row r="40" spans="1:6" x14ac:dyDescent="0.2">
      <c r="A40">
        <f t="shared" si="1"/>
        <v>39</v>
      </c>
      <c r="B40" t="s">
        <v>256</v>
      </c>
      <c r="C40" t="s">
        <v>257</v>
      </c>
      <c r="E40" s="94">
        <v>2099.77</v>
      </c>
    </row>
    <row r="41" spans="1:6" x14ac:dyDescent="0.2">
      <c r="A41">
        <f t="shared" si="1"/>
        <v>40</v>
      </c>
      <c r="B41" t="s">
        <v>258</v>
      </c>
      <c r="C41" t="s">
        <v>259</v>
      </c>
      <c r="E41" s="94">
        <v>3979.66</v>
      </c>
      <c r="F41" t="s">
        <v>260</v>
      </c>
    </row>
    <row r="42" spans="1:6" x14ac:dyDescent="0.2">
      <c r="A42">
        <f t="shared" si="1"/>
        <v>41</v>
      </c>
      <c r="B42" t="s">
        <v>261</v>
      </c>
      <c r="C42" t="s">
        <v>253</v>
      </c>
      <c r="E42" s="94">
        <v>23.18</v>
      </c>
    </row>
    <row r="43" spans="1:6" x14ac:dyDescent="0.2">
      <c r="A43">
        <f t="shared" si="1"/>
        <v>42</v>
      </c>
      <c r="B43" t="s">
        <v>262</v>
      </c>
      <c r="C43" t="s">
        <v>263</v>
      </c>
      <c r="E43" s="94">
        <v>500</v>
      </c>
    </row>
    <row r="44" spans="1:6" x14ac:dyDescent="0.2">
      <c r="A44">
        <f t="shared" si="1"/>
        <v>43</v>
      </c>
      <c r="B44" t="s">
        <v>264</v>
      </c>
      <c r="C44" t="s">
        <v>265</v>
      </c>
      <c r="E44" s="94">
        <v>76.150000000000006</v>
      </c>
    </row>
    <row r="45" spans="1:6" x14ac:dyDescent="0.2">
      <c r="A45">
        <f t="shared" si="1"/>
        <v>44</v>
      </c>
      <c r="B45" t="s">
        <v>266</v>
      </c>
      <c r="C45" t="s">
        <v>267</v>
      </c>
      <c r="E45" s="94">
        <v>99.54</v>
      </c>
    </row>
    <row r="46" spans="1:6" x14ac:dyDescent="0.2">
      <c r="A46">
        <f t="shared" si="1"/>
        <v>45</v>
      </c>
      <c r="B46" t="s">
        <v>268</v>
      </c>
      <c r="C46" t="s">
        <v>269</v>
      </c>
      <c r="E46" s="94">
        <v>48.93</v>
      </c>
    </row>
    <row r="47" spans="1:6" x14ac:dyDescent="0.2">
      <c r="A47">
        <f t="shared" si="1"/>
        <v>46</v>
      </c>
      <c r="B47" t="s">
        <v>270</v>
      </c>
      <c r="C47" t="s">
        <v>271</v>
      </c>
      <c r="E47" s="94">
        <v>106.11</v>
      </c>
    </row>
    <row r="48" spans="1:6" x14ac:dyDescent="0.2">
      <c r="A48">
        <v>47</v>
      </c>
      <c r="B48" t="s">
        <v>272</v>
      </c>
      <c r="C48" t="s">
        <v>273</v>
      </c>
      <c r="E48" s="94">
        <v>210.42</v>
      </c>
    </row>
    <row r="49" spans="1:5" x14ac:dyDescent="0.2">
      <c r="A49">
        <v>48</v>
      </c>
      <c r="B49" t="s">
        <v>274</v>
      </c>
      <c r="C49" t="s">
        <v>275</v>
      </c>
      <c r="E49" s="94">
        <v>20665.45</v>
      </c>
    </row>
    <row r="50" spans="1:5" x14ac:dyDescent="0.2">
      <c r="A50">
        <v>49</v>
      </c>
      <c r="B50" t="s">
        <v>276</v>
      </c>
      <c r="C50" t="s">
        <v>277</v>
      </c>
      <c r="E50" s="94">
        <v>831.25</v>
      </c>
    </row>
    <row r="51" spans="1:5" x14ac:dyDescent="0.2">
      <c r="A51">
        <v>50</v>
      </c>
      <c r="B51" t="s">
        <v>278</v>
      </c>
      <c r="C51" t="s">
        <v>279</v>
      </c>
      <c r="E51" s="94">
        <v>24.89</v>
      </c>
    </row>
    <row r="52" spans="1:5" x14ac:dyDescent="0.2">
      <c r="A52">
        <v>51</v>
      </c>
      <c r="B52" t="s">
        <v>261</v>
      </c>
      <c r="C52" t="s">
        <v>280</v>
      </c>
      <c r="E52" s="94">
        <v>1341.94</v>
      </c>
    </row>
    <row r="53" spans="1:5" x14ac:dyDescent="0.2">
      <c r="A53">
        <v>52</v>
      </c>
      <c r="B53" t="s">
        <v>281</v>
      </c>
      <c r="C53" t="s">
        <v>269</v>
      </c>
      <c r="E53" s="94">
        <v>61</v>
      </c>
    </row>
    <row r="54" spans="1:5" x14ac:dyDescent="0.2">
      <c r="A54">
        <v>53</v>
      </c>
      <c r="B54" t="s">
        <v>282</v>
      </c>
      <c r="C54" t="s">
        <v>283</v>
      </c>
      <c r="E54" s="94">
        <v>368.5</v>
      </c>
    </row>
    <row r="55" spans="1:5" x14ac:dyDescent="0.2">
      <c r="A55">
        <v>54</v>
      </c>
      <c r="B55" t="s">
        <v>284</v>
      </c>
      <c r="C55" t="s">
        <v>285</v>
      </c>
      <c r="E55" s="94">
        <v>4879.83</v>
      </c>
    </row>
    <row r="56" spans="1:5" x14ac:dyDescent="0.2">
      <c r="A56">
        <v>55</v>
      </c>
      <c r="B56" t="s">
        <v>284</v>
      </c>
      <c r="C56" t="s">
        <v>286</v>
      </c>
      <c r="E56" s="94">
        <v>651.78</v>
      </c>
    </row>
    <row r="57" spans="1:5" x14ac:dyDescent="0.2">
      <c r="A57">
        <v>56</v>
      </c>
      <c r="B57" t="s">
        <v>287</v>
      </c>
      <c r="E57" s="94">
        <v>1500</v>
      </c>
    </row>
    <row r="58" spans="1:5" x14ac:dyDescent="0.2">
      <c r="A58">
        <v>57</v>
      </c>
      <c r="B58" t="s">
        <v>288</v>
      </c>
      <c r="C58" t="s">
        <v>289</v>
      </c>
      <c r="E58" s="94">
        <v>246.15</v>
      </c>
    </row>
    <row r="59" spans="1:5" x14ac:dyDescent="0.2">
      <c r="A59">
        <v>58</v>
      </c>
      <c r="B59" t="s">
        <v>205</v>
      </c>
      <c r="E59" s="94">
        <v>13584.53</v>
      </c>
    </row>
    <row r="60" spans="1:5" x14ac:dyDescent="0.2">
      <c r="A60">
        <v>59</v>
      </c>
      <c r="B60" t="s">
        <v>290</v>
      </c>
      <c r="C60" t="s">
        <v>192</v>
      </c>
      <c r="E60" s="11">
        <v>1790</v>
      </c>
    </row>
    <row r="61" spans="1:5" x14ac:dyDescent="0.2">
      <c r="A61">
        <v>60</v>
      </c>
      <c r="B61" t="s">
        <v>290</v>
      </c>
      <c r="C61" t="s">
        <v>291</v>
      </c>
      <c r="E61" s="11">
        <v>740</v>
      </c>
    </row>
    <row r="62" spans="1:5" x14ac:dyDescent="0.2">
      <c r="A62" s="101">
        <v>61</v>
      </c>
      <c r="B62" s="101" t="s">
        <v>292</v>
      </c>
      <c r="C62" s="101" t="s">
        <v>293</v>
      </c>
      <c r="D62" s="102"/>
      <c r="E62" s="102">
        <v>580.66</v>
      </c>
    </row>
    <row r="63" spans="1:5" x14ac:dyDescent="0.2">
      <c r="A63" s="101">
        <v>62</v>
      </c>
      <c r="B63" s="101" t="s">
        <v>294</v>
      </c>
      <c r="C63" s="101" t="s">
        <v>295</v>
      </c>
      <c r="D63" s="102"/>
      <c r="E63" s="102">
        <v>440</v>
      </c>
    </row>
    <row r="64" spans="1:5" x14ac:dyDescent="0.2">
      <c r="A64">
        <v>63</v>
      </c>
      <c r="B64" t="s">
        <v>296</v>
      </c>
      <c r="C64" t="s">
        <v>297</v>
      </c>
      <c r="E64" s="11">
        <v>41.08</v>
      </c>
    </row>
    <row r="68" spans="5:5" x14ac:dyDescent="0.2">
      <c r="E68" s="11">
        <f>SUM(E2:E67)</f>
        <v>64522.572929192385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1DB5-87CC-4E7F-92D0-9CA1DEFFE37D}">
  <dimension ref="A1:M105"/>
  <sheetViews>
    <sheetView workbookViewId="0">
      <pane ySplit="1" topLeftCell="A65" activePane="bottomLeft" state="frozen"/>
      <selection activeCell="E1" sqref="E1"/>
      <selection pane="bottomLeft" activeCell="E1" sqref="E1"/>
    </sheetView>
  </sheetViews>
  <sheetFormatPr defaultRowHeight="15" x14ac:dyDescent="0.2"/>
  <cols>
    <col min="1" max="1" width="4.9765625" customWidth="1"/>
    <col min="2" max="2" width="25.421875" customWidth="1"/>
    <col min="3" max="3" width="33.8984375" customWidth="1"/>
    <col min="4" max="4" width="28.3828125" customWidth="1"/>
    <col min="5" max="5" width="12.375" style="11" customWidth="1"/>
    <col min="6" max="6" width="15.46875" style="9" customWidth="1"/>
    <col min="7" max="7" width="13.046875" style="179" customWidth="1"/>
    <col min="8" max="8" width="11.8359375" style="172" customWidth="1"/>
    <col min="9" max="9" width="9.68359375" style="11" customWidth="1"/>
    <col min="10" max="10" width="14.390625" style="11" customWidth="1"/>
    <col min="11" max="11" width="11.8359375" style="4" customWidth="1"/>
    <col min="12" max="12" width="18.16015625" style="4" customWidth="1"/>
    <col min="13" max="13" width="137.34765625" bestFit="1" customWidth="1"/>
  </cols>
  <sheetData>
    <row r="1" spans="1:13" s="151" customFormat="1" ht="27.75" x14ac:dyDescent="0.2">
      <c r="B1" s="152" t="s">
        <v>381</v>
      </c>
      <c r="C1" s="152" t="s">
        <v>121</v>
      </c>
      <c r="D1" s="152" t="s">
        <v>122</v>
      </c>
      <c r="E1" s="154" t="s">
        <v>123</v>
      </c>
      <c r="F1" s="155" t="s">
        <v>382</v>
      </c>
      <c r="G1" s="178" t="s">
        <v>383</v>
      </c>
      <c r="H1" s="173" t="s">
        <v>384</v>
      </c>
      <c r="I1" s="155" t="s">
        <v>385</v>
      </c>
      <c r="J1" s="155" t="s">
        <v>331</v>
      </c>
      <c r="K1" s="158" t="s">
        <v>386</v>
      </c>
      <c r="L1" s="158" t="s">
        <v>67</v>
      </c>
      <c r="M1" s="152" t="s">
        <v>387</v>
      </c>
    </row>
    <row r="2" spans="1:13" x14ac:dyDescent="0.2">
      <c r="A2">
        <v>1</v>
      </c>
      <c r="B2" t="s">
        <v>15</v>
      </c>
      <c r="C2" t="s">
        <v>388</v>
      </c>
      <c r="D2" t="s">
        <v>389</v>
      </c>
      <c r="F2" s="49"/>
      <c r="K2" s="70"/>
      <c r="L2" s="70"/>
    </row>
    <row r="3" spans="1:13" x14ac:dyDescent="0.2">
      <c r="A3">
        <f t="shared" ref="A3:A10" si="0">+A2+1</f>
        <v>2</v>
      </c>
      <c r="B3" t="s">
        <v>390</v>
      </c>
      <c r="C3" t="s">
        <v>391</v>
      </c>
      <c r="D3" t="s">
        <v>392</v>
      </c>
      <c r="E3" s="11">
        <f>2.12*5*2</f>
        <v>21.200000000000003</v>
      </c>
      <c r="F3" s="49">
        <f>E3*1.25</f>
        <v>26.500000000000004</v>
      </c>
      <c r="H3" s="172">
        <v>44959</v>
      </c>
      <c r="K3" s="70"/>
      <c r="L3" s="70"/>
      <c r="M3" t="s">
        <v>393</v>
      </c>
    </row>
    <row r="4" spans="1:13" x14ac:dyDescent="0.2">
      <c r="A4">
        <f t="shared" si="0"/>
        <v>3</v>
      </c>
      <c r="B4" t="e">
        <f>#REF!</f>
        <v>#REF!</v>
      </c>
      <c r="C4" t="s">
        <v>394</v>
      </c>
      <c r="E4" s="11">
        <v>1075.01</v>
      </c>
      <c r="F4" s="49">
        <f>+E4*1.25</f>
        <v>1343.7625</v>
      </c>
      <c r="K4" s="70">
        <v>44946</v>
      </c>
      <c r="L4" s="70"/>
      <c r="M4" s="29" t="s">
        <v>395</v>
      </c>
    </row>
    <row r="5" spans="1:13" x14ac:dyDescent="0.2">
      <c r="A5">
        <f t="shared" si="0"/>
        <v>4</v>
      </c>
      <c r="B5" t="e">
        <f>#REF!</f>
        <v>#REF!</v>
      </c>
      <c r="C5" t="s">
        <v>396</v>
      </c>
      <c r="E5" s="11">
        <v>1061.77</v>
      </c>
      <c r="F5" s="49">
        <f>+E5*1.25</f>
        <v>1327.2125000000001</v>
      </c>
      <c r="K5" s="70"/>
      <c r="L5" s="70"/>
      <c r="M5" s="29" t="s">
        <v>397</v>
      </c>
    </row>
    <row r="6" spans="1:13" x14ac:dyDescent="0.2">
      <c r="A6">
        <f t="shared" si="0"/>
        <v>5</v>
      </c>
      <c r="B6" t="s">
        <v>15</v>
      </c>
      <c r="C6" t="s">
        <v>398</v>
      </c>
      <c r="F6" s="49" t="s">
        <v>399</v>
      </c>
      <c r="H6" s="172" t="s">
        <v>400</v>
      </c>
      <c r="K6" s="70"/>
      <c r="L6" s="70"/>
    </row>
    <row r="7" spans="1:13" x14ac:dyDescent="0.2">
      <c r="A7">
        <f t="shared" si="0"/>
        <v>6</v>
      </c>
      <c r="F7" s="49"/>
      <c r="K7" s="70"/>
      <c r="L7" s="70"/>
    </row>
    <row r="8" spans="1:13" x14ac:dyDescent="0.2">
      <c r="A8">
        <f t="shared" si="0"/>
        <v>7</v>
      </c>
      <c r="B8" t="s">
        <v>16</v>
      </c>
      <c r="C8" t="s">
        <v>401</v>
      </c>
      <c r="D8" t="s">
        <v>402</v>
      </c>
      <c r="F8" s="49">
        <v>500</v>
      </c>
      <c r="K8" s="70"/>
      <c r="L8" s="70"/>
    </row>
    <row r="9" spans="1:13" x14ac:dyDescent="0.2">
      <c r="A9">
        <f t="shared" si="0"/>
        <v>8</v>
      </c>
      <c r="B9" t="s">
        <v>16</v>
      </c>
      <c r="C9" t="s">
        <v>403</v>
      </c>
      <c r="F9" s="49">
        <v>668.96</v>
      </c>
      <c r="K9" s="70"/>
      <c r="L9" s="70"/>
    </row>
    <row r="10" spans="1:13" x14ac:dyDescent="0.2">
      <c r="A10">
        <f t="shared" si="0"/>
        <v>9</v>
      </c>
      <c r="B10" t="s">
        <v>16</v>
      </c>
      <c r="C10" t="s">
        <v>404</v>
      </c>
      <c r="D10" s="84" t="s">
        <v>375</v>
      </c>
      <c r="E10" s="49">
        <v>391</v>
      </c>
      <c r="F10" s="85">
        <f>E10*1.25</f>
        <v>488.75</v>
      </c>
      <c r="H10" s="174" t="s">
        <v>405</v>
      </c>
      <c r="K10" s="70"/>
      <c r="L10" s="92"/>
      <c r="M10" s="29" t="s">
        <v>406</v>
      </c>
    </row>
    <row r="11" spans="1:13" x14ac:dyDescent="0.2">
      <c r="B11" t="s">
        <v>16</v>
      </c>
      <c r="C11" t="s">
        <v>407</v>
      </c>
      <c r="D11" s="84" t="s">
        <v>408</v>
      </c>
      <c r="E11" s="49">
        <v>372</v>
      </c>
      <c r="F11" s="85">
        <f>E11*1.25</f>
        <v>465</v>
      </c>
      <c r="H11" s="172" t="s">
        <v>409</v>
      </c>
      <c r="K11" s="70"/>
      <c r="L11" s="70"/>
      <c r="M11" s="29" t="s">
        <v>410</v>
      </c>
    </row>
    <row r="12" spans="1:13" x14ac:dyDescent="0.2">
      <c r="A12">
        <f>+A10+1</f>
        <v>10</v>
      </c>
      <c r="B12" t="s">
        <v>16</v>
      </c>
      <c r="C12" t="s">
        <v>411</v>
      </c>
      <c r="D12" t="s">
        <v>412</v>
      </c>
      <c r="E12" s="49"/>
      <c r="F12" s="85">
        <v>2386.5500000000002</v>
      </c>
      <c r="H12" s="172" t="s">
        <v>413</v>
      </c>
      <c r="K12" s="70"/>
      <c r="L12" s="70"/>
      <c r="M12" s="29" t="s">
        <v>414</v>
      </c>
    </row>
    <row r="13" spans="1:13" x14ac:dyDescent="0.2">
      <c r="A13">
        <f>+A12+1</f>
        <v>11</v>
      </c>
      <c r="B13" t="s">
        <v>16</v>
      </c>
      <c r="C13" t="s">
        <v>388</v>
      </c>
      <c r="D13" t="s">
        <v>389</v>
      </c>
      <c r="F13" s="49"/>
      <c r="K13" s="70"/>
      <c r="L13" s="70"/>
    </row>
    <row r="14" spans="1:13" x14ac:dyDescent="0.2">
      <c r="A14">
        <f>+A13+1</f>
        <v>12</v>
      </c>
      <c r="B14" t="s">
        <v>16</v>
      </c>
      <c r="C14" t="s">
        <v>415</v>
      </c>
      <c r="F14" s="49">
        <v>220</v>
      </c>
      <c r="K14" s="70"/>
      <c r="L14" s="70"/>
    </row>
    <row r="15" spans="1:13" x14ac:dyDescent="0.2">
      <c r="A15">
        <f>+A14+1</f>
        <v>13</v>
      </c>
      <c r="B15" t="s">
        <v>16</v>
      </c>
      <c r="C15" t="s">
        <v>416</v>
      </c>
      <c r="F15" s="49">
        <v>350</v>
      </c>
      <c r="K15" s="70"/>
      <c r="L15" s="70"/>
    </row>
    <row r="16" spans="1:13" x14ac:dyDescent="0.2">
      <c r="A16">
        <f>+A15+1</f>
        <v>14</v>
      </c>
      <c r="B16" t="s">
        <v>16</v>
      </c>
      <c r="C16" t="s">
        <v>417</v>
      </c>
      <c r="F16" s="49">
        <v>179.47</v>
      </c>
      <c r="H16" s="172">
        <v>44998</v>
      </c>
      <c r="K16" s="70"/>
      <c r="L16" s="70"/>
    </row>
    <row r="17" spans="1:13" x14ac:dyDescent="0.2">
      <c r="B17" t="s">
        <v>16</v>
      </c>
      <c r="C17" t="s">
        <v>418</v>
      </c>
      <c r="D17" s="84" t="s">
        <v>375</v>
      </c>
      <c r="F17" s="49">
        <v>62.21</v>
      </c>
      <c r="H17" s="172">
        <v>44988</v>
      </c>
      <c r="K17" s="70"/>
      <c r="L17" s="70"/>
    </row>
    <row r="18" spans="1:13" x14ac:dyDescent="0.2">
      <c r="A18">
        <f>+A16+1</f>
        <v>15</v>
      </c>
      <c r="B18" t="s">
        <v>16</v>
      </c>
      <c r="C18" t="s">
        <v>411</v>
      </c>
      <c r="D18" s="84" t="s">
        <v>408</v>
      </c>
      <c r="F18" s="9">
        <v>2760</v>
      </c>
      <c r="H18" s="172">
        <v>44993</v>
      </c>
      <c r="K18" s="70"/>
      <c r="L18" s="70"/>
    </row>
    <row r="19" spans="1:13" x14ac:dyDescent="0.2">
      <c r="B19" t="s">
        <v>16</v>
      </c>
      <c r="C19" t="s">
        <v>419</v>
      </c>
      <c r="D19" s="84" t="s">
        <v>420</v>
      </c>
      <c r="F19" s="9">
        <v>172.01</v>
      </c>
      <c r="H19" s="172">
        <v>44995</v>
      </c>
      <c r="K19" s="70"/>
      <c r="L19" s="70" t="s">
        <v>421</v>
      </c>
    </row>
    <row r="20" spans="1:13" x14ac:dyDescent="0.2">
      <c r="B20" t="s">
        <v>16</v>
      </c>
      <c r="C20" t="s">
        <v>422</v>
      </c>
      <c r="D20" s="84" t="s">
        <v>422</v>
      </c>
      <c r="H20" s="172" t="s">
        <v>423</v>
      </c>
      <c r="K20" s="70"/>
      <c r="L20" s="70"/>
    </row>
    <row r="21" spans="1:13" x14ac:dyDescent="0.2">
      <c r="D21" s="84"/>
      <c r="K21" s="70"/>
      <c r="L21" s="70"/>
    </row>
    <row r="22" spans="1:13" x14ac:dyDescent="0.2">
      <c r="A22">
        <f>+A18+1</f>
        <v>16</v>
      </c>
      <c r="B22" t="s">
        <v>25</v>
      </c>
      <c r="C22" t="s">
        <v>424</v>
      </c>
      <c r="D22" t="s">
        <v>425</v>
      </c>
      <c r="E22" s="49">
        <v>3527.5</v>
      </c>
      <c r="F22" s="49">
        <f>E22*1.25</f>
        <v>4409.375</v>
      </c>
      <c r="K22" s="70"/>
      <c r="L22" s="70"/>
      <c r="M22" s="29" t="s">
        <v>426</v>
      </c>
    </row>
    <row r="23" spans="1:13" x14ac:dyDescent="0.2">
      <c r="A23">
        <f>+A22+1</f>
        <v>17</v>
      </c>
      <c r="K23" s="70"/>
      <c r="L23" s="70"/>
    </row>
    <row r="24" spans="1:13" x14ac:dyDescent="0.2">
      <c r="A24">
        <f>+A23+1</f>
        <v>18</v>
      </c>
      <c r="B24" s="2" t="s">
        <v>23</v>
      </c>
      <c r="C24" s="17" t="s">
        <v>427</v>
      </c>
      <c r="K24" s="70"/>
      <c r="L24" s="70"/>
    </row>
    <row r="25" spans="1:13" x14ac:dyDescent="0.2">
      <c r="A25">
        <f>+A24+1</f>
        <v>19</v>
      </c>
      <c r="B25" s="2" t="s">
        <v>24</v>
      </c>
      <c r="C25" s="77" t="s">
        <v>428</v>
      </c>
      <c r="D25" s="77" t="s">
        <v>429</v>
      </c>
      <c r="E25" s="49">
        <v>952.92</v>
      </c>
      <c r="F25" s="9">
        <f>E25*1.25</f>
        <v>1191.1499999999999</v>
      </c>
      <c r="M25" s="29" t="s">
        <v>430</v>
      </c>
    </row>
    <row r="26" spans="1:13" ht="54.75" x14ac:dyDescent="0.2">
      <c r="B26" s="2"/>
      <c r="C26" s="77" t="s">
        <v>431</v>
      </c>
      <c r="D26" s="77" t="s">
        <v>429</v>
      </c>
      <c r="F26" s="9">
        <f>9694.24/7.5345</f>
        <v>1286.6467582454043</v>
      </c>
      <c r="H26" s="172" t="s">
        <v>432</v>
      </c>
      <c r="L26" s="17" t="s">
        <v>433</v>
      </c>
      <c r="M26" s="76" t="s">
        <v>434</v>
      </c>
    </row>
    <row r="27" spans="1:13" x14ac:dyDescent="0.2">
      <c r="A27">
        <f>+A25+1</f>
        <v>20</v>
      </c>
      <c r="B27" s="2" t="s">
        <v>29</v>
      </c>
      <c r="C27" t="s">
        <v>435</v>
      </c>
      <c r="K27" s="70"/>
      <c r="L27" s="70"/>
    </row>
    <row r="28" spans="1:13" x14ac:dyDescent="0.2">
      <c r="A28">
        <f t="shared" ref="A28:A37" si="1">+A27+1</f>
        <v>21</v>
      </c>
      <c r="B28" s="2" t="s">
        <v>27</v>
      </c>
      <c r="C28" t="s">
        <v>436</v>
      </c>
      <c r="D28" t="s">
        <v>437</v>
      </c>
      <c r="F28" s="9">
        <f>25.99*50</f>
        <v>1299.5</v>
      </c>
      <c r="H28" s="172" t="s">
        <v>438</v>
      </c>
      <c r="K28" s="70"/>
      <c r="L28" s="70"/>
      <c r="M28" s="29" t="s">
        <v>439</v>
      </c>
    </row>
    <row r="29" spans="1:13" x14ac:dyDescent="0.2">
      <c r="A29">
        <f t="shared" si="1"/>
        <v>22</v>
      </c>
      <c r="B29" s="2" t="s">
        <v>29</v>
      </c>
      <c r="C29" t="s">
        <v>435</v>
      </c>
      <c r="D29" t="s">
        <v>440</v>
      </c>
      <c r="F29" s="49">
        <v>782.02</v>
      </c>
      <c r="K29" s="70"/>
      <c r="L29" s="70"/>
      <c r="M29" s="29" t="s">
        <v>441</v>
      </c>
    </row>
    <row r="30" spans="1:13" x14ac:dyDescent="0.2">
      <c r="A30">
        <f t="shared" si="1"/>
        <v>23</v>
      </c>
      <c r="B30" s="2" t="s">
        <v>29</v>
      </c>
      <c r="C30" t="s">
        <v>442</v>
      </c>
      <c r="D30" t="s">
        <v>443</v>
      </c>
      <c r="F30" s="49">
        <v>2709.04</v>
      </c>
      <c r="K30" s="70"/>
      <c r="L30" s="70"/>
      <c r="M30" s="29" t="s">
        <v>444</v>
      </c>
    </row>
    <row r="31" spans="1:13" x14ac:dyDescent="0.2">
      <c r="A31">
        <f t="shared" si="1"/>
        <v>24</v>
      </c>
      <c r="B31" s="2" t="s">
        <v>30</v>
      </c>
      <c r="C31" t="s">
        <v>445</v>
      </c>
      <c r="D31" t="s">
        <v>446</v>
      </c>
      <c r="E31" s="11">
        <v>3177.6</v>
      </c>
      <c r="F31" s="49">
        <f>E31*1.25</f>
        <v>3972</v>
      </c>
      <c r="G31" s="179">
        <v>3972</v>
      </c>
      <c r="H31" s="172" t="s">
        <v>447</v>
      </c>
      <c r="K31" s="70"/>
      <c r="L31" s="70"/>
      <c r="M31" s="29" t="s">
        <v>448</v>
      </c>
    </row>
    <row r="32" spans="1:13" x14ac:dyDescent="0.2">
      <c r="A32">
        <f t="shared" si="1"/>
        <v>25</v>
      </c>
      <c r="B32" s="2"/>
      <c r="K32" s="70"/>
      <c r="L32" s="70"/>
    </row>
    <row r="33" spans="1:13" x14ac:dyDescent="0.2">
      <c r="A33">
        <f t="shared" si="1"/>
        <v>26</v>
      </c>
      <c r="F33" s="49"/>
      <c r="K33" s="70"/>
      <c r="L33" s="70"/>
    </row>
    <row r="34" spans="1:13" x14ac:dyDescent="0.2">
      <c r="A34">
        <f t="shared" si="1"/>
        <v>27</v>
      </c>
      <c r="B34" t="str">
        <f>'Knjiga narudžbi 2023'!B9</f>
        <v>DVD ADAMOVEC</v>
      </c>
      <c r="C34" t="s">
        <v>449</v>
      </c>
      <c r="D34" t="s">
        <v>450</v>
      </c>
      <c r="F34" s="49">
        <v>2244.52</v>
      </c>
      <c r="H34" s="172" t="s">
        <v>451</v>
      </c>
      <c r="K34" s="70"/>
      <c r="L34" s="70"/>
      <c r="M34" s="29" t="s">
        <v>452</v>
      </c>
    </row>
    <row r="35" spans="1:13" x14ac:dyDescent="0.2">
      <c r="A35">
        <f t="shared" si="1"/>
        <v>28</v>
      </c>
      <c r="B35" t="str">
        <f>B34</f>
        <v>DVD ADAMOVEC</v>
      </c>
      <c r="C35" t="s">
        <v>453</v>
      </c>
      <c r="D35" s="17" t="s">
        <v>454</v>
      </c>
      <c r="E35" s="11">
        <v>774.04</v>
      </c>
      <c r="F35" s="89">
        <f>E35*1.25</f>
        <v>967.55</v>
      </c>
      <c r="G35" s="181"/>
      <c r="H35" s="175" t="s">
        <v>455</v>
      </c>
      <c r="L35" s="91"/>
      <c r="M35" s="29" t="s">
        <v>456</v>
      </c>
    </row>
    <row r="36" spans="1:13" x14ac:dyDescent="0.2">
      <c r="A36">
        <f t="shared" si="1"/>
        <v>29</v>
      </c>
      <c r="K36" s="70"/>
      <c r="L36" s="70"/>
    </row>
    <row r="37" spans="1:13" s="2" customFormat="1" ht="54.75" x14ac:dyDescent="0.2">
      <c r="A37" s="2">
        <f t="shared" si="1"/>
        <v>30</v>
      </c>
      <c r="B37" s="80" t="s">
        <v>457</v>
      </c>
      <c r="C37" s="80" t="s">
        <v>458</v>
      </c>
      <c r="D37" s="80"/>
      <c r="E37" s="81" t="s">
        <v>459</v>
      </c>
      <c r="F37" s="73"/>
      <c r="G37" s="182"/>
      <c r="H37" s="176"/>
      <c r="I37" s="9"/>
      <c r="J37" s="9"/>
      <c r="K37" s="44"/>
      <c r="L37" s="83" t="s">
        <v>460</v>
      </c>
    </row>
    <row r="38" spans="1:13" s="2" customFormat="1" x14ac:dyDescent="0.2">
      <c r="B38" t="s">
        <v>457</v>
      </c>
      <c r="C38" t="s">
        <v>461</v>
      </c>
      <c r="D38"/>
      <c r="E38" s="11"/>
      <c r="F38" s="49">
        <v>39.64</v>
      </c>
      <c r="G38" s="182"/>
      <c r="H38" s="176">
        <v>44998</v>
      </c>
      <c r="I38" s="9"/>
      <c r="J38" s="9"/>
      <c r="K38" s="44"/>
      <c r="L38" s="83"/>
    </row>
    <row r="39" spans="1:13" ht="27.75" x14ac:dyDescent="0.2">
      <c r="A39">
        <f>+A37+1</f>
        <v>31</v>
      </c>
      <c r="B39" t="s">
        <v>462</v>
      </c>
      <c r="C39" s="17" t="s">
        <v>463</v>
      </c>
      <c r="F39" s="49">
        <v>2260</v>
      </c>
      <c r="K39" s="70"/>
      <c r="L39" s="70"/>
      <c r="M39" s="29" t="s">
        <v>464</v>
      </c>
    </row>
    <row r="40" spans="1:13" x14ac:dyDescent="0.2">
      <c r="A40">
        <f t="shared" ref="A40:A72" si="2">+A39+1</f>
        <v>32</v>
      </c>
      <c r="K40" s="70"/>
      <c r="L40" s="70"/>
    </row>
    <row r="41" spans="1:13" x14ac:dyDescent="0.2">
      <c r="A41">
        <f t="shared" si="2"/>
        <v>33</v>
      </c>
      <c r="B41" t="s">
        <v>465</v>
      </c>
      <c r="C41" s="17" t="s">
        <v>466</v>
      </c>
      <c r="E41" s="42">
        <v>176.01</v>
      </c>
      <c r="F41" s="49">
        <f>E41*1.25</f>
        <v>220.01249999999999</v>
      </c>
      <c r="H41" s="172" t="s">
        <v>467</v>
      </c>
      <c r="K41" s="70"/>
      <c r="L41" s="70"/>
      <c r="M41" s="29" t="s">
        <v>468</v>
      </c>
    </row>
    <row r="42" spans="1:13" x14ac:dyDescent="0.2">
      <c r="A42">
        <f t="shared" si="2"/>
        <v>34</v>
      </c>
      <c r="C42" s="17"/>
      <c r="F42" s="49"/>
      <c r="K42" s="70"/>
      <c r="L42" s="70"/>
      <c r="M42" s="29"/>
    </row>
    <row r="43" spans="1:13" x14ac:dyDescent="0.2">
      <c r="A43">
        <f t="shared" si="2"/>
        <v>35</v>
      </c>
      <c r="B43" t="s">
        <v>469</v>
      </c>
      <c r="C43" s="17" t="s">
        <v>470</v>
      </c>
      <c r="D43" t="s">
        <v>471</v>
      </c>
      <c r="E43" s="11">
        <v>180</v>
      </c>
      <c r="F43" s="49">
        <f>E43*1.25</f>
        <v>225</v>
      </c>
      <c r="H43" s="172">
        <v>44963</v>
      </c>
      <c r="K43" s="70"/>
      <c r="L43" s="70"/>
      <c r="M43" s="29" t="s">
        <v>472</v>
      </c>
    </row>
    <row r="44" spans="1:13" x14ac:dyDescent="0.2">
      <c r="A44">
        <f t="shared" si="2"/>
        <v>36</v>
      </c>
      <c r="B44" t="s">
        <v>469</v>
      </c>
      <c r="C44" s="17" t="s">
        <v>473</v>
      </c>
      <c r="D44" t="s">
        <v>471</v>
      </c>
      <c r="F44" s="49">
        <v>841.25</v>
      </c>
      <c r="H44" s="172">
        <v>44963</v>
      </c>
      <c r="K44" s="70"/>
      <c r="L44" s="70"/>
      <c r="M44" s="29" t="s">
        <v>474</v>
      </c>
    </row>
    <row r="45" spans="1:13" x14ac:dyDescent="0.2">
      <c r="A45">
        <f t="shared" si="2"/>
        <v>37</v>
      </c>
      <c r="C45" s="17"/>
      <c r="F45" s="49"/>
      <c r="K45" s="70"/>
      <c r="L45" s="70"/>
      <c r="M45" s="29"/>
    </row>
    <row r="46" spans="1:13" x14ac:dyDescent="0.2">
      <c r="A46">
        <f t="shared" si="2"/>
        <v>38</v>
      </c>
      <c r="B46" t="s">
        <v>21</v>
      </c>
      <c r="C46" s="17" t="s">
        <v>475</v>
      </c>
      <c r="D46" t="s">
        <v>476</v>
      </c>
      <c r="E46" s="11">
        <f>39800/7.5345</f>
        <v>5282.3677749021163</v>
      </c>
      <c r="F46" s="49">
        <f>E46*1.25</f>
        <v>6602.9597186276451</v>
      </c>
      <c r="K46" s="70"/>
      <c r="L46" s="70"/>
      <c r="M46" s="29" t="s">
        <v>477</v>
      </c>
    </row>
    <row r="47" spans="1:13" x14ac:dyDescent="0.2">
      <c r="A47">
        <f t="shared" si="2"/>
        <v>39</v>
      </c>
      <c r="B47" t="s">
        <v>20</v>
      </c>
      <c r="C47" s="17" t="s">
        <v>475</v>
      </c>
      <c r="D47" t="s">
        <v>476</v>
      </c>
      <c r="E47" s="11">
        <v>2130</v>
      </c>
      <c r="F47" s="49">
        <f>E47*1.25</f>
        <v>2662.5</v>
      </c>
      <c r="K47" s="70"/>
      <c r="L47" s="70"/>
      <c r="M47" s="29" t="s">
        <v>478</v>
      </c>
    </row>
    <row r="48" spans="1:13" x14ac:dyDescent="0.2">
      <c r="A48">
        <f t="shared" si="2"/>
        <v>40</v>
      </c>
      <c r="F48" s="49"/>
      <c r="K48" s="70"/>
      <c r="L48" s="70"/>
    </row>
    <row r="49" spans="1:13" x14ac:dyDescent="0.2">
      <c r="A49">
        <f t="shared" si="2"/>
        <v>41</v>
      </c>
      <c r="B49" t="s">
        <v>17</v>
      </c>
      <c r="C49" t="s">
        <v>479</v>
      </c>
      <c r="E49" s="195"/>
      <c r="F49" s="85">
        <v>32400</v>
      </c>
      <c r="J49" s="100"/>
      <c r="K49" s="70"/>
      <c r="L49" s="70"/>
      <c r="M49" s="29"/>
    </row>
    <row r="50" spans="1:13" x14ac:dyDescent="0.2">
      <c r="A50">
        <f t="shared" si="2"/>
        <v>42</v>
      </c>
      <c r="B50" t="s">
        <v>17</v>
      </c>
      <c r="C50" t="s">
        <v>480</v>
      </c>
      <c r="D50" t="s">
        <v>481</v>
      </c>
      <c r="E50" s="195">
        <v>11011.5</v>
      </c>
      <c r="F50" s="85">
        <v>13764.38</v>
      </c>
      <c r="G50" s="185"/>
      <c r="H50" s="186">
        <v>45001</v>
      </c>
      <c r="I50" s="171"/>
      <c r="J50" s="171">
        <f>(F50/100)*15</f>
        <v>2064.6570000000002</v>
      </c>
      <c r="K50" s="170"/>
      <c r="L50" s="70"/>
      <c r="M50" s="29" t="s">
        <v>482</v>
      </c>
    </row>
    <row r="51" spans="1:13" x14ac:dyDescent="0.2">
      <c r="A51">
        <f t="shared" si="2"/>
        <v>43</v>
      </c>
      <c r="B51" t="s">
        <v>17</v>
      </c>
      <c r="C51" t="s">
        <v>483</v>
      </c>
      <c r="D51" t="s">
        <v>484</v>
      </c>
      <c r="E51" s="195">
        <v>1387.44</v>
      </c>
      <c r="F51" s="85">
        <f>+E51*1.25</f>
        <v>1734.3000000000002</v>
      </c>
      <c r="G51" s="185"/>
      <c r="H51" s="186" t="s">
        <v>485</v>
      </c>
      <c r="I51" s="171"/>
      <c r="J51" s="187"/>
      <c r="K51" s="170"/>
      <c r="L51" s="70"/>
      <c r="M51" s="29" t="s">
        <v>486</v>
      </c>
    </row>
    <row r="52" spans="1:13" x14ac:dyDescent="0.2">
      <c r="A52">
        <f t="shared" si="2"/>
        <v>44</v>
      </c>
      <c r="B52" t="s">
        <v>17</v>
      </c>
      <c r="C52" t="s">
        <v>487</v>
      </c>
      <c r="D52" t="s">
        <v>488</v>
      </c>
      <c r="E52" s="195"/>
      <c r="F52" s="85">
        <v>483.6</v>
      </c>
      <c r="G52" s="185"/>
      <c r="H52" s="186">
        <v>45001</v>
      </c>
      <c r="I52" s="171"/>
      <c r="J52" s="187"/>
      <c r="K52" s="170"/>
      <c r="L52" s="70"/>
      <c r="M52" s="29" t="s">
        <v>489</v>
      </c>
    </row>
    <row r="53" spans="1:13" x14ac:dyDescent="0.2">
      <c r="A53">
        <f t="shared" si="2"/>
        <v>45</v>
      </c>
      <c r="B53" t="s">
        <v>17</v>
      </c>
      <c r="C53" t="s">
        <v>490</v>
      </c>
      <c r="D53" t="s">
        <v>491</v>
      </c>
      <c r="E53" s="195">
        <v>986.37</v>
      </c>
      <c r="F53" s="85">
        <f>E53*1.25</f>
        <v>1232.9625000000001</v>
      </c>
      <c r="G53" s="185"/>
      <c r="H53" s="186" t="s">
        <v>492</v>
      </c>
      <c r="I53" s="171"/>
      <c r="J53" s="171"/>
      <c r="K53" s="170"/>
      <c r="L53" s="70"/>
      <c r="M53" s="29" t="s">
        <v>493</v>
      </c>
    </row>
    <row r="54" spans="1:13" x14ac:dyDescent="0.2">
      <c r="A54">
        <f t="shared" si="2"/>
        <v>46</v>
      </c>
      <c r="B54" t="s">
        <v>17</v>
      </c>
      <c r="C54" t="s">
        <v>494</v>
      </c>
      <c r="D54" t="s">
        <v>495</v>
      </c>
      <c r="E54" s="195"/>
      <c r="F54" s="85">
        <v>1420</v>
      </c>
      <c r="G54" s="185"/>
      <c r="H54" s="186">
        <v>45001</v>
      </c>
      <c r="I54" s="171"/>
      <c r="J54" s="171"/>
      <c r="K54" s="170"/>
      <c r="L54" s="70"/>
      <c r="M54" s="29" t="s">
        <v>496</v>
      </c>
    </row>
    <row r="55" spans="1:13" x14ac:dyDescent="0.2">
      <c r="A55">
        <f t="shared" si="2"/>
        <v>47</v>
      </c>
      <c r="B55" t="s">
        <v>17</v>
      </c>
      <c r="C55" t="s">
        <v>497</v>
      </c>
      <c r="D55" t="s">
        <v>498</v>
      </c>
      <c r="E55" s="11">
        <v>734.45</v>
      </c>
      <c r="F55" s="85">
        <f>E55*1.25</f>
        <v>918.0625</v>
      </c>
      <c r="G55" s="185"/>
      <c r="H55" s="186" t="s">
        <v>432</v>
      </c>
      <c r="I55" s="171"/>
      <c r="J55" s="171">
        <v>183.61</v>
      </c>
      <c r="K55" s="170"/>
      <c r="L55" s="70"/>
      <c r="M55" s="29" t="s">
        <v>499</v>
      </c>
    </row>
    <row r="56" spans="1:13" x14ac:dyDescent="0.2">
      <c r="A56">
        <f t="shared" si="2"/>
        <v>48</v>
      </c>
      <c r="B56" t="s">
        <v>17</v>
      </c>
      <c r="C56" t="s">
        <v>500</v>
      </c>
      <c r="D56" t="s">
        <v>501</v>
      </c>
      <c r="F56" s="85"/>
      <c r="G56" s="185"/>
      <c r="H56" s="186"/>
      <c r="I56" s="171"/>
      <c r="J56" s="171"/>
      <c r="K56" s="170"/>
      <c r="L56" s="70"/>
    </row>
    <row r="57" spans="1:13" x14ac:dyDescent="0.2">
      <c r="A57">
        <f t="shared" si="2"/>
        <v>49</v>
      </c>
      <c r="B57" t="s">
        <v>17</v>
      </c>
      <c r="C57" t="s">
        <v>502</v>
      </c>
      <c r="D57" t="s">
        <v>443</v>
      </c>
      <c r="F57" s="85">
        <v>548.9</v>
      </c>
      <c r="G57" s="185"/>
      <c r="H57" s="186" t="s">
        <v>432</v>
      </c>
      <c r="I57" s="171"/>
      <c r="J57" s="171"/>
      <c r="K57" s="170"/>
      <c r="L57" s="70"/>
      <c r="M57" s="29" t="s">
        <v>503</v>
      </c>
    </row>
    <row r="58" spans="1:13" x14ac:dyDescent="0.2">
      <c r="A58">
        <f t="shared" si="2"/>
        <v>50</v>
      </c>
      <c r="B58" t="s">
        <v>17</v>
      </c>
      <c r="C58" t="s">
        <v>504</v>
      </c>
      <c r="D58" t="s">
        <v>505</v>
      </c>
      <c r="F58" s="85"/>
      <c r="G58" s="192"/>
      <c r="H58" s="186" t="s">
        <v>506</v>
      </c>
      <c r="I58" s="171"/>
      <c r="J58" s="171"/>
      <c r="K58" s="170"/>
      <c r="L58" s="70"/>
    </row>
    <row r="59" spans="1:13" x14ac:dyDescent="0.2">
      <c r="A59">
        <f t="shared" si="2"/>
        <v>51</v>
      </c>
      <c r="B59" t="s">
        <v>17</v>
      </c>
      <c r="C59" t="s">
        <v>507</v>
      </c>
      <c r="D59" t="s">
        <v>501</v>
      </c>
      <c r="F59" s="85"/>
      <c r="G59" s="185"/>
      <c r="H59" s="186"/>
      <c r="I59" s="171"/>
      <c r="J59" s="171"/>
      <c r="K59" s="170"/>
      <c r="L59" s="70"/>
    </row>
    <row r="60" spans="1:13" x14ac:dyDescent="0.2">
      <c r="A60">
        <f t="shared" si="2"/>
        <v>52</v>
      </c>
      <c r="B60" t="s">
        <v>17</v>
      </c>
      <c r="C60" t="s">
        <v>508</v>
      </c>
      <c r="D60" t="s">
        <v>509</v>
      </c>
      <c r="F60" s="85"/>
      <c r="G60" s="185"/>
      <c r="H60" s="186"/>
      <c r="I60" s="171"/>
      <c r="J60" s="171"/>
      <c r="K60" s="170"/>
      <c r="L60" s="70"/>
    </row>
    <row r="61" spans="1:13" x14ac:dyDescent="0.2">
      <c r="A61">
        <f t="shared" si="2"/>
        <v>53</v>
      </c>
      <c r="B61" t="s">
        <v>17</v>
      </c>
      <c r="C61" t="s">
        <v>510</v>
      </c>
      <c r="D61" t="s">
        <v>511</v>
      </c>
      <c r="F61" s="171">
        <v>475.4</v>
      </c>
      <c r="G61" s="185"/>
      <c r="H61" s="186" t="s">
        <v>492</v>
      </c>
      <c r="I61" s="171"/>
      <c r="J61" s="171"/>
      <c r="K61" s="170"/>
      <c r="L61" s="170" t="s">
        <v>512</v>
      </c>
      <c r="M61" s="29" t="s">
        <v>513</v>
      </c>
    </row>
    <row r="62" spans="1:13" x14ac:dyDescent="0.2">
      <c r="A62">
        <f t="shared" si="2"/>
        <v>54</v>
      </c>
      <c r="B62" t="s">
        <v>17</v>
      </c>
      <c r="C62" t="s">
        <v>514</v>
      </c>
      <c r="D62" t="s">
        <v>476</v>
      </c>
      <c r="E62" s="11">
        <v>425</v>
      </c>
      <c r="F62" s="85">
        <v>531.25</v>
      </c>
      <c r="G62" s="185"/>
      <c r="H62" s="186" t="s">
        <v>432</v>
      </c>
      <c r="I62" s="171"/>
      <c r="J62" s="171">
        <v>106.25</v>
      </c>
      <c r="K62" s="170"/>
      <c r="L62" s="70"/>
      <c r="M62" s="29" t="s">
        <v>515</v>
      </c>
    </row>
    <row r="63" spans="1:13" x14ac:dyDescent="0.2">
      <c r="A63">
        <f t="shared" si="2"/>
        <v>55</v>
      </c>
      <c r="B63" t="s">
        <v>17</v>
      </c>
      <c r="C63" t="s">
        <v>516</v>
      </c>
      <c r="D63" t="s">
        <v>517</v>
      </c>
      <c r="E63" s="11">
        <v>284</v>
      </c>
      <c r="F63" s="85">
        <f>E63*1.25</f>
        <v>355</v>
      </c>
      <c r="G63" s="185"/>
      <c r="H63" s="186" t="s">
        <v>432</v>
      </c>
      <c r="I63" s="171"/>
      <c r="J63" s="171">
        <v>71</v>
      </c>
      <c r="K63" s="170"/>
      <c r="L63" s="70"/>
      <c r="M63" s="29" t="s">
        <v>518</v>
      </c>
    </row>
    <row r="64" spans="1:13" x14ac:dyDescent="0.2">
      <c r="A64">
        <f t="shared" si="2"/>
        <v>56</v>
      </c>
      <c r="B64" t="s">
        <v>17</v>
      </c>
      <c r="C64" t="s">
        <v>519</v>
      </c>
      <c r="D64" t="s">
        <v>520</v>
      </c>
      <c r="F64" s="85">
        <v>145.72999999999999</v>
      </c>
      <c r="G64" s="185"/>
      <c r="H64" s="186" t="s">
        <v>521</v>
      </c>
      <c r="I64" s="171"/>
      <c r="J64" s="171"/>
      <c r="K64" s="170"/>
      <c r="L64" s="70"/>
      <c r="M64" s="29" t="s">
        <v>522</v>
      </c>
    </row>
    <row r="65" spans="1:13" x14ac:dyDescent="0.2">
      <c r="A65">
        <f t="shared" si="2"/>
        <v>57</v>
      </c>
      <c r="B65" t="s">
        <v>17</v>
      </c>
      <c r="C65" t="s">
        <v>523</v>
      </c>
      <c r="D65" t="s">
        <v>524</v>
      </c>
      <c r="F65" s="85">
        <v>1692.03</v>
      </c>
      <c r="G65" s="185"/>
      <c r="H65" s="186">
        <v>45001</v>
      </c>
      <c r="I65" s="171"/>
      <c r="J65" s="171"/>
      <c r="K65" s="170"/>
      <c r="L65" s="70"/>
      <c r="M65" s="29" t="s">
        <v>525</v>
      </c>
    </row>
    <row r="66" spans="1:13" x14ac:dyDescent="0.2">
      <c r="A66">
        <f t="shared" si="2"/>
        <v>58</v>
      </c>
      <c r="B66" t="s">
        <v>17</v>
      </c>
      <c r="C66" t="s">
        <v>388</v>
      </c>
      <c r="D66" t="s">
        <v>389</v>
      </c>
      <c r="F66" s="85"/>
      <c r="G66" s="185"/>
      <c r="H66" s="186"/>
      <c r="I66" s="171"/>
      <c r="J66" s="171"/>
      <c r="K66" s="170"/>
      <c r="L66" s="70"/>
    </row>
    <row r="67" spans="1:13" x14ac:dyDescent="0.2">
      <c r="A67">
        <f t="shared" si="2"/>
        <v>59</v>
      </c>
      <c r="B67" t="s">
        <v>17</v>
      </c>
      <c r="C67" t="s">
        <v>526</v>
      </c>
      <c r="D67" t="s">
        <v>484</v>
      </c>
      <c r="F67" s="85"/>
      <c r="G67" s="185"/>
      <c r="H67" s="186"/>
      <c r="I67" s="171"/>
      <c r="J67" s="171"/>
      <c r="K67" s="170"/>
      <c r="L67" s="70"/>
    </row>
    <row r="68" spans="1:13" x14ac:dyDescent="0.2">
      <c r="A68">
        <f t="shared" si="2"/>
        <v>60</v>
      </c>
      <c r="B68" t="s">
        <v>17</v>
      </c>
      <c r="C68" t="s">
        <v>527</v>
      </c>
      <c r="F68" s="85"/>
      <c r="G68" s="185"/>
      <c r="H68" s="186"/>
      <c r="I68" s="171"/>
      <c r="J68" s="171"/>
      <c r="K68" s="170"/>
      <c r="L68" s="70"/>
    </row>
    <row r="69" spans="1:13" x14ac:dyDescent="0.2">
      <c r="A69">
        <f t="shared" si="2"/>
        <v>61</v>
      </c>
      <c r="B69" t="s">
        <v>528</v>
      </c>
      <c r="C69" t="s">
        <v>529</v>
      </c>
      <c r="D69" t="s">
        <v>530</v>
      </c>
      <c r="F69" s="85">
        <v>550.79999999999995</v>
      </c>
      <c r="H69" s="172" t="s">
        <v>492</v>
      </c>
      <c r="K69" s="70"/>
      <c r="L69" s="70"/>
      <c r="M69" s="29" t="s">
        <v>531</v>
      </c>
    </row>
    <row r="70" spans="1:13" x14ac:dyDescent="0.2">
      <c r="A70">
        <f t="shared" si="2"/>
        <v>62</v>
      </c>
      <c r="B70" t="s">
        <v>17</v>
      </c>
      <c r="C70" t="s">
        <v>532</v>
      </c>
      <c r="D70" t="s">
        <v>533</v>
      </c>
      <c r="F70" s="49"/>
      <c r="K70" s="70"/>
      <c r="L70" s="70"/>
    </row>
    <row r="71" spans="1:13" x14ac:dyDescent="0.2">
      <c r="A71">
        <f t="shared" si="2"/>
        <v>63</v>
      </c>
      <c r="B71" t="s">
        <v>17</v>
      </c>
      <c r="C71" t="s">
        <v>534</v>
      </c>
      <c r="D71" t="s">
        <v>535</v>
      </c>
      <c r="F71" s="49"/>
      <c r="K71" s="70"/>
      <c r="L71" s="70" t="s">
        <v>536</v>
      </c>
    </row>
    <row r="72" spans="1:13" x14ac:dyDescent="0.2">
      <c r="A72">
        <f t="shared" si="2"/>
        <v>64</v>
      </c>
      <c r="B72" t="s">
        <v>17</v>
      </c>
      <c r="C72" t="s">
        <v>537</v>
      </c>
      <c r="D72" t="s">
        <v>538</v>
      </c>
      <c r="F72" s="200" t="s">
        <v>539</v>
      </c>
      <c r="H72" s="172" t="s">
        <v>506</v>
      </c>
      <c r="K72" s="70"/>
      <c r="L72" s="70"/>
    </row>
    <row r="73" spans="1:13" x14ac:dyDescent="0.2">
      <c r="B73" t="s">
        <v>17</v>
      </c>
      <c r="C73" t="s">
        <v>540</v>
      </c>
      <c r="D73" t="s">
        <v>541</v>
      </c>
      <c r="F73" s="49">
        <v>148.47999999999999</v>
      </c>
      <c r="H73" s="172" t="s">
        <v>351</v>
      </c>
      <c r="K73" s="70"/>
      <c r="L73" s="70"/>
    </row>
    <row r="74" spans="1:13" x14ac:dyDescent="0.2">
      <c r="B74" t="s">
        <v>17</v>
      </c>
      <c r="C74" t="s">
        <v>542</v>
      </c>
      <c r="D74" t="s">
        <v>543</v>
      </c>
      <c r="F74" s="49">
        <v>53.09</v>
      </c>
      <c r="H74" s="172" t="s">
        <v>544</v>
      </c>
      <c r="K74" s="70"/>
      <c r="L74" s="70"/>
    </row>
    <row r="75" spans="1:13" x14ac:dyDescent="0.2">
      <c r="B75" t="s">
        <v>545</v>
      </c>
      <c r="C75" t="s">
        <v>546</v>
      </c>
      <c r="D75" t="s">
        <v>484</v>
      </c>
      <c r="E75" s="11">
        <v>162.9</v>
      </c>
      <c r="F75" s="49">
        <f>E75*1.25</f>
        <v>203.625</v>
      </c>
      <c r="H75" s="172" t="s">
        <v>400</v>
      </c>
      <c r="K75" s="70"/>
      <c r="L75" s="70"/>
      <c r="M75" s="29" t="s">
        <v>547</v>
      </c>
    </row>
    <row r="76" spans="1:13" x14ac:dyDescent="0.2">
      <c r="B76" t="s">
        <v>545</v>
      </c>
      <c r="C76" t="s">
        <v>548</v>
      </c>
      <c r="D76" t="s">
        <v>549</v>
      </c>
      <c r="E76" s="11">
        <v>39.950000000000003</v>
      </c>
      <c r="F76" s="85">
        <f>E76*1.25</f>
        <v>49.9375</v>
      </c>
      <c r="H76" s="172" t="s">
        <v>485</v>
      </c>
      <c r="K76" s="70"/>
      <c r="L76" s="70"/>
      <c r="M76" s="29" t="s">
        <v>550</v>
      </c>
    </row>
    <row r="77" spans="1:13" x14ac:dyDescent="0.2">
      <c r="B77" t="s">
        <v>545</v>
      </c>
      <c r="C77" t="s">
        <v>551</v>
      </c>
      <c r="D77" t="s">
        <v>505</v>
      </c>
      <c r="F77" s="49">
        <f>93+196+154+12.5</f>
        <v>455.5</v>
      </c>
      <c r="K77" s="70"/>
      <c r="L77" s="70"/>
      <c r="M77" s="29" t="s">
        <v>552</v>
      </c>
    </row>
    <row r="78" spans="1:13" x14ac:dyDescent="0.2">
      <c r="B78" t="s">
        <v>545</v>
      </c>
      <c r="C78" t="s">
        <v>553</v>
      </c>
      <c r="D78" t="s">
        <v>538</v>
      </c>
      <c r="E78" s="11">
        <v>76</v>
      </c>
      <c r="F78" s="49">
        <f>E78*1.25</f>
        <v>95</v>
      </c>
      <c r="K78" s="70"/>
      <c r="L78" s="70"/>
      <c r="M78" s="29" t="s">
        <v>554</v>
      </c>
    </row>
    <row r="79" spans="1:13" ht="30.75" customHeight="1" x14ac:dyDescent="0.2">
      <c r="B79" t="s">
        <v>545</v>
      </c>
      <c r="C79" t="s">
        <v>555</v>
      </c>
      <c r="D79" t="s">
        <v>484</v>
      </c>
      <c r="E79" s="39">
        <v>163.68</v>
      </c>
      <c r="F79" s="49">
        <f>E79*1.25</f>
        <v>204.60000000000002</v>
      </c>
      <c r="H79" s="172" t="s">
        <v>485</v>
      </c>
      <c r="K79" s="70"/>
      <c r="L79" s="169" t="s">
        <v>556</v>
      </c>
      <c r="M79" s="29" t="s">
        <v>557</v>
      </c>
    </row>
    <row r="80" spans="1:13" x14ac:dyDescent="0.2">
      <c r="B80" t="s">
        <v>545</v>
      </c>
      <c r="C80" t="s">
        <v>558</v>
      </c>
      <c r="D80" t="s">
        <v>484</v>
      </c>
      <c r="E80" s="11">
        <v>115.68</v>
      </c>
      <c r="F80" s="49">
        <f>E80*1.25</f>
        <v>144.60000000000002</v>
      </c>
      <c r="H80" s="172" t="s">
        <v>485</v>
      </c>
      <c r="K80" s="70"/>
      <c r="L80" s="170" t="s">
        <v>559</v>
      </c>
      <c r="M80" s="29" t="s">
        <v>560</v>
      </c>
    </row>
    <row r="81" spans="1:13" x14ac:dyDescent="0.2">
      <c r="A81">
        <f>+A72+1</f>
        <v>65</v>
      </c>
      <c r="F81" s="49"/>
      <c r="K81" s="70"/>
      <c r="L81" s="70"/>
    </row>
    <row r="82" spans="1:13" x14ac:dyDescent="0.2">
      <c r="A82">
        <f t="shared" ref="A82:A104" si="3">+A81+1</f>
        <v>66</v>
      </c>
      <c r="B82" t="s">
        <v>18</v>
      </c>
      <c r="C82" t="s">
        <v>561</v>
      </c>
      <c r="D82" t="s">
        <v>562</v>
      </c>
      <c r="F82" s="49">
        <v>29083.33</v>
      </c>
      <c r="G82" s="49">
        <v>29083.33</v>
      </c>
      <c r="K82" s="70"/>
      <c r="L82" s="70"/>
    </row>
    <row r="83" spans="1:13" x14ac:dyDescent="0.2">
      <c r="A83">
        <f t="shared" si="3"/>
        <v>67</v>
      </c>
      <c r="B83" t="s">
        <v>18</v>
      </c>
      <c r="C83" t="s">
        <v>526</v>
      </c>
      <c r="D83" t="s">
        <v>484</v>
      </c>
      <c r="F83" s="49"/>
      <c r="K83" s="70"/>
      <c r="L83" s="70"/>
    </row>
    <row r="84" spans="1:13" x14ac:dyDescent="0.2">
      <c r="A84">
        <f t="shared" si="3"/>
        <v>68</v>
      </c>
      <c r="B84" t="s">
        <v>18</v>
      </c>
      <c r="C84" t="s">
        <v>527</v>
      </c>
      <c r="K84" s="70"/>
      <c r="L84" s="70"/>
    </row>
    <row r="85" spans="1:13" x14ac:dyDescent="0.2">
      <c r="A85">
        <f t="shared" si="3"/>
        <v>69</v>
      </c>
      <c r="B85" t="s">
        <v>18</v>
      </c>
      <c r="C85" t="s">
        <v>563</v>
      </c>
      <c r="D85" t="s">
        <v>408</v>
      </c>
      <c r="E85" s="11">
        <v>611.20000000000005</v>
      </c>
      <c r="F85" s="49">
        <f>E85*1.25</f>
        <v>764</v>
      </c>
      <c r="G85" s="179">
        <v>764</v>
      </c>
      <c r="H85" s="172" t="s">
        <v>564</v>
      </c>
      <c r="K85" s="11"/>
      <c r="L85" s="70"/>
      <c r="M85" s="70"/>
    </row>
    <row r="86" spans="1:13" x14ac:dyDescent="0.2">
      <c r="A86">
        <f t="shared" si="3"/>
        <v>70</v>
      </c>
      <c r="B86" t="s">
        <v>18</v>
      </c>
      <c r="F86" s="49"/>
      <c r="K86" s="70"/>
      <c r="L86" s="70"/>
    </row>
    <row r="87" spans="1:13" x14ac:dyDescent="0.2">
      <c r="A87">
        <f t="shared" si="3"/>
        <v>71</v>
      </c>
      <c r="B87" t="s">
        <v>18</v>
      </c>
      <c r="C87" t="s">
        <v>565</v>
      </c>
      <c r="D87" t="s">
        <v>566</v>
      </c>
      <c r="F87" s="49">
        <v>85</v>
      </c>
      <c r="K87" s="70"/>
      <c r="L87" s="70"/>
    </row>
    <row r="88" spans="1:13" x14ac:dyDescent="0.2">
      <c r="A88">
        <f t="shared" si="3"/>
        <v>72</v>
      </c>
      <c r="B88" t="s">
        <v>18</v>
      </c>
      <c r="C88" t="s">
        <v>567</v>
      </c>
      <c r="D88" t="s">
        <v>495</v>
      </c>
      <c r="F88" s="49">
        <v>970</v>
      </c>
      <c r="G88" s="179">
        <v>970</v>
      </c>
      <c r="K88" s="70"/>
      <c r="L88" s="70"/>
      <c r="M88" s="29" t="s">
        <v>496</v>
      </c>
    </row>
    <row r="89" spans="1:13" x14ac:dyDescent="0.2">
      <c r="A89">
        <f t="shared" si="3"/>
        <v>73</v>
      </c>
      <c r="B89" t="s">
        <v>18</v>
      </c>
      <c r="C89" t="s">
        <v>568</v>
      </c>
      <c r="D89" t="s">
        <v>569</v>
      </c>
      <c r="E89" s="11">
        <v>300</v>
      </c>
      <c r="F89" s="49"/>
      <c r="G89" s="179">
        <v>312.27999999999997</v>
      </c>
      <c r="H89" s="172" t="s">
        <v>570</v>
      </c>
      <c r="K89" s="70"/>
      <c r="L89" s="70"/>
    </row>
    <row r="90" spans="1:13" x14ac:dyDescent="0.2">
      <c r="A90">
        <f t="shared" si="3"/>
        <v>74</v>
      </c>
      <c r="B90" t="s">
        <v>18</v>
      </c>
      <c r="C90" t="s">
        <v>534</v>
      </c>
      <c r="F90" s="49"/>
      <c r="K90" s="70"/>
      <c r="L90" s="70"/>
    </row>
    <row r="91" spans="1:13" x14ac:dyDescent="0.2">
      <c r="A91">
        <f t="shared" si="3"/>
        <v>75</v>
      </c>
      <c r="B91" t="s">
        <v>18</v>
      </c>
      <c r="C91" t="s">
        <v>571</v>
      </c>
      <c r="D91" t="s">
        <v>572</v>
      </c>
      <c r="F91" s="49">
        <v>394.31</v>
      </c>
      <c r="G91" s="179">
        <v>394.31</v>
      </c>
      <c r="H91" s="172" t="s">
        <v>573</v>
      </c>
      <c r="K91" s="70"/>
      <c r="L91" s="70"/>
      <c r="M91" s="29" t="s">
        <v>574</v>
      </c>
    </row>
    <row r="92" spans="1:13" x14ac:dyDescent="0.2">
      <c r="A92">
        <f t="shared" si="3"/>
        <v>76</v>
      </c>
      <c r="B92" t="s">
        <v>18</v>
      </c>
      <c r="C92" t="s">
        <v>575</v>
      </c>
      <c r="D92" t="s">
        <v>576</v>
      </c>
      <c r="F92" s="49">
        <v>259.64999999999998</v>
      </c>
      <c r="G92" s="179">
        <v>259.64999999999998</v>
      </c>
      <c r="H92" s="172" t="s">
        <v>573</v>
      </c>
      <c r="K92" s="70"/>
      <c r="L92" s="70"/>
      <c r="M92" s="29" t="s">
        <v>577</v>
      </c>
    </row>
    <row r="93" spans="1:13" x14ac:dyDescent="0.2">
      <c r="A93">
        <f t="shared" si="3"/>
        <v>77</v>
      </c>
      <c r="B93" t="s">
        <v>18</v>
      </c>
      <c r="C93" t="s">
        <v>578</v>
      </c>
      <c r="D93" t="s">
        <v>579</v>
      </c>
      <c r="E93" s="11">
        <v>426.76</v>
      </c>
      <c r="F93" s="49">
        <v>533.45000000000005</v>
      </c>
      <c r="G93" s="179">
        <v>533.45000000000005</v>
      </c>
      <c r="H93" s="172" t="s">
        <v>573</v>
      </c>
      <c r="K93" s="70"/>
      <c r="L93" s="70"/>
      <c r="M93" s="29" t="s">
        <v>580</v>
      </c>
    </row>
    <row r="94" spans="1:13" x14ac:dyDescent="0.2">
      <c r="A94">
        <f t="shared" si="3"/>
        <v>78</v>
      </c>
      <c r="B94" t="s">
        <v>18</v>
      </c>
      <c r="C94" t="s">
        <v>581</v>
      </c>
      <c r="F94" s="49"/>
      <c r="K94" s="70"/>
      <c r="L94" s="70"/>
    </row>
    <row r="95" spans="1:13" x14ac:dyDescent="0.2">
      <c r="A95">
        <f t="shared" si="3"/>
        <v>79</v>
      </c>
      <c r="B95" t="s">
        <v>18</v>
      </c>
      <c r="C95" t="s">
        <v>582</v>
      </c>
      <c r="D95" t="s">
        <v>491</v>
      </c>
      <c r="E95" s="11">
        <v>1000</v>
      </c>
      <c r="F95" s="49">
        <f>E95*1.25</f>
        <v>1250</v>
      </c>
      <c r="G95" s="179">
        <v>1151.1300000000001</v>
      </c>
      <c r="H95" s="172" t="s">
        <v>583</v>
      </c>
      <c r="K95" s="70"/>
      <c r="L95" s="70"/>
    </row>
    <row r="96" spans="1:13" x14ac:dyDescent="0.2">
      <c r="A96">
        <f t="shared" si="3"/>
        <v>80</v>
      </c>
      <c r="B96" t="s">
        <v>18</v>
      </c>
      <c r="C96" t="s">
        <v>388</v>
      </c>
      <c r="D96" t="s">
        <v>389</v>
      </c>
      <c r="F96" s="49"/>
      <c r="K96" s="70"/>
      <c r="L96" s="70"/>
    </row>
    <row r="97" spans="1:13" x14ac:dyDescent="0.2">
      <c r="A97">
        <f t="shared" si="3"/>
        <v>81</v>
      </c>
      <c r="B97" t="s">
        <v>18</v>
      </c>
      <c r="C97" t="s">
        <v>523</v>
      </c>
      <c r="D97" t="s">
        <v>524</v>
      </c>
      <c r="F97" s="49">
        <f>(750*2)+100</f>
        <v>1600</v>
      </c>
      <c r="G97" s="179">
        <v>1087.58</v>
      </c>
      <c r="H97" s="172" t="s">
        <v>584</v>
      </c>
      <c r="K97" s="70"/>
      <c r="L97" s="70"/>
    </row>
    <row r="98" spans="1:13" x14ac:dyDescent="0.2">
      <c r="B98" t="s">
        <v>18</v>
      </c>
      <c r="C98" t="s">
        <v>585</v>
      </c>
      <c r="E98" s="11">
        <v>1500</v>
      </c>
      <c r="F98" s="49">
        <f>E98*1.25</f>
        <v>1875</v>
      </c>
      <c r="K98" s="70"/>
      <c r="L98" s="70"/>
    </row>
    <row r="99" spans="1:13" x14ac:dyDescent="0.2">
      <c r="B99" t="s">
        <v>18</v>
      </c>
      <c r="C99" t="s">
        <v>487</v>
      </c>
      <c r="D99" t="s">
        <v>488</v>
      </c>
      <c r="F99" s="49"/>
      <c r="G99" s="179">
        <v>711.62</v>
      </c>
      <c r="H99" s="172" t="s">
        <v>586</v>
      </c>
      <c r="K99" s="70"/>
      <c r="L99" s="70"/>
    </row>
    <row r="100" spans="1:13" x14ac:dyDescent="0.2">
      <c r="B100" t="s">
        <v>18</v>
      </c>
      <c r="C100" t="s">
        <v>587</v>
      </c>
      <c r="F100" s="49"/>
      <c r="K100" s="70"/>
      <c r="L100" s="70"/>
    </row>
    <row r="101" spans="1:13" x14ac:dyDescent="0.2">
      <c r="F101" s="49"/>
      <c r="K101" s="70"/>
      <c r="L101" s="70"/>
    </row>
    <row r="102" spans="1:13" x14ac:dyDescent="0.2">
      <c r="F102" s="49"/>
      <c r="K102" s="70"/>
      <c r="L102" s="70"/>
    </row>
    <row r="103" spans="1:13" x14ac:dyDescent="0.2">
      <c r="A103">
        <f>+A97+1</f>
        <v>82</v>
      </c>
      <c r="B103" t="s">
        <v>588</v>
      </c>
      <c r="C103" t="s">
        <v>589</v>
      </c>
      <c r="D103" t="s">
        <v>590</v>
      </c>
      <c r="F103" s="9">
        <v>849.72</v>
      </c>
      <c r="G103" s="179">
        <v>849.72</v>
      </c>
      <c r="H103" s="172" t="s">
        <v>573</v>
      </c>
      <c r="K103" s="70"/>
      <c r="L103" s="70"/>
      <c r="M103" s="29" t="s">
        <v>591</v>
      </c>
    </row>
    <row r="104" spans="1:13" x14ac:dyDescent="0.2">
      <c r="A104">
        <f t="shared" si="3"/>
        <v>83</v>
      </c>
      <c r="B104" s="56" t="s">
        <v>592</v>
      </c>
      <c r="C104" s="56"/>
      <c r="D104" s="56" t="s">
        <v>484</v>
      </c>
      <c r="E104" s="11">
        <v>3439.48</v>
      </c>
      <c r="F104" s="196">
        <f>E104*1.25</f>
        <v>4299.3500000000004</v>
      </c>
      <c r="G104" s="183"/>
      <c r="K104" s="70"/>
      <c r="L104" s="70"/>
      <c r="M104" s="29" t="s">
        <v>593</v>
      </c>
    </row>
    <row r="105" spans="1:13" x14ac:dyDescent="0.2">
      <c r="E105" s="11" t="s">
        <v>594</v>
      </c>
      <c r="F105" s="9">
        <f>SUM(F2:F104)</f>
        <v>142234.64647687305</v>
      </c>
      <c r="G105" s="184">
        <f>SUM(G2:G104)</f>
        <v>40089.07</v>
      </c>
      <c r="K105" s="70"/>
      <c r="L105" s="70"/>
    </row>
  </sheetData>
  <hyperlinks>
    <hyperlink ref="M4" r:id="rId1" xr:uid="{5E67FF1B-65D2-4251-AE42-3C2426E8A69E}"/>
    <hyperlink ref="M5" r:id="rId2" xr:uid="{7DB9212C-8D13-4E6B-AAE2-AB2C10C2653D}"/>
    <hyperlink ref="M39" r:id="rId3" xr:uid="{177E5A64-7CB7-42D2-A906-82356A77C07D}"/>
    <hyperlink ref="M50" r:id="rId4" xr:uid="{4007DAB1-24C0-4048-B49F-1FD581C68562}"/>
    <hyperlink ref="M54" r:id="rId5" xr:uid="{CEBE8FED-A446-4263-A55D-DE9FC0D56D46}"/>
    <hyperlink ref="M88" r:id="rId6" xr:uid="{060F4AB8-A45A-41AF-A16A-57624548834F}"/>
    <hyperlink ref="M28" r:id="rId7" xr:uid="{68786877-6B1C-4B8D-A1B0-70B908B12A1F}"/>
    <hyperlink ref="M22" r:id="rId8" xr:uid="{56F64D68-6066-4E7A-9C06-69C9B193BA7B}"/>
    <hyperlink ref="M41" r:id="rId9" xr:uid="{BD302116-8D1A-4852-9C26-317789B721DF}"/>
    <hyperlink ref="M12" r:id="rId10" xr:uid="{2D78023A-E0F7-400E-BC85-BB6303668860}"/>
    <hyperlink ref="M34" r:id="rId11" xr:uid="{E99B278A-9A19-469B-971C-28B6888650DA}"/>
    <hyperlink ref="M43" r:id="rId12" xr:uid="{F4DA8B31-137C-4FE6-9A74-39B86F262962}"/>
    <hyperlink ref="M44" r:id="rId13" xr:uid="{53C56676-C2DB-49D7-B416-AFA9698C2F52}"/>
    <hyperlink ref="M47" r:id="rId14" xr:uid="{58EBFB54-1C6E-455E-876D-2D9444082965}"/>
    <hyperlink ref="M46" r:id="rId15" xr:uid="{3334407B-820A-4BEA-9EF3-5D04B3CC0556}"/>
    <hyperlink ref="M26" r:id="rId16" xr:uid="{7136062D-0800-481B-9868-3C05865402BA}"/>
    <hyperlink ref="M25" r:id="rId17" xr:uid="{D114FE9B-F9C7-4FF2-A10A-185283C764DA}"/>
    <hyperlink ref="M11" r:id="rId18" xr:uid="{1BEFDA81-B0F4-4935-B989-3B38931D7EF6}"/>
    <hyperlink ref="M75" r:id="rId19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OK130223%2D080901%2Epdf&amp;parent=%2Fpersonal%2Fedo%5Fseifried%5Fmgs%2Dgrupa%5Fcom%2FDocuments%2FMGS%20POSLOVANJE%202023%2FPonude%20%2D%20projekti%2FPUG" xr:uid="{9C40A144-7F85-4057-B51D-E42B3501D1E8}"/>
    <hyperlink ref="M78" r:id="rId20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SK%2Epdf&amp;parent=%2Fpersonal%2Fedo%5Fseifried%5Fmgs%2Dgrupa%5Fcom%2FDocuments%2FMGS%20POSLOVANJE%202023%2FPonude%20%2D%20projekti%2FPUG" xr:uid="{57D0D5B8-60EF-4C52-B9EE-2FAD1D167788}"/>
    <hyperlink ref="M76" r:id="rId21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PON%2D23%2D000428%2Epdf&amp;parent=%2Fpersonal%2Fedo%5Fseifried%5Fmgs%2Dgrupa%5Fcom%2FDocuments%2FMGS%20POSLOVANJE%202023%2FPonude%20%2D%20projekti%2FPUG" xr:uid="{C992A860-ECFC-474D-AA4E-A19A1E4D33A6}"/>
    <hyperlink ref="M77" r:id="rId22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Protiplam%20%2D%20PUG%2Epdf&amp;parent=%2Fpersonal%2Fedo%5Fseifried%5Fmgs%2Dgrupa%5Fcom%2FDocuments%2FMGS%20POSLOVANJE%202023%2FPonude%20%2D%20projekti%2FPUG" xr:uid="{D7D73928-E5A6-42A7-8DCD-38C668BAD619}"/>
    <hyperlink ref="M10" r:id="rId23" xr:uid="{C5D54C85-879C-4EBB-A2CE-0634A94E81E3}"/>
    <hyperlink ref="M35" r:id="rId24" xr:uid="{113050CB-2605-4A87-BBA7-1851BEA8D774}"/>
    <hyperlink ref="M80" r:id="rId25" xr:uid="{60CD7CAF-DD2E-46DF-821E-1819AFFFD7B0}"/>
    <hyperlink ref="M79" r:id="rId26" xr:uid="{7F5F7411-34CC-4E27-8194-447AA4038448}"/>
    <hyperlink ref="M65" r:id="rId27" xr:uid="{81F1FE06-926A-46BF-BEC7-559A6AA17698}"/>
    <hyperlink ref="M51" r:id="rId28" xr:uid="{84CEF3BE-633E-4DFF-9298-B3A841459C06}"/>
    <hyperlink ref="M52" r:id="rId29" xr:uid="{CCECB400-6B2F-467D-8322-9F98190A1A2B}"/>
    <hyperlink ref="M55" r:id="rId30" xr:uid="{1943F422-6411-44F6-AA1D-CAB9BB9BA91E}"/>
    <hyperlink ref="M62" r:id="rId31" xr:uid="{D1E6514E-3090-4A6B-A57A-897C51DDB301}"/>
    <hyperlink ref="M63" r:id="rId32" xr:uid="{90E4B714-6866-48AC-8F66-D59FE4D36B71}"/>
    <hyperlink ref="M57" r:id="rId33" xr:uid="{6D1AE311-CFD2-45FC-BC55-2D613DCA3766}"/>
    <hyperlink ref="M30" r:id="rId34" xr:uid="{463E09D5-6B4A-4FA6-A0DF-1B17258B9366}"/>
    <hyperlink ref="M104" r:id="rId35" xr:uid="{A7AF03E1-668F-4913-8359-B18B7EACC202}"/>
    <hyperlink ref="M53" r:id="rId36" xr:uid="{84EFC618-3FF8-4C43-B843-E8F73DD2474F}"/>
    <hyperlink ref="M29" r:id="rId37" xr:uid="{2527E880-593E-4E14-B38E-215572E41755}"/>
    <hyperlink ref="M61" r:id="rId38" xr:uid="{9C7A9361-46BA-4806-A9EB-367FE32396CE}"/>
    <hyperlink ref="M69" r:id="rId39" xr:uid="{39F7F485-FE11-41B2-9BEA-424A9246853F}"/>
    <hyperlink ref="M64" r:id="rId40" xr:uid="{1F1DC11D-F30B-4A1B-8624-819F35BC7DDE}"/>
    <hyperlink ref="M31" r:id="rId41" xr:uid="{ED3135C5-2CA7-4459-A4F5-7768C8CDFE93}"/>
    <hyperlink ref="M91" r:id="rId42" xr:uid="{4D3E0671-9372-42E7-B9FF-9E1B1B66EA2A}"/>
    <hyperlink ref="M103" r:id="rId43" xr:uid="{532B8A18-0A5F-4CAE-B78F-F01110C7209A}"/>
    <hyperlink ref="M92" r:id="rId44" xr:uid="{5A74EB4F-30B4-4FC5-AA78-E76EE5C516AD}"/>
    <hyperlink ref="M93" r:id="rId45" xr:uid="{8587B6AE-9434-4BF1-A845-7A60F14EEE40}"/>
  </hyperlinks>
  <pageMargins left="0.7" right="0.7" top="0.75" bottom="0.75" header="0.3" footer="0.3"/>
  <pageSetup paperSize="9" orientation="portrait"/>
  <legacyDrawing r:id="rId4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F5A0-8081-48AB-9585-751FDBDA2677}">
  <dimension ref="A1:E36"/>
  <sheetViews>
    <sheetView topLeftCell="A5" workbookViewId="0">
      <selection activeCell="D7" sqref="D7"/>
    </sheetView>
  </sheetViews>
  <sheetFormatPr defaultRowHeight="15" x14ac:dyDescent="0.2"/>
  <cols>
    <col min="1" max="1" width="3.359375" customWidth="1"/>
    <col min="2" max="2" width="26.90234375" bestFit="1" customWidth="1"/>
    <col min="3" max="3" width="13.98828125" customWidth="1"/>
    <col min="4" max="4" width="13.31640625" customWidth="1"/>
    <col min="5" max="5" width="13.1796875" customWidth="1"/>
  </cols>
  <sheetData>
    <row r="1" spans="1:5" x14ac:dyDescent="0.2">
      <c r="A1" s="65"/>
      <c r="B1" s="66" t="s">
        <v>595</v>
      </c>
      <c r="C1" s="66" t="s">
        <v>596</v>
      </c>
      <c r="D1" s="67" t="s">
        <v>597</v>
      </c>
      <c r="E1" s="68" t="s">
        <v>67</v>
      </c>
    </row>
    <row r="2" spans="1:5" x14ac:dyDescent="0.2">
      <c r="A2" s="65">
        <v>1</v>
      </c>
      <c r="B2" s="65" t="s">
        <v>484</v>
      </c>
      <c r="C2" s="205">
        <v>20000</v>
      </c>
      <c r="D2" s="65"/>
      <c r="E2" s="65"/>
    </row>
    <row r="3" spans="1:5" x14ac:dyDescent="0.2">
      <c r="A3" s="65">
        <v>2</v>
      </c>
      <c r="B3" s="65" t="s">
        <v>598</v>
      </c>
      <c r="C3" s="205">
        <v>10000</v>
      </c>
      <c r="D3" s="65"/>
      <c r="E3" s="65"/>
    </row>
    <row r="4" spans="1:5" x14ac:dyDescent="0.2">
      <c r="A4" s="65">
        <v>3</v>
      </c>
      <c r="B4" s="65" t="s">
        <v>599</v>
      </c>
      <c r="C4" s="205">
        <f>21986.52/7.5345</f>
        <v>2918.1126816643441</v>
      </c>
      <c r="D4" s="65"/>
      <c r="E4" s="65"/>
    </row>
    <row r="5" spans="1:5" x14ac:dyDescent="0.2">
      <c r="A5" s="65">
        <v>4</v>
      </c>
      <c r="B5" s="65" t="s">
        <v>600</v>
      </c>
      <c r="C5" s="205">
        <v>5000</v>
      </c>
      <c r="D5" s="65"/>
      <c r="E5" s="65"/>
    </row>
    <row r="6" spans="1:5" x14ac:dyDescent="0.2">
      <c r="A6" s="65">
        <v>5</v>
      </c>
      <c r="B6" s="65" t="s">
        <v>601</v>
      </c>
      <c r="C6" s="205">
        <f>30375/7.5345</f>
        <v>4031.4553055942661</v>
      </c>
      <c r="D6" s="65"/>
      <c r="E6" s="65"/>
    </row>
    <row r="7" spans="1:5" x14ac:dyDescent="0.2">
      <c r="A7" s="65">
        <v>6</v>
      </c>
      <c r="B7" s="65" t="s">
        <v>256</v>
      </c>
      <c r="C7" s="205"/>
      <c r="D7" s="65"/>
      <c r="E7" s="65"/>
    </row>
    <row r="8" spans="1:5" x14ac:dyDescent="0.2">
      <c r="A8" s="65">
        <v>7</v>
      </c>
      <c r="B8" s="65" t="s">
        <v>602</v>
      </c>
      <c r="C8" s="205"/>
      <c r="D8" s="65"/>
      <c r="E8" s="65"/>
    </row>
    <row r="9" spans="1:5" x14ac:dyDescent="0.2">
      <c r="A9" s="65">
        <v>8</v>
      </c>
      <c r="B9" s="65" t="s">
        <v>603</v>
      </c>
      <c r="C9" s="205">
        <v>2416.1</v>
      </c>
      <c r="D9" s="65"/>
      <c r="E9" s="65"/>
    </row>
    <row r="10" spans="1:5" x14ac:dyDescent="0.2">
      <c r="A10" s="128">
        <v>9</v>
      </c>
      <c r="B10" s="119" t="s">
        <v>604</v>
      </c>
      <c r="C10" s="205">
        <f>14844.35/7.5345</f>
        <v>1970.1838210896542</v>
      </c>
      <c r="D10" s="65"/>
      <c r="E10" s="65"/>
    </row>
    <row r="11" spans="1:5" x14ac:dyDescent="0.2">
      <c r="A11" s="128">
        <v>10</v>
      </c>
      <c r="B11" s="119" t="s">
        <v>605</v>
      </c>
      <c r="C11" s="205">
        <v>400</v>
      </c>
      <c r="D11" s="65"/>
      <c r="E11" s="65"/>
    </row>
    <row r="12" spans="1:5" x14ac:dyDescent="0.2">
      <c r="A12" s="128">
        <v>11</v>
      </c>
      <c r="B12" s="119" t="s">
        <v>501</v>
      </c>
      <c r="C12" s="205">
        <v>10000</v>
      </c>
      <c r="D12" s="65"/>
      <c r="E12" s="65"/>
    </row>
    <row r="13" spans="1:5" x14ac:dyDescent="0.2">
      <c r="A13" s="128">
        <v>12</v>
      </c>
      <c r="B13" s="119" t="s">
        <v>476</v>
      </c>
      <c r="C13" s="205">
        <f>(49750/7.5345)+4409.38</f>
        <v>11012.339718627645</v>
      </c>
      <c r="D13" s="65"/>
      <c r="E13" s="65"/>
    </row>
    <row r="14" spans="1:5" x14ac:dyDescent="0.2">
      <c r="A14" s="128">
        <v>13</v>
      </c>
      <c r="B14" s="119" t="s">
        <v>606</v>
      </c>
      <c r="C14" s="205">
        <v>3250.11</v>
      </c>
      <c r="D14" s="65"/>
      <c r="E14" s="65"/>
    </row>
    <row r="15" spans="1:5" x14ac:dyDescent="0.2">
      <c r="A15" s="128">
        <v>14</v>
      </c>
      <c r="B15" s="119" t="s">
        <v>607</v>
      </c>
      <c r="C15" s="205">
        <v>3018.75</v>
      </c>
      <c r="D15" s="65"/>
      <c r="E15" s="65"/>
    </row>
    <row r="16" spans="1:5" x14ac:dyDescent="0.2">
      <c r="A16" s="128">
        <v>15</v>
      </c>
      <c r="B16" s="119"/>
      <c r="C16" s="205"/>
      <c r="D16" s="65"/>
      <c r="E16" s="65"/>
    </row>
    <row r="17" spans="1:5" x14ac:dyDescent="0.2">
      <c r="A17" s="128"/>
      <c r="B17" s="119"/>
      <c r="C17" s="205"/>
      <c r="D17" s="65"/>
      <c r="E17" s="65"/>
    </row>
    <row r="18" spans="1:5" x14ac:dyDescent="0.2">
      <c r="A18" s="218" t="s">
        <v>594</v>
      </c>
      <c r="B18" s="219"/>
      <c r="C18" s="202">
        <f>SUM(C2:C17)</f>
        <v>74017.051526975905</v>
      </c>
      <c r="D18" s="65"/>
      <c r="E18" s="65"/>
    </row>
    <row r="19" spans="1:5" x14ac:dyDescent="0.2">
      <c r="C19" s="57"/>
    </row>
    <row r="20" spans="1:5" x14ac:dyDescent="0.2">
      <c r="C20" s="57"/>
    </row>
    <row r="21" spans="1:5" x14ac:dyDescent="0.2">
      <c r="C21" s="57"/>
    </row>
    <row r="22" spans="1:5" x14ac:dyDescent="0.2">
      <c r="C22" s="57"/>
    </row>
    <row r="23" spans="1:5" x14ac:dyDescent="0.2">
      <c r="C23" s="57"/>
    </row>
    <row r="24" spans="1:5" x14ac:dyDescent="0.2">
      <c r="C24" s="57"/>
    </row>
    <row r="25" spans="1:5" x14ac:dyDescent="0.2">
      <c r="A25" s="65"/>
      <c r="B25" s="66" t="s">
        <v>608</v>
      </c>
      <c r="C25" s="66" t="s">
        <v>596</v>
      </c>
      <c r="D25" s="67" t="s">
        <v>597</v>
      </c>
      <c r="E25" s="68" t="s">
        <v>67</v>
      </c>
    </row>
    <row r="26" spans="1:5" x14ac:dyDescent="0.2">
      <c r="A26" s="65">
        <v>1</v>
      </c>
      <c r="B26" s="65" t="s">
        <v>609</v>
      </c>
      <c r="C26" s="205">
        <v>10000</v>
      </c>
      <c r="D26" s="65"/>
      <c r="E26" s="65"/>
    </row>
    <row r="27" spans="1:5" x14ac:dyDescent="0.2">
      <c r="A27" s="65">
        <v>2</v>
      </c>
      <c r="B27" s="65" t="s">
        <v>610</v>
      </c>
      <c r="C27" s="205">
        <v>30000</v>
      </c>
      <c r="D27" s="65"/>
      <c r="E27" s="65"/>
    </row>
    <row r="28" spans="1:5" x14ac:dyDescent="0.2">
      <c r="A28" s="65">
        <v>3</v>
      </c>
      <c r="B28" s="65"/>
      <c r="C28" s="69"/>
      <c r="D28" s="65"/>
      <c r="E28" s="65"/>
    </row>
    <row r="29" spans="1:5" x14ac:dyDescent="0.2">
      <c r="A29" s="65">
        <v>4</v>
      </c>
      <c r="B29" s="65"/>
      <c r="C29" s="69"/>
      <c r="D29" s="65"/>
      <c r="E29" s="65"/>
    </row>
    <row r="30" spans="1:5" x14ac:dyDescent="0.2">
      <c r="A30" s="65">
        <v>5</v>
      </c>
      <c r="B30" s="65"/>
      <c r="C30" s="69"/>
      <c r="D30" s="65"/>
      <c r="E30" s="65"/>
    </row>
    <row r="31" spans="1:5" x14ac:dyDescent="0.2">
      <c r="A31" s="218" t="s">
        <v>594</v>
      </c>
      <c r="B31" s="219"/>
      <c r="C31" s="202">
        <f>SUM(C26:C30)</f>
        <v>40000</v>
      </c>
      <c r="D31" s="65"/>
      <c r="E31" s="65"/>
    </row>
    <row r="35" spans="2:2" x14ac:dyDescent="0.2">
      <c r="B35" s="201" t="s">
        <v>611</v>
      </c>
    </row>
    <row r="36" spans="2:2" x14ac:dyDescent="0.2">
      <c r="B36" s="150" t="s">
        <v>612</v>
      </c>
    </row>
  </sheetData>
  <mergeCells count="2">
    <mergeCell ref="A18:B18"/>
    <mergeCell ref="A31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BD5C-A31C-4C88-B1CB-10CF7A2EE27E}">
  <dimension ref="A1:M100"/>
  <sheetViews>
    <sheetView workbookViewId="0">
      <pane ySplit="1" topLeftCell="A79" activePane="bottomLeft" state="frozen"/>
      <selection activeCell="E1" sqref="E1"/>
      <selection pane="bottomLeft" activeCell="E1" sqref="E1"/>
    </sheetView>
  </sheetViews>
  <sheetFormatPr defaultRowHeight="15" x14ac:dyDescent="0.2"/>
  <cols>
    <col min="1" max="1" width="4.9765625" customWidth="1"/>
    <col min="2" max="2" width="25.421875" customWidth="1"/>
    <col min="3" max="3" width="33.8984375" customWidth="1"/>
    <col min="4" max="4" width="28.3828125" customWidth="1"/>
    <col min="5" max="5" width="12.375" style="11" customWidth="1"/>
    <col min="6" max="6" width="15.46875" style="9" customWidth="1"/>
    <col min="7" max="7" width="13.046875" style="179" customWidth="1"/>
    <col min="8" max="8" width="11.8359375" style="172" customWidth="1"/>
    <col min="9" max="9" width="9.68359375" style="11" customWidth="1"/>
    <col min="10" max="10" width="14.390625" style="11" customWidth="1"/>
    <col min="11" max="11" width="11.8359375" style="4" customWidth="1"/>
    <col min="12" max="12" width="18.16015625" style="4" customWidth="1"/>
    <col min="13" max="13" width="137.34765625" bestFit="1" customWidth="1"/>
  </cols>
  <sheetData>
    <row r="1" spans="1:13" s="151" customFormat="1" ht="27.75" x14ac:dyDescent="0.2">
      <c r="B1" s="152" t="s">
        <v>381</v>
      </c>
      <c r="C1" s="152" t="s">
        <v>121</v>
      </c>
      <c r="D1" s="152" t="s">
        <v>122</v>
      </c>
      <c r="E1" s="154" t="s">
        <v>123</v>
      </c>
      <c r="F1" s="155" t="s">
        <v>382</v>
      </c>
      <c r="G1" s="178" t="s">
        <v>383</v>
      </c>
      <c r="H1" s="173" t="s">
        <v>384</v>
      </c>
      <c r="I1" s="155" t="s">
        <v>385</v>
      </c>
      <c r="J1" s="155" t="s">
        <v>331</v>
      </c>
      <c r="K1" s="158" t="s">
        <v>386</v>
      </c>
      <c r="L1" s="158" t="s">
        <v>67</v>
      </c>
      <c r="M1" s="152" t="s">
        <v>387</v>
      </c>
    </row>
    <row r="2" spans="1:13" x14ac:dyDescent="0.2">
      <c r="A2">
        <v>1</v>
      </c>
      <c r="B2" t="s">
        <v>15</v>
      </c>
      <c r="C2" t="s">
        <v>388</v>
      </c>
      <c r="D2" t="s">
        <v>389</v>
      </c>
      <c r="F2" s="49"/>
      <c r="K2" s="70"/>
      <c r="L2" s="70"/>
    </row>
    <row r="3" spans="1:13" x14ac:dyDescent="0.2">
      <c r="A3">
        <f t="shared" ref="A3:A10" si="0">+A2+1</f>
        <v>2</v>
      </c>
      <c r="B3" t="s">
        <v>390</v>
      </c>
      <c r="C3" t="s">
        <v>391</v>
      </c>
      <c r="D3" t="s">
        <v>392</v>
      </c>
      <c r="E3" s="11">
        <f>2.12*5*2</f>
        <v>21.200000000000003</v>
      </c>
      <c r="F3" s="49">
        <f>E3*1.25</f>
        <v>26.500000000000004</v>
      </c>
      <c r="H3" s="172">
        <v>44959</v>
      </c>
      <c r="K3" s="70"/>
      <c r="L3" s="70"/>
      <c r="M3" t="s">
        <v>393</v>
      </c>
    </row>
    <row r="4" spans="1:13" x14ac:dyDescent="0.2">
      <c r="A4">
        <f t="shared" si="0"/>
        <v>3</v>
      </c>
      <c r="B4" t="e">
        <f>#REF!</f>
        <v>#REF!</v>
      </c>
      <c r="C4" t="s">
        <v>394</v>
      </c>
      <c r="E4" s="11">
        <v>1075.01</v>
      </c>
      <c r="F4" s="49">
        <f>+E4*1.25</f>
        <v>1343.7625</v>
      </c>
      <c r="K4" s="70">
        <v>44946</v>
      </c>
      <c r="L4" s="70"/>
      <c r="M4" s="29" t="s">
        <v>395</v>
      </c>
    </row>
    <row r="5" spans="1:13" x14ac:dyDescent="0.2">
      <c r="A5">
        <f t="shared" si="0"/>
        <v>4</v>
      </c>
      <c r="B5" t="e">
        <f>#REF!</f>
        <v>#REF!</v>
      </c>
      <c r="C5" t="s">
        <v>396</v>
      </c>
      <c r="E5" s="11">
        <v>1061.77</v>
      </c>
      <c r="F5" s="49">
        <f>+E5*1.25</f>
        <v>1327.2125000000001</v>
      </c>
      <c r="K5" s="70"/>
      <c r="L5" s="70"/>
      <c r="M5" s="29" t="s">
        <v>397</v>
      </c>
    </row>
    <row r="6" spans="1:13" x14ac:dyDescent="0.2">
      <c r="A6">
        <f t="shared" si="0"/>
        <v>5</v>
      </c>
      <c r="B6" t="s">
        <v>15</v>
      </c>
      <c r="C6" t="s">
        <v>398</v>
      </c>
      <c r="F6" s="49" t="s">
        <v>399</v>
      </c>
      <c r="H6" s="172" t="s">
        <v>400</v>
      </c>
      <c r="K6" s="70"/>
      <c r="L6" s="70"/>
    </row>
    <row r="7" spans="1:13" x14ac:dyDescent="0.2">
      <c r="A7">
        <f t="shared" si="0"/>
        <v>6</v>
      </c>
      <c r="F7" s="49"/>
      <c r="K7" s="70"/>
      <c r="L7" s="70"/>
    </row>
    <row r="8" spans="1:13" x14ac:dyDescent="0.2">
      <c r="A8">
        <f t="shared" si="0"/>
        <v>7</v>
      </c>
      <c r="B8" t="s">
        <v>16</v>
      </c>
      <c r="C8" t="s">
        <v>401</v>
      </c>
      <c r="D8" t="s">
        <v>402</v>
      </c>
      <c r="F8" s="49">
        <v>500</v>
      </c>
      <c r="K8" s="70"/>
      <c r="L8" s="70"/>
    </row>
    <row r="9" spans="1:13" x14ac:dyDescent="0.2">
      <c r="A9">
        <f t="shared" si="0"/>
        <v>8</v>
      </c>
      <c r="B9" t="s">
        <v>16</v>
      </c>
      <c r="C9" t="s">
        <v>403</v>
      </c>
      <c r="F9" s="49">
        <v>668.96</v>
      </c>
      <c r="K9" s="70"/>
      <c r="L9" s="70"/>
    </row>
    <row r="10" spans="1:13" x14ac:dyDescent="0.2">
      <c r="A10">
        <f t="shared" si="0"/>
        <v>9</v>
      </c>
      <c r="B10" t="s">
        <v>16</v>
      </c>
      <c r="C10" t="s">
        <v>404</v>
      </c>
      <c r="D10" s="84" t="s">
        <v>375</v>
      </c>
      <c r="E10" s="49">
        <v>391</v>
      </c>
      <c r="F10" s="85">
        <f>E10*1.25</f>
        <v>488.75</v>
      </c>
      <c r="H10" s="174" t="s">
        <v>405</v>
      </c>
      <c r="K10" s="70"/>
      <c r="L10" s="92"/>
      <c r="M10" s="29" t="s">
        <v>406</v>
      </c>
    </row>
    <row r="11" spans="1:13" x14ac:dyDescent="0.2">
      <c r="B11" t="s">
        <v>16</v>
      </c>
      <c r="C11" t="s">
        <v>407</v>
      </c>
      <c r="D11" s="84" t="s">
        <v>408</v>
      </c>
      <c r="E11" s="49">
        <v>372</v>
      </c>
      <c r="F11" s="85">
        <f>E11*1.25</f>
        <v>465</v>
      </c>
      <c r="H11" s="172" t="s">
        <v>409</v>
      </c>
      <c r="K11" s="70"/>
      <c r="L11" s="70"/>
      <c r="M11" s="29" t="s">
        <v>410</v>
      </c>
    </row>
    <row r="12" spans="1:13" x14ac:dyDescent="0.2">
      <c r="A12">
        <f>+A10+1</f>
        <v>10</v>
      </c>
      <c r="B12" t="s">
        <v>16</v>
      </c>
      <c r="C12" t="s">
        <v>411</v>
      </c>
      <c r="D12" t="s">
        <v>412</v>
      </c>
      <c r="E12" s="49"/>
      <c r="F12" s="85">
        <v>2386.5500000000002</v>
      </c>
      <c r="H12" s="172" t="s">
        <v>413</v>
      </c>
      <c r="K12" s="70"/>
      <c r="L12" s="70"/>
      <c r="M12" s="29" t="s">
        <v>414</v>
      </c>
    </row>
    <row r="13" spans="1:13" x14ac:dyDescent="0.2">
      <c r="A13">
        <f>+A12+1</f>
        <v>11</v>
      </c>
      <c r="B13" t="s">
        <v>16</v>
      </c>
      <c r="C13" t="s">
        <v>388</v>
      </c>
      <c r="D13" t="s">
        <v>389</v>
      </c>
      <c r="F13" s="49"/>
      <c r="K13" s="70"/>
      <c r="L13" s="70"/>
    </row>
    <row r="14" spans="1:13" x14ac:dyDescent="0.2">
      <c r="A14">
        <f>+A13+1</f>
        <v>12</v>
      </c>
      <c r="B14" t="s">
        <v>16</v>
      </c>
      <c r="C14" t="s">
        <v>415</v>
      </c>
      <c r="F14" s="49">
        <v>220</v>
      </c>
      <c r="K14" s="70"/>
      <c r="L14" s="70"/>
    </row>
    <row r="15" spans="1:13" x14ac:dyDescent="0.2">
      <c r="A15">
        <f>+A14+1</f>
        <v>13</v>
      </c>
      <c r="B15" t="s">
        <v>16</v>
      </c>
      <c r="C15" t="s">
        <v>416</v>
      </c>
      <c r="F15" s="49">
        <v>350</v>
      </c>
      <c r="K15" s="70"/>
      <c r="L15" s="70"/>
    </row>
    <row r="16" spans="1:13" x14ac:dyDescent="0.2">
      <c r="A16">
        <f>+A15+1</f>
        <v>14</v>
      </c>
      <c r="B16" t="s">
        <v>16</v>
      </c>
      <c r="C16" t="s">
        <v>417</v>
      </c>
      <c r="F16" s="49">
        <v>179.47</v>
      </c>
      <c r="H16" s="172">
        <v>44998</v>
      </c>
      <c r="K16" s="70"/>
      <c r="L16" s="70"/>
    </row>
    <row r="17" spans="1:13" x14ac:dyDescent="0.2">
      <c r="B17" t="s">
        <v>16</v>
      </c>
      <c r="C17" t="s">
        <v>418</v>
      </c>
      <c r="D17" s="84" t="s">
        <v>375</v>
      </c>
      <c r="F17" s="49">
        <v>62.21</v>
      </c>
      <c r="H17" s="172">
        <v>44988</v>
      </c>
      <c r="K17" s="70"/>
      <c r="L17" s="70"/>
    </row>
    <row r="18" spans="1:13" x14ac:dyDescent="0.2">
      <c r="A18">
        <f>+A16+1</f>
        <v>15</v>
      </c>
      <c r="B18" t="s">
        <v>16</v>
      </c>
      <c r="C18" t="s">
        <v>411</v>
      </c>
      <c r="D18" s="84" t="s">
        <v>408</v>
      </c>
      <c r="F18" s="9">
        <v>2760</v>
      </c>
      <c r="H18" s="172">
        <v>44993</v>
      </c>
      <c r="K18" s="70"/>
      <c r="L18" s="70"/>
    </row>
    <row r="19" spans="1:13" x14ac:dyDescent="0.2">
      <c r="B19" t="s">
        <v>16</v>
      </c>
      <c r="C19" t="s">
        <v>419</v>
      </c>
      <c r="D19" s="84" t="s">
        <v>420</v>
      </c>
      <c r="F19" s="9">
        <v>172.01</v>
      </c>
      <c r="H19" s="172">
        <v>44995</v>
      </c>
      <c r="K19" s="70"/>
      <c r="L19" s="70" t="s">
        <v>421</v>
      </c>
    </row>
    <row r="20" spans="1:13" x14ac:dyDescent="0.2">
      <c r="B20" t="s">
        <v>16</v>
      </c>
      <c r="C20" t="s">
        <v>422</v>
      </c>
      <c r="D20" s="84" t="s">
        <v>422</v>
      </c>
      <c r="H20" s="172" t="s">
        <v>423</v>
      </c>
      <c r="K20" s="70"/>
      <c r="L20" s="70"/>
    </row>
    <row r="21" spans="1:13" x14ac:dyDescent="0.2">
      <c r="D21" s="84"/>
      <c r="K21" s="70"/>
      <c r="L21" s="70"/>
    </row>
    <row r="22" spans="1:13" x14ac:dyDescent="0.2">
      <c r="A22">
        <f>+A18+1</f>
        <v>16</v>
      </c>
      <c r="B22" t="s">
        <v>25</v>
      </c>
      <c r="C22" t="s">
        <v>424</v>
      </c>
      <c r="D22" t="s">
        <v>425</v>
      </c>
      <c r="E22" s="49">
        <v>3527.5</v>
      </c>
      <c r="F22" s="49">
        <f>E22*1.25</f>
        <v>4409.375</v>
      </c>
      <c r="K22" s="70"/>
      <c r="L22" s="70"/>
      <c r="M22" s="29" t="s">
        <v>426</v>
      </c>
    </row>
    <row r="23" spans="1:13" x14ac:dyDescent="0.2">
      <c r="A23">
        <f>+A22+1</f>
        <v>17</v>
      </c>
      <c r="K23" s="70"/>
      <c r="L23" s="70"/>
    </row>
    <row r="24" spans="1:13" x14ac:dyDescent="0.2">
      <c r="A24">
        <f>+A23+1</f>
        <v>18</v>
      </c>
      <c r="B24" s="2" t="s">
        <v>23</v>
      </c>
      <c r="C24" s="17" t="s">
        <v>427</v>
      </c>
      <c r="K24" s="70"/>
      <c r="L24" s="70"/>
    </row>
    <row r="25" spans="1:13" x14ac:dyDescent="0.2">
      <c r="A25">
        <f>+A24+1</f>
        <v>19</v>
      </c>
      <c r="B25" s="2" t="s">
        <v>24</v>
      </c>
      <c r="C25" s="77" t="s">
        <v>428</v>
      </c>
      <c r="D25" s="77" t="s">
        <v>429</v>
      </c>
      <c r="E25" s="49">
        <v>952.92</v>
      </c>
      <c r="F25" s="9">
        <f>E25*1.25</f>
        <v>1191.1499999999999</v>
      </c>
      <c r="M25" s="29" t="s">
        <v>430</v>
      </c>
    </row>
    <row r="26" spans="1:13" ht="54.75" x14ac:dyDescent="0.2">
      <c r="B26" s="2"/>
      <c r="C26" s="77" t="s">
        <v>431</v>
      </c>
      <c r="D26" s="77" t="s">
        <v>429</v>
      </c>
      <c r="F26" s="9">
        <f>9694.24/7.5345</f>
        <v>1286.6467582454043</v>
      </c>
      <c r="H26" s="172" t="s">
        <v>432</v>
      </c>
      <c r="L26" s="17" t="s">
        <v>433</v>
      </c>
      <c r="M26" s="76" t="s">
        <v>434</v>
      </c>
    </row>
    <row r="27" spans="1:13" x14ac:dyDescent="0.2">
      <c r="A27">
        <f>+A25+1</f>
        <v>20</v>
      </c>
      <c r="B27" s="2" t="s">
        <v>29</v>
      </c>
      <c r="C27" t="s">
        <v>435</v>
      </c>
      <c r="K27" s="70"/>
      <c r="L27" s="70"/>
    </row>
    <row r="28" spans="1:13" x14ac:dyDescent="0.2">
      <c r="A28">
        <f t="shared" ref="A28:A37" si="1">+A27+1</f>
        <v>21</v>
      </c>
      <c r="B28" s="2" t="s">
        <v>27</v>
      </c>
      <c r="C28" t="s">
        <v>436</v>
      </c>
      <c r="D28" t="s">
        <v>437</v>
      </c>
      <c r="F28" s="9">
        <f>25.99*50</f>
        <v>1299.5</v>
      </c>
      <c r="H28" s="172" t="s">
        <v>438</v>
      </c>
      <c r="K28" s="70"/>
      <c r="L28" s="70"/>
      <c r="M28" s="29" t="s">
        <v>439</v>
      </c>
    </row>
    <row r="29" spans="1:13" x14ac:dyDescent="0.2">
      <c r="A29">
        <f t="shared" si="1"/>
        <v>22</v>
      </c>
      <c r="B29" s="2" t="s">
        <v>29</v>
      </c>
      <c r="C29" t="s">
        <v>435</v>
      </c>
      <c r="D29" t="s">
        <v>440</v>
      </c>
      <c r="F29" s="49">
        <v>782.02</v>
      </c>
      <c r="K29" s="70"/>
      <c r="L29" s="70"/>
      <c r="M29" s="29" t="s">
        <v>441</v>
      </c>
    </row>
    <row r="30" spans="1:13" x14ac:dyDescent="0.2">
      <c r="A30">
        <f t="shared" si="1"/>
        <v>23</v>
      </c>
      <c r="B30" s="2" t="s">
        <v>29</v>
      </c>
      <c r="C30" t="s">
        <v>442</v>
      </c>
      <c r="D30" t="s">
        <v>443</v>
      </c>
      <c r="F30" s="49">
        <v>2709.04</v>
      </c>
      <c r="K30" s="70"/>
      <c r="L30" s="70"/>
      <c r="M30" s="29" t="s">
        <v>444</v>
      </c>
    </row>
    <row r="31" spans="1:13" x14ac:dyDescent="0.2">
      <c r="A31">
        <f t="shared" si="1"/>
        <v>24</v>
      </c>
      <c r="B31" s="2" t="s">
        <v>30</v>
      </c>
      <c r="C31" t="s">
        <v>445</v>
      </c>
      <c r="D31" t="s">
        <v>425</v>
      </c>
      <c r="E31" s="11">
        <v>3360</v>
      </c>
      <c r="F31" s="49">
        <f>E31*1.25</f>
        <v>4200</v>
      </c>
      <c r="K31" s="70"/>
      <c r="L31" s="70"/>
      <c r="M31" s="29" t="s">
        <v>613</v>
      </c>
    </row>
    <row r="32" spans="1:13" x14ac:dyDescent="0.2">
      <c r="A32">
        <f t="shared" si="1"/>
        <v>25</v>
      </c>
      <c r="B32" s="2"/>
      <c r="K32" s="70"/>
      <c r="L32" s="70"/>
    </row>
    <row r="33" spans="1:13" x14ac:dyDescent="0.2">
      <c r="A33">
        <f t="shared" si="1"/>
        <v>26</v>
      </c>
      <c r="F33" s="49"/>
      <c r="K33" s="70"/>
      <c r="L33" s="70"/>
    </row>
    <row r="34" spans="1:13" x14ac:dyDescent="0.2">
      <c r="A34">
        <f t="shared" si="1"/>
        <v>27</v>
      </c>
      <c r="B34" t="str">
        <f>'Knjiga narudžbi 2023'!B9</f>
        <v>DVD ADAMOVEC</v>
      </c>
      <c r="C34" t="s">
        <v>449</v>
      </c>
      <c r="D34" t="s">
        <v>450</v>
      </c>
      <c r="F34" s="49">
        <v>2244.52</v>
      </c>
      <c r="H34" s="172" t="s">
        <v>451</v>
      </c>
      <c r="K34" s="70"/>
      <c r="L34" s="70"/>
      <c r="M34" s="29" t="s">
        <v>452</v>
      </c>
    </row>
    <row r="35" spans="1:13" x14ac:dyDescent="0.2">
      <c r="A35">
        <f t="shared" si="1"/>
        <v>28</v>
      </c>
      <c r="B35" t="str">
        <f>B34</f>
        <v>DVD ADAMOVEC</v>
      </c>
      <c r="C35" t="s">
        <v>453</v>
      </c>
      <c r="D35" s="17" t="s">
        <v>454</v>
      </c>
      <c r="E35" s="11">
        <v>774.04</v>
      </c>
      <c r="F35" s="89">
        <f>E35*1.25</f>
        <v>967.55</v>
      </c>
      <c r="G35" s="181"/>
      <c r="H35" s="175" t="s">
        <v>455</v>
      </c>
      <c r="L35" s="91"/>
      <c r="M35" s="29" t="s">
        <v>456</v>
      </c>
    </row>
    <row r="36" spans="1:13" x14ac:dyDescent="0.2">
      <c r="A36">
        <f t="shared" si="1"/>
        <v>29</v>
      </c>
      <c r="K36" s="70"/>
      <c r="L36" s="70"/>
    </row>
    <row r="37" spans="1:13" s="2" customFormat="1" ht="54.75" x14ac:dyDescent="0.2">
      <c r="A37" s="2">
        <f t="shared" si="1"/>
        <v>30</v>
      </c>
      <c r="B37" s="80" t="s">
        <v>457</v>
      </c>
      <c r="C37" s="80" t="s">
        <v>458</v>
      </c>
      <c r="D37" s="80"/>
      <c r="E37" s="81" t="s">
        <v>459</v>
      </c>
      <c r="F37" s="73"/>
      <c r="G37" s="182"/>
      <c r="H37" s="176"/>
      <c r="I37" s="9"/>
      <c r="J37" s="9"/>
      <c r="K37" s="44"/>
      <c r="L37" s="83" t="s">
        <v>460</v>
      </c>
    </row>
    <row r="38" spans="1:13" s="2" customFormat="1" x14ac:dyDescent="0.2">
      <c r="B38" t="s">
        <v>457</v>
      </c>
      <c r="C38" t="s">
        <v>461</v>
      </c>
      <c r="D38"/>
      <c r="E38" s="11"/>
      <c r="F38" s="49">
        <v>39.64</v>
      </c>
      <c r="G38" s="182"/>
      <c r="H38" s="176">
        <v>44998</v>
      </c>
      <c r="I38" s="9"/>
      <c r="J38" s="9"/>
      <c r="K38" s="44"/>
      <c r="L38" s="83"/>
    </row>
    <row r="39" spans="1:13" ht="27.75" x14ac:dyDescent="0.2">
      <c r="A39">
        <f>+A37+1</f>
        <v>31</v>
      </c>
      <c r="B39" t="s">
        <v>462</v>
      </c>
      <c r="C39" s="17" t="s">
        <v>463</v>
      </c>
      <c r="F39" s="49">
        <v>2260</v>
      </c>
      <c r="K39" s="70"/>
      <c r="L39" s="70"/>
      <c r="M39" s="29" t="s">
        <v>464</v>
      </c>
    </row>
    <row r="40" spans="1:13" x14ac:dyDescent="0.2">
      <c r="A40">
        <f t="shared" ref="A40:A72" si="2">+A39+1</f>
        <v>32</v>
      </c>
      <c r="K40" s="70"/>
      <c r="L40" s="70"/>
    </row>
    <row r="41" spans="1:13" x14ac:dyDescent="0.2">
      <c r="A41">
        <f t="shared" si="2"/>
        <v>33</v>
      </c>
      <c r="B41" t="s">
        <v>465</v>
      </c>
      <c r="C41" s="17" t="s">
        <v>466</v>
      </c>
      <c r="E41" s="42">
        <v>176.01</v>
      </c>
      <c r="F41" s="49">
        <f>E41*1.25</f>
        <v>220.01249999999999</v>
      </c>
      <c r="H41" s="172" t="s">
        <v>467</v>
      </c>
      <c r="K41" s="70"/>
      <c r="L41" s="70"/>
      <c r="M41" s="29" t="s">
        <v>468</v>
      </c>
    </row>
    <row r="42" spans="1:13" x14ac:dyDescent="0.2">
      <c r="A42">
        <f t="shared" si="2"/>
        <v>34</v>
      </c>
      <c r="C42" s="17"/>
      <c r="F42" s="49"/>
      <c r="K42" s="70"/>
      <c r="L42" s="70"/>
      <c r="M42" s="29"/>
    </row>
    <row r="43" spans="1:13" x14ac:dyDescent="0.2">
      <c r="A43">
        <f t="shared" si="2"/>
        <v>35</v>
      </c>
      <c r="B43" t="s">
        <v>469</v>
      </c>
      <c r="C43" s="17" t="s">
        <v>470</v>
      </c>
      <c r="D43" t="s">
        <v>471</v>
      </c>
      <c r="E43" s="11">
        <v>180</v>
      </c>
      <c r="F43" s="49">
        <f>E43*1.25</f>
        <v>225</v>
      </c>
      <c r="H43" s="172">
        <v>44963</v>
      </c>
      <c r="K43" s="70"/>
      <c r="L43" s="70"/>
      <c r="M43" s="29" t="s">
        <v>472</v>
      </c>
    </row>
    <row r="44" spans="1:13" x14ac:dyDescent="0.2">
      <c r="A44">
        <f t="shared" si="2"/>
        <v>36</v>
      </c>
      <c r="B44" t="s">
        <v>469</v>
      </c>
      <c r="C44" s="17" t="s">
        <v>473</v>
      </c>
      <c r="D44" t="s">
        <v>471</v>
      </c>
      <c r="F44" s="49">
        <v>841.25</v>
      </c>
      <c r="H44" s="172">
        <v>44963</v>
      </c>
      <c r="K44" s="70"/>
      <c r="L44" s="70"/>
      <c r="M44" s="29" t="s">
        <v>474</v>
      </c>
    </row>
    <row r="45" spans="1:13" x14ac:dyDescent="0.2">
      <c r="A45">
        <f t="shared" si="2"/>
        <v>37</v>
      </c>
      <c r="C45" s="17"/>
      <c r="F45" s="49"/>
      <c r="K45" s="70"/>
      <c r="L45" s="70"/>
      <c r="M45" s="29"/>
    </row>
    <row r="46" spans="1:13" x14ac:dyDescent="0.2">
      <c r="A46">
        <f t="shared" si="2"/>
        <v>38</v>
      </c>
      <c r="B46" t="s">
        <v>21</v>
      </c>
      <c r="C46" s="17" t="s">
        <v>475</v>
      </c>
      <c r="D46" t="s">
        <v>476</v>
      </c>
      <c r="E46" s="11">
        <f>39800/7.5345</f>
        <v>5282.3677749021163</v>
      </c>
      <c r="F46" s="49">
        <f>E46*1.25</f>
        <v>6602.9597186276451</v>
      </c>
      <c r="K46" s="70"/>
      <c r="L46" s="70"/>
      <c r="M46" s="29" t="s">
        <v>477</v>
      </c>
    </row>
    <row r="47" spans="1:13" x14ac:dyDescent="0.2">
      <c r="A47">
        <f t="shared" si="2"/>
        <v>39</v>
      </c>
      <c r="B47" t="s">
        <v>20</v>
      </c>
      <c r="C47" s="17" t="s">
        <v>475</v>
      </c>
      <c r="D47" t="s">
        <v>476</v>
      </c>
      <c r="E47" s="11">
        <v>2130</v>
      </c>
      <c r="F47" s="49">
        <f>E47*1.25</f>
        <v>2662.5</v>
      </c>
      <c r="K47" s="70"/>
      <c r="L47" s="70"/>
      <c r="M47" s="29" t="s">
        <v>478</v>
      </c>
    </row>
    <row r="48" spans="1:13" x14ac:dyDescent="0.2">
      <c r="A48">
        <f t="shared" si="2"/>
        <v>40</v>
      </c>
      <c r="F48" s="49"/>
      <c r="K48" s="70"/>
      <c r="L48" s="70"/>
    </row>
    <row r="49" spans="1:13" x14ac:dyDescent="0.2">
      <c r="A49">
        <f t="shared" si="2"/>
        <v>41</v>
      </c>
      <c r="B49" t="s">
        <v>17</v>
      </c>
      <c r="C49" t="s">
        <v>479</v>
      </c>
      <c r="E49" s="195"/>
      <c r="F49" s="85">
        <v>32400</v>
      </c>
      <c r="J49" s="100"/>
      <c r="K49" s="70"/>
      <c r="L49" s="70"/>
      <c r="M49" s="29"/>
    </row>
    <row r="50" spans="1:13" x14ac:dyDescent="0.2">
      <c r="A50">
        <f t="shared" si="2"/>
        <v>42</v>
      </c>
      <c r="B50" t="s">
        <v>17</v>
      </c>
      <c r="C50" t="s">
        <v>480</v>
      </c>
      <c r="D50" t="s">
        <v>481</v>
      </c>
      <c r="E50" s="195">
        <v>11011.5</v>
      </c>
      <c r="F50" s="85">
        <v>13764.38</v>
      </c>
      <c r="G50" s="185"/>
      <c r="H50" s="186">
        <v>45001</v>
      </c>
      <c r="I50" s="171"/>
      <c r="J50" s="171">
        <f>(F50/100)*15</f>
        <v>2064.6570000000002</v>
      </c>
      <c r="K50" s="170"/>
      <c r="L50" s="70"/>
      <c r="M50" s="29" t="s">
        <v>482</v>
      </c>
    </row>
    <row r="51" spans="1:13" x14ac:dyDescent="0.2">
      <c r="A51">
        <f t="shared" si="2"/>
        <v>43</v>
      </c>
      <c r="B51" t="s">
        <v>17</v>
      </c>
      <c r="C51" t="s">
        <v>483</v>
      </c>
      <c r="D51" t="s">
        <v>484</v>
      </c>
      <c r="E51" s="195">
        <v>1387.44</v>
      </c>
      <c r="F51" s="85">
        <f>+E51*1.25</f>
        <v>1734.3000000000002</v>
      </c>
      <c r="G51" s="185"/>
      <c r="H51" s="186" t="s">
        <v>485</v>
      </c>
      <c r="I51" s="171"/>
      <c r="J51" s="187"/>
      <c r="K51" s="170"/>
      <c r="L51" s="70"/>
      <c r="M51" s="29" t="s">
        <v>486</v>
      </c>
    </row>
    <row r="52" spans="1:13" x14ac:dyDescent="0.2">
      <c r="A52">
        <f t="shared" si="2"/>
        <v>44</v>
      </c>
      <c r="B52" t="s">
        <v>17</v>
      </c>
      <c r="C52" t="s">
        <v>487</v>
      </c>
      <c r="D52" t="s">
        <v>488</v>
      </c>
      <c r="E52" s="195"/>
      <c r="F52" s="85">
        <v>483.6</v>
      </c>
      <c r="G52" s="185"/>
      <c r="H52" s="186">
        <v>45001</v>
      </c>
      <c r="I52" s="171"/>
      <c r="J52" s="187"/>
      <c r="K52" s="170"/>
      <c r="L52" s="70"/>
      <c r="M52" s="29" t="s">
        <v>489</v>
      </c>
    </row>
    <row r="53" spans="1:13" x14ac:dyDescent="0.2">
      <c r="A53">
        <f t="shared" si="2"/>
        <v>45</v>
      </c>
      <c r="B53" t="s">
        <v>17</v>
      </c>
      <c r="C53" t="s">
        <v>490</v>
      </c>
      <c r="D53" t="s">
        <v>491</v>
      </c>
      <c r="E53" s="195">
        <v>986.37</v>
      </c>
      <c r="F53" s="85">
        <f>E53*1.25</f>
        <v>1232.9625000000001</v>
      </c>
      <c r="G53" s="185">
        <v>1232.96</v>
      </c>
      <c r="H53" s="186" t="s">
        <v>492</v>
      </c>
      <c r="I53" s="171"/>
      <c r="J53" s="171"/>
      <c r="K53" s="170"/>
      <c r="L53" s="70"/>
      <c r="M53" s="29" t="s">
        <v>493</v>
      </c>
    </row>
    <row r="54" spans="1:13" x14ac:dyDescent="0.2">
      <c r="A54">
        <f t="shared" si="2"/>
        <v>46</v>
      </c>
      <c r="B54" t="s">
        <v>17</v>
      </c>
      <c r="C54" t="s">
        <v>494</v>
      </c>
      <c r="D54" t="s">
        <v>495</v>
      </c>
      <c r="E54" s="195"/>
      <c r="F54" s="85">
        <v>1420</v>
      </c>
      <c r="G54" s="185"/>
      <c r="H54" s="186">
        <v>45001</v>
      </c>
      <c r="I54" s="171"/>
      <c r="J54" s="171"/>
      <c r="K54" s="170"/>
      <c r="L54" s="70"/>
      <c r="M54" s="29" t="s">
        <v>496</v>
      </c>
    </row>
    <row r="55" spans="1:13" x14ac:dyDescent="0.2">
      <c r="A55">
        <f t="shared" si="2"/>
        <v>47</v>
      </c>
      <c r="B55" t="s">
        <v>17</v>
      </c>
      <c r="C55" t="s">
        <v>497</v>
      </c>
      <c r="D55" t="s">
        <v>498</v>
      </c>
      <c r="E55" s="11">
        <v>734.45</v>
      </c>
      <c r="F55" s="85">
        <f>E55*1.25</f>
        <v>918.0625</v>
      </c>
      <c r="G55" s="185"/>
      <c r="H55" s="186" t="s">
        <v>432</v>
      </c>
      <c r="I55" s="171"/>
      <c r="J55" s="171">
        <v>183.61</v>
      </c>
      <c r="K55" s="170"/>
      <c r="L55" s="70"/>
      <c r="M55" s="29" t="s">
        <v>499</v>
      </c>
    </row>
    <row r="56" spans="1:13" x14ac:dyDescent="0.2">
      <c r="A56">
        <f t="shared" si="2"/>
        <v>48</v>
      </c>
      <c r="B56" t="s">
        <v>17</v>
      </c>
      <c r="C56" t="s">
        <v>500</v>
      </c>
      <c r="D56" t="s">
        <v>501</v>
      </c>
      <c r="F56" s="85"/>
      <c r="G56" s="185"/>
      <c r="H56" s="186"/>
      <c r="I56" s="171"/>
      <c r="J56" s="171"/>
      <c r="K56" s="170"/>
      <c r="L56" s="70"/>
    </row>
    <row r="57" spans="1:13" x14ac:dyDescent="0.2">
      <c r="A57">
        <f t="shared" si="2"/>
        <v>49</v>
      </c>
      <c r="B57" t="s">
        <v>17</v>
      </c>
      <c r="C57" t="s">
        <v>502</v>
      </c>
      <c r="D57" t="s">
        <v>443</v>
      </c>
      <c r="F57" s="85">
        <v>548.9</v>
      </c>
      <c r="G57" s="185"/>
      <c r="H57" s="186" t="s">
        <v>432</v>
      </c>
      <c r="I57" s="171"/>
      <c r="J57" s="171"/>
      <c r="K57" s="170"/>
      <c r="L57" s="70"/>
      <c r="M57" s="29" t="s">
        <v>503</v>
      </c>
    </row>
    <row r="58" spans="1:13" x14ac:dyDescent="0.2">
      <c r="A58">
        <f t="shared" si="2"/>
        <v>50</v>
      </c>
      <c r="B58" t="s">
        <v>17</v>
      </c>
      <c r="C58" t="s">
        <v>504</v>
      </c>
      <c r="D58" t="s">
        <v>505</v>
      </c>
      <c r="F58" s="85"/>
      <c r="G58" s="192"/>
      <c r="H58" s="186" t="s">
        <v>506</v>
      </c>
      <c r="I58" s="171"/>
      <c r="J58" s="171"/>
      <c r="K58" s="170"/>
      <c r="L58" s="70"/>
    </row>
    <row r="59" spans="1:13" x14ac:dyDescent="0.2">
      <c r="A59">
        <f t="shared" si="2"/>
        <v>51</v>
      </c>
      <c r="B59" t="s">
        <v>17</v>
      </c>
      <c r="C59" t="s">
        <v>507</v>
      </c>
      <c r="D59" t="s">
        <v>501</v>
      </c>
      <c r="F59" s="85"/>
      <c r="G59" s="185"/>
      <c r="H59" s="186"/>
      <c r="I59" s="171"/>
      <c r="J59" s="171"/>
      <c r="K59" s="170"/>
      <c r="L59" s="70"/>
    </row>
    <row r="60" spans="1:13" x14ac:dyDescent="0.2">
      <c r="A60">
        <f t="shared" si="2"/>
        <v>52</v>
      </c>
      <c r="B60" t="s">
        <v>17</v>
      </c>
      <c r="C60" t="s">
        <v>508</v>
      </c>
      <c r="D60" t="s">
        <v>509</v>
      </c>
      <c r="F60" s="85"/>
      <c r="G60" s="185"/>
      <c r="H60" s="186"/>
      <c r="I60" s="171"/>
      <c r="J60" s="171"/>
      <c r="K60" s="170"/>
      <c r="L60" s="70"/>
    </row>
    <row r="61" spans="1:13" x14ac:dyDescent="0.2">
      <c r="A61">
        <f t="shared" si="2"/>
        <v>53</v>
      </c>
      <c r="B61" t="s">
        <v>17</v>
      </c>
      <c r="C61" t="s">
        <v>510</v>
      </c>
      <c r="D61" t="s">
        <v>511</v>
      </c>
      <c r="F61" s="171">
        <v>475.4</v>
      </c>
      <c r="G61" s="185">
        <v>475.4</v>
      </c>
      <c r="H61" s="186" t="s">
        <v>492</v>
      </c>
      <c r="I61" s="171"/>
      <c r="J61" s="171"/>
      <c r="K61" s="170"/>
      <c r="L61" s="170" t="s">
        <v>512</v>
      </c>
      <c r="M61" s="29" t="s">
        <v>513</v>
      </c>
    </row>
    <row r="62" spans="1:13" x14ac:dyDescent="0.2">
      <c r="A62">
        <f t="shared" si="2"/>
        <v>54</v>
      </c>
      <c r="B62" t="s">
        <v>17</v>
      </c>
      <c r="C62" t="s">
        <v>514</v>
      </c>
      <c r="D62" t="s">
        <v>476</v>
      </c>
      <c r="E62" s="11">
        <v>425</v>
      </c>
      <c r="F62" s="85">
        <v>531.25</v>
      </c>
      <c r="G62" s="185" t="s">
        <v>614</v>
      </c>
      <c r="H62" s="186" t="s">
        <v>432</v>
      </c>
      <c r="I62" s="171"/>
      <c r="J62" s="171">
        <v>106.25</v>
      </c>
      <c r="K62" s="170"/>
      <c r="L62" s="70"/>
      <c r="M62" s="29" t="s">
        <v>515</v>
      </c>
    </row>
    <row r="63" spans="1:13" x14ac:dyDescent="0.2">
      <c r="A63">
        <f t="shared" si="2"/>
        <v>55</v>
      </c>
      <c r="B63" t="s">
        <v>17</v>
      </c>
      <c r="C63" t="s">
        <v>516</v>
      </c>
      <c r="D63" t="s">
        <v>517</v>
      </c>
      <c r="E63" s="11">
        <v>284</v>
      </c>
      <c r="F63" s="85">
        <f>E63*1.25</f>
        <v>355</v>
      </c>
      <c r="G63" s="185" t="s">
        <v>615</v>
      </c>
      <c r="H63" s="186" t="s">
        <v>432</v>
      </c>
      <c r="I63" s="171"/>
      <c r="J63" s="171">
        <v>71</v>
      </c>
      <c r="K63" s="170"/>
      <c r="L63" s="70"/>
      <c r="M63" s="29" t="s">
        <v>518</v>
      </c>
    </row>
    <row r="64" spans="1:13" x14ac:dyDescent="0.2">
      <c r="A64">
        <f t="shared" si="2"/>
        <v>56</v>
      </c>
      <c r="B64" t="s">
        <v>17</v>
      </c>
      <c r="C64" t="s">
        <v>519</v>
      </c>
      <c r="D64" t="s">
        <v>520</v>
      </c>
      <c r="F64" s="85">
        <v>145.72999999999999</v>
      </c>
      <c r="G64" s="185">
        <v>145.72999999999999</v>
      </c>
      <c r="H64" s="186" t="s">
        <v>521</v>
      </c>
      <c r="I64" s="171"/>
      <c r="J64" s="171"/>
      <c r="K64" s="170"/>
      <c r="L64" s="70"/>
      <c r="M64" s="29" t="s">
        <v>522</v>
      </c>
    </row>
    <row r="65" spans="1:13" x14ac:dyDescent="0.2">
      <c r="A65">
        <f t="shared" si="2"/>
        <v>57</v>
      </c>
      <c r="B65" t="s">
        <v>17</v>
      </c>
      <c r="C65" t="s">
        <v>523</v>
      </c>
      <c r="D65" t="s">
        <v>524</v>
      </c>
      <c r="F65" s="85">
        <v>1692.03</v>
      </c>
      <c r="G65" s="185">
        <v>1692.03</v>
      </c>
      <c r="H65" s="186">
        <v>45001</v>
      </c>
      <c r="I65" s="171"/>
      <c r="J65" s="171"/>
      <c r="K65" s="170"/>
      <c r="L65" s="70"/>
      <c r="M65" s="29" t="s">
        <v>525</v>
      </c>
    </row>
    <row r="66" spans="1:13" x14ac:dyDescent="0.2">
      <c r="A66">
        <f t="shared" si="2"/>
        <v>58</v>
      </c>
      <c r="B66" t="s">
        <v>17</v>
      </c>
      <c r="C66" t="s">
        <v>388</v>
      </c>
      <c r="D66" t="s">
        <v>389</v>
      </c>
      <c r="F66" s="85"/>
      <c r="G66" s="185"/>
      <c r="H66" s="186"/>
      <c r="I66" s="171"/>
      <c r="J66" s="171"/>
      <c r="K66" s="170"/>
      <c r="L66" s="70"/>
    </row>
    <row r="67" spans="1:13" x14ac:dyDescent="0.2">
      <c r="A67">
        <f t="shared" si="2"/>
        <v>59</v>
      </c>
      <c r="B67" t="s">
        <v>17</v>
      </c>
      <c r="C67" t="s">
        <v>526</v>
      </c>
      <c r="D67" t="s">
        <v>484</v>
      </c>
      <c r="F67" s="85"/>
      <c r="G67" s="185"/>
      <c r="H67" s="186"/>
      <c r="I67" s="171"/>
      <c r="J67" s="171"/>
      <c r="K67" s="170"/>
      <c r="L67" s="70"/>
    </row>
    <row r="68" spans="1:13" x14ac:dyDescent="0.2">
      <c r="A68">
        <f t="shared" si="2"/>
        <v>60</v>
      </c>
      <c r="B68" t="s">
        <v>17</v>
      </c>
      <c r="C68" t="s">
        <v>527</v>
      </c>
      <c r="F68" s="85"/>
      <c r="G68" s="185"/>
      <c r="H68" s="186"/>
      <c r="I68" s="171"/>
      <c r="J68" s="171"/>
      <c r="K68" s="170"/>
      <c r="L68" s="70"/>
    </row>
    <row r="69" spans="1:13" x14ac:dyDescent="0.2">
      <c r="A69">
        <f t="shared" si="2"/>
        <v>61</v>
      </c>
      <c r="B69" t="s">
        <v>528</v>
      </c>
      <c r="C69" t="s">
        <v>529</v>
      </c>
      <c r="D69" t="s">
        <v>530</v>
      </c>
      <c r="F69" s="85">
        <v>550.79999999999995</v>
      </c>
      <c r="G69" s="179">
        <v>550.79999999999995</v>
      </c>
      <c r="H69" s="172" t="s">
        <v>492</v>
      </c>
      <c r="K69" s="70"/>
      <c r="L69" s="70"/>
      <c r="M69" s="29" t="s">
        <v>531</v>
      </c>
    </row>
    <row r="70" spans="1:13" x14ac:dyDescent="0.2">
      <c r="A70">
        <f t="shared" si="2"/>
        <v>62</v>
      </c>
      <c r="B70" t="s">
        <v>17</v>
      </c>
      <c r="C70" t="s">
        <v>532</v>
      </c>
      <c r="D70" t="s">
        <v>533</v>
      </c>
      <c r="F70" s="49"/>
      <c r="K70" s="70"/>
      <c r="L70" s="70"/>
    </row>
    <row r="71" spans="1:13" x14ac:dyDescent="0.2">
      <c r="A71">
        <f t="shared" si="2"/>
        <v>63</v>
      </c>
      <c r="B71" t="s">
        <v>17</v>
      </c>
      <c r="C71" t="s">
        <v>534</v>
      </c>
      <c r="D71" t="s">
        <v>535</v>
      </c>
      <c r="F71" s="49"/>
      <c r="K71" s="70"/>
      <c r="L71" s="70" t="s">
        <v>536</v>
      </c>
    </row>
    <row r="72" spans="1:13" x14ac:dyDescent="0.2">
      <c r="A72">
        <f t="shared" si="2"/>
        <v>64</v>
      </c>
      <c r="B72" t="s">
        <v>17</v>
      </c>
      <c r="C72" t="s">
        <v>537</v>
      </c>
      <c r="D72" t="s">
        <v>538</v>
      </c>
      <c r="F72" s="200" t="s">
        <v>539</v>
      </c>
      <c r="G72" s="179">
        <v>124.43</v>
      </c>
      <c r="H72" s="172" t="s">
        <v>506</v>
      </c>
      <c r="K72" s="70"/>
      <c r="L72" s="70"/>
    </row>
    <row r="73" spans="1:13" x14ac:dyDescent="0.2">
      <c r="B73" t="s">
        <v>17</v>
      </c>
      <c r="C73" t="s">
        <v>540</v>
      </c>
      <c r="D73" t="s">
        <v>541</v>
      </c>
      <c r="F73" s="49">
        <v>148.47999999999999</v>
      </c>
      <c r="G73" s="179">
        <v>148.47999999999999</v>
      </c>
      <c r="H73" s="172" t="s">
        <v>351</v>
      </c>
      <c r="K73" s="70"/>
      <c r="L73" s="70"/>
    </row>
    <row r="74" spans="1:13" x14ac:dyDescent="0.2">
      <c r="B74" t="s">
        <v>17</v>
      </c>
      <c r="C74" t="s">
        <v>542</v>
      </c>
      <c r="D74" t="s">
        <v>543</v>
      </c>
      <c r="F74" s="49">
        <v>53.09</v>
      </c>
      <c r="G74" s="179">
        <v>53.09</v>
      </c>
      <c r="H74" s="172" t="s">
        <v>544</v>
      </c>
      <c r="K74" s="70"/>
      <c r="L74" s="70"/>
    </row>
    <row r="75" spans="1:13" x14ac:dyDescent="0.2">
      <c r="B75" t="s">
        <v>545</v>
      </c>
      <c r="C75" t="s">
        <v>546</v>
      </c>
      <c r="D75" t="s">
        <v>484</v>
      </c>
      <c r="E75" s="11">
        <v>162.9</v>
      </c>
      <c r="F75" s="49">
        <f>E75*1.25</f>
        <v>203.625</v>
      </c>
      <c r="G75" s="179">
        <v>203.63</v>
      </c>
      <c r="H75" s="172" t="s">
        <v>400</v>
      </c>
      <c r="K75" s="70"/>
      <c r="L75" s="70"/>
      <c r="M75" s="29" t="s">
        <v>547</v>
      </c>
    </row>
    <row r="76" spans="1:13" x14ac:dyDescent="0.2">
      <c r="B76" t="s">
        <v>545</v>
      </c>
      <c r="C76" t="s">
        <v>548</v>
      </c>
      <c r="D76" t="s">
        <v>549</v>
      </c>
      <c r="E76" s="11">
        <v>39.950000000000003</v>
      </c>
      <c r="F76" s="85">
        <f>E76*1.25</f>
        <v>49.9375</v>
      </c>
      <c r="G76" s="179">
        <v>49.94</v>
      </c>
      <c r="H76" s="172" t="s">
        <v>485</v>
      </c>
      <c r="K76" s="70"/>
      <c r="L76" s="70"/>
      <c r="M76" s="29" t="s">
        <v>550</v>
      </c>
    </row>
    <row r="77" spans="1:13" x14ac:dyDescent="0.2">
      <c r="B77" t="s">
        <v>545</v>
      </c>
      <c r="C77" t="s">
        <v>551</v>
      </c>
      <c r="D77" t="s">
        <v>505</v>
      </c>
      <c r="F77" s="49">
        <f>93+196+154+12.5</f>
        <v>455.5</v>
      </c>
      <c r="K77" s="70"/>
      <c r="L77" s="70"/>
      <c r="M77" s="29" t="s">
        <v>552</v>
      </c>
    </row>
    <row r="78" spans="1:13" x14ac:dyDescent="0.2">
      <c r="B78" t="s">
        <v>545</v>
      </c>
      <c r="C78" t="s">
        <v>553</v>
      </c>
      <c r="D78" t="s">
        <v>538</v>
      </c>
      <c r="E78" s="11">
        <v>76</v>
      </c>
      <c r="F78" s="49">
        <f>E78*1.25</f>
        <v>95</v>
      </c>
      <c r="K78" s="70"/>
      <c r="L78" s="70"/>
      <c r="M78" s="29" t="s">
        <v>554</v>
      </c>
    </row>
    <row r="79" spans="1:13" ht="30.75" customHeight="1" x14ac:dyDescent="0.2">
      <c r="B79" t="s">
        <v>545</v>
      </c>
      <c r="C79" t="s">
        <v>555</v>
      </c>
      <c r="D79" t="s">
        <v>484</v>
      </c>
      <c r="E79" s="39">
        <v>163.68</v>
      </c>
      <c r="F79" s="49">
        <f>E79*1.25</f>
        <v>204.60000000000002</v>
      </c>
      <c r="H79" s="172" t="s">
        <v>485</v>
      </c>
      <c r="K79" s="70"/>
      <c r="L79" s="169" t="s">
        <v>556</v>
      </c>
      <c r="M79" s="29" t="s">
        <v>557</v>
      </c>
    </row>
    <row r="80" spans="1:13" x14ac:dyDescent="0.2">
      <c r="B80" t="s">
        <v>545</v>
      </c>
      <c r="C80" t="s">
        <v>558</v>
      </c>
      <c r="D80" t="s">
        <v>484</v>
      </c>
      <c r="E80" s="11">
        <v>115.68</v>
      </c>
      <c r="F80" s="49">
        <f>E80*1.25</f>
        <v>144.60000000000002</v>
      </c>
      <c r="H80" s="172" t="s">
        <v>485</v>
      </c>
      <c r="K80" s="70"/>
      <c r="L80" s="170" t="s">
        <v>559</v>
      </c>
      <c r="M80" s="29" t="s">
        <v>560</v>
      </c>
    </row>
    <row r="81" spans="1:13" x14ac:dyDescent="0.2">
      <c r="A81">
        <f>+A72+1</f>
        <v>65</v>
      </c>
      <c r="F81" s="49"/>
      <c r="K81" s="70"/>
      <c r="L81" s="70"/>
    </row>
    <row r="82" spans="1:13" x14ac:dyDescent="0.2">
      <c r="A82">
        <f t="shared" ref="A82:A99" si="3">+A81+1</f>
        <v>66</v>
      </c>
      <c r="B82" t="s">
        <v>18</v>
      </c>
      <c r="C82" t="s">
        <v>561</v>
      </c>
      <c r="F82" s="49"/>
      <c r="K82" s="70"/>
      <c r="L82" s="70"/>
    </row>
    <row r="83" spans="1:13" x14ac:dyDescent="0.2">
      <c r="A83">
        <f t="shared" si="3"/>
        <v>67</v>
      </c>
      <c r="B83" t="s">
        <v>18</v>
      </c>
      <c r="C83" t="s">
        <v>526</v>
      </c>
      <c r="D83" t="s">
        <v>484</v>
      </c>
      <c r="F83" s="49"/>
      <c r="K83" s="70"/>
      <c r="L83" s="70"/>
    </row>
    <row r="84" spans="1:13" x14ac:dyDescent="0.2">
      <c r="A84">
        <f t="shared" si="3"/>
        <v>68</v>
      </c>
      <c r="B84" t="s">
        <v>18</v>
      </c>
      <c r="C84" t="s">
        <v>527</v>
      </c>
      <c r="F84" s="49"/>
      <c r="K84" s="70"/>
      <c r="L84" s="70"/>
    </row>
    <row r="85" spans="1:13" x14ac:dyDescent="0.2">
      <c r="A85">
        <f t="shared" si="3"/>
        <v>69</v>
      </c>
      <c r="B85" t="s">
        <v>18</v>
      </c>
      <c r="C85" t="s">
        <v>497</v>
      </c>
      <c r="D85" t="s">
        <v>498</v>
      </c>
      <c r="F85" s="49"/>
      <c r="K85" s="70"/>
      <c r="L85" s="70"/>
    </row>
    <row r="86" spans="1:13" x14ac:dyDescent="0.2">
      <c r="A86">
        <f t="shared" si="3"/>
        <v>70</v>
      </c>
      <c r="B86" t="s">
        <v>18</v>
      </c>
      <c r="C86" t="s">
        <v>616</v>
      </c>
      <c r="D86" t="s">
        <v>498</v>
      </c>
      <c r="E86" s="11">
        <v>340</v>
      </c>
      <c r="F86" s="49">
        <f>E86*1.25</f>
        <v>425</v>
      </c>
      <c r="K86" s="70"/>
      <c r="L86" s="70"/>
    </row>
    <row r="87" spans="1:13" x14ac:dyDescent="0.2">
      <c r="A87">
        <f t="shared" si="3"/>
        <v>71</v>
      </c>
      <c r="B87" t="s">
        <v>18</v>
      </c>
      <c r="C87" t="s">
        <v>565</v>
      </c>
      <c r="F87" s="49"/>
      <c r="K87" s="70"/>
      <c r="L87" s="70"/>
    </row>
    <row r="88" spans="1:13" x14ac:dyDescent="0.2">
      <c r="A88">
        <f t="shared" si="3"/>
        <v>72</v>
      </c>
      <c r="B88" t="s">
        <v>18</v>
      </c>
      <c r="C88" t="s">
        <v>567</v>
      </c>
      <c r="D88" t="s">
        <v>495</v>
      </c>
      <c r="F88" s="49">
        <v>970</v>
      </c>
      <c r="K88" s="70"/>
      <c r="L88" s="70"/>
      <c r="M88" s="29" t="s">
        <v>496</v>
      </c>
    </row>
    <row r="89" spans="1:13" x14ac:dyDescent="0.2">
      <c r="A89">
        <f t="shared" si="3"/>
        <v>73</v>
      </c>
      <c r="B89" t="s">
        <v>18</v>
      </c>
      <c r="C89" t="s">
        <v>568</v>
      </c>
      <c r="F89" s="49"/>
      <c r="K89" s="70"/>
      <c r="L89" s="70"/>
    </row>
    <row r="90" spans="1:13" x14ac:dyDescent="0.2">
      <c r="A90">
        <f t="shared" si="3"/>
        <v>74</v>
      </c>
      <c r="B90" t="s">
        <v>18</v>
      </c>
      <c r="C90" t="s">
        <v>534</v>
      </c>
      <c r="F90" s="49"/>
      <c r="K90" s="70"/>
      <c r="L90" s="70"/>
    </row>
    <row r="91" spans="1:13" x14ac:dyDescent="0.2">
      <c r="A91">
        <f t="shared" si="3"/>
        <v>75</v>
      </c>
      <c r="B91" t="s">
        <v>18</v>
      </c>
      <c r="C91" t="s">
        <v>571</v>
      </c>
      <c r="F91" s="49"/>
      <c r="K91" s="70"/>
      <c r="L91" s="70"/>
    </row>
    <row r="92" spans="1:13" x14ac:dyDescent="0.2">
      <c r="A92">
        <f t="shared" si="3"/>
        <v>76</v>
      </c>
      <c r="B92" t="s">
        <v>18</v>
      </c>
      <c r="C92" t="s">
        <v>575</v>
      </c>
      <c r="D92" t="s">
        <v>576</v>
      </c>
      <c r="F92" s="49"/>
      <c r="K92" s="70"/>
      <c r="L92" s="70"/>
    </row>
    <row r="93" spans="1:13" x14ac:dyDescent="0.2">
      <c r="A93">
        <f t="shared" si="3"/>
        <v>77</v>
      </c>
      <c r="B93" t="s">
        <v>18</v>
      </c>
      <c r="C93" t="s">
        <v>617</v>
      </c>
      <c r="F93" s="49"/>
      <c r="K93" s="70"/>
      <c r="L93" s="70"/>
    </row>
    <row r="94" spans="1:13" x14ac:dyDescent="0.2">
      <c r="A94">
        <f t="shared" si="3"/>
        <v>78</v>
      </c>
      <c r="B94" t="s">
        <v>18</v>
      </c>
      <c r="C94" t="s">
        <v>581</v>
      </c>
      <c r="F94" s="49"/>
      <c r="K94" s="70"/>
      <c r="L94" s="70"/>
    </row>
    <row r="95" spans="1:13" x14ac:dyDescent="0.2">
      <c r="A95">
        <f t="shared" si="3"/>
        <v>79</v>
      </c>
      <c r="B95" t="s">
        <v>18</v>
      </c>
      <c r="C95" t="s">
        <v>582</v>
      </c>
      <c r="F95" s="49"/>
      <c r="K95" s="70"/>
      <c r="L95" s="70"/>
    </row>
    <row r="96" spans="1:13" x14ac:dyDescent="0.2">
      <c r="A96">
        <f t="shared" si="3"/>
        <v>80</v>
      </c>
      <c r="B96" t="s">
        <v>18</v>
      </c>
      <c r="C96" t="s">
        <v>388</v>
      </c>
      <c r="D96" t="s">
        <v>389</v>
      </c>
      <c r="F96" s="49"/>
      <c r="K96" s="70"/>
      <c r="L96" s="70"/>
    </row>
    <row r="97" spans="1:13" x14ac:dyDescent="0.2">
      <c r="A97">
        <f t="shared" si="3"/>
        <v>81</v>
      </c>
      <c r="B97" t="s">
        <v>18</v>
      </c>
      <c r="C97" t="s">
        <v>523</v>
      </c>
      <c r="D97" t="s">
        <v>524</v>
      </c>
      <c r="F97" s="49"/>
      <c r="K97" s="70"/>
      <c r="L97" s="70"/>
    </row>
    <row r="98" spans="1:13" x14ac:dyDescent="0.2">
      <c r="A98">
        <f t="shared" si="3"/>
        <v>82</v>
      </c>
      <c r="K98" s="70"/>
      <c r="L98" s="70"/>
    </row>
    <row r="99" spans="1:13" x14ac:dyDescent="0.2">
      <c r="A99">
        <f t="shared" si="3"/>
        <v>83</v>
      </c>
      <c r="B99" s="56" t="s">
        <v>618</v>
      </c>
      <c r="C99" s="56"/>
      <c r="D99" s="56" t="s">
        <v>484</v>
      </c>
      <c r="E99" s="11">
        <v>3439.48</v>
      </c>
      <c r="F99" s="196">
        <f>E99*1.25</f>
        <v>4299.3500000000004</v>
      </c>
      <c r="G99" s="183"/>
      <c r="K99" s="70"/>
      <c r="L99" s="70"/>
      <c r="M99" s="29" t="s">
        <v>593</v>
      </c>
    </row>
    <row r="100" spans="1:13" x14ac:dyDescent="0.2">
      <c r="E100" s="11" t="s">
        <v>594</v>
      </c>
      <c r="F100" s="9">
        <f>SUM(F2:F99)</f>
        <v>106193.18647687306</v>
      </c>
      <c r="G100" s="184">
        <f>SUM(G2:G99)</f>
        <v>4676.49</v>
      </c>
      <c r="K100" s="70"/>
      <c r="L100" s="70"/>
    </row>
  </sheetData>
  <hyperlinks>
    <hyperlink ref="M4" r:id="rId1" xr:uid="{D4836FC2-04B4-469B-B5D6-E06F195F8325}"/>
    <hyperlink ref="M5" r:id="rId2" xr:uid="{B38AA77E-41B7-401D-8C0D-CEE553ACAD21}"/>
    <hyperlink ref="M39" r:id="rId3" xr:uid="{9D6D24DF-5FEF-4EAD-A859-216F2330568C}"/>
    <hyperlink ref="M50" r:id="rId4" xr:uid="{DE13377F-EBDC-4641-922D-1833103F7040}"/>
    <hyperlink ref="M54" r:id="rId5" xr:uid="{7102A311-337A-4AF6-9C4C-56260335A996}"/>
    <hyperlink ref="M88" r:id="rId6" xr:uid="{17B8B9D1-9EEE-42F7-ACA7-A29C0E9B19FE}"/>
    <hyperlink ref="M31" r:id="rId7" xr:uid="{EB41A56D-0677-464C-B2A8-8D2D9E944B7D}"/>
    <hyperlink ref="M28" r:id="rId8" xr:uid="{96EC58D9-6B9F-469B-AD33-1CA12E4BC6AB}"/>
    <hyperlink ref="M22" r:id="rId9" xr:uid="{54717D37-2DEA-4994-B549-E2424D5F301E}"/>
    <hyperlink ref="M41" r:id="rId10" xr:uid="{53D6A95B-D425-45C5-8B24-FA49F922967C}"/>
    <hyperlink ref="M12" r:id="rId11" xr:uid="{D76DE93C-A22F-4EA8-8207-ECC203821D0A}"/>
    <hyperlink ref="M34" r:id="rId12" xr:uid="{C50AC73F-BDC9-41C9-91FD-5A2F848329B1}"/>
    <hyperlink ref="M43" r:id="rId13" xr:uid="{845D8A38-0EB0-4EDC-BB7E-996640B22111}"/>
    <hyperlink ref="M44" r:id="rId14" xr:uid="{88E5BEC8-2E62-4F27-8F8C-4B817A0EB72F}"/>
    <hyperlink ref="M47" r:id="rId15" xr:uid="{37FFF9D0-8BD3-4584-B791-3B2147A6B9F2}"/>
    <hyperlink ref="M46" r:id="rId16" xr:uid="{29949D6A-D8AA-4C67-8BBB-6282D55E6580}"/>
    <hyperlink ref="M26" r:id="rId17" xr:uid="{0E47A7A6-3C04-4795-BABB-B859A9528F70}"/>
    <hyperlink ref="M25" r:id="rId18" xr:uid="{C5E0ECA4-E47D-43D3-AF9A-67427FB24BD4}"/>
    <hyperlink ref="M11" r:id="rId19" xr:uid="{22EDD974-3438-47A6-A177-E5FBDF1FBE47}"/>
    <hyperlink ref="M75" r:id="rId20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OK130223%2D080901%2Epdf&amp;parent=%2Fpersonal%2Fedo%5Fseifried%5Fmgs%2Dgrupa%5Fcom%2FDocuments%2FMGS%20POSLOVANJE%202023%2FPonude%20%2D%20projekti%2FPUG" xr:uid="{C744B4BC-BFCE-4702-8043-0E47A4245E5F}"/>
    <hyperlink ref="M78" r:id="rId21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DSK%2Epdf&amp;parent=%2Fpersonal%2Fedo%5Fseifried%5Fmgs%2Dgrupa%5Fcom%2FDocuments%2FMGS%20POSLOVANJE%202023%2FPonude%20%2D%20projekti%2FPUG" xr:uid="{C44BED7C-657D-425B-9659-CE1ADDA6145E}"/>
    <hyperlink ref="M76" r:id="rId22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PON%2D23%2D000428%2Epdf&amp;parent=%2Fpersonal%2Fedo%5Fseifried%5Fmgs%2Dgrupa%5Fcom%2FDocuments%2FMGS%20POSLOVANJE%202023%2FPonude%20%2D%20projekti%2FPUG" xr:uid="{C51DC7EB-66D5-4960-89BD-884038EEEC2F}"/>
    <hyperlink ref="M77" r:id="rId23" display="https://mgsgrupa-my.sharepoint.com/personal/edo_seifried_mgs-grupa_com/_layouts/15/onedrive.aspx?FolderCTID=0x012000B6670701AE22CA4FBB997280B733C9E2&amp;id=%2Fpersonal%2Fedo%5Fseifried%5Fmgs%2Dgrupa%5Fcom%2FDocuments%2FMGS%20POSLOVANJE%202023%2FPonude%20%2D%20projekti%2FPUG%2FProtiplam%20%2D%20PUG%2Epdf&amp;parent=%2Fpersonal%2Fedo%5Fseifried%5Fmgs%2Dgrupa%5Fcom%2FDocuments%2FMGS%20POSLOVANJE%202023%2FPonude%20%2D%20projekti%2FPUG" xr:uid="{3E8602E8-1454-4425-95B5-45C529CE683C}"/>
    <hyperlink ref="M10" r:id="rId24" xr:uid="{593DE5DE-6866-4BD8-A4DA-B7F9F1A02874}"/>
    <hyperlink ref="M35" r:id="rId25" xr:uid="{2D74C26A-4982-4E37-A281-B5709E8342D3}"/>
    <hyperlink ref="M80" r:id="rId26" xr:uid="{5536D606-7CDF-4419-B238-CC1B4B4C7266}"/>
    <hyperlink ref="M79" r:id="rId27" xr:uid="{0499FFDA-E05B-45F9-9F32-FA8F319DECA5}"/>
    <hyperlink ref="M65" r:id="rId28" xr:uid="{ABD60DAA-DE84-41B2-ABF0-49443ADEC5E0}"/>
    <hyperlink ref="M51" r:id="rId29" xr:uid="{E66D1052-3F62-44AC-929E-DF894C2399BD}"/>
    <hyperlink ref="M52" r:id="rId30" xr:uid="{BE1564F1-9237-472C-88FA-E87E316E3B1B}"/>
    <hyperlink ref="M55" r:id="rId31" xr:uid="{4FE4104F-DADA-46E4-A45D-776894EAEEF5}"/>
    <hyperlink ref="M62" r:id="rId32" xr:uid="{6BDCEDE4-EF9B-49D9-A132-A344B1236E3E}"/>
    <hyperlink ref="M63" r:id="rId33" xr:uid="{DC51A97A-172F-415D-BFE2-4C6B6D4FDB4B}"/>
    <hyperlink ref="M57" r:id="rId34" xr:uid="{2E8D5ACE-DA5E-42DE-8C71-260BE7B5FA8A}"/>
    <hyperlink ref="M30" r:id="rId35" xr:uid="{FB58C69A-367E-41FB-8660-0288B0B13F4A}"/>
    <hyperlink ref="M99" r:id="rId36" xr:uid="{02652CD1-AF52-4006-9B27-88B6D613B373}"/>
    <hyperlink ref="M53" r:id="rId37" xr:uid="{F58ECDBE-9F63-45BF-BE22-249DD6D3EA44}"/>
    <hyperlink ref="M29" r:id="rId38" xr:uid="{A0EAAE1D-97CB-44E7-AF56-C85D270B1A9C}"/>
    <hyperlink ref="M61" r:id="rId39" xr:uid="{53D90A32-0C83-4755-9532-76C52A7B3BCF}"/>
    <hyperlink ref="M69" r:id="rId40" xr:uid="{108BFD6C-6030-44C2-9653-D860B9BF9A62}"/>
    <hyperlink ref="M64" r:id="rId41" xr:uid="{076CD5B7-840C-424C-8ABB-4A53DCDBD99A}"/>
  </hyperlinks>
  <pageMargins left="0.7" right="0.7" top="0.75" bottom="0.75" header="0.3" footer="0.3"/>
  <pageSetup paperSize="9" orientation="portrait"/>
  <legacy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Knjiga narudžbi 2023</vt:lpstr>
      <vt:lpstr>cash flow</vt:lpstr>
      <vt:lpstr>Stanje računa</vt:lpstr>
      <vt:lpstr>Prihodi</vt:lpstr>
      <vt:lpstr>Rashodi </vt:lpstr>
      <vt:lpstr>rashodi veljača - ostalo</vt:lpstr>
      <vt:lpstr>Rashodi svibanj-projekti</vt:lpstr>
      <vt:lpstr>Dugovanja</vt:lpstr>
      <vt:lpstr>rashodi travanj-projekti</vt:lpstr>
      <vt:lpstr>Prihodi - tko je platio</vt:lpstr>
      <vt:lpstr>rashodi ožujak-projekti</vt:lpstr>
      <vt:lpstr>rashodi veljača-projekti (2)</vt:lpstr>
      <vt:lpstr>rashodi siječanj-ostalo- poslov</vt:lpstr>
      <vt:lpstr>rashodi siječanj-projekti</vt:lpstr>
      <vt:lpstr>fiksni trosak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38591</dc:creator>
  <cp:keywords/>
  <dc:description/>
  <cp:lastModifiedBy>Guest User</cp:lastModifiedBy>
  <cp:revision/>
  <dcterms:created xsi:type="dcterms:W3CDTF">2023-01-05T08:31:32Z</dcterms:created>
  <dcterms:modified xsi:type="dcterms:W3CDTF">2023-07-12T11:04:58Z</dcterms:modified>
  <cp:category/>
  <cp:contentStatus/>
</cp:coreProperties>
</file>