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threadedComments/threadedComment2.xml" ContentType="application/vnd.ms-excel.threaded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mgsgrupa-my.sharepoint.com/personal/edo_seifried_mgs-grupa_com/Documents/MUP - kalkulativni elementi/"/>
    </mc:Choice>
  </mc:AlternateContent>
  <xr:revisionPtr revIDLastSave="37" documentId="8_{551916E1-179E-4CD0-B918-427F461B451C}" xr6:coauthVersionLast="47" xr6:coauthVersionMax="47" xr10:uidLastSave="{24CD6A08-AC2A-4BE9-8DE4-0AB892872295}"/>
  <bookViews>
    <workbookView xWindow="-108" yWindow="-108" windowWidth="23256" windowHeight="12576" firstSheet="1" activeTab="6" xr2:uid="{00000000-000D-0000-FFFF-FFFF00000000}"/>
  </bookViews>
  <sheets>
    <sheet name="Specifikacija" sheetId="11" r:id="rId1"/>
    <sheet name="Raščlamba" sheetId="10" r:id="rId2"/>
    <sheet name="MATERIJAL" sheetId="4" r:id="rId3"/>
    <sheet name="RAD" sheetId="5" r:id="rId4"/>
    <sheet name="NEPOSREDNI" sheetId="6" r:id="rId5"/>
    <sheet name="POSREDNI" sheetId="7" r:id="rId6"/>
    <sheet name="REKAPITULACIJA" sheetId="8" r:id="rId7"/>
    <sheet name="cash flow" sheetId="12" r:id="rId8"/>
    <sheet name="cash flow bez pdv-a" sheetId="15" r:id="rId9"/>
    <sheet name="neka računica" sheetId="13" r:id="rId10"/>
    <sheet name="cash flow bez šasija" sheetId="14" r:id="rId11"/>
    <sheet name="Sheet2" sheetId="2" r:id="rId12"/>
    <sheet name="Sheet3" sheetId="3" r:id="rId13"/>
  </sheets>
  <externalReferences>
    <externalReference r:id="rId1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10" l="1"/>
  <c r="C11" i="4"/>
  <c r="H13" i="10"/>
  <c r="T54" i="15" l="1"/>
  <c r="Y40" i="15"/>
  <c r="V40" i="15"/>
  <c r="K40" i="15"/>
  <c r="I40" i="15"/>
  <c r="H34" i="15"/>
  <c r="G34" i="15"/>
  <c r="F34" i="15"/>
  <c r="F33" i="15"/>
  <c r="Y31" i="15"/>
  <c r="X31" i="15"/>
  <c r="W31" i="15"/>
  <c r="V31" i="15"/>
  <c r="U31" i="15"/>
  <c r="T31" i="15"/>
  <c r="S31" i="15"/>
  <c r="R31" i="15"/>
  <c r="Q31" i="15"/>
  <c r="P31" i="15"/>
  <c r="L20" i="15" s="1"/>
  <c r="O31" i="15"/>
  <c r="N31" i="15"/>
  <c r="M31" i="15"/>
  <c r="L31" i="15"/>
  <c r="K31" i="15"/>
  <c r="J31" i="15"/>
  <c r="I31" i="15"/>
  <c r="H31" i="15"/>
  <c r="G31" i="15"/>
  <c r="G20" i="15" s="1"/>
  <c r="F31" i="15"/>
  <c r="Y36" i="15"/>
  <c r="W36" i="15"/>
  <c r="V36" i="15"/>
  <c r="O36" i="15"/>
  <c r="N36" i="15"/>
  <c r="M36" i="15"/>
  <c r="L36" i="15"/>
  <c r="K36" i="15"/>
  <c r="H36" i="15"/>
  <c r="G36" i="15"/>
  <c r="E36" i="15"/>
  <c r="X28" i="15"/>
  <c r="K28" i="15"/>
  <c r="J28" i="15"/>
  <c r="I28" i="15"/>
  <c r="F28" i="15"/>
  <c r="Q21" i="15"/>
  <c r="L21" i="15"/>
  <c r="G21" i="15"/>
  <c r="Q20" i="15"/>
  <c r="D10" i="15"/>
  <c r="K8" i="15"/>
  <c r="H8" i="15"/>
  <c r="D8" i="15"/>
  <c r="K7" i="15"/>
  <c r="F36" i="15" l="1"/>
  <c r="E49" i="15"/>
  <c r="E50" i="15"/>
  <c r="X36" i="15"/>
  <c r="I36" i="15"/>
  <c r="J36" i="15"/>
  <c r="X28" i="12"/>
  <c r="X30" i="12" s="1"/>
  <c r="V28" i="13"/>
  <c r="W41" i="12"/>
  <c r="I35" i="12"/>
  <c r="J35" i="12"/>
  <c r="K35" i="12"/>
  <c r="L35" i="12"/>
  <c r="M35" i="12"/>
  <c r="N35" i="12"/>
  <c r="O35" i="12"/>
  <c r="P35" i="12"/>
  <c r="K28" i="12"/>
  <c r="J28" i="12"/>
  <c r="K40" i="12"/>
  <c r="J30" i="12"/>
  <c r="J36" i="12" s="1"/>
  <c r="V57" i="14"/>
  <c r="V54" i="14"/>
  <c r="T54" i="14"/>
  <c r="Y40" i="14"/>
  <c r="V40" i="14"/>
  <c r="J40" i="14"/>
  <c r="I40" i="14"/>
  <c r="H34" i="14"/>
  <c r="G34" i="14"/>
  <c r="F34" i="14"/>
  <c r="F33" i="14"/>
  <c r="Y32" i="14"/>
  <c r="X32" i="14"/>
  <c r="W32" i="14"/>
  <c r="V32" i="14"/>
  <c r="U32" i="14"/>
  <c r="T32" i="14"/>
  <c r="Q21" i="14" s="1"/>
  <c r="S32" i="14"/>
  <c r="R32" i="14"/>
  <c r="Q32" i="14"/>
  <c r="P32" i="14"/>
  <c r="O32" i="14"/>
  <c r="N32" i="14"/>
  <c r="M32" i="14"/>
  <c r="L32" i="14"/>
  <c r="K32" i="14"/>
  <c r="J32" i="14"/>
  <c r="I32" i="14"/>
  <c r="H32" i="14"/>
  <c r="G32" i="14"/>
  <c r="F32" i="14"/>
  <c r="Y31" i="14"/>
  <c r="X31" i="14"/>
  <c r="W31" i="14"/>
  <c r="V31" i="14"/>
  <c r="U31" i="14"/>
  <c r="T31" i="14"/>
  <c r="Q20" i="14" s="1"/>
  <c r="S31" i="14"/>
  <c r="R31" i="14"/>
  <c r="Q31" i="14"/>
  <c r="P31" i="14"/>
  <c r="L20" i="14" s="1"/>
  <c r="O31" i="14"/>
  <c r="N31" i="14"/>
  <c r="M31" i="14"/>
  <c r="L31" i="14"/>
  <c r="K31" i="14"/>
  <c r="J31" i="14"/>
  <c r="I31" i="14"/>
  <c r="H31" i="14"/>
  <c r="G31" i="14"/>
  <c r="G20" i="14" s="1"/>
  <c r="F31" i="14"/>
  <c r="N36" i="14"/>
  <c r="M36" i="14"/>
  <c r="L36" i="14"/>
  <c r="K36" i="14"/>
  <c r="I36" i="14"/>
  <c r="G36" i="14"/>
  <c r="E36" i="14"/>
  <c r="Y28" i="14"/>
  <c r="V28" i="14"/>
  <c r="J28" i="14"/>
  <c r="I28" i="14"/>
  <c r="F28" i="14"/>
  <c r="L21" i="14"/>
  <c r="G21" i="14"/>
  <c r="D10" i="14"/>
  <c r="K8" i="14"/>
  <c r="H8" i="14"/>
  <c r="D8" i="14"/>
  <c r="K7" i="14"/>
  <c r="T54" i="12"/>
  <c r="G41" i="13"/>
  <c r="Y40" i="13"/>
  <c r="V40" i="13"/>
  <c r="J40" i="13"/>
  <c r="I40" i="13"/>
  <c r="E36" i="13"/>
  <c r="E49" i="13" s="1"/>
  <c r="H34" i="13"/>
  <c r="G34" i="13"/>
  <c r="F34" i="13"/>
  <c r="F33" i="13"/>
  <c r="Y32" i="13"/>
  <c r="X32" i="13"/>
  <c r="W32" i="13"/>
  <c r="V32" i="13"/>
  <c r="U32" i="13"/>
  <c r="T32" i="13"/>
  <c r="Q21" i="13" s="1"/>
  <c r="S32" i="13"/>
  <c r="R32" i="13"/>
  <c r="Q32" i="13"/>
  <c r="L21" i="13" s="1"/>
  <c r="P32" i="13"/>
  <c r="O32" i="13"/>
  <c r="N32" i="13"/>
  <c r="M32" i="13"/>
  <c r="L32" i="13"/>
  <c r="K32" i="13"/>
  <c r="J32" i="13"/>
  <c r="I32" i="13"/>
  <c r="H32" i="13"/>
  <c r="G32" i="13"/>
  <c r="G21" i="13" s="1"/>
  <c r="F32" i="13"/>
  <c r="Y31" i="13"/>
  <c r="X31" i="13"/>
  <c r="X36" i="13" s="1"/>
  <c r="W31" i="13"/>
  <c r="V31" i="13"/>
  <c r="U31" i="13"/>
  <c r="Q20" i="13" s="1"/>
  <c r="T31" i="13"/>
  <c r="S31" i="13"/>
  <c r="R31" i="13"/>
  <c r="Q31" i="13"/>
  <c r="P31" i="13"/>
  <c r="O31" i="13"/>
  <c r="O36" i="13" s="1"/>
  <c r="N31" i="13"/>
  <c r="N36" i="13" s="1"/>
  <c r="M31" i="13"/>
  <c r="M36" i="13" s="1"/>
  <c r="L31" i="13"/>
  <c r="K31" i="13"/>
  <c r="J31" i="13"/>
  <c r="I31" i="13"/>
  <c r="H31" i="13"/>
  <c r="H36" i="13" s="1"/>
  <c r="G31" i="13"/>
  <c r="G36" i="13" s="1"/>
  <c r="F31" i="13"/>
  <c r="L36" i="13"/>
  <c r="K36" i="13"/>
  <c r="J36" i="13"/>
  <c r="Y28" i="13"/>
  <c r="Y36" i="13" s="1"/>
  <c r="W28" i="13"/>
  <c r="I28" i="13"/>
  <c r="I36" i="13" s="1"/>
  <c r="F28" i="13"/>
  <c r="L20" i="13"/>
  <c r="G20" i="13"/>
  <c r="D10" i="13"/>
  <c r="H8" i="13"/>
  <c r="D8" i="13"/>
  <c r="K7" i="13"/>
  <c r="K8" i="13" s="1"/>
  <c r="H36" i="12"/>
  <c r="G36" i="12"/>
  <c r="I36" i="12"/>
  <c r="L36" i="12"/>
  <c r="M36" i="12"/>
  <c r="N36" i="12"/>
  <c r="O36" i="12"/>
  <c r="W30" i="12"/>
  <c r="W36" i="12" s="1"/>
  <c r="Q21" i="12"/>
  <c r="Q20" i="12"/>
  <c r="U41" i="12"/>
  <c r="Y40" i="12"/>
  <c r="Y41" i="12" s="1"/>
  <c r="V40" i="12"/>
  <c r="V41" i="12" s="1"/>
  <c r="Y31" i="12"/>
  <c r="X31" i="12"/>
  <c r="W31" i="12"/>
  <c r="V31" i="12"/>
  <c r="U31" i="12"/>
  <c r="T31" i="12"/>
  <c r="S41" i="12"/>
  <c r="L21" i="12"/>
  <c r="L20" i="12"/>
  <c r="R41" i="12"/>
  <c r="Q41" i="12"/>
  <c r="S31" i="12"/>
  <c r="R31" i="12"/>
  <c r="Q31" i="12"/>
  <c r="H34" i="12"/>
  <c r="G34" i="12"/>
  <c r="F34" i="12"/>
  <c r="G21" i="12"/>
  <c r="P31" i="12"/>
  <c r="G20" i="12" s="1"/>
  <c r="O31" i="12"/>
  <c r="O41" i="12"/>
  <c r="L30" i="12"/>
  <c r="I28" i="12"/>
  <c r="I30" i="12"/>
  <c r="I40" i="12"/>
  <c r="I41" i="12" s="1"/>
  <c r="E30" i="12"/>
  <c r="E36" i="12" s="1"/>
  <c r="E49" i="12" s="1"/>
  <c r="F28" i="12"/>
  <c r="F30" i="12" s="1"/>
  <c r="G35" i="12" s="1"/>
  <c r="H35" i="12" s="1"/>
  <c r="G31" i="12"/>
  <c r="F31" i="12"/>
  <c r="N41" i="12"/>
  <c r="M41" i="12"/>
  <c r="L41" i="12"/>
  <c r="K41" i="12"/>
  <c r="J41" i="12"/>
  <c r="H41" i="12"/>
  <c r="G41" i="12"/>
  <c r="F33" i="12"/>
  <c r="N31" i="12"/>
  <c r="M31" i="12"/>
  <c r="L31" i="12"/>
  <c r="K31" i="12"/>
  <c r="J31" i="12"/>
  <c r="I31" i="12"/>
  <c r="H31" i="12"/>
  <c r="O30" i="12"/>
  <c r="N30" i="12"/>
  <c r="M30" i="12"/>
  <c r="K30" i="12"/>
  <c r="K36" i="12" s="1"/>
  <c r="H30" i="12"/>
  <c r="G30" i="12"/>
  <c r="D10" i="12"/>
  <c r="H8" i="12"/>
  <c r="D8" i="12"/>
  <c r="K7" i="12"/>
  <c r="K8" i="12" s="1"/>
  <c r="F50" i="15" l="1"/>
  <c r="G50" i="15" s="1"/>
  <c r="H50" i="15" s="1"/>
  <c r="I50" i="15" s="1"/>
  <c r="J50" i="15" s="1"/>
  <c r="K50" i="15" s="1"/>
  <c r="L50" i="15" s="1"/>
  <c r="M50" i="15" s="1"/>
  <c r="N50" i="15" s="1"/>
  <c r="O50" i="15" s="1"/>
  <c r="F49" i="15"/>
  <c r="G49" i="15" s="1"/>
  <c r="H49" i="15" s="1"/>
  <c r="I49" i="15" s="1"/>
  <c r="J49" i="15" s="1"/>
  <c r="K49" i="15" s="1"/>
  <c r="L49" i="15" s="1"/>
  <c r="M49" i="15" s="1"/>
  <c r="N49" i="15" s="1"/>
  <c r="O49" i="15" s="1"/>
  <c r="X36" i="12"/>
  <c r="X35" i="12"/>
  <c r="E50" i="12"/>
  <c r="E49" i="14"/>
  <c r="E50" i="14"/>
  <c r="F36" i="14"/>
  <c r="O36" i="14"/>
  <c r="W36" i="14"/>
  <c r="H36" i="14"/>
  <c r="X36" i="14"/>
  <c r="Y36" i="14"/>
  <c r="V36" i="14"/>
  <c r="J36" i="14"/>
  <c r="F36" i="13"/>
  <c r="F49" i="13" s="1"/>
  <c r="G49" i="13" s="1"/>
  <c r="H49" i="13" s="1"/>
  <c r="I49" i="13" s="1"/>
  <c r="J49" i="13" s="1"/>
  <c r="K49" i="13" s="1"/>
  <c r="L49" i="13" s="1"/>
  <c r="M49" i="13" s="1"/>
  <c r="N49" i="13" s="1"/>
  <c r="O49" i="13" s="1"/>
  <c r="E50" i="13"/>
  <c r="W36" i="13"/>
  <c r="V36" i="13"/>
  <c r="V30" i="12"/>
  <c r="Y30" i="12"/>
  <c r="Y36" i="12" s="1"/>
  <c r="F36" i="12"/>
  <c r="H63" i="10"/>
  <c r="C8" i="4" s="1"/>
  <c r="F50" i="12" l="1"/>
  <c r="G50" i="12" s="1"/>
  <c r="H50" i="12" s="1"/>
  <c r="I50" i="12" s="1"/>
  <c r="J50" i="12" s="1"/>
  <c r="K50" i="12" s="1"/>
  <c r="L50" i="12" s="1"/>
  <c r="M50" i="12" s="1"/>
  <c r="N50" i="12" s="1"/>
  <c r="O50" i="12" s="1"/>
  <c r="V36" i="12"/>
  <c r="W35" i="12"/>
  <c r="F50" i="14"/>
  <c r="G50" i="14" s="1"/>
  <c r="H50" i="14" s="1"/>
  <c r="I50" i="14" s="1"/>
  <c r="J50" i="14" s="1"/>
  <c r="K50" i="14" s="1"/>
  <c r="L50" i="14" s="1"/>
  <c r="M50" i="14" s="1"/>
  <c r="N50" i="14" s="1"/>
  <c r="O50" i="14" s="1"/>
  <c r="F49" i="14"/>
  <c r="G49" i="14" s="1"/>
  <c r="H49" i="14" s="1"/>
  <c r="I49" i="14" s="1"/>
  <c r="J49" i="14" s="1"/>
  <c r="K49" i="14" s="1"/>
  <c r="L49" i="14" s="1"/>
  <c r="M49" i="14" s="1"/>
  <c r="N49" i="14" s="1"/>
  <c r="O49" i="14" s="1"/>
  <c r="F50" i="13"/>
  <c r="G50" i="13" s="1"/>
  <c r="H50" i="13" s="1"/>
  <c r="I50" i="13" s="1"/>
  <c r="J50" i="13" s="1"/>
  <c r="K50" i="13" s="1"/>
  <c r="L50" i="13" s="1"/>
  <c r="M50" i="13" s="1"/>
  <c r="N50" i="13" s="1"/>
  <c r="O50" i="13" s="1"/>
  <c r="F49" i="12"/>
  <c r="G49" i="12" s="1"/>
  <c r="H49" i="12" s="1"/>
  <c r="I49" i="12" s="1"/>
  <c r="J49" i="12" s="1"/>
  <c r="K49" i="12" s="1"/>
  <c r="L49" i="12" s="1"/>
  <c r="M49" i="12" s="1"/>
  <c r="N49" i="12" s="1"/>
  <c r="O49" i="12" s="1"/>
  <c r="J182" i="10"/>
  <c r="J171" i="10"/>
  <c r="J57" i="10"/>
  <c r="H40" i="10" l="1"/>
  <c r="C9" i="4" s="1"/>
  <c r="J26" i="10"/>
  <c r="C6" i="4" s="1"/>
  <c r="H208" i="10"/>
  <c r="C13" i="4" s="1"/>
  <c r="C10" i="4"/>
  <c r="H33" i="10"/>
  <c r="C7" i="4" s="1"/>
  <c r="B9" i="4"/>
  <c r="C3" i="6"/>
  <c r="K213" i="11" l="1"/>
  <c r="L205" i="11"/>
  <c r="L202" i="11"/>
  <c r="L201" i="11"/>
  <c r="L200" i="11"/>
  <c r="L199" i="11"/>
  <c r="L198" i="11"/>
  <c r="L195" i="11"/>
  <c r="L194" i="11"/>
  <c r="L193" i="11"/>
  <c r="L192" i="11"/>
  <c r="L191" i="11"/>
  <c r="L190" i="11"/>
  <c r="L189" i="11"/>
  <c r="L188" i="11"/>
  <c r="L187" i="11"/>
  <c r="L186" i="11"/>
  <c r="L185" i="11"/>
  <c r="L184" i="11"/>
  <c r="L182" i="11"/>
  <c r="L181" i="11"/>
  <c r="L180" i="11"/>
  <c r="L179" i="11"/>
  <c r="L178" i="11"/>
  <c r="L177" i="11"/>
  <c r="L176" i="11"/>
  <c r="L175" i="11"/>
  <c r="L174" i="11"/>
  <c r="L173" i="11"/>
  <c r="L171" i="11"/>
  <c r="L170" i="11"/>
  <c r="L169" i="11"/>
  <c r="L168" i="11"/>
  <c r="L167" i="11"/>
  <c r="L166" i="11"/>
  <c r="L165" i="11"/>
  <c r="L164" i="11"/>
  <c r="L163" i="11"/>
  <c r="L161" i="11"/>
  <c r="L160" i="11"/>
  <c r="L159" i="11"/>
  <c r="L157" i="11"/>
  <c r="L156" i="11"/>
  <c r="L155" i="11"/>
  <c r="L154" i="11"/>
  <c r="L152" i="11"/>
  <c r="L151" i="11"/>
  <c r="L150" i="11"/>
  <c r="L149" i="11"/>
  <c r="L148" i="11"/>
  <c r="L147" i="11"/>
  <c r="L146" i="11"/>
  <c r="L145" i="11"/>
  <c r="L144" i="11"/>
  <c r="L143" i="11"/>
  <c r="L142" i="11"/>
  <c r="L141" i="11"/>
  <c r="L140" i="11"/>
  <c r="L139" i="11"/>
  <c r="L138" i="11"/>
  <c r="L137" i="11"/>
  <c r="L136" i="11"/>
  <c r="L135" i="11"/>
  <c r="L134" i="11"/>
  <c r="L133" i="11"/>
  <c r="L132" i="11"/>
  <c r="L131" i="11"/>
  <c r="L130" i="11"/>
  <c r="L129" i="11"/>
  <c r="L128" i="11"/>
  <c r="L127" i="11"/>
  <c r="L126" i="11"/>
  <c r="L125" i="11"/>
  <c r="L124" i="11"/>
  <c r="L122" i="11"/>
  <c r="L121" i="11"/>
  <c r="L120" i="11"/>
  <c r="L119" i="11"/>
  <c r="L118" i="11"/>
  <c r="L117" i="11"/>
  <c r="L115" i="11"/>
  <c r="L114" i="11"/>
  <c r="L113" i="11"/>
  <c r="L112" i="11"/>
  <c r="L111" i="11"/>
  <c r="L110" i="11"/>
  <c r="L109" i="11"/>
  <c r="L107" i="11"/>
  <c r="L106" i="11"/>
  <c r="L103" i="11"/>
  <c r="L92" i="11"/>
  <c r="L91" i="11"/>
  <c r="L90" i="11"/>
  <c r="L88" i="11"/>
  <c r="L86" i="11"/>
  <c r="L85" i="11"/>
  <c r="L84" i="11"/>
  <c r="L83" i="11"/>
  <c r="L82" i="11"/>
  <c r="L75" i="11"/>
  <c r="L73" i="11"/>
  <c r="L71" i="11"/>
  <c r="L68" i="11"/>
  <c r="L67" i="11"/>
  <c r="L60" i="11"/>
  <c r="L58" i="11"/>
  <c r="L49" i="11"/>
  <c r="L16" i="11"/>
  <c r="L213" i="11" l="1"/>
  <c r="D22" i="5" l="1"/>
  <c r="D20" i="5"/>
  <c r="D21" i="5" s="1"/>
  <c r="E23" i="5" l="1"/>
  <c r="D224" i="10"/>
  <c r="E224" i="10"/>
  <c r="F12" i="10" l="1"/>
  <c r="C5" i="4" s="1"/>
  <c r="Q19" i="13" l="1"/>
  <c r="L19" i="14"/>
  <c r="Q19" i="14"/>
  <c r="G19" i="14"/>
  <c r="G22" i="14" s="1"/>
  <c r="L19" i="13"/>
  <c r="L19" i="12"/>
  <c r="G19" i="12"/>
  <c r="G22" i="12" s="1"/>
  <c r="L19" i="15"/>
  <c r="G19" i="13"/>
  <c r="G22" i="13" s="1"/>
  <c r="G19" i="15"/>
  <c r="G22" i="15" s="1"/>
  <c r="Q19" i="12"/>
  <c r="Q19" i="15"/>
  <c r="F224" i="10"/>
  <c r="C224" i="10"/>
  <c r="C226" i="10" s="1"/>
  <c r="W15" i="6"/>
  <c r="W16" i="6" s="1"/>
  <c r="E6" i="5"/>
  <c r="E8" i="5"/>
  <c r="D12" i="7"/>
  <c r="D11" i="7"/>
  <c r="D26" i="7"/>
  <c r="D17" i="7"/>
  <c r="D5" i="7"/>
  <c r="D4" i="7"/>
  <c r="D4" i="6"/>
  <c r="D5" i="6"/>
  <c r="D6" i="6"/>
  <c r="D7" i="6"/>
  <c r="D11" i="6"/>
  <c r="D12" i="6"/>
  <c r="D13" i="6"/>
  <c r="D14" i="6"/>
  <c r="D15" i="6"/>
  <c r="D18" i="6"/>
  <c r="D19" i="6"/>
  <c r="D23" i="6"/>
  <c r="D24" i="6"/>
  <c r="D26" i="6"/>
  <c r="D3" i="6"/>
  <c r="Q9" i="4"/>
  <c r="Q7" i="4"/>
  <c r="Q10" i="4"/>
  <c r="C35" i="7"/>
  <c r="S23" i="6"/>
  <c r="P23" i="6"/>
  <c r="N23" i="6"/>
  <c r="M23" i="6"/>
  <c r="L23" i="6"/>
  <c r="K23" i="6"/>
  <c r="I19" i="6"/>
  <c r="I17" i="6"/>
  <c r="C17" i="6" s="1"/>
  <c r="D17" i="6" s="1"/>
  <c r="I16" i="6"/>
  <c r="C16" i="6" s="1"/>
  <c r="D16" i="6" s="1"/>
  <c r="I15" i="6"/>
  <c r="I14" i="6"/>
  <c r="I13" i="6"/>
  <c r="I12" i="6"/>
  <c r="I11" i="6"/>
  <c r="I10" i="6"/>
  <c r="C10" i="6" s="1"/>
  <c r="D10" i="6" s="1"/>
  <c r="F15" i="5"/>
  <c r="D14" i="5"/>
  <c r="E14" i="5" s="1"/>
  <c r="D13" i="5"/>
  <c r="E13" i="5" s="1"/>
  <c r="E12" i="5"/>
  <c r="E11" i="5"/>
  <c r="E10" i="5"/>
  <c r="E9" i="5"/>
  <c r="E7" i="5"/>
  <c r="E5" i="5"/>
  <c r="A5" i="5"/>
  <c r="A6" i="5" s="1"/>
  <c r="A7" i="5" s="1"/>
  <c r="A8" i="5" s="1"/>
  <c r="A9" i="5" s="1"/>
  <c r="A10" i="5" s="1"/>
  <c r="A11" i="5" s="1"/>
  <c r="A12" i="5" s="1"/>
  <c r="A13" i="5" s="1"/>
  <c r="A14" i="5" s="1"/>
  <c r="R30" i="4"/>
  <c r="R31" i="4" s="1"/>
  <c r="R20" i="4"/>
  <c r="R22" i="4" s="1"/>
  <c r="I15" i="4"/>
  <c r="F15" i="4"/>
  <c r="Q14" i="4"/>
  <c r="Q13" i="4"/>
  <c r="Q12" i="4"/>
  <c r="Q11" i="4"/>
  <c r="Q8" i="4"/>
  <c r="A5" i="4"/>
  <c r="A6" i="4" s="1"/>
  <c r="A7" i="4" s="1"/>
  <c r="A8" i="4" s="1"/>
  <c r="A9" i="4" s="1"/>
  <c r="A10" i="4" s="1"/>
  <c r="A11" i="4" s="1"/>
  <c r="A12" i="4" s="1"/>
  <c r="A13" i="4" s="1"/>
  <c r="A14" i="4" s="1"/>
  <c r="Q4" i="4"/>
  <c r="T28" i="14" l="1"/>
  <c r="T36" i="14" s="1"/>
  <c r="R28" i="14"/>
  <c r="R36" i="14" s="1"/>
  <c r="U54" i="14"/>
  <c r="V55" i="14" s="1"/>
  <c r="S28" i="14"/>
  <c r="S36" i="14" s="1"/>
  <c r="U28" i="14"/>
  <c r="U36" i="14" s="1"/>
  <c r="Q22" i="14"/>
  <c r="L22" i="14"/>
  <c r="Q28" i="14"/>
  <c r="Q36" i="14" s="1"/>
  <c r="P28" i="14"/>
  <c r="U28" i="13"/>
  <c r="U36" i="13" s="1"/>
  <c r="R28" i="13"/>
  <c r="R36" i="13" s="1"/>
  <c r="Q22" i="13"/>
  <c r="T28" i="13"/>
  <c r="T36" i="13" s="1"/>
  <c r="S28" i="13"/>
  <c r="S36" i="13" s="1"/>
  <c r="L22" i="15"/>
  <c r="P28" i="15"/>
  <c r="Q28" i="15"/>
  <c r="Q36" i="15" s="1"/>
  <c r="Q22" i="15"/>
  <c r="U28" i="15"/>
  <c r="U36" i="15" s="1"/>
  <c r="S28" i="15"/>
  <c r="S36" i="15" s="1"/>
  <c r="T28" i="15"/>
  <c r="T36" i="15" s="1"/>
  <c r="R28" i="15"/>
  <c r="R36" i="15" s="1"/>
  <c r="S28" i="12"/>
  <c r="R28" i="12"/>
  <c r="T28" i="12"/>
  <c r="U28" i="12"/>
  <c r="Q22" i="12"/>
  <c r="Q28" i="12"/>
  <c r="P28" i="12"/>
  <c r="L22" i="12"/>
  <c r="P28" i="13"/>
  <c r="P36" i="13" s="1"/>
  <c r="L22" i="13"/>
  <c r="Q28" i="13"/>
  <c r="Q36" i="13" s="1"/>
  <c r="X18" i="6"/>
  <c r="W18" i="6"/>
  <c r="D32" i="6"/>
  <c r="C6" i="8" s="1"/>
  <c r="C15" i="5"/>
  <c r="E4" i="5"/>
  <c r="E15" i="5" s="1"/>
  <c r="C5" i="8" s="1"/>
  <c r="D35" i="7"/>
  <c r="C7" i="8" s="1"/>
  <c r="Q6" i="4"/>
  <c r="C32" i="6"/>
  <c r="U30" i="12" l="1"/>
  <c r="V35" i="12" s="1"/>
  <c r="T30" i="12"/>
  <c r="T36" i="12" s="1"/>
  <c r="W54" i="14"/>
  <c r="V56" i="14" s="1"/>
  <c r="V58" i="14" s="1"/>
  <c r="P36" i="14"/>
  <c r="R30" i="12"/>
  <c r="S35" i="12" s="1"/>
  <c r="P36" i="15"/>
  <c r="W54" i="15"/>
  <c r="S30" i="12"/>
  <c r="T35" i="12" s="1"/>
  <c r="W54" i="12"/>
  <c r="P30" i="12"/>
  <c r="P36" i="12" s="1"/>
  <c r="Q30" i="12"/>
  <c r="R35" i="12" s="1"/>
  <c r="Q36" i="12"/>
  <c r="F228" i="10"/>
  <c r="Q5" i="4"/>
  <c r="Q15" i="4" s="1"/>
  <c r="S15" i="4" s="1"/>
  <c r="U36" i="12" l="1"/>
  <c r="R36" i="12"/>
  <c r="S36" i="12"/>
  <c r="C15" i="4"/>
  <c r="O15" i="4" l="1"/>
  <c r="D18" i="4"/>
  <c r="C4" i="8" l="1"/>
  <c r="C8" i="8" s="1"/>
  <c r="T15" i="4"/>
  <c r="D8" i="8" l="1"/>
  <c r="F8" i="8" s="1"/>
  <c r="E26" i="8"/>
  <c r="F26" i="8" s="1"/>
  <c r="C9" i="8"/>
  <c r="C10" i="8" s="1"/>
  <c r="W40" i="14" l="1"/>
  <c r="S40" i="13"/>
  <c r="T40" i="12"/>
  <c r="T41" i="12" s="1"/>
  <c r="U35" i="12" s="1"/>
  <c r="P40" i="15"/>
  <c r="P49" i="15" s="1"/>
  <c r="Q49" i="15" s="1"/>
  <c r="R49" i="15" s="1"/>
  <c r="S49" i="15" s="1"/>
  <c r="T49" i="15" s="1"/>
  <c r="U49" i="15" s="1"/>
  <c r="V49" i="15" s="1"/>
  <c r="W49" i="15" s="1"/>
  <c r="X49" i="15" s="1"/>
  <c r="Y49" i="15" s="1"/>
  <c r="D9" i="8"/>
  <c r="D10" i="8" s="1"/>
  <c r="W40" i="13"/>
  <c r="P40" i="14"/>
  <c r="P50" i="14" s="1"/>
  <c r="Q50" i="14" s="1"/>
  <c r="R50" i="14" s="1"/>
  <c r="S50" i="14" s="1"/>
  <c r="T50" i="14" s="1"/>
  <c r="U50" i="14" s="1"/>
  <c r="V50" i="14" s="1"/>
  <c r="W50" i="14" s="1"/>
  <c r="X50" i="14" s="1"/>
  <c r="Y50" i="14" s="1"/>
  <c r="W55" i="14" s="1"/>
  <c r="X40" i="15"/>
  <c r="C11" i="8"/>
  <c r="F11" i="8" s="1"/>
  <c r="D16" i="8"/>
  <c r="S40" i="14"/>
  <c r="P40" i="12"/>
  <c r="P41" i="12" s="1"/>
  <c r="P49" i="12" s="1"/>
  <c r="Q49" i="12" s="1"/>
  <c r="R49" i="12" s="1"/>
  <c r="S49" i="12" s="1"/>
  <c r="T49" i="12" s="1"/>
  <c r="U49" i="12" s="1"/>
  <c r="V49" i="12" s="1"/>
  <c r="W49" i="12" s="1"/>
  <c r="X49" i="12" s="1"/>
  <c r="Y49" i="12" s="1"/>
  <c r="T40" i="15"/>
  <c r="P40" i="13"/>
  <c r="P50" i="13" s="1"/>
  <c r="Q50" i="13" s="1"/>
  <c r="R50" i="13" s="1"/>
  <c r="S50" i="13" s="1"/>
  <c r="T50" i="13" s="1"/>
  <c r="U50" i="13" s="1"/>
  <c r="V50" i="13" s="1"/>
  <c r="W50" i="13" s="1"/>
  <c r="X50" i="13" s="1"/>
  <c r="Y50" i="13" s="1"/>
  <c r="X40" i="12"/>
  <c r="X41" i="12" s="1"/>
  <c r="Y35" i="12" s="1"/>
  <c r="P49" i="14"/>
  <c r="Q49" i="14" s="1"/>
  <c r="R49" i="14" s="1"/>
  <c r="S49" i="14" s="1"/>
  <c r="T49" i="14" s="1"/>
  <c r="U49" i="14" s="1"/>
  <c r="V49" i="14" s="1"/>
  <c r="W49" i="14" s="1"/>
  <c r="X49" i="14" s="1"/>
  <c r="Y49" i="14" s="1"/>
  <c r="C12" i="8" l="1"/>
  <c r="P49" i="13"/>
  <c r="Q49" i="13" s="1"/>
  <c r="R49" i="13" s="1"/>
  <c r="S49" i="13" s="1"/>
  <c r="T49" i="13" s="1"/>
  <c r="U49" i="13" s="1"/>
  <c r="V49" i="13" s="1"/>
  <c r="W49" i="13" s="1"/>
  <c r="X49" i="13" s="1"/>
  <c r="Y49" i="13" s="1"/>
  <c r="P50" i="12"/>
  <c r="Q50" i="12" s="1"/>
  <c r="R50" i="12" s="1"/>
  <c r="S50" i="12" s="1"/>
  <c r="T50" i="12" s="1"/>
  <c r="U50" i="12" s="1"/>
  <c r="V50" i="12" s="1"/>
  <c r="W50" i="12" s="1"/>
  <c r="X50" i="12" s="1"/>
  <c r="Y50" i="12" s="1"/>
  <c r="W55" i="12" s="1"/>
  <c r="Q35" i="12"/>
  <c r="P50" i="15"/>
  <c r="Q50" i="15" s="1"/>
  <c r="R50" i="15" s="1"/>
  <c r="S50" i="15" s="1"/>
  <c r="T50" i="15" s="1"/>
  <c r="U50" i="15" s="1"/>
  <c r="V50" i="15" s="1"/>
  <c r="W50" i="15" s="1"/>
  <c r="X50" i="15" s="1"/>
  <c r="Y50" i="15" s="1"/>
  <c r="W55"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Edo Seifried</author>
  </authors>
  <commentList>
    <comment ref="D12" authorId="0" shapeId="0" xr:uid="{00000000-0006-0000-0200-000001000000}">
      <text>
        <r>
          <rPr>
            <b/>
            <sz val="9"/>
            <color indexed="81"/>
            <rFont val="Tahoma"/>
            <family val="2"/>
            <charset val="238"/>
          </rPr>
          <t>Edo Seifried:</t>
        </r>
        <r>
          <rPr>
            <sz val="9"/>
            <color indexed="81"/>
            <rFont val="Tahoma"/>
            <family val="2"/>
            <charset val="238"/>
          </rPr>
          <t xml:space="preserve">
Upitna cijena sata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Edo Seifried</author>
  </authors>
  <commentList>
    <comment ref="E2" authorId="0" shapeId="0" xr:uid="{00000000-0006-0000-0300-000001000000}">
      <text>
        <r>
          <rPr>
            <b/>
            <sz val="9"/>
            <color indexed="81"/>
            <rFont val="Tahoma"/>
            <family val="2"/>
            <charset val="238"/>
          </rPr>
          <t>Edo Seifried:</t>
        </r>
        <r>
          <rPr>
            <sz val="9"/>
            <color indexed="81"/>
            <rFont val="Tahoma"/>
            <family val="2"/>
            <charset val="238"/>
          </rPr>
          <t xml:space="preserve">
Ovdje upisati koeficijent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Edo Seifried</author>
  </authors>
  <commentList>
    <comment ref="E2" authorId="0" shapeId="0" xr:uid="{00000000-0006-0000-0400-000001000000}">
      <text>
        <r>
          <rPr>
            <b/>
            <sz val="9"/>
            <color indexed="81"/>
            <rFont val="Tahoma"/>
            <family val="2"/>
            <charset val="238"/>
          </rPr>
          <t>Edo Seifried:</t>
        </r>
        <r>
          <rPr>
            <sz val="9"/>
            <color indexed="81"/>
            <rFont val="Tahoma"/>
            <family val="2"/>
            <charset val="238"/>
          </rPr>
          <t xml:space="preserve">
Ovdje upisati koeficijent</t>
        </r>
      </text>
    </comment>
    <comment ref="C16" authorId="0" shapeId="0" xr:uid="{00000000-0006-0000-0400-000002000000}">
      <text>
        <r>
          <rPr>
            <b/>
            <sz val="9"/>
            <color indexed="81"/>
            <rFont val="Tahoma"/>
            <family val="2"/>
            <charset val="238"/>
          </rPr>
          <t>Edo Seifried:</t>
        </r>
        <r>
          <rPr>
            <sz val="9"/>
            <color indexed="81"/>
            <rFont val="Tahoma"/>
            <family val="2"/>
            <charset val="238"/>
          </rPr>
          <t xml:space="preserve">
Nemogućnost razdjeljivanja troška kreditiranja
</t>
        </r>
      </text>
    </comment>
    <comment ref="C17" authorId="0" shapeId="0" xr:uid="{00000000-0006-0000-0400-000003000000}">
      <text>
        <r>
          <rPr>
            <b/>
            <sz val="9"/>
            <color indexed="81"/>
            <rFont val="Tahoma"/>
            <family val="2"/>
            <charset val="238"/>
          </rPr>
          <t>Edo Seifried:</t>
        </r>
        <r>
          <rPr>
            <sz val="9"/>
            <color indexed="81"/>
            <rFont val="Tahoma"/>
            <family val="2"/>
            <charset val="238"/>
          </rPr>
          <t xml:space="preserve">
Održavanje računa, otvorene račune kod 7 banaka
</t>
        </r>
      </text>
    </comment>
    <comment ref="C22" authorId="0" shapeId="0" xr:uid="{00000000-0006-0000-0400-000004000000}">
      <text>
        <r>
          <rPr>
            <b/>
            <sz val="9"/>
            <color indexed="81"/>
            <rFont val="Tahoma"/>
            <family val="2"/>
            <charset val="238"/>
          </rPr>
          <t>Edo Seifried:</t>
        </r>
        <r>
          <rPr>
            <sz val="9"/>
            <color indexed="81"/>
            <rFont val="Tahoma"/>
            <family val="2"/>
            <charset val="238"/>
          </rPr>
          <t xml:space="preserve">
NEZNAMO</t>
        </r>
      </text>
    </comment>
    <comment ref="C28" authorId="0" shapeId="0" xr:uid="{00000000-0006-0000-0400-000005000000}">
      <text>
        <r>
          <rPr>
            <b/>
            <sz val="9"/>
            <color indexed="81"/>
            <rFont val="Tahoma"/>
            <family val="2"/>
            <charset val="238"/>
          </rPr>
          <t>Edo Seifried:</t>
        </r>
        <r>
          <rPr>
            <sz val="9"/>
            <color indexed="81"/>
            <rFont val="Tahoma"/>
            <family val="2"/>
            <charset val="238"/>
          </rPr>
          <t xml:space="preserve">
Makar se ovoliko pojelo dok se dogovorilo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Edo Seifried</author>
  </authors>
  <commentList>
    <comment ref="C5" authorId="0" shapeId="0" xr:uid="{00000000-0006-0000-0500-000001000000}">
      <text>
        <r>
          <rPr>
            <b/>
            <sz val="9"/>
            <color indexed="81"/>
            <rFont val="Tahoma"/>
            <family val="2"/>
            <charset val="238"/>
          </rPr>
          <t>Edo Seifried:</t>
        </r>
        <r>
          <rPr>
            <sz val="9"/>
            <color indexed="81"/>
            <rFont val="Tahoma"/>
            <family val="2"/>
            <charset val="238"/>
          </rPr>
          <t xml:space="preserve">
Realno koštanje utrošenih sati za projekt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tc={F1563937-430A-4A90-BBF6-BD87B020ECAD}</author>
  </authors>
  <commentList>
    <comment ref="M30" authorId="0" shapeId="0" xr:uid="{F1563937-430A-4A90-BBF6-BD87B020ECAD}">
      <text>
        <t>[Threaded comment]
Your version of Excel allows you to read this threaded comment; however, any edits to it will get removed if the file is opened in a newer version of Excel. Learn more: https://go.microsoft.com/fwlink/?linkid=870924
Comment:
    Ovo mi je plaćanje šasija sa cijelim PDV-om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tc={77C9EE40-8820-4C3E-9406-075E0B67CEC4}</author>
  </authors>
  <commentList>
    <comment ref="M30" authorId="0" shapeId="0" xr:uid="{77C9EE40-8820-4C3E-9406-075E0B67CEC4}">
      <text>
        <t>[Threaded comment]
Your version of Excel allows you to read this threaded comment; however, any edits to it will get removed if the file is opened in a newer version of Excel. Learn more: https://go.microsoft.com/fwlink/?linkid=870924
Comment:
    Ovo mi je plaćanje šasija sa cijelim PDV-om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tc={84456DBA-7B48-40E8-9FAC-F3DEADE8DC2F}</author>
  </authors>
  <commentList>
    <comment ref="M30" authorId="0" shapeId="0" xr:uid="{84456DBA-7B48-40E8-9FAC-F3DEADE8DC2F}">
      <text>
        <t>[Threaded comment]
Your version of Excel allows you to read this threaded comment; however, any edits to it will get removed if the file is opened in a newer version of Excel. Learn more: https://go.microsoft.com/fwlink/?linkid=870924
Comment:
    Ovo mi je plaćanje šasija sa cijelim PDV-om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tc={ED1DD27A-F4EC-4963-9C8D-D0A615A6F11C}</author>
  </authors>
  <commentList>
    <comment ref="M30" authorId="0" shapeId="0" xr:uid="{ED1DD27A-F4EC-4963-9C8D-D0A615A6F11C}">
      <text>
        <t>[Threaded comment]
Your version of Excel allows you to read this threaded comment; however, any edits to it will get removed if the file is opened in a newer version of Excel. Learn more: https://go.microsoft.com/fwlink/?linkid=870924
Comment:
    Ovo mi je plaćanje šasija sa cijelim PDV-om</t>
      </text>
    </comment>
  </commentList>
</comments>
</file>

<file path=xl/sharedStrings.xml><?xml version="1.0" encoding="utf-8"?>
<sst xmlns="http://schemas.openxmlformats.org/spreadsheetml/2006/main" count="1633" uniqueCount="887">
  <si>
    <t>OPREMA</t>
  </si>
  <si>
    <t>UKUPNO</t>
  </si>
  <si>
    <t>POLUŠASIJA</t>
  </si>
  <si>
    <t>Montaža polušasije</t>
  </si>
  <si>
    <t>NADOGRADNJA</t>
  </si>
  <si>
    <t>Uključivanje visokog tlaka</t>
  </si>
  <si>
    <t>R.br.</t>
  </si>
  <si>
    <t>Stavka</t>
  </si>
  <si>
    <t>Gotovi sklopovi</t>
  </si>
  <si>
    <t>Oprema</t>
  </si>
  <si>
    <t>Montazni materijal</t>
  </si>
  <si>
    <t>Potrosni materijal</t>
  </si>
  <si>
    <t>Sveukupno:</t>
  </si>
  <si>
    <t>Cijena</t>
  </si>
  <si>
    <t>PDV</t>
  </si>
  <si>
    <t>Ukupno</t>
  </si>
  <si>
    <t>(1)</t>
  </si>
  <si>
    <t>(2)</t>
  </si>
  <si>
    <t>(3)</t>
  </si>
  <si>
    <t>(4)</t>
  </si>
  <si>
    <t>(5=3+4)</t>
  </si>
  <si>
    <t>(6)</t>
  </si>
  <si>
    <t>(7)</t>
  </si>
  <si>
    <t>(8=6+7)</t>
  </si>
  <si>
    <t>(9)</t>
  </si>
  <si>
    <t>(10)</t>
  </si>
  <si>
    <t>(11=9+10)</t>
  </si>
  <si>
    <t>(12)</t>
  </si>
  <si>
    <t>(13)</t>
  </si>
  <si>
    <t>(14=12+13)</t>
  </si>
  <si>
    <t>(15=5+8+11+14)</t>
  </si>
  <si>
    <t>PODVOZJE</t>
  </si>
  <si>
    <t>SPREMNIK</t>
  </si>
  <si>
    <t>ELEKTROINSTALACIJA</t>
  </si>
  <si>
    <t>UREĐAJI DOGRAĐENI NA VOZILO</t>
  </si>
  <si>
    <t>KROVNI SANDUK</t>
  </si>
  <si>
    <t>DOKUMENTACIJA</t>
  </si>
  <si>
    <t>OSTALO</t>
  </si>
  <si>
    <t>RAZNO</t>
  </si>
  <si>
    <t>Napomena:</t>
  </si>
  <si>
    <t>Upisani iznosi su stvarni troskovi koji ukljucuju cijenu sa svim troskovima:</t>
  </si>
  <si>
    <t>- nabavnu cijenu</t>
  </si>
  <si>
    <t>- transport i ostale manipulacije</t>
  </si>
  <si>
    <t>- carinu i spediciju (za stranu robu)</t>
  </si>
  <si>
    <t>NKV</t>
  </si>
  <si>
    <t>KV</t>
  </si>
  <si>
    <t>VKV</t>
  </si>
  <si>
    <t>SSS</t>
  </si>
  <si>
    <t>VŠS</t>
  </si>
  <si>
    <t>VSS</t>
  </si>
  <si>
    <t>netto trošak</t>
  </si>
  <si>
    <t>brutto</t>
  </si>
  <si>
    <t>Sati rada</t>
  </si>
  <si>
    <t>Prosjecno
(kn/h)</t>
  </si>
  <si>
    <t>Tokari</t>
  </si>
  <si>
    <t>(15)</t>
  </si>
  <si>
    <t>(16)</t>
  </si>
  <si>
    <t>(17=15+16)</t>
  </si>
  <si>
    <t>(18)</t>
  </si>
  <si>
    <t>(19)</t>
  </si>
  <si>
    <t>(20=18+19)</t>
  </si>
  <si>
    <t>(21=5+8+11+14+17+20)</t>
  </si>
  <si>
    <t>Slađan Petrović</t>
  </si>
  <si>
    <t>POPLUŠASIJA</t>
  </si>
  <si>
    <t>Mehaničari</t>
  </si>
  <si>
    <t>Ukupno:</t>
  </si>
  <si>
    <t>Oblagači</t>
  </si>
  <si>
    <t>Upisani iznosi - brutto cijena rada</t>
  </si>
  <si>
    <t>Električari</t>
  </si>
  <si>
    <t>Montažeri</t>
  </si>
  <si>
    <t>Cijevari Montažeri</t>
  </si>
  <si>
    <t>Pomoć po potrebi/skladištar</t>
  </si>
  <si>
    <t>godišnje</t>
  </si>
  <si>
    <t>mjesečno</t>
  </si>
  <si>
    <t>A.</t>
  </si>
  <si>
    <t>AMORTIZACIJA OSNOVNIH SREDSTAVA</t>
  </si>
  <si>
    <t>Proizvodna hala</t>
  </si>
  <si>
    <t>Strojevi i alati:</t>
  </si>
  <si>
    <t>b</t>
  </si>
  <si>
    <t>B.</t>
  </si>
  <si>
    <t>POSLOVANJE</t>
  </si>
  <si>
    <t>Režijski troškovi (struja, voda, plin, ostalo)</t>
  </si>
  <si>
    <t>Trošak komunikacija (mob, tel, e-mail)</t>
  </si>
  <si>
    <t>Mobiteli</t>
  </si>
  <si>
    <t>Fixni</t>
  </si>
  <si>
    <t>održavanje informatike</t>
  </si>
  <si>
    <t xml:space="preserve">Uredski materijal </t>
  </si>
  <si>
    <t>HTZ oprema</t>
  </si>
  <si>
    <t>Sl. Putovanja - dnevnice</t>
  </si>
  <si>
    <t>Hoteli</t>
  </si>
  <si>
    <t>Avio karte</t>
  </si>
  <si>
    <t>Goriva kamioni</t>
  </si>
  <si>
    <t>Koristenje osobnih automobila</t>
  </si>
  <si>
    <t>C.</t>
  </si>
  <si>
    <t>USLUGE</t>
  </si>
  <si>
    <t>hip reklame</t>
  </si>
  <si>
    <t>triglav osig.</t>
  </si>
  <si>
    <t>autolakirer mičetić</t>
  </si>
  <si>
    <t>moby -toy</t>
  </si>
  <si>
    <t>metallic</t>
  </si>
  <si>
    <t>bimont</t>
  </si>
  <si>
    <t>htc systems</t>
  </si>
  <si>
    <t xml:space="preserve">moby toy </t>
  </si>
  <si>
    <t>autoroller</t>
  </si>
  <si>
    <t>scam</t>
  </si>
  <si>
    <t>MAN</t>
  </si>
  <si>
    <t>CZV</t>
  </si>
  <si>
    <t>pranje vozila</t>
  </si>
  <si>
    <t>DZUS</t>
  </si>
  <si>
    <t>Kooperanti specijalisti</t>
  </si>
  <si>
    <t>Vanjski projektanti</t>
  </si>
  <si>
    <t>Konzultanti</t>
  </si>
  <si>
    <t>Prevodioci</t>
  </si>
  <si>
    <t>D.</t>
  </si>
  <si>
    <t>POSTPRODAJNI TROSKOVI</t>
  </si>
  <si>
    <t>Troškovi tijekom jamstvenog roka (periodički pregledi, rezervni dijelovi, potrošni materijal i sl.).</t>
  </si>
  <si>
    <t>1.</t>
  </si>
  <si>
    <t>OSIGURANJA</t>
  </si>
  <si>
    <t>triglav</t>
  </si>
  <si>
    <t>Razne uobicajene police  - osiguranje djelatnosti</t>
  </si>
  <si>
    <t>Polica za privremenu registraciju</t>
  </si>
  <si>
    <t>Polica osiguranja naplate</t>
  </si>
  <si>
    <t>2.</t>
  </si>
  <si>
    <t>BANKOVNE GARANCIJE</t>
  </si>
  <si>
    <t>Povrat avansa</t>
  </si>
  <si>
    <t>za ozbiljnost ponude</t>
  </si>
  <si>
    <t>Dobro izvrsenje posla</t>
  </si>
  <si>
    <t>3.</t>
  </si>
  <si>
    <t>OSTALI BANKARSKI TROSKOVI</t>
  </si>
  <si>
    <t>Trosak kredita za financiranje likvidnosti projekta (ako treba)</t>
  </si>
  <si>
    <t>Bank.trošk (na promet)</t>
  </si>
  <si>
    <t>4.</t>
  </si>
  <si>
    <t>AGENTI</t>
  </si>
  <si>
    <t>5.</t>
  </si>
  <si>
    <t>VODJENJE PROJEKTA</t>
  </si>
  <si>
    <t>Uprava i zajednicke sluzbe</t>
  </si>
  <si>
    <t>Marketing</t>
  </si>
  <si>
    <t>Reprezentacija projekta</t>
  </si>
  <si>
    <t>6.</t>
  </si>
  <si>
    <t>RIZIK (NEPLANIRANO)</t>
  </si>
  <si>
    <t>7.</t>
  </si>
  <si>
    <r>
      <t xml:space="preserve">PLANIRANA DOBIT </t>
    </r>
    <r>
      <rPr>
        <sz val="10"/>
        <rFont val="Arial"/>
        <family val="2"/>
      </rPr>
      <t>(uvecano za porez na dobit)</t>
    </r>
  </si>
  <si>
    <t>Trošak vozila</t>
  </si>
  <si>
    <t>Prodajna cijena</t>
  </si>
  <si>
    <t>MATERIJAL (*)</t>
  </si>
  <si>
    <t>NEPOSREDNI</t>
  </si>
  <si>
    <t>POSREDNI</t>
  </si>
  <si>
    <t>PDV:</t>
  </si>
  <si>
    <t>-</t>
  </si>
  <si>
    <t>Razlika u cijeni:</t>
  </si>
  <si>
    <t>razlika u postotku:</t>
  </si>
  <si>
    <t>1.1.</t>
  </si>
  <si>
    <t>Premještaj dijelova na šasiji</t>
  </si>
  <si>
    <t>1.2.</t>
  </si>
  <si>
    <t>Demontaža  i montaža branika i blatobrana</t>
  </si>
  <si>
    <t>1.3.</t>
  </si>
  <si>
    <t>Farbanje blatobrana i branika- bijela RAL9010</t>
  </si>
  <si>
    <t xml:space="preserve">1.1. </t>
  </si>
  <si>
    <t>Izrada polušasije</t>
  </si>
  <si>
    <t>Bojanje polušasije</t>
  </si>
  <si>
    <t>1.4.</t>
  </si>
  <si>
    <t>1.5.</t>
  </si>
  <si>
    <t>Izrada donjih boksova</t>
  </si>
  <si>
    <t>1.6.</t>
  </si>
  <si>
    <t xml:space="preserve">1.7.  </t>
  </si>
  <si>
    <t>Oblaganje nadogradnje</t>
  </si>
  <si>
    <t>1.9.</t>
  </si>
  <si>
    <t>1.10.</t>
  </si>
  <si>
    <t>Fugiranje</t>
  </si>
  <si>
    <t>1.11.</t>
  </si>
  <si>
    <t>Zaštita podvozja  - kobit</t>
  </si>
  <si>
    <t>1.12.</t>
  </si>
  <si>
    <t>1.13.</t>
  </si>
  <si>
    <t>Izrada škala za na krov</t>
  </si>
  <si>
    <t>1.14.</t>
  </si>
  <si>
    <t>Izrada stražnjih blatobrana + zavjesice</t>
  </si>
  <si>
    <t>1.15.</t>
  </si>
  <si>
    <t>3.1.</t>
  </si>
  <si>
    <t>3.2.</t>
  </si>
  <si>
    <t>3.5.</t>
  </si>
  <si>
    <t>3.6.</t>
  </si>
  <si>
    <t>PUMPA I CJEVOVOD</t>
  </si>
  <si>
    <t>4.2.</t>
  </si>
  <si>
    <t>4.4.</t>
  </si>
  <si>
    <t>Izrada kadice ispod pumpe</t>
  </si>
  <si>
    <t>4.5.</t>
  </si>
  <si>
    <t>Vanjski usis u pumpu</t>
  </si>
  <si>
    <t>4.6.</t>
  </si>
  <si>
    <t>Usis iz spremnika</t>
  </si>
  <si>
    <t>4.7.</t>
  </si>
  <si>
    <t>4.8.</t>
  </si>
  <si>
    <t>Cjevovod recirkulacije</t>
  </si>
  <si>
    <t>4.9.</t>
  </si>
  <si>
    <t>4.10.</t>
  </si>
  <si>
    <t>4.11.</t>
  </si>
  <si>
    <t>4.12.</t>
  </si>
  <si>
    <t>Usis u mješač pjenila iz spremnika + vanjski usis</t>
  </si>
  <si>
    <t xml:space="preserve">4.13. </t>
  </si>
  <si>
    <t>4.14.</t>
  </si>
  <si>
    <t>4.15.</t>
  </si>
  <si>
    <t>4.16.</t>
  </si>
  <si>
    <t>4.17.</t>
  </si>
  <si>
    <t>4.18.</t>
  </si>
  <si>
    <t>Izrada kontrolne ploče</t>
  </si>
  <si>
    <t>ELEKTRO RADOVI</t>
  </si>
  <si>
    <t>5.3.</t>
  </si>
  <si>
    <t>5.4.</t>
  </si>
  <si>
    <t>5.5.</t>
  </si>
  <si>
    <t>5.6.</t>
  </si>
  <si>
    <t>5.7.</t>
  </si>
  <si>
    <t>Priprema za radiostanicu</t>
  </si>
  <si>
    <t>Zvučni i mikrofon u prostoru pumpe</t>
  </si>
  <si>
    <t>5.9.</t>
  </si>
  <si>
    <t>Gabaritna svjetla</t>
  </si>
  <si>
    <t>5.10.</t>
  </si>
  <si>
    <t>5.11.</t>
  </si>
  <si>
    <t>5.13.</t>
  </si>
  <si>
    <t>Rasvjeta boksova - LED uz rolete + prekidač</t>
  </si>
  <si>
    <t>Kontrolna ploča pumpe</t>
  </si>
  <si>
    <t>5.17.</t>
  </si>
  <si>
    <t>5.18.</t>
  </si>
  <si>
    <t>5.19.</t>
  </si>
  <si>
    <t xml:space="preserve">5.20. </t>
  </si>
  <si>
    <t>6.1.</t>
  </si>
  <si>
    <t>6.2.</t>
  </si>
  <si>
    <t>Nosač krovnih škala</t>
  </si>
  <si>
    <t>6.3.</t>
  </si>
  <si>
    <t>Izvlačiva stijena</t>
  </si>
  <si>
    <t>6.4.</t>
  </si>
  <si>
    <t>6.5.</t>
  </si>
  <si>
    <t>6.6.</t>
  </si>
  <si>
    <t>6.7.</t>
  </si>
  <si>
    <t>6.8.</t>
  </si>
  <si>
    <t>6.9.</t>
  </si>
  <si>
    <t>6.10.</t>
  </si>
  <si>
    <t>6.11.</t>
  </si>
  <si>
    <t>6.12.</t>
  </si>
  <si>
    <t>6.13.</t>
  </si>
  <si>
    <t>6.14.</t>
  </si>
  <si>
    <t>6.15.</t>
  </si>
  <si>
    <t>6.16.</t>
  </si>
  <si>
    <t>6.17.</t>
  </si>
  <si>
    <t>Razdjelnica B/B2C</t>
  </si>
  <si>
    <t>6.18.</t>
  </si>
  <si>
    <t>6.19.</t>
  </si>
  <si>
    <t>6.20.</t>
  </si>
  <si>
    <t>6.21.</t>
  </si>
  <si>
    <t>6.22.</t>
  </si>
  <si>
    <t>6.23.</t>
  </si>
  <si>
    <t>6.24.</t>
  </si>
  <si>
    <t>6.25.</t>
  </si>
  <si>
    <t>Aparat S9 2kom</t>
  </si>
  <si>
    <t>STP mlaznica</t>
  </si>
  <si>
    <t>Izrada polica u sklopu nadogradnje zavarivanjem</t>
  </si>
  <si>
    <t>Testiranje</t>
  </si>
  <si>
    <t>Vaganje vozila</t>
  </si>
  <si>
    <t>Privremeni tehnički pregled</t>
  </si>
  <si>
    <t>7.5.</t>
  </si>
  <si>
    <t>Ušimavanje tempomata</t>
  </si>
  <si>
    <t>7.6.</t>
  </si>
  <si>
    <t>Uputstva za rukovanje</t>
  </si>
  <si>
    <t xml:space="preserve">7.7. </t>
  </si>
  <si>
    <t>Isporuka i obuka</t>
  </si>
  <si>
    <t>radni sat</t>
  </si>
  <si>
    <t>Sati u kunama</t>
  </si>
  <si>
    <t>SVEUKUPNO</t>
  </si>
  <si>
    <t>Mjesečni trošak</t>
  </si>
  <si>
    <t>Trošak projekta</t>
  </si>
  <si>
    <t>Koeficijent</t>
  </si>
  <si>
    <t>Tablica koeficijanata</t>
  </si>
  <si>
    <t>Pick up</t>
  </si>
  <si>
    <t>Malo Navalno</t>
  </si>
  <si>
    <t>Veliko navalno</t>
  </si>
  <si>
    <t>Autocisterna</t>
  </si>
  <si>
    <t>cisterna+pumpa</t>
  </si>
  <si>
    <t>šumsko</t>
  </si>
  <si>
    <t>prikolica</t>
  </si>
  <si>
    <t xml:space="preserve">7.10. </t>
  </si>
  <si>
    <t>Obljepljivanje folijom</t>
  </si>
  <si>
    <t>7.9.</t>
  </si>
  <si>
    <t>Vatrogasna škola - atest</t>
  </si>
  <si>
    <t>7.8.</t>
  </si>
  <si>
    <t>Aparat CO2 -5kg</t>
  </si>
  <si>
    <t>Šumska sjekira</t>
  </si>
  <si>
    <t>TP mlaznica</t>
  </si>
  <si>
    <t>Međumješalica</t>
  </si>
  <si>
    <t>Uže za usisne cijevi 2 kom</t>
  </si>
  <si>
    <t>Usisna košara</t>
  </si>
  <si>
    <t>Izrada polica MayTec profili</t>
  </si>
  <si>
    <t xml:space="preserve">5.28. </t>
  </si>
  <si>
    <t xml:space="preserve">5.27. </t>
  </si>
  <si>
    <t>Rasvjeta kontrolne ploče</t>
  </si>
  <si>
    <t xml:space="preserve">5.26. </t>
  </si>
  <si>
    <t xml:space="preserve">5.25. </t>
  </si>
  <si>
    <t xml:space="preserve">5.24. </t>
  </si>
  <si>
    <t>Automatsko održavanje tlaka</t>
  </si>
  <si>
    <t xml:space="preserve">5.23. </t>
  </si>
  <si>
    <t xml:space="preserve">5.22. </t>
  </si>
  <si>
    <t>Utičnica za nadopunjavanje akumulatora</t>
  </si>
  <si>
    <t>Pojačalo + zvučnik</t>
  </si>
  <si>
    <t>4.23.</t>
  </si>
  <si>
    <t>4.20.</t>
  </si>
  <si>
    <t>4.19.</t>
  </si>
  <si>
    <t>Vitlo srednjeg tlaka fi38/25m ručno</t>
  </si>
  <si>
    <t>Ručna drenaža pumpe</t>
  </si>
  <si>
    <t>Pražnjenje spremnika pjenila  DN25 +MS spojke</t>
  </si>
  <si>
    <t>Pražnjenje spremnika vode preko ventila DN20</t>
  </si>
  <si>
    <t xml:space="preserve">Pražnjenje spremnika  </t>
  </si>
  <si>
    <t>Izrada priključaka za spremnik vode</t>
  </si>
  <si>
    <t>3.8.</t>
  </si>
  <si>
    <t>Montaža spremnika vode</t>
  </si>
  <si>
    <t>Izrada krovnih ogradica, sprijeda, straga</t>
  </si>
  <si>
    <t>1.16.</t>
  </si>
  <si>
    <t>Montaža nadogradnje</t>
  </si>
  <si>
    <t>Podmetači za kotače</t>
  </si>
  <si>
    <t>2.5.</t>
  </si>
  <si>
    <t>Nadogradnja:</t>
  </si>
  <si>
    <t>Šasija:</t>
  </si>
  <si>
    <t>penali</t>
  </si>
  <si>
    <t>2.6.</t>
  </si>
  <si>
    <t>Kardani</t>
  </si>
  <si>
    <t>Izrada nosača i ugradnja stožastih amortizera</t>
  </si>
  <si>
    <t>Preljev -prekotlačni ventil</t>
  </si>
  <si>
    <t>Tlačni izlazi 2 kom na pumpi</t>
  </si>
  <si>
    <t xml:space="preserve">Punjenje spremnika vode 2 kom </t>
  </si>
  <si>
    <t>Pražnjenje spremnika pjenila DN25</t>
  </si>
  <si>
    <t>Rotacije na krovu 2 kom</t>
  </si>
  <si>
    <t xml:space="preserve">Zaštitna mrežica </t>
  </si>
  <si>
    <t>Rotaciono svjetlo na stražnjoj str. Vozila+zaštita</t>
  </si>
  <si>
    <t>Bljeskalice - 2kom iza+zaštita</t>
  </si>
  <si>
    <t>Bljeskalice 2 kom naprijed+zaštita</t>
  </si>
  <si>
    <t>Rasvjeta na krovu 2 kom</t>
  </si>
  <si>
    <t>Signalizacija za otvorene rolete+ostalo</t>
  </si>
  <si>
    <t>Presostatski nivokaz vode</t>
  </si>
  <si>
    <t>Relejna kutija + el. instalacija+ pneumatika</t>
  </si>
  <si>
    <t>Trokomorna dodatna stražnja svjetla</t>
  </si>
  <si>
    <t>Zaštitna mrežica na svim svjetlima</t>
  </si>
  <si>
    <t>Uređaj za dvostruku komandu</t>
  </si>
  <si>
    <t>Bočna svjetla na nogostupu</t>
  </si>
  <si>
    <t>Izvlačiva ladica</t>
  </si>
  <si>
    <t>Kanister za pjenilo  25 l 2kom</t>
  </si>
  <si>
    <t>Pločice na kontrolnoj ploči+pločice za opremu</t>
  </si>
  <si>
    <t>DVD RAVNA GORA</t>
  </si>
  <si>
    <t>Navalno vozilo</t>
  </si>
  <si>
    <t>Izvlačiva ladica za hidrauliku</t>
  </si>
  <si>
    <t>Razdjelnica trodijelna B/CBC</t>
  </si>
  <si>
    <t>Prijelaznica 75/52 mm</t>
  </si>
  <si>
    <t>Prijelaznica 52/25 mm</t>
  </si>
  <si>
    <t>Ključ za podzemni hidrant s uloškom</t>
  </si>
  <si>
    <t>Uže vatrogasno penjačko  min 30m u torbi</t>
  </si>
  <si>
    <t>Rezervna posuda za dišni aparat</t>
  </si>
  <si>
    <t>Maska za dišni aparat</t>
  </si>
  <si>
    <t>Motorna pila (kao STIHL 038) ili jednakovrijedna</t>
  </si>
  <si>
    <t>Ručna svjetiljka  LED</t>
  </si>
  <si>
    <t>Lopata</t>
  </si>
  <si>
    <t>Pajser</t>
  </si>
  <si>
    <t>Montaža roleta - 5kom</t>
  </si>
  <si>
    <t>Leasing Preša</t>
  </si>
  <si>
    <t xml:space="preserve">Bojanje nadogradnje- unut. konstrukcija </t>
  </si>
  <si>
    <t>Bojanje nadogradnje- vanjsko RAL3000</t>
  </si>
  <si>
    <t>Kombinirana vatrogasna pumpa 3000lit. I 400l</t>
  </si>
  <si>
    <t>Ključ ABC 3 kom</t>
  </si>
  <si>
    <t>hidrantski nastavak b/B</t>
  </si>
  <si>
    <t>Hidrantski nastavak C/C</t>
  </si>
  <si>
    <t>ključ za vt cijevi ms38 spojnice-</t>
  </si>
  <si>
    <t xml:space="preserve">Pijuk </t>
  </si>
  <si>
    <t>uže za vuču</t>
  </si>
  <si>
    <t>komplet prve pomoči din 14142</t>
  </si>
  <si>
    <t>rezervni lanac i komb. Kantica</t>
  </si>
  <si>
    <t>POGON</t>
  </si>
  <si>
    <t>Monitor na krovu</t>
  </si>
  <si>
    <t>BROJ DOKUMENTA:</t>
  </si>
  <si>
    <t>DATUM IZRADE:</t>
  </si>
  <si>
    <t>TEHNIČKA SPECIFIKACIJA</t>
  </si>
  <si>
    <t>PO CISTERNI</t>
  </si>
  <si>
    <t>23.7.2019.</t>
  </si>
  <si>
    <t>NAZIV GRUPE:</t>
  </si>
  <si>
    <t>AUTOCISTERNA</t>
  </si>
  <si>
    <t>NABAVNA KOLIČINA:</t>
  </si>
  <si>
    <t>21 vozilo</t>
  </si>
  <si>
    <t>NAMJENA:</t>
  </si>
  <si>
    <t>Vatrogasno vozilo za oskrbu vodom intervencijskih jedinica i za dopremu pitke vode - 7000 litara</t>
  </si>
  <si>
    <t>VRSTA NABAVE:</t>
  </si>
  <si>
    <t>Nabava vozila u vlasništvo</t>
  </si>
  <si>
    <t>PROIZVOĐAČ:</t>
  </si>
  <si>
    <t>Volvo Trucks Corporation Švedska / M.G.S. Grupa d.o.o. Hrvatska</t>
  </si>
  <si>
    <t>TIP/MODEL ILI TVORNIČKA OZNAKA:</t>
  </si>
  <si>
    <t>FL 816 - 4x4 / MGS AC7000/3500/400/KP</t>
  </si>
  <si>
    <t>TEHNIČKI ZAHTJEVI</t>
  </si>
  <si>
    <t>USKLAĐENOST PODATAKA PONUDITELJA S TEHNIČKIM ZAHTJEVIMA</t>
  </si>
  <si>
    <t xml:space="preserve">Količina </t>
  </si>
  <si>
    <t>Konkretan standard ili jednakovrijedan</t>
  </si>
  <si>
    <r>
      <t xml:space="preserve">Ponuditelj mora upisati dali ponuđena oprema u potpunosti zadovoljava tehnički zahtjev
</t>
    </r>
    <r>
      <rPr>
        <b/>
        <u/>
        <sz val="8"/>
        <color theme="1"/>
        <rFont val="Arial"/>
        <family val="2"/>
        <charset val="238"/>
      </rPr>
      <t>(zaokružiti DA ili NE) i broj stranice</t>
    </r>
    <r>
      <rPr>
        <b/>
        <sz val="8"/>
        <color theme="1"/>
        <rFont val="Arial"/>
        <family val="2"/>
        <charset val="238"/>
      </rPr>
      <t xml:space="preserve"> ponude na kojoj se nalaze traženi podaci</t>
    </r>
  </si>
  <si>
    <t>Ponuditelj mora upisati konkretne vrijednosti traženog podatka</t>
  </si>
  <si>
    <t>Bodovanje tehničkih zahtjeva                  (ispunjava naručitelj)</t>
  </si>
  <si>
    <t>POGONSKA GRUPA</t>
  </si>
  <si>
    <t>Vrsta: diesel</t>
  </si>
  <si>
    <t>DA          NE</t>
  </si>
  <si>
    <t>NE ISPUNJAVA SE</t>
  </si>
  <si>
    <t>NE BODUJE SE</t>
  </si>
  <si>
    <r>
      <t xml:space="preserve">Norma: minimalno </t>
    </r>
    <r>
      <rPr>
        <sz val="12"/>
        <color theme="1"/>
        <rFont val="Arial"/>
        <family val="2"/>
      </rPr>
      <t>EURO 5</t>
    </r>
  </si>
  <si>
    <t>Snaga vozila (KW): minimalno 205 kW</t>
  </si>
  <si>
    <t>210 kW</t>
  </si>
  <si>
    <t>Mjenjač: Ručna izvedba mjenjača, potpuno sinkroniziran, s minimalno 6 brzina naprijed + 1 unatrag</t>
  </si>
  <si>
    <t>Pogon: 4x2 ili 4x4</t>
  </si>
  <si>
    <t>Pogon 4x4</t>
  </si>
  <si>
    <t>Šasija</t>
  </si>
  <si>
    <t>Blokada diferencijala minimalno zadnje osovine</t>
  </si>
  <si>
    <t>Podvozje vozila mora biti dovoljno visoko da omogući potpunu mobilnost vozila u uvjetima vožnje izvan kolničkih površina</t>
  </si>
  <si>
    <t>DIMENZIJE VOZILA</t>
  </si>
  <si>
    <t>Dužina (mm): maksimum 7000</t>
  </si>
  <si>
    <t>6992 mm</t>
  </si>
  <si>
    <t xml:space="preserve">Širina (mm): maksimalno 2500 </t>
  </si>
  <si>
    <t>2500 mm</t>
  </si>
  <si>
    <t>Visina (mm): maksimalno 3400</t>
  </si>
  <si>
    <t>3350 mm</t>
  </si>
  <si>
    <t>Međuosovinski razmak vozila (mm) : maksimalno 3800</t>
  </si>
  <si>
    <t>3800 mm</t>
  </si>
  <si>
    <t>Najveća dopuštena masa (kg):                                                              Medium (M) : 7,5 t &lt; GLM (gross laden mass)  ≤ 16 t</t>
  </si>
  <si>
    <t>HRN EN 1846-1             HRN EN 1846-2</t>
  </si>
  <si>
    <t>16 t</t>
  </si>
  <si>
    <t>Vozilo mora udovoljavati Pravilniku o tehničkim uvjetima vozila u prometu na cestama (NN, broj 85/16 i 24/17), kao i Pravilniku ECE-R70</t>
  </si>
  <si>
    <t>Prema kategoriji definiranoj normom HRN EN 1846-1 točka 4 vozilo spada u kategoriju 2 - ruralno vozilo - Motorno vozilo koje je predviđeno za vožnju po svim cestama i ograničeno izvan kolničkih površina (lwith more off road capabilities)</t>
  </si>
  <si>
    <t>N3G</t>
  </si>
  <si>
    <t>U skladu sa točkom 5.2.1.2 norme HRN EN 1846-2 vozilo M (Medium) - 2 (rural) mora imati minimalno sljedeće geometrijske dimenzije: 
● Prednji napadni kut - točka 3.4 norme HRN EN 1846-2                             (α: approach angle) ≥ 23°</t>
  </si>
  <si>
    <t>26°</t>
  </si>
  <si>
    <t>U skladu sa točkom 5.2.1.2 norme HRN EN 1846-2 vozilo M (Medium) - 2 (rural) mora imati minimalno sljedeće geometrijske dimenzije: 
● Stražnji napadni kut - točka 3.5 norme HRN EN 1846-2                            (β: departure angle) ≥ 23°</t>
  </si>
  <si>
    <t>23°</t>
  </si>
  <si>
    <t>U skladu sa točkom 5.2.1.2 norme HRN EN 1846-2 vozilo M (Medium) - 2 (rural) mora imati minimalno sljedeće geometrijske dimenzije: 
● kut nagiba - točka 3.6 norme HRN EN 1846-2                                              (γ: angle of slope) ≥ 18°</t>
  </si>
  <si>
    <t>27°</t>
  </si>
  <si>
    <t>U skladu sa točkom 5.2.1.2 norme HRN EN 1846-2 vozilo M (Medium) - 2 (rural) mora imati minimalno sljedeće geometrijske dimenzije: 
● udaljenost od tla - točka 3.7 norme HRN EN 1846-2                                              (d: ground clearance) ≥ 0,30 m</t>
  </si>
  <si>
    <t>0,317 m</t>
  </si>
  <si>
    <t>U skladu sa točkom 5.2.1.2 norme HRN EN 1846-2 vozilo M (Medium) - 2 (rural) mora imati minimalno sljedeće geometrijske dimenzije: 
● udaljenost od tla pod osovinom - točka 3.8 norme HRN EN 1846-2 (h: ground clearance under axle) ≥ 0,23 m</t>
  </si>
  <si>
    <t>0,23 m</t>
  </si>
  <si>
    <r>
      <t xml:space="preserve">U skladu sa točkom 5.2.1.3 norme HRN EN 1846-2 vozilo M (Medium) - 2 (rural) mora imati minimalno sljedeće performanse: 
● vrijeme prelaska 100 metara iz stanja mirovanja vozila (A1 : time in seconds to travel 100 m from a standing start) </t>
    </r>
    <r>
      <rPr>
        <b/>
        <sz val="12"/>
        <color theme="1"/>
        <rFont val="Calibri"/>
        <family val="2"/>
        <charset val="238"/>
      </rPr>
      <t>≤</t>
    </r>
    <r>
      <rPr>
        <b/>
        <sz val="12"/>
        <color theme="1"/>
        <rFont val="Arial"/>
        <family val="2"/>
        <charset val="238"/>
      </rPr>
      <t xml:space="preserve"> 15 sekundi</t>
    </r>
  </si>
  <si>
    <t>14,5 sekundi</t>
  </si>
  <si>
    <r>
      <t xml:space="preserve">U skladu sa točkom 5.2.1.3 norme HRN EN 1846-2 vozilo M (Medium) - 2 (rural) mora imati minimalno sljedeće performanse: 
● vrijeme ubrzanja vozila do 65 km/h iz stanja mirovanja vozila (A2 : time in seconds taken to reach a speed of 65 km/h from a standing start) </t>
    </r>
    <r>
      <rPr>
        <b/>
        <sz val="12"/>
        <color theme="1"/>
        <rFont val="Calibri"/>
        <family val="2"/>
        <charset val="238"/>
      </rPr>
      <t>≤</t>
    </r>
    <r>
      <rPr>
        <b/>
        <sz val="12"/>
        <color theme="1"/>
        <rFont val="Arial"/>
        <family val="2"/>
        <charset val="238"/>
      </rPr>
      <t xml:space="preserve"> 30 sekundi</t>
    </r>
  </si>
  <si>
    <t>29 sekundi</t>
  </si>
  <si>
    <r>
      <t xml:space="preserve">U skladu sa točkom 5.2.1.3 norme HRN EN 1846-2 vozilo M (Medium) - 2 (rural) mora imati minimalno sljedeće performanse: 
● Maksimalna brzina je minimalno (V : minimum achievable speed) </t>
    </r>
    <r>
      <rPr>
        <b/>
        <sz val="12"/>
        <color theme="1"/>
        <rFont val="Calibri"/>
        <family val="2"/>
        <charset val="238"/>
      </rPr>
      <t>≥</t>
    </r>
    <r>
      <rPr>
        <b/>
        <sz val="12"/>
        <color theme="1"/>
        <rFont val="Arial"/>
        <family val="2"/>
        <charset val="238"/>
      </rPr>
      <t xml:space="preserve"> 85 km/h</t>
    </r>
  </si>
  <si>
    <t>90 km/h</t>
  </si>
  <si>
    <r>
      <t>U skladu sa točkom 5.2.1.3 norme HRN EN 1846-2 vozilo M (Medium) - 2 (rural) mora imati minimalno sljedeće performanse: 
● radijus okretanja vozila (turning circle between walls)</t>
    </r>
    <r>
      <rPr>
        <b/>
        <sz val="12"/>
        <color theme="1"/>
        <rFont val="Arial"/>
        <family val="2"/>
        <charset val="238"/>
      </rPr>
      <t xml:space="preserve">                             </t>
    </r>
    <r>
      <rPr>
        <b/>
        <sz val="12"/>
        <color theme="1"/>
        <rFont val="Calibri"/>
        <family val="2"/>
        <charset val="238"/>
      </rPr>
      <t>≤</t>
    </r>
    <r>
      <rPr>
        <b/>
        <sz val="12"/>
        <color theme="1"/>
        <rFont val="Arial"/>
        <family val="2"/>
        <charset val="238"/>
      </rPr>
      <t xml:space="preserve"> 18 metara</t>
    </r>
  </si>
  <si>
    <t>16,8 m</t>
  </si>
  <si>
    <t>Dozvoljeno opterećenje stražnje osovine minimalno 9.500 kg</t>
  </si>
  <si>
    <t>10.900 kg</t>
  </si>
  <si>
    <t>Dozvoljeno opterećenje prednje osovine minimalno 5.600 kg</t>
  </si>
  <si>
    <t>5.600 kg</t>
  </si>
  <si>
    <t>Broj sjedala: 1+2</t>
  </si>
  <si>
    <t>Spremnik za gorivo mora biti veličine koja omogućava vozilu da ispuni zahtjeve norme HRN EN 1846-2 (Vozila za gašenje požara i spašavanje–2. dio: Opći zahtjevi–Sigurnost i svojstva) točke 5.2.1.9 (Fuel tank and range) uz uvijet da spremnik za gorivo ne može biti manji od 180 litara</t>
  </si>
  <si>
    <t>210 litara</t>
  </si>
  <si>
    <t>Dva akumulatora 12 V i minimalno 150 Ah</t>
  </si>
  <si>
    <t>2 x 170 Ah</t>
  </si>
  <si>
    <t xml:space="preserve">OBVEZNA OPREMA VOZILA </t>
  </si>
  <si>
    <r>
      <t xml:space="preserve">● Servo upravljač 
● ABS (Anti-lock braking system) - sustav protiv blokiranja kotača pri kočenju  
● ASR (Anti Slip Regulation) - sustav protiv proklizavanja - NAPOMENA: nije uvjet ukoliko je ponuđeno 4x4 vozilo  
● ESP (Electronic Stability Program) - sustav za sprečavanje zanošenja i povećanja stabilnosti    
● Klima uređaj  
● </t>
    </r>
    <r>
      <rPr>
        <sz val="11"/>
        <color theme="1"/>
        <rFont val="Arial"/>
        <family val="2"/>
      </rPr>
      <t>Radio sa CD ili USB/AUX priključkom</t>
    </r>
    <r>
      <rPr>
        <sz val="11"/>
        <color theme="1"/>
        <rFont val="Arial"/>
        <family val="2"/>
        <charset val="238"/>
      </rPr>
      <t xml:space="preserve">
● Daljinsko centralno zaključavanje
● Zvučni signal kod vožnje unatrag (Signal upozorenja mora biti u skladu s HRN EN 981 - Sustav zvučnih i vizualnih signala opasnosti te obavijesnih signala. Razina buke zvučnog upozorenja mora biti najmanje 73 dB)
● Pri vožnji unazad osvjetljenje se automatski uključuje (stražnji i bočni reflektor).
● Na strani vozača nalazi se LCD zaslon koji prikazuje sliku kamere za vožnju unazad. Zaslon je također normalno vidljiv pod izravnim sunčevim svjetlom. Kamera se aktivira neovisno kada je mjenjač prebačen za vožnju unazad.
● Svjetla za maglu (prednja i stražnja)
● Retrovizori grijani i el. podesivi
● Mrežasta zaštita prednjih svjetala
● Sjedalo vozača podesivo po visini i dubini
● Ostala oprema koja je ugrađena u vozilo iz serijskog proizvodnog programa
</t>
    </r>
  </si>
  <si>
    <t xml:space="preserve">● Servo upravljač 
● ABS (Anti-lock braking system) - sustav protiv blokiranja kotača pri kočenju  
● ASR (Anti Slip Regulation) - sustav protiv proklizavanja - NAPOMENA: nije uvjet ukoliko je ponuđeno 4x4 vozilo  
● ESP (Electronic Stability Program) - sustav za sprečavanje zanošenja i povećanja stabilnosti    
● Klima uređaj  
● Radio sa CD i USB/AUX priključkom
● Daljinsko centralno zaključavanje
● Zvučni signal kod vožnje unatrag (Signal upozorenja u skladu s HRN EN 981 - Sustav zvučnih i vizualnih signala opasnosti te obavijesnih signala. Razina buke zvučnog upozorenja 73 dB)
● Pri vožnji unazad osvjetljenje se automatski uključuje (stražnji i bočni reflektor).
● Na strani vozača nalazi se LCD zaslon koji prikazuje sliku kamere za vožnju unazad. Zaslon je također normalno vidljiv pod izravnim sunčevim svjetlom. Kamera se aktivira neovisno kada je mjenjač prebačen za vožnju unazad.
● Svjetla za maglu (prednja i stražnja)
● Retrovizori grijani i el. podesivi
● Mrežasta zaštita prednjih svjetala
● Sjedalo vozača podesivo po visini i dubini
</t>
  </si>
  <si>
    <t>U kabini vozila ugrađena elektroinstalacija za punjače prijenosnih radio uređaja - minimalno za dva /2/ uređaja Tetra Motorola MTP6650. NAPOMENA: nabava uređaja Tetra Motorola MTP6650 nije predmet ovog natječaja i naručitelj iz svojih zaliha oprema vozila Tetra uređajima.</t>
  </si>
  <si>
    <t>NADOGRADNJA NA VOZILO</t>
  </si>
  <si>
    <r>
      <t xml:space="preserve">Kabina za posadu mora biti minimalno 1+2 (vozač + 2 vatrogasca) i ECE-R29 TEST REPORT za crash test </t>
    </r>
    <r>
      <rPr>
        <sz val="12"/>
        <color theme="1"/>
        <rFont val="Arial"/>
        <family val="2"/>
      </rPr>
      <t>NAPOMENA: - Uz ponudu je obavezno priložiti ECE-R29 certifikat kao dokaz o ispunjavanju tehničkog zahtjeva.</t>
    </r>
  </si>
  <si>
    <t>Vozilo mora biti u skladu sa HRN EN 1846-1, HRN EN 1846-2 i HRN EN 1846-3</t>
  </si>
  <si>
    <t>Dno kabine sastoji se od profila aluminijskih nosača na kojima je ugrađena gumena ploča. Gumena ploča služi kao: zvučna izolacija, toplinska izolacija i zaštita protiv klizanja za vatrogasce.</t>
  </si>
  <si>
    <r>
      <t xml:space="preserve">Unutrašnjost kabine izrađena je od materijala otpornih na koroziju. Sjedala i nasloni za sjedenje izrađeni su od materijala koji se mogu lako očistiti vlažnom krpom. Sva sjedala su opremljena s odobrenim sigurnosnim pojasevima u tri točke prema ECE R 16. Sigurnosni pojasevi također su montirani na tijelo kabine s odobrenim sidrištima prema ECE R 14 certifikatu. </t>
    </r>
    <r>
      <rPr>
        <sz val="12"/>
        <color theme="1"/>
        <rFont val="Arial"/>
        <family val="2"/>
      </rPr>
      <t>NAPOMENA: - Uz ponudu je obavezno priložiti ECE R16 i ECE R14 certifikat kao dokaz o ispunjavanju tehničkog zahtjeva.</t>
    </r>
  </si>
  <si>
    <t>Tip nadogradnje: Modularna nadogradnja, izvedena od tri dijela i to spremnik opreme iza vozačke kabine, rezervoar vode, spremnik pumpe, po 2 spremnika na svakoj bočnoj strani vozila i spremnik za pumpu na zadnjoj strani vozila</t>
  </si>
  <si>
    <t>Spremišta su zatvorena vodonepropusnim i zatvorenim anodiziranim roletama. Izrađene su od lagane legure i imaju mogućnost sigurnog zatvaranja sa sustavom zaključavanja. U slučaju da je bilo koji od segmenata otvoren, to će biti označeno kao upozorenje u vozačevoj kabini.</t>
  </si>
  <si>
    <t>U spremništu je ugrađena okretna stijena za smještaj 2 kompleta dišnih aparata + 2 rezervne boce</t>
  </si>
  <si>
    <t>Oprema u spremištima se mora montirati na fiksne aluminijske police ili nosače. Zidovi su izrađeni od profila, koji su obloženi aluminijskim pločama.
Oprema se pričvršćuje pojedinačno uz mogućnost brzog odvajanja. Instalacija je označena simbolima ili natpisima.</t>
  </si>
  <si>
    <t>Pokretni nosač za el. agregat mora imati mogućnost okretanja 90 stupnjeva i blokadu u otvorenom, srednjem i zatvorenom položaju</t>
  </si>
  <si>
    <t xml:space="preserve">Cijevi se montiraju u nosače s plastičnim pregradama i zaštićene od pada s čičak-trakama.
U nadogradnji moraju postojati sva sidrišta potrebne opreme i izrađena od nehrđajućeg materijala. </t>
  </si>
  <si>
    <r>
      <t xml:space="preserve">Kako bi se olakšao pristup opremi na višim razinama moraju biti ugrađeni podesti ispod spremnika. Podesti su odgovarajuće označeni treptajućim svjetlima kada su otvoreni (u funkciji uzimanja opreme). Podesti su izvedeni kao preklopna gazišta sa ugrađenim plinskim amortizerom na svakom podestu. Podesti su od aluminijske konstrukcije obložena sa unutarnje strane aluminijskim rebrastim limom (gazeći sloj) </t>
    </r>
    <r>
      <rPr>
        <sz val="12"/>
        <color theme="1"/>
        <rFont val="Arial"/>
        <family val="2"/>
      </rPr>
      <t>ili posebnim grubim plastičnim premazom koji je otporan na klizanja klasa R12 prema normi EN 13036-4</t>
    </r>
    <r>
      <rPr>
        <sz val="12"/>
        <color theme="1"/>
        <rFont val="Arial"/>
        <family val="2"/>
        <charset val="238"/>
      </rPr>
      <t>, a sa vanjske strane (kad su u zatvorenom položaju) istim materijalom kao i nadogradnja, obojani isto kao i nadogradnja. Podesti su takvih dimenzija da omogućuju uzimanje opreme iz spremnika sa obje ruke (nije potrebno pridržavati se za nadogradnju) kod uzimanja. U kabini vozila mora biti ugrađena signalizacija koja upozorava da je podest otvoren (u funkciji uzimanja opreme)</t>
    </r>
  </si>
  <si>
    <t>Stražnji otvor nadgradnje (za pumpu) također je zatvoren vodootpornim i zatvorenim anodiziranim roletama</t>
  </si>
  <si>
    <t>Krovom nadgradnje mora se moći hodati i mora biti prevučen je s protukliznim premazom na način da konstrukcija krova minimalno udovoljava zahtjevima iz točke 5.1.2.3.5 norme HRN EN 1846-2. Pristup krovu se mora osigurati preko ljestvi koje se nalaze na stražnjoj strani vozila na način da minimalno zadovoljavaju točku 5.1.2.3.4 norme HRN EN 1846-2</t>
  </si>
  <si>
    <t>U nadgradnji, sa stražnje strane mora se nalaziti sanitarni dio za higijenu vatrogasaca nakon intervencije. Set se sastoji od držača i dozatora tekućeg sapuna sa tekućim sapunom, slavine za vodu ½“ spojene na spremnik vode na vozilu, držača papirnatih ručnika sa papirnatim ručnicima, pištolj za ispuhivanje zrakom spojen sa fleksibilnom cijevi na zračnu instalaciju vozila (bez utjecaja na instalaciju vozila)</t>
  </si>
  <si>
    <t>Spremnik za vodu u nadgradnji je postavljen u sredini nadgradnje, između prednjeg prostora za opremu i stražnjeg prostora za opremu/pumpe. Vanjska stjenka spremnika ujedno je i vanjska stjenka nadogradnje</t>
  </si>
  <si>
    <r>
      <t>Spremnik za vodu izrađen je od polipropilena (PP) ili Glass Reinforced Plastic (GRP) ili jednakovrijednog materijala otpornog na koroziju minimalnog kapaciteta 7000 litara (</t>
    </r>
    <r>
      <rPr>
        <sz val="12"/>
        <color theme="1"/>
        <rFont val="Calibri"/>
        <family val="2"/>
        <charset val="238"/>
      </rPr>
      <t>±10</t>
    </r>
    <r>
      <rPr>
        <sz val="12"/>
        <color theme="1"/>
        <rFont val="Arial"/>
        <family val="2"/>
        <charset val="238"/>
      </rPr>
      <t xml:space="preserve">%). Spremnik ima vanjski preljev za višak vode na gornjoj strani. Ponuditelji su dužni voditi brigu da vozilo sa cjelokupnom opremom i punim rezervoarima vode (7000 litara ±10%) ne smije biti veća od ukupne dopuštene mase vozila (GLM </t>
    </r>
    <r>
      <rPr>
        <sz val="12"/>
        <color theme="1"/>
        <rFont val="Calibri"/>
        <family val="2"/>
        <charset val="238"/>
      </rPr>
      <t>≤</t>
    </r>
    <r>
      <rPr>
        <sz val="12"/>
        <color theme="1"/>
        <rFont val="Arial"/>
        <family val="2"/>
        <charset val="238"/>
      </rPr>
      <t xml:space="preserve"> 16 tona). GLM (gross laden mass) je bruto masa vozila sa vozačem (75 kg) i svim članovima posade i njihovom osobnom opremom (90 kg) i dadatkom od 15 kg za opremu vozača te ukupna masa vozila sa sveukupnom opremom i punim spremnicima goriva i vode.</t>
    </r>
  </si>
  <si>
    <t>6.510 litara - Glass Reinforced Plastic (GRP)</t>
  </si>
  <si>
    <r>
      <t>Spremnik za vodu mora imati izolaciju koja sprečava zamrazavanje tekućina u spremnicima pri vanjskoj temperaturi  -15</t>
    </r>
    <r>
      <rPr>
        <sz val="12"/>
        <color theme="1"/>
        <rFont val="Calibri"/>
        <family val="2"/>
        <charset val="238"/>
      </rPr>
      <t>°</t>
    </r>
    <r>
      <rPr>
        <sz val="12"/>
        <color theme="1"/>
        <rFont val="Arial"/>
        <family val="2"/>
        <charset val="238"/>
      </rPr>
      <t>C</t>
    </r>
  </si>
  <si>
    <t xml:space="preserve">Spremnik mora imati dovoljan broj uzdužnih i poprečnih komora za spriječavanje prekomjernog prelijevanja i pridruženog naginjanja vozila. </t>
  </si>
  <si>
    <r>
      <t xml:space="preserve">Na gornjoj strani, spremnik mora imati odgovarajući inspekciji/revizioni otvor za unutrašnjost minimalno Ø 450 mm, u slučaju popravaka. </t>
    </r>
    <r>
      <rPr>
        <sz val="12"/>
        <color theme="1"/>
        <rFont val="Arial"/>
        <family val="2"/>
      </rPr>
      <t xml:space="preserve"> Inspekciji/revizioni otvor mora biti prohodan i u istoj liniji krova, bez izbočina i mogućnosti zapinjanja za isti prilikom hodanja krovom.</t>
    </r>
  </si>
  <si>
    <t>Spremnik za vodu mora imati certifikat za prijevoz pitke vode - ponuditelj predstavlja kopiju certifikata u ponudi.</t>
  </si>
  <si>
    <t>Ostali zahtjevi vezano uz spremnik vode:
● Priključak za punjenje DN 75 mm sa Storz spojnicom i kapom, smješten sa desne strane  
● Odušak za tlačno rasterećenje
● Recirkulacijski vod  
● Kontrola razine vode na upravljačkoj ploči pumpe
● Dopušteni tlak punjenja minimalno 3 bar</t>
  </si>
  <si>
    <t>Vatrogasna centrifugalna pumpa - materijal osovine pumpe nehrđajući čelik, a materijal kućišta je legura aluminija. Dijelovi pume ili cijela pumpa može biti izrađena i od brončane legure.</t>
  </si>
  <si>
    <t>HRN EN 1028-1                 HRN EN 1028-2</t>
  </si>
  <si>
    <t>Proizvođač: MGS Grupa
Tip:  MGS-KP35.10VT</t>
  </si>
  <si>
    <r>
      <t xml:space="preserve">Ugrađena pumpa kombinirana sa srednjim i visokim tlakom minimalno 3500 l/min pri 10 bara i 400 l/min pri 40 bara </t>
    </r>
    <r>
      <rPr>
        <sz val="12"/>
        <color theme="1"/>
        <rFont val="Arial"/>
        <family val="2"/>
      </rPr>
      <t>pri usisu od 3 metra visine</t>
    </r>
    <r>
      <rPr>
        <sz val="12"/>
        <color theme="1"/>
        <rFont val="Arial"/>
        <family val="2"/>
        <charset val="238"/>
      </rPr>
      <t xml:space="preserve">. Pumpa mora imati elektronsku regulaciju tlaka u pumpi. Pumpa mora biti pogodna za rad s normalnim i visokim tlakom uz mogućnost istovremenog rada. Pogon pumpe preko lateralnog pogona motora vozila i mjenjača </t>
    </r>
    <r>
      <rPr>
        <sz val="12"/>
        <color theme="1"/>
        <rFont val="Arial"/>
        <family val="2"/>
      </rPr>
      <t>(PTO pogon)</t>
    </r>
    <r>
      <rPr>
        <sz val="12"/>
        <color theme="1"/>
        <rFont val="Arial"/>
        <family val="2"/>
        <charset val="238"/>
      </rPr>
      <t>, koji je montiran na pumpu.</t>
    </r>
  </si>
  <si>
    <t>3500 l/min pri 10 bara i 400 l/min pri 40 bara pri usisu od 3 metra visine</t>
  </si>
  <si>
    <r>
      <t xml:space="preserve">Priključci pumpe - minimalno:
● Usisni priključak Storz A sa slijepom spojnicom, sa zapornim ventilom, za priključenje usisnih cijevi
● Dva priključka za normalan tlak, izvedena na izlaz na lijevu i desnu stranu
● Dva priključka sa slijepom spojnicom B 75 mm. Priključci su opremljeni vretenastim ventilima.
</t>
    </r>
    <r>
      <rPr>
        <sz val="12"/>
        <color theme="1"/>
        <rFont val="Arial"/>
        <family val="2"/>
      </rPr>
      <t xml:space="preserve">● Dva priključka za visoki tlak. Jedan priključak za visoki tlak je namijenjen za navalno vitlo  a jedan priključak s ručnim ventilom na zasun i opremljen je H spojnicom. </t>
    </r>
  </si>
  <si>
    <t>Usisni priključak Storz A sa slijepom spojnicom, sa zapornim ventilom, za priključenje usisnih cijevi
Dva priključka za normalan tlak, izvedena na izlaz na lijevu i desnu stranu 
Dva priključka sa slijepom spojnicom B 75 mm. Priključci su opremljeni vretenastim ventilima.
Dva priključka za visoki tlak. Jedan priključak za visoki tlak je namijenjen za navalno vitlo  a jedan priključak s ručnim ventilom na zasun i opremljen je H spojnicom</t>
  </si>
  <si>
    <t>Vatrogasna pumpa mora biti opremljena termičkom zaštitom. Ako crpka radi i nema trenutačnog povlačenja vode (svi su izlazni ventili zatvoreni), temperatura vode može doseći prekomjernu temperaturu. U tom slučaju, ventil se otvara i ispušta pregrijanu vodu iz pumpe. Kada se ispušta pregrijanu voda iz pumpe taj postupak mora biti popraćen zvučnim signalom. Centrifugalna pumpa osim punjenja  u rezervoar mora imati mogućnost direktnog prolaza tekućine iz usisnog u tlačni  dio pumpe a da je pri tome rezervoar zatvoren ventilom.</t>
  </si>
  <si>
    <t>Vatrogasna pumpa mora imati automatsko odzračivanje. U slučaju gubitka vakuma vakum pumpa se automatski uključuje.</t>
  </si>
  <si>
    <t>Upravljačka ploča za rad pumpe (upravljački sustav preko prekidača i poluga) je vodootporna, osvijetljena i sastoji se od minimalno:
• Tipke za uključivanje i isključivanje pumpe (također u kabini)
• Tipke za uključivanje / isključivanje rada visokotlačnog sklopa pumpe
• Kontrola brzine pumpe
• Indikator nivoa vode u rezervoaru
• Manometar za normalan tlak
• Manometar za visoki tlak
• Vakummetar
• Brojač radnih sati
Stupanj zaštite električne instalacije i elektronike mora biti sukladno stupnju zaštite minimalno IP 54 (potrebna ovjerena deklaracija proizvođača)</t>
  </si>
  <si>
    <t>sastoji se od:
• Tipke za uključivanje i isključivanje pumpe (također u kabini)
• Tipke za uključivanje / isključivanje rada visokotlačnog sklopa pumpe
• Kontrola brzine pumpe
• Indikator nivoa vode u rezervoaru
• Manometar za normalan tlak
• Manometar za visoki tlak
• Vakummetar
• Brojač radnih sati
Stupanj zaštite električne instalacije i elektronike sukladno stupnju zaštite IP 65</t>
  </si>
  <si>
    <t>U vod za hidrantsko punjenje ugraditi automatsku regulaciju razine koja omogućava automatsko nadopunjavanje spremnika vode (kada je vozilo priključeno na hidrant) bez intervencije vatrogasca. Hidrantsko punjenje mora se automatski aktivirati kada je razina vode u spremniku 30%, a isključiti kada je razina vode u spremniku 95% bez intervencije vatrogasca.
Automatska regulacija razine mora se moći i isključiti (ručna regulacija punjenja).</t>
  </si>
  <si>
    <t>Navalno vitlo izrađeno od materijala otpornog na koroziju. Gumena visokotlačna cijev na jezgri montirana na bubanj s kolutom. Crijevo je pričvršćeno na izlaz bubnja za namatanje spojkom s mogućnošću odspajanja s druge strane. Namatanje cijevi je električno. Aktiviranje za namatanje vitla je preko sklopke. Vitlo za namatanje ima automatsku kočnicu. Četiri vodeća valjka za cijevi koriste se za olakšavanje odmotavanja. Bubanj za namatanje također ima mogućnost ručnog namotavanja. Na vitlu se nalazi minimalno 60 m VT promjera cijevi od 25 mm i mlaznica visokog pritiska. Mlaznica ima protok od minimalno 200 l / min na 40 bara i omogućava razinu mlaza kao što je stvaranje magle s velikim kutom.</t>
  </si>
  <si>
    <t>Proizvođač: CRI REELS
Tip: 1660-2420-EW4UCPG</t>
  </si>
  <si>
    <t>Ponuditelj u ponudi mora priložiti izjavu kojom prihvaća da se pozicija navalnog vitla na vozilu može kasnije definirati prema želji kupca</t>
  </si>
  <si>
    <r>
      <t xml:space="preserve">Vitlo za izvlačenje - naprijed, straga, sredina podvozja, izlazno mjesto čeličnog užeta naprijed, maksimalni vučni kut 25 º, pogon: </t>
    </r>
    <r>
      <rPr>
        <sz val="12"/>
        <color theme="1"/>
        <rFont val="Arial"/>
        <family val="2"/>
      </rPr>
      <t>hidraulično ili električno vitlo</t>
    </r>
    <r>
      <rPr>
        <sz val="12"/>
        <color theme="1"/>
        <rFont val="Arial"/>
        <family val="2"/>
        <charset val="238"/>
      </rPr>
      <t>, upravljanje: iz kabine i daljinsko, aktiviranje elektropneumatsko, vučna sila minimalno 50 kN, dužina čeličnog užeta minimalno 50 metara, brzina rada minimalno 10 m/min, ugrađena zaštita od preopterećenja.</t>
    </r>
  </si>
  <si>
    <t>Proizvođač: ComeUp
Tip: Rhino 15</t>
  </si>
  <si>
    <t>Vučna kuka za prikolice sa cjelokupnom potrebnom instalacijom za prihvat prikolice.</t>
  </si>
  <si>
    <t>POSEBNA OPREMA</t>
  </si>
  <si>
    <t>U spremištu za sve članove posade moraju biti dišni aparati prema HRN EN 137, a držači za dišne aparate mora zadovoljiti zahtjev iz točke 5.1.2.2.3 norme HRN EN 1846-2.</t>
  </si>
  <si>
    <t>Aparat za gašenje požara (2kg), komplet žarulja, trokut, kutija prve pomoći HRN 1112, reflektirajući prsluk (narančasti) HRN EN 471, hidraulična dizalica, priručni alat za podvozje, klinasti podlošci 2 komada</t>
  </si>
  <si>
    <t>Zaštitne navlake za sva sjedala otporna na habanje</t>
  </si>
  <si>
    <t>SVJETLOSNA, ZVUČNA  I KOMUNIKACIJSKA OPREMA</t>
  </si>
  <si>
    <r>
      <t xml:space="preserve">Na prednjoj strani vozila na krovu ugraditi LED reflektor minimalno </t>
    </r>
    <r>
      <rPr>
        <sz val="12"/>
        <color theme="1"/>
        <rFont val="Arial"/>
        <family val="2"/>
      </rPr>
      <t>4200</t>
    </r>
    <r>
      <rPr>
        <sz val="12"/>
        <color theme="1"/>
        <rFont val="Arial"/>
        <family val="2"/>
        <charset val="238"/>
      </rPr>
      <t xml:space="preserve"> lumena sa daljinskom kontrolom u kabini vozila. Isti je vodootporan u smislu da je predviđen za rad na otvorenom po kiši što predstavlja minimalnu zaštitu IP65. </t>
    </r>
    <r>
      <rPr>
        <sz val="12"/>
        <color theme="1"/>
        <rFont val="Arial"/>
        <family val="2"/>
      </rPr>
      <t>NAPOMENA: u ponudi je obvezna dostava tehničkog lista ponuđenog reflektora</t>
    </r>
  </si>
  <si>
    <t>Proizvođač: Sanmak lighting CO. LTD.
Tip: SM2209</t>
  </si>
  <si>
    <r>
      <t xml:space="preserve">Rasvjeta okoline vozila provodi se s 3 LED reflektora minimalno 1000 lum/kom na svakoj strani (lijevo i desno) karoserije i dva reflektora minimalno 1000 lum/kom na stražnjoj strani. </t>
    </r>
    <r>
      <rPr>
        <sz val="12"/>
        <color theme="1"/>
        <rFont val="Arial"/>
        <family val="2"/>
      </rPr>
      <t>NAPOMENA: u ponudi je obvezna dostava tehničkog lista ponuđenog reflektora</t>
    </r>
  </si>
  <si>
    <t>Proizvođač: Labcraft Ltd
Tip: LED SCENELITE SI8</t>
  </si>
  <si>
    <t>U lijevom i desnom kabinetima s opremom mora biti LED rasvjeta za lakše korištenje opreme u noćnim uvjetima koja se automatski pali dizanjem roleta.</t>
  </si>
  <si>
    <t>Signal upozorenja u LED tehnologiji sastoji se od:
● dvije integrirane plave bljeskalice na krovu kabine (kut vidljivosti 360 stupnjeva, minimalno deset (10) dioda, minimalne snage 3W po diodi)
● dvije u stražnjoj nadogradnji (minimalno šest (6) dioda smještenih u jednom redu, minimalne snage 3W po diodi),
● dvije bljeskalice integrirane u prednji okvir (minimalno šest (6) dioda smještenih u jednom redu, minimalne snage 3W po diodi),
Bljeskalice u stražnoj nadogradnji i u prednjem okviru moraju imati mogućnost promjene ciklusa bljeskanja. Način bljeskanja (ciklus) izabire se u dogovoru sa korisnikom pri prvoj ugradnji.</t>
  </si>
  <si>
    <t>Proizvođač: STROBOS
Tip: LED BAQUDA 40
Proizvođač: JULUEN
Tip: AXIXTECH MS6 R65 LED
625,00 Kn  X  42 kom =  26.250,00 Kn
439,00 Kn  x  42 kom =  18.438,00 Kn
439,00 Kn  x  42 kom =  18.438,00 Kn</t>
  </si>
  <si>
    <r>
      <t xml:space="preserve">Vozilo mora imati zvučni signalni uređaj sa mogućnošću izbora više tonova, a pripadajući zvučnik snage minimalno 100W/12V ili 100W/24V ugrađuje </t>
    </r>
    <r>
      <rPr>
        <sz val="12"/>
        <color theme="1"/>
        <rFont val="Arial"/>
        <family val="2"/>
      </rPr>
      <t>na krovu vozila ili u motornom prostoru.</t>
    </r>
  </si>
  <si>
    <t>Proizvođač: HAZTEC
Tip: 8-8115-2 100W
Pripadajući zvučnik snage 100W/24V ugrađen u motornom prostoru.</t>
  </si>
  <si>
    <t>Komunikacijska oprema:
Priprema i ugradnja električne i antenske instalacije za radio stanicu Tetra - Motorola MTM5400 u vozilo (u daljnjem tekstu radio stanica) :
DASH radio stanica: 
● smješta se u prednju konzolu ili na prednju konzolu, ovisno o modelu isporučenog vozila, tako da bude vizualno dostupna i na dohvat ruke 
● radio stanica se montira u ili na nosač
● nosač radio stanice  mora biti učvršćen u ili na konzoli vozila 
● NAPOMENA: nabava uređaja Tetra Motorola MTM5400 nije predmet ovog natječaja i naručitelj iz svojih zaliha oprema vozila Tetra uređajima.</t>
  </si>
  <si>
    <t>Predviđeni poslovi pripreme (u obvezi isporučitelja):
1. Montirati kombiniranu antenu za radio-stanicu sa dva tvornički završena koaksialna kabela (RG-58), konektorima i pripadajućim prijelazima.
2. Izvesti samostalno napajanje 12V-10A (crvena i crna žica 2,5 mm2 sa ugrađenim osiguračem 10 A i konektorom za napajanje radio-stanice ) 
3. Ukoliko vozilo ima 24V instalaciju,napajanje izvesti pretvaračem 24 V – 12 V (nikako sa srednjeg izvoda akumulatora)
4. Kabel zvučnika spojiti na konektor (16-pinski konektor)
5. Montirati nosač MTK kombinacije
6. Montirati zvučnik
7. Montirati nosač radio stanice</t>
  </si>
  <si>
    <t>BOJA</t>
  </si>
  <si>
    <t>Crvena po RAL 3000 osim branika i blatobrana koji su bijele boje, podvozje je standardne boje proizvođača podvozja, kotači su crne ili sive standardne boje proizvođača podvozja. Roletne su srebrne boje.</t>
  </si>
  <si>
    <t>MCD</t>
  </si>
  <si>
    <t>APLICIRANJE VOZILA</t>
  </si>
  <si>
    <t>MIČETIĆ</t>
  </si>
  <si>
    <t>U cijenu su uključene sljedeće naljepnice:
● Naprijed na maski vozila
● Na vratima vozila znak postrojbe
● Na zadnjim vratima nadgradnje
● Na oba boka vozila
● Svi natpisi iz reflektirajuće visoko kvalitetne folije
● Visina grbova na vozilima su minimalno 35 cm, a svi detalji označavanja biti će detaljno dogovoreni sa odabranim ponuditeljem</t>
  </si>
  <si>
    <t>Pismotisak</t>
  </si>
  <si>
    <t>TEHNIČKA DOKUMENTACIJA</t>
  </si>
  <si>
    <t>Uputa o korištenju vozila, specijalne i svjetlosno zvučne opreme na hrvatskom jeziku (obveza kod isporuke vozila)</t>
  </si>
  <si>
    <t xml:space="preserve"> Servisna i jamstvena knjižica (obveza kod isporuke vozila)</t>
  </si>
  <si>
    <t>Popis ovlaštene servisne mreže na području Republike Hrvatske za ponuđenu marku vozila iskazanu po županijama.</t>
  </si>
  <si>
    <t>Servisni interval za podvozje ponuđenog vozilo najmanje jednom godišnje ili prema preporuci proizvođača.</t>
  </si>
  <si>
    <t>Servisni interval: 1 godišnje ili 30.000 km ili 1.000 radnih sati (ovisno što prije nastupi)</t>
  </si>
  <si>
    <t>Izjava proizvođača ili ovlaštenog predstavnika proizvođača za marku vozila u Republici Hrvatskoj o besplatnom otklanjanju kvarova na vozilima, za vrijeme trajanja ugovorenog jamstvenog roka putem ovlaštene servisne mreže za marku vozila (ne uključuje se nestručno rukovanje i od potrošnog materijala: žarulje, diskovi, disk pločice,metlice brisača, fluidi, staklene površine).</t>
  </si>
  <si>
    <t>Kompletan opis ponuđenog vozila (kao privitak ovim tehničkim značajkama) sa tehničkim karakteristikama vozila, ponuđenom serijskom i dodatnom opremom, traženom specijalnom opremom, te tehničkim karakteristikama predviđene svjetlosno-zvučne opreme, kao i slikovni prikaz vozila (tehnička skica sa svim glavnim mjerama - dužina, visina, širina, međuosovinski razmak, pristupni kutovi), nacrt rasporeda opreme u nadogradnji u četiri pogleda (lijevo, desno, straga i tloct), izračun opterečenja vozila koji jasno prikazuje težinu podvozja, nadogradnje, spremnika, opreme, posade vozila i slično, predviđene specijalne opreme za ugradnju. Ponuditelji su dužni prilikom dostave ponude dostaviti izračun ukupne mase vozila sa cjelokupnom opremom i punim rezervoarima vode i pjenila. Ukupna masa vozila ne smije biti veća od ukupne dopuštene mase vozila.</t>
  </si>
  <si>
    <t>Izjava o predkomisijskom i komisijskom pregledu prvog prerađenog vozila od strane korisnika s pravom zahtjeva za doradom u okviru tehničkih značajki vozila (na komisijskom pregledu isporučitelj je u obvezi priložiti ovjerenu kopiju homologacijskog lista vozila, ovjerenu tehničku specifikaciju vozila i posebne policijske opreme).</t>
  </si>
  <si>
    <t>Popis kooperanata previđenih za ugradnju opreme tražene u tehničkim značajkama vozila</t>
  </si>
  <si>
    <t>Dokumentacija za registraciju vozila.</t>
  </si>
  <si>
    <t xml:space="preserve"> Pun spremnik goriva</t>
  </si>
  <si>
    <t>210L x 10kn</t>
  </si>
  <si>
    <t>SPECIJALNA OPREMA VATROGASNOG VOZILA</t>
  </si>
  <si>
    <t>Zaštitna oprema i odjeća</t>
  </si>
  <si>
    <t>Upozoravajući prsluk</t>
  </si>
  <si>
    <t>HRN EN 471</t>
  </si>
  <si>
    <r>
      <t xml:space="preserve">Dišni aparat za vatrogasce - Izrađen i ispitan sukladno HRN EN
137:08 tip 2 i ATEX direktriva 94/9/EC minimalno II 1G IIC T6 -30°C&lt;Ta&lt;+60°C , što se potvrđuje Certifikatom
Sastav kompleta:
- leđni okvir s reduktorom i manometrom
- boca za stlačeni zrak + rezervna boca
- plućni automat i zaštitna maska
Prilikom isporuke se mora priložiti Izvješće o  obavljenom 1.servisu.
a) </t>
    </r>
    <r>
      <rPr>
        <u/>
        <sz val="12"/>
        <color theme="1"/>
        <rFont val="Arial"/>
        <family val="2"/>
        <charset val="238"/>
      </rPr>
      <t>Leđni okvir s reduktorom i manometrom</t>
    </r>
    <r>
      <rPr>
        <sz val="12"/>
        <color theme="1"/>
        <rFont val="Arial"/>
        <family val="2"/>
        <charset val="238"/>
      </rPr>
      <t xml:space="preserve">
Leđni okvir dišnog aparata mora biti robustan, a istovremeno  ergonomskog oblika, udoban za nošenje i lagan, maksimalne težine leđnog okvira s reduktorom do 3,50 kg. Antistatičan materijal, visoke otpornosti na toplinske, mehaničke utjecaje i kemikalije. Provodnici visokotlačnog protoka i srednje-tlačne cijevi moraju biti integrirani u leđni okvir. 
Nominalni izlazni tlak prvog stupnja 7,5 bar
Izlazni protok prvog stupnja &gt;1000 L/min. 
Aktivacijski tlak zviždaljke 50-60 bar
Jačina zvuka zviždaljke minimalno  90 dBA </t>
    </r>
  </si>
  <si>
    <t>HRN EN 137                   HRN EN 136</t>
  </si>
  <si>
    <r>
      <t xml:space="preserve">Proizvođač:                                                            </t>
    </r>
    <r>
      <rPr>
        <sz val="9"/>
        <rFont val="Arial"/>
        <family val="2"/>
        <charset val="238"/>
      </rPr>
      <t xml:space="preserve">Dišni aparat </t>
    </r>
    <r>
      <rPr>
        <b/>
        <sz val="9"/>
        <rFont val="Arial"/>
        <family val="2"/>
        <charset val="238"/>
      </rPr>
      <t xml:space="preserve">Dräger </t>
    </r>
    <r>
      <rPr>
        <sz val="9"/>
        <rFont val="Arial"/>
        <family val="2"/>
        <charset val="238"/>
      </rPr>
      <t xml:space="preserve">                                  NOSEĆI OKVIR PSS 3000                                    PLUĆNI AUTOMAT PSS-A                                  MASKA FPS 7000 P-EPDM-M2-PCas-EPDM           CFK BOCA 6,8 L/300 BAR                                  1.SERVIS I PUNJENJE BOCA                           REZERVNA CFK BOCA 6,8 L/300 BAR</t>
    </r>
  </si>
  <si>
    <r>
      <t xml:space="preserve">  
b) </t>
    </r>
    <r>
      <rPr>
        <u/>
        <sz val="12"/>
        <color theme="1"/>
        <rFont val="Arial"/>
        <family val="2"/>
        <charset val="238"/>
      </rPr>
      <t>Boca za stlačeni zrak</t>
    </r>
    <r>
      <rPr>
        <sz val="12"/>
        <color theme="1"/>
        <rFont val="Arial"/>
        <family val="2"/>
        <charset val="238"/>
      </rPr>
      <t xml:space="preserve">
Volumena </t>
    </r>
    <r>
      <rPr>
        <sz val="12"/>
        <color theme="1"/>
        <rFont val="Arial"/>
        <family val="2"/>
      </rPr>
      <t>6,9L/300 bar ±2%</t>
    </r>
    <r>
      <rPr>
        <sz val="12"/>
        <color theme="1"/>
        <rFont val="Arial"/>
        <family val="2"/>
        <charset val="238"/>
      </rPr>
      <t xml:space="preserve">; s aluminijskom jezgrom i omotanim  kompozitnim vlaknima ; priključak G 5/8; ventil sa sinterfilterom. Boce se isporučuju napunjene zrakom, pričvršćene na dišne aparate, a prilikom isporuke ponuditelj je dužan za boce priložiti certifikat ovlaštene ispitne tvrtke
c) </t>
    </r>
    <r>
      <rPr>
        <u/>
        <sz val="12"/>
        <color theme="1"/>
        <rFont val="Arial"/>
        <family val="2"/>
        <charset val="238"/>
      </rPr>
      <t>Zaštitna maska</t>
    </r>
    <r>
      <rPr>
        <sz val="12"/>
        <color theme="1"/>
        <rFont val="Arial"/>
        <family val="2"/>
        <charset val="238"/>
      </rPr>
      <t xml:space="preserve">
Sukladna HRN EN 136; što potvrđuje Certifikat 
Materijal maske EPDM, dvostruko prianjanje, vizir od polikarbonata, panoramski oblik vizira; temperatura uporabe od -</t>
    </r>
    <r>
      <rPr>
        <sz val="12"/>
        <color theme="1"/>
        <rFont val="Arial"/>
        <family val="2"/>
      </rPr>
      <t>30°C do +60°C</t>
    </r>
    <r>
      <rPr>
        <sz val="12"/>
        <color theme="1"/>
        <rFont val="Arial"/>
        <family val="2"/>
        <charset val="238"/>
      </rPr>
      <t xml:space="preserve">.
d) </t>
    </r>
    <r>
      <rPr>
        <u/>
        <sz val="12"/>
        <color theme="1"/>
        <rFont val="Arial"/>
        <family val="2"/>
        <charset val="238"/>
      </rPr>
      <t>Plućni automat</t>
    </r>
    <r>
      <rPr>
        <sz val="12"/>
        <color theme="1"/>
        <rFont val="Arial"/>
        <family val="2"/>
        <charset val="238"/>
      </rPr>
      <t xml:space="preserve">
Sustav nadtlaka s automatskim uključivanjem. Nadtlak u zaštitnoj maski maksimalno 3,9 mbar. </t>
    </r>
    <r>
      <rPr>
        <sz val="12"/>
        <color theme="1"/>
        <rFont val="Arial"/>
        <family val="2"/>
      </rPr>
      <t>Plućni automat mora biti odvojiv od srednje-tlačnog voda i od zaštitne maske.</t>
    </r>
  </si>
  <si>
    <t>Zaštitne hlače i zaštitna jakna za korištenje motorne pile. Hlače i jakne moraju biti dostupne minimalno u veličinskim brojevima L, XL i XXL. Konkretne veličinske brojeve za isporuku definirat će se nakon potpisa ugovora prema potrebama krajnjih korisnika.</t>
  </si>
  <si>
    <t>HRN EN 381-5</t>
  </si>
  <si>
    <t>Proizvođač: STIHL 
Tip: PROTECT MS</t>
  </si>
  <si>
    <t xml:space="preserve">Kaciga zaštitna za rad sa motornom pilom sa vizirom i zaštitom za uši </t>
  </si>
  <si>
    <t>HRN EN 397, HRN EN 1731</t>
  </si>
  <si>
    <t>Proizvođač: STIHL 
Tip: FUNCTION BASIC</t>
  </si>
  <si>
    <t>Zaštitne naočale</t>
  </si>
  <si>
    <t>HRN EN 166</t>
  </si>
  <si>
    <t xml:space="preserve">Proizvođač: Fitzner 
Tip: ECO LIGHT ZAT </t>
  </si>
  <si>
    <t>Zaštitne gumirane čizme, moraju biti dostupne minimalno u veličinskim brojevima od 40 do 49. Konkretne veličinske brojeve za isporuku definirat će se nakon potpisa ugovora prema potrebama krajnjih korisnika.</t>
  </si>
  <si>
    <t>HRN EN ISO 20345</t>
  </si>
  <si>
    <t>Proizvođač: BEKINA 
Tip: STEPLITE-X</t>
  </si>
  <si>
    <t>Zaštitne rukavice, moraju biti dostupne minimalno u veličinskim brojevima M, L, XL. Konkretne veličinske brojeve za isporuku definirat će se nakon potpisa ugovora prema potrebama krajnjih korisnika.</t>
  </si>
  <si>
    <t>HRN EN 374, HRN EN 388, HRN EN 407</t>
  </si>
  <si>
    <t>Proizvođač: MAPA STANZOIL 
Tip: NK22 382</t>
  </si>
  <si>
    <t>Kemijsko odijelo, mora biti dostupno minimalno u veličinskim brojevima M, L, XL. Konkretne veličinske brojeve za isporuku definirat će se nakon potpisa ugovora prema potrebama krajnjih korisnika.</t>
  </si>
  <si>
    <t>HRN EN 14605, HRN EN ISO 13982-1, HRN EN 13034, HRN EN 14126, HRN EN 1149-1, HRN EN 1073-2</t>
  </si>
  <si>
    <t>Proizvođač: DRAGER
Tip:   KEM.ODIJELO SPC 3800 GR,XL</t>
  </si>
  <si>
    <t xml:space="preserve">Vatrogasni opasač sa mogučnošću konstruiranja spasilačkog sjedala (EN 1498, klasa B), </t>
  </si>
  <si>
    <t>HRN EN 358</t>
  </si>
  <si>
    <t>Proizvođač: CERTEX 
Tip: PROTECT PB31</t>
  </si>
  <si>
    <t>Vatrogasna oprema</t>
  </si>
  <si>
    <t>Brentača, 10 l, namijenjene prvenstveno za gašenje požara A klase, Spremnik je izrađen od duboko galvaniziranog čelika i obojan u crveno. Dvofunkcionalna pumpa je izrađena od mesinga.</t>
  </si>
  <si>
    <t>prema DIN 14405</t>
  </si>
  <si>
    <t>Proizvođač: FIRERESCUE 
Tip: B10</t>
  </si>
  <si>
    <t xml:space="preserve">Vatrogasni aparat prah ABC, Količina sredstva za gašenje 9 kg </t>
  </si>
  <si>
    <t>HRN EN 3-7</t>
  </si>
  <si>
    <t>Proizvođač: M.G.S. Grupa 
Tip: MGP 9</t>
  </si>
  <si>
    <t>Vatrogasni aparat CO2, Količina sredstva za gašenje 5 kg</t>
  </si>
  <si>
    <t>HRN EN 3</t>
  </si>
  <si>
    <t>Proizvođač: M.G.S. Grupa 
Tip: CO2-5 KG</t>
  </si>
  <si>
    <t>Naprtnjača ergonomska 25L, masa maksimalno 2,5 kg, protok vode minimalno 3.7 l/min, duljina prskanja u najjačem modu je minimalno 8 metara</t>
  </si>
  <si>
    <t>Proizvođač: LESTECH 
Tip: ERMAK 25</t>
  </si>
  <si>
    <t>Metlanica za gašenje i suzbijanje širenja požara na otvorenom prostoru - Težina: maksimalno 3 kg - Glava metlanice konstruirana je kao lepeza a izrađena je od pocinčanog čeličnog lima - Drška je dužine 1,8 m izrađena od Nuplaglas materijala</t>
  </si>
  <si>
    <t>Proizvođač: DONGES 
Tip: NUPLAGLAS</t>
  </si>
  <si>
    <t>Posuda za pjenilo, 20 l (napunjene pjenilom klasa A EN 1568)</t>
  </si>
  <si>
    <t>DIN 14452</t>
  </si>
  <si>
    <t>Cijevi, armature i pribor</t>
  </si>
  <si>
    <t>Tlačna cijev B, Ø 75 mm, 5 m - Duljine 15 m sa kovanim spojnicama. Vanjski sloj cijevi izrađen od poliesterske pređe ili sličnog, cijev je iznutra obložena materijalom kao "EPDM sintetskom gumom" ili sličnim materijalom. Radni tlak cijevi minimalno 25 bara, tlak rasprskavanja minimalno 50 bara.</t>
  </si>
  <si>
    <t>DIN 14811 kat. 2</t>
  </si>
  <si>
    <t>Proizvođač: PARSCH
Tip:  SL COVERFLEX</t>
  </si>
  <si>
    <t>Tlačna cijev B, Ø 75 mm, 15-20 m - Duljine 15 m sa kovanim spojnicama. Vanjski sloj cijevi izrađen od poliesterske pređe ili sličnog, cijev je iznutra obložena materijalom kao "EPDM sintetskom gumom" ili sličnim materijalom. Radni tlak cijevi minimalno 25 bara, tlak rasprskavanja minimalno 50 bara.</t>
  </si>
  <si>
    <t>Tlačna cijev C, Ø 52 mm, 15 m - Duljine 15 m sa kovanim spojnicama. Vanjski sloj cijevi izrađen od poliesterske pređe ili sličnog, cijev je iznutra obložena materijalom kao "EPDM sintetskom gumom" ili sličnim materijalom. Radni tlak cijevi minimalno 25 bara, tlak rasprskavanja minimalno 50 bara.</t>
  </si>
  <si>
    <t>Tlačna cijev D, Ø 25 mm, 15 m - Duljine 15 m sa kovanim spojnicama. Vanjski sloj cijevi izrađen od poliesterske pređe ili sličnog, cijev je iznutra obložena materijalom kao "EPDM sintetskom gumom" ili sličnim materijalom. Radni tlak cijevi minimalno 25 bara, tlak rasprskavanja minimalno 50 bara.</t>
  </si>
  <si>
    <t>Vatrogasna usisna cijev Storz „A“, L=2m</t>
  </si>
  <si>
    <t>EN ISO 14557</t>
  </si>
  <si>
    <t>Proizvođač: Pasarić
Tip: Usisna cijev A L=2m</t>
  </si>
  <si>
    <t>Usisna sitka Storz „A“</t>
  </si>
  <si>
    <t>DIN 14362</t>
  </si>
  <si>
    <t>Proizvođač: JMW FIRE
Tip: USISNA SITKA A</t>
  </si>
  <si>
    <t>Visokotlačna cijev DN 25, dužine 60 m, sa spojnicom H,</t>
  </si>
  <si>
    <t>HRN EN 1947</t>
  </si>
  <si>
    <t>Proizvođač: CHARVAT
Tip: 10006/10083</t>
  </si>
  <si>
    <t>Hidrantni nastavak 2B</t>
  </si>
  <si>
    <t>DIN 14375-1</t>
  </si>
  <si>
    <t>Ključ za podzemni hidrant, model B</t>
  </si>
  <si>
    <t>Ključ za nadzemni hidrant, model C</t>
  </si>
  <si>
    <t>Sabirnica A-2B</t>
  </si>
  <si>
    <t>DIN 14355</t>
  </si>
  <si>
    <t>Razdjelnica B/CBC sa ventilima - Izrađena od aluminijske slitine. Ispitni tlak minimalno 25 bara.</t>
  </si>
  <si>
    <t>DIN 14345</t>
  </si>
  <si>
    <t>Ograničivač tlaka B</t>
  </si>
  <si>
    <t>DIN 14380</t>
  </si>
  <si>
    <t>Spojnica A-B</t>
  </si>
  <si>
    <t>DIN 14343</t>
  </si>
  <si>
    <t>Spojnica B-C</t>
  </si>
  <si>
    <t>DIN 14342</t>
  </si>
  <si>
    <t>Mlaznica Storz B</t>
  </si>
  <si>
    <t>HRN EN 15182-3</t>
  </si>
  <si>
    <t>Proizvođač: JMW FIRE
Tip: Mlaznica Storz B</t>
  </si>
  <si>
    <t>Turbo mlaznica B - Izrađena od aluminijske slitine. Vrsta mlazeva: puni, raspršni i zaštitni mlaz, uz mogućnost promjene protoka vode. Minimalno mogućnost protoka vode u 4 stupnja od minimalno 360  l/min do minimalna 750 l/min. Domet punog mlaza minimalno 56 m, a raspršenog minimalno 10 m.</t>
  </si>
  <si>
    <t>Proizvođač:DELTA FIRE
Tip: Attack 750 Pro</t>
  </si>
  <si>
    <t>Oporno koljeno B</t>
  </si>
  <si>
    <t>DIN 14368</t>
  </si>
  <si>
    <t>Turbo mlaznica C - Izrađena od aluminijske slitine. Vrsta mlazeva: puni, raspršni i zaštitni mlaz, uz mogućnost promjene protoka vode. Minimalno mogućnost protoka vode u 4 stupnja od minimalno 100  l/min do minimalna 360 l/min. Domet punog mlaza minimalno 40 m, a raspršenog minimalno 10 m.</t>
  </si>
  <si>
    <t>Proizvođač:DELTA FIRE
Tip: Attack 500 Pro</t>
  </si>
  <si>
    <t>Mlaznica sa storz C</t>
  </si>
  <si>
    <t>HRN EN 15182-2</t>
  </si>
  <si>
    <t>Proizvođač: JMW FIRE
Tip Mlaznica Storz C</t>
  </si>
  <si>
    <t>Radno uže, 20 m</t>
  </si>
  <si>
    <t>prema DIN 14920</t>
  </si>
  <si>
    <t>Uže za vezanje, 2 m</t>
  </si>
  <si>
    <t>Držač cijevi</t>
  </si>
  <si>
    <t>DIN 14828</t>
  </si>
  <si>
    <t>Spojni ključ ABC</t>
  </si>
  <si>
    <t>14822-2</t>
  </si>
  <si>
    <t>Cijevni most 2B</t>
  </si>
  <si>
    <t>prema DIN 14820-1</t>
  </si>
  <si>
    <t>Cijevna košara za B-cijevi</t>
  </si>
  <si>
    <t>DIN 14827-1</t>
  </si>
  <si>
    <t>Kombinirana mlaznica za srednje/teško pjenu M2/S2-C</t>
  </si>
  <si>
    <t>HRN EN 16712-3</t>
  </si>
  <si>
    <t xml:space="preserve">Mješač pjenila Z2 </t>
  </si>
  <si>
    <t>HRN EN 16712-1</t>
  </si>
  <si>
    <t>Usisna cijev za pjenilo D 1500</t>
  </si>
  <si>
    <t>HRN EN 16712-2</t>
  </si>
  <si>
    <t>Spasilačka oprema</t>
  </si>
  <si>
    <t>Trodijelna rastegača</t>
  </si>
  <si>
    <t>HRN EN 1147</t>
  </si>
  <si>
    <t>Sastavljača 2 dijelna</t>
  </si>
  <si>
    <t>Vatrogasno spasilačko uže s karabinerom 30 m</t>
  </si>
  <si>
    <t>HRN EN 1891</t>
  </si>
  <si>
    <t>Torbica za spasilačko uže</t>
  </si>
  <si>
    <t>prema DIN 14921</t>
  </si>
  <si>
    <t>Sanitetski pribor</t>
  </si>
  <si>
    <t>Obična nosila, sklopiva</t>
  </si>
  <si>
    <t>DIN 13024</t>
  </si>
  <si>
    <t>Nosila sklopiva, potpora za glavu i vrat</t>
  </si>
  <si>
    <t>HRN EN 1865</t>
  </si>
  <si>
    <t xml:space="preserve">Komplet za prvu pomoć </t>
  </si>
  <si>
    <t>DIN 14142</t>
  </si>
  <si>
    <t>Osvjetljenje i signalizacija</t>
  </si>
  <si>
    <t>Ručna LED baterijska svjetiljka, punjiva, minimalno IP65, minimalno 350 lm i 10.000 cd, minimalno vrijeme rada 5 sati</t>
  </si>
  <si>
    <t>prema DIN 14642</t>
  </si>
  <si>
    <t>http://www.ceag.de/en/products/portable-emergency-lights/seb-10-10l-explosion-protected</t>
  </si>
  <si>
    <t>Upozoravajući trokut</t>
  </si>
  <si>
    <t>https://www.mall.hr/trokut-upozorenja/oem-euro-sigurnosni-trokut?tab=parameters</t>
  </si>
  <si>
    <t>22 kn kom</t>
  </si>
  <si>
    <t>https://www.molydon.hr/trokut-upozorenja-filson-48-215fil</t>
  </si>
  <si>
    <t>32 kn kom</t>
  </si>
  <si>
    <t>Sigurnosna svjetiljka (bljeskajuća)</t>
  </si>
  <si>
    <t>Signalna palica (natpis VATROGASCI)</t>
  </si>
  <si>
    <t>Stožac za cestu (cca. 60 cm)</t>
  </si>
  <si>
    <t>Upozoravajuća traka, 500 m</t>
  </si>
  <si>
    <t>Prijenosni reflektor LED, min. 50W, 230 V, IP 44, z 10 m</t>
  </si>
  <si>
    <t>Tronožac stativ za reflektor, visine min 1,6 m</t>
  </si>
  <si>
    <t>Kabel produžni, cca. 30 m, 16A, 3x2,5 mm2, kabel H07RN-F, min. 3 »šuko« utičnice s poklopcima</t>
  </si>
  <si>
    <t>HRN EN 61316</t>
  </si>
  <si>
    <t>https://www.thomann.de/gb/stairville_steel_cable_drum_40m_25_mm.htm</t>
  </si>
  <si>
    <t>850 kn kom</t>
  </si>
  <si>
    <t>https://www.brennenstuhl.com/en-JO/products/cable-reels/garant-cee-1-ip44-cable-reel-for-site-und-industry-30m-h07rn-f-5g2-5</t>
  </si>
  <si>
    <t>https://www.gifas.de/en/cable-reels/plastic-cable-reels-2/</t>
  </si>
  <si>
    <t>Radna oprema</t>
  </si>
  <si>
    <t>Elektroagregat 5 kVA s nadzorom izolacije</t>
  </si>
  <si>
    <t>DIN 14685-1</t>
  </si>
  <si>
    <t>Proizvođač: MAGMOTOREN 
Tip: MAG 122 SL</t>
  </si>
  <si>
    <t>Posuda za ulje (tankvana), 60x40x18</t>
  </si>
  <si>
    <t>prema DIN 14060</t>
  </si>
  <si>
    <t>Zračna membranska pumpa do 200 l</t>
  </si>
  <si>
    <t>Proizvođač: Sandpiper
Tip:  S15 metallic</t>
  </si>
  <si>
    <t>Škopac, veličina 3, za sile do 100 kN, pocinčan</t>
  </si>
  <si>
    <t>DIN 82101</t>
  </si>
  <si>
    <t>Motorna pila, dužina lanca cca. 40 cm, ≥ 2kW, s opremom</t>
  </si>
  <si>
    <t>HRN EN ISO 11681-1</t>
  </si>
  <si>
    <t>Proizvođač:STIHL
Tip:  MS 231</t>
  </si>
  <si>
    <t>Rezervni lanac za ponuđenu motornu pilu</t>
  </si>
  <si>
    <t>Klin od drveta</t>
  </si>
  <si>
    <t>Kutna pila, 230 V, min 2000 W, 230 mm za kamen</t>
  </si>
  <si>
    <t>Set mehaničarskog alata prema DIN</t>
  </si>
  <si>
    <t>DIN 14881</t>
  </si>
  <si>
    <t>Prizvođač: Donges
Tip: DIN 14881-FWKa</t>
  </si>
  <si>
    <t>Ventilator za prozračivanje, benzinski motor, min. 20.000 m3/h</t>
  </si>
  <si>
    <t>Proizvođač: Leader
Tip: MT215 L NEO</t>
  </si>
  <si>
    <t>Ručni alati i mjerni uređaji</t>
  </si>
  <si>
    <t>Pajser, cca. 700 mm</t>
  </si>
  <si>
    <t>prema DIN 14853</t>
  </si>
  <si>
    <t>Vatrogasna sjekira</t>
  </si>
  <si>
    <t>prema DIN 14900</t>
  </si>
  <si>
    <t>Sjekira za drva</t>
  </si>
  <si>
    <t>prema DIN 7294</t>
  </si>
  <si>
    <t>Kramp</t>
  </si>
  <si>
    <t>prema DIN 20109</t>
  </si>
  <si>
    <t>Lopata pobirača</t>
  </si>
  <si>
    <t>prema DIN 20121</t>
  </si>
  <si>
    <t>Lopata štihača</t>
  </si>
  <si>
    <t>prema DIN 20127</t>
  </si>
  <si>
    <t>Vile</t>
  </si>
  <si>
    <t>Kopača</t>
  </si>
  <si>
    <t>Požarna čaklja, dvodijelna, 5 m</t>
  </si>
  <si>
    <t>prema DIN 14851</t>
  </si>
  <si>
    <t>Metla, dužine cca. 1400 mm</t>
  </si>
  <si>
    <t>Škare za okruglo željezo (fi 12 mm)</t>
  </si>
  <si>
    <r>
      <t>Detektor plina osobni EX, O2, CO, H2S, LCD prikaz, 1x punjač baterija 12/24V i 1x punjač baterija 220V
Osnovni uvjeti:
● EX senzor zapaljivih plinova, 0 - 100% donje granice eksplozivnosti sa minimalnim korakom mjerenja od 1% LEL
● O2 senzor kisika - detekcija kisika sa minimalnim rasponom od 0-25% kisika sa minimalnim korakom mjerenja od 0,1% O2
● CO senzor - detekcija ugljičnog monoksida, minimalni raspon od 0 - 1990 ppm sa minimalnim korakom mjerenja od 1 ppm
● H2S senzor - detekcija sumporovodika, minimalni raspon od 0-100 ppm sa minimalnim korakom mjerenja od 1 ppm
● Ugrađen alarm za svaku dojavu dopuštene koncentracije po svakom plinu
● Alarm mora biti audio, video i s mogučnošću vibracije
● Jačina audio alarma u svim smjerovima 360</t>
    </r>
    <r>
      <rPr>
        <sz val="12"/>
        <color theme="1"/>
        <rFont val="Calibri"/>
        <family val="2"/>
        <charset val="238"/>
      </rPr>
      <t>°</t>
    </r>
    <r>
      <rPr>
        <sz val="12"/>
        <color theme="1"/>
        <rFont val="Arial"/>
        <family val="2"/>
        <charset val="238"/>
      </rPr>
      <t xml:space="preserve"> je minimalno 95 dB na 30 cm
● Uređaj mora imati mogućnost slanja traženih podataka o mjerenom plinu putem opcije bluetooth kako bi se omogućilo da operater nije pored uređaja a da zaprima podatke na svoj mobilni uređaj. 
● Zaštita uređaja minimalno IP 67</t>
    </r>
  </si>
  <si>
    <t xml:space="preserve">smjernica ATEX 94/9/EC ili ATEX  2014/34/EU </t>
  </si>
  <si>
    <r>
      <t xml:space="preserve">Proizvođač i tip:                                                         Detektor plina </t>
    </r>
    <r>
      <rPr>
        <b/>
        <sz val="9"/>
        <rFont val="Arial"/>
        <family val="2"/>
        <charset val="238"/>
      </rPr>
      <t xml:space="preserve">Dräger                                      </t>
    </r>
    <r>
      <rPr>
        <sz val="9"/>
        <rFont val="Arial"/>
        <family val="2"/>
        <charset val="238"/>
      </rPr>
      <t xml:space="preserve">Dräger X-am 8000 sa bat. punjačom 220 V,Bluetooth                                               PUNJAČ12/24V                                                   SENZOR EX (0-100%DGE,0-100%Vol)             SENZOR O2 (0-25%Vol)                                  SENZORI H2S i CO                                         </t>
    </r>
  </si>
  <si>
    <r>
      <t>● Uređaj mora biti isporučen sa punjačem baterija za 220V i za 12/24 V (autopunjač)
● Masa uređaja maksimalno 560 g
● Mogućnost rada pri minimalnom raponu atmosferskog tlaka od 800 - 1200 mbar ili većem rasponu
● Minimalno temperaturno područje rada od -20</t>
    </r>
    <r>
      <rPr>
        <sz val="12"/>
        <color theme="1"/>
        <rFont val="Calibri"/>
        <family val="2"/>
        <charset val="238"/>
      </rPr>
      <t>°</t>
    </r>
    <r>
      <rPr>
        <sz val="12"/>
        <color theme="1"/>
        <rFont val="Arial"/>
        <family val="2"/>
        <charset val="238"/>
      </rPr>
      <t>C do +50</t>
    </r>
    <r>
      <rPr>
        <sz val="12"/>
        <color theme="1"/>
        <rFont val="Calibri"/>
        <family val="2"/>
        <charset val="238"/>
      </rPr>
      <t>°</t>
    </r>
    <r>
      <rPr>
        <sz val="12"/>
        <color theme="1"/>
        <rFont val="Arial"/>
        <family val="2"/>
        <charset val="238"/>
      </rPr>
      <t>C ili veći raspon 
● Vrijeme kontinuiranog rada uređaja mora biti minimalno 24 sata ili minimalno 22 sata kada je aktivirana Bluetooth veza
● Uređaj mora imati mogućnost zapisa minimalno 500 događaja. Pristup uređaju putem IR veze sa Windows kompatibilnim uređajima.</t>
    </r>
  </si>
  <si>
    <t>Posebna oprema</t>
  </si>
  <si>
    <t>Absorbent za ugljikovodike 50L, tip I, II, III, R</t>
  </si>
  <si>
    <t>Klin za podvozje</t>
  </si>
  <si>
    <t>Posuda za rezervno gorivo za vozilo, 20 l, napunjena</t>
  </si>
  <si>
    <t>Posuda za rezervno gorivo za elektroagregat i ventilator, 10 l, napunjena</t>
  </si>
  <si>
    <t>Kombinirana posuda za gorivo: mješavina 5 l/ulje 2 l</t>
  </si>
  <si>
    <r>
      <rPr>
        <b/>
        <sz val="12"/>
        <color theme="1"/>
        <rFont val="Arial"/>
        <family val="2"/>
        <charset val="238"/>
      </rPr>
      <t>OSTALO</t>
    </r>
    <r>
      <rPr>
        <sz val="12"/>
        <color theme="1"/>
        <rFont val="Arial"/>
        <family val="2"/>
        <charset val="238"/>
      </rPr>
      <t xml:space="preserve"> - Ukoliko u ovim tehničkim specifikacijama nisu navedeni svi sustavi ili uređaji potrebni za potpunu funkcionalnost vozila i sveukupno implementirane opreme u skladu s normama HRN EN 1846-1, HRN EN 1846-2 i HRN EN 1846-3, HRN EN 1028-1 i HRN EN 1028-2 ponuditelj je dužan u ponudi prikazati taj sustav ili uređaj i kao takvog kasnije i ugraditi bez dodatnih troškova za naručitelja.
NAPOMENA: Ukoliko ponuditelj nema ništa za dodati kao odgovor na ovo pitanje onda ne popunjava ova polja</t>
    </r>
  </si>
  <si>
    <t>Upisati konkretnu vrijednost: /</t>
  </si>
  <si>
    <t>PONUDBENA TEHNIČKA DOKUMENTACIJA:
1. Ponudbena tehnička dokumentacija koju ponuditelj mora dostaviti uz natječajnu dokumentaciju podrazumijeva dokumentaciju proizvođača koja u sebi sadrži sve tehničke podatke za dokazivanje sukladnosti ponuđenog proizvoda s tehničkim zahtjevima naručitelja (datasheet, korisničke upute i slično) i to za podvozje, nadogradnju i sveukupnu opremu koja se isporučuje uz vozilo i prijevod iste na hrvatski jezik.
2. Ukoliko u tehničkim specifikacijama nije moguće pronaći pojedini traženi parametar ponuditelj za takve parametre može priložiti pisanu i potpisanu izjavu proizvođača (ne zastupnika ili distributera) da njihov uređaj udovoljava pojedinom parametru traženom u tehničkim specifikacijama a koji nije vidljiv u tehničkoj dokumentaciji uređaja.</t>
  </si>
  <si>
    <r>
      <rPr>
        <b/>
        <sz val="12"/>
        <color theme="1"/>
        <rFont val="Arial"/>
        <family val="2"/>
        <charset val="238"/>
      </rPr>
      <t xml:space="preserve">OBUKA: </t>
    </r>
    <r>
      <rPr>
        <sz val="12"/>
        <color theme="1"/>
        <rFont val="Arial"/>
        <family val="2"/>
        <charset val="238"/>
      </rPr>
      <t>Isporučitelj ima obvezu na svakoj lokaciji isporuke vozila, odnosno u svakoj vatrogasnoj postrojbi koja preuzima vozilo, održati obuku za korisnike u trajanju od minimalno osam /8/ sati teoretske nastave i osam /8/ sati praktičnih vježbi na vozilu za minimalno 10 vatrogasaca na svakoj lokaciji u svojstvu multiplikatora. 
Ukoliko instruktor koji će držati obuku ne govori hrvatski jezik isporučitelj mora organizirati prevoditelja za hrvatski jezik bez dodatnih troškova za naručitelja.
Na kraju obuke vatrogasci moraju znati u potpunosti rukovati s vozilom i opremom te isti moraju dobiti pisano uvjerenje o obavljenoj obuci.</t>
    </r>
  </si>
  <si>
    <t>OBVEZE U JAMSTVENOM ROKU :
Proizvodač podvozja i nadogradnje iii njihovi ovlašteni zastupnici u RH moraju imati dovoljan servisni kapacitet da mogu prihvatiti vozila na servis, te da će u slučaju kvara vozila svakog dana uključujući i dane vikenda i praznika u roku od 24 sata, a u slučaju hitnosti u roku 12 sati od primitka poziva krajnjeg korisnika predmeta nabave, doći do vozila i započeti popravak predmeta nabave u garantnom roku. U slučaju da se vozilo ne može popraviti na lokaciji korisnika isto će predstavnik Isporučitelja odvesti u ovlašteni servis bez dodatnih troškova za naručitelja i vratiti ga nazad gdje ga je preuzeo. U slučaju nemogućnosti da se vozilo samostalno doveze na adresu ovlaštenog servisa, ponuditelj je dužan u jamstvenom roku, o svom trošku izvršiti prijevoz vozila do mjesta popravka i vratiti ga nazad gdje ga je preuzeo.</t>
  </si>
  <si>
    <t xml:space="preserve">DOKUMENTACIJA UZ ISPORUČENA VOZILA:
● Dokumentacija podrazumijeva, korisničke upute obavezno na hrvatskom jeziku za vozilo i cjelokupnu opremu u vozilu (upute za rukovanje, montiranje, podešavanje i servisiranje). Isporučitelj uz vozilo mora isporučiti cjelokupnu dokumentaciju definiranu normom HRN EN 1846-2 (Vozila za gašenje požara i spašavanje–2. dio: Opći zahtjevi–Sigurnost i svojstva) točkama 6.1, 6.2 i 6.3 i to na hravtskom jeziku.
● Potvrda o ispitivanju vozila (Atest) Centra za vozila Hrvatske ili jednakovrijedne institucije drugih država Europske unije </t>
  </si>
  <si>
    <t>Ponuditelj u okviru svoje ponude mora dostaviti pisanu izjavu kojom prihvaća da testovi prihvaćanja vozila mogu biti
poduzeti po isporuci od strane kupca, od strane nezavisne ili nacionalne organizacije za ispitivanje ili bilo koje druge treće stranke po izboru kupca</t>
  </si>
  <si>
    <t>Sva isporučena roba mora imati znak vidljivosti financiranja iz EU. Simboli grafičkog identiteta Europske unije postavljaju se na istaknuta i vidljiva mjesta, a veličina treba biti jednaka veličini simbola grafičkog identiteta korisnika i izvršitelja ugovora. Grafički identitet Europske unije koristi se u skladu sa Smjernicama Europske komisije o korištenju simbola EU u kontekstu programa EU
https://ec.europa.eu/info/resources-partners/european-commission-visual-identity_en#download</t>
  </si>
  <si>
    <t>/</t>
  </si>
  <si>
    <t>PONUĐENO - 3500/10 - 400/40</t>
  </si>
  <si>
    <t>1.17.</t>
  </si>
  <si>
    <t>Sanitarni dio za vatrogasce  (48)</t>
  </si>
  <si>
    <t>1.18.</t>
  </si>
  <si>
    <t>Izrada krovnog sanduka</t>
  </si>
  <si>
    <t>MCD SREBRNE ROLETE</t>
  </si>
  <si>
    <t>Vinč</t>
  </si>
  <si>
    <t xml:space="preserve">CRI </t>
  </si>
  <si>
    <t>CHARVAT</t>
  </si>
  <si>
    <t>Cijev za vitlo fi25/60 m</t>
  </si>
  <si>
    <t xml:space="preserve">Vitlo </t>
  </si>
  <si>
    <t>Cjevovod vitla</t>
  </si>
  <si>
    <t>MONTAŽER SMOLA - PP 7.000 lit 69.000 kn/kom</t>
  </si>
  <si>
    <t>Naš materijal</t>
  </si>
  <si>
    <t>Vanjska usluga</t>
  </si>
  <si>
    <t>Oprema/dijelovi</t>
  </si>
  <si>
    <t xml:space="preserve">Signalizacija - most - </t>
  </si>
  <si>
    <t>LED reflektor sa daljinskom kontrolom u kabini</t>
  </si>
  <si>
    <t>TRGOAUTO</t>
  </si>
  <si>
    <t>DOBAVLJAČ</t>
  </si>
  <si>
    <t>Rasvjeta okoline (8 reflektora)</t>
  </si>
  <si>
    <t xml:space="preserve">Naljepnice </t>
  </si>
  <si>
    <t>Grafički indetitet EU</t>
  </si>
  <si>
    <t>Pun spremjik goriva - 210 lit</t>
  </si>
  <si>
    <t>Upozoravajući prsluk (3 kom)</t>
  </si>
  <si>
    <t>Dišni aparat Drager (2kom)</t>
  </si>
  <si>
    <t>Zaštitne hlače i jakna za motor. pil</t>
  </si>
  <si>
    <t>Zaštitne gumirane čizme</t>
  </si>
  <si>
    <t>Zaštitne rukavice</t>
  </si>
  <si>
    <t>Kemijsko odijelo</t>
  </si>
  <si>
    <t xml:space="preserve">Vatrogasni opasač </t>
  </si>
  <si>
    <t>Brentača</t>
  </si>
  <si>
    <t>Naprtnjača 25L (2kom)</t>
  </si>
  <si>
    <t>Metlanica (2 kom)</t>
  </si>
  <si>
    <t>Posuda za pjenilo, 20 l (napunjene pjenilom klasa A EN 1568) (6kom)</t>
  </si>
  <si>
    <t>Cijev tlačna 75mm dužine 5m</t>
  </si>
  <si>
    <t>Cijev tlačna 25mm dužine 15m (5kom)</t>
  </si>
  <si>
    <t>Cijev tlačna 52mm dužine 15m (7kom)</t>
  </si>
  <si>
    <t>Cijev tlačna 75mm dužine 15m (5kom)</t>
  </si>
  <si>
    <t>Usisne cijevi  Storz A (4 kom)</t>
  </si>
  <si>
    <t xml:space="preserve">Ključ za nadzemni hidrant </t>
  </si>
  <si>
    <t>Razdjelnica B/CBC sa ventilima (2kom)</t>
  </si>
  <si>
    <t>Spojnica B-C (2kom)</t>
  </si>
  <si>
    <t>Turbo mlaznica B (2kom)</t>
  </si>
  <si>
    <t>Turbo mlaznica C (2kom)</t>
  </si>
  <si>
    <t>Mlaznica sa storz C (3kom)</t>
  </si>
  <si>
    <t>Uže za vezanje, 2 m (2kom)</t>
  </si>
  <si>
    <t>Držač cijevi (4kom)</t>
  </si>
  <si>
    <t>Cijevni most 2B (2kom)</t>
  </si>
  <si>
    <t>Spojni ključ ABC (3kom)</t>
  </si>
  <si>
    <t>Cijevna košara za B-cijevi (3kom)</t>
  </si>
  <si>
    <t>Vatrogasno spasilačko uže s karabinerom 30 m (4kom)</t>
  </si>
  <si>
    <t>Torbica za spasilačko uže (4kom)</t>
  </si>
  <si>
    <t>Ručna LED baterijska svjetiljka (2kom)</t>
  </si>
  <si>
    <t>Upozoravajući trokut (2kom)</t>
  </si>
  <si>
    <t>Sigurnosna svjetiljka (bljeskajuća) (2kom)</t>
  </si>
  <si>
    <t>Signalna palica (natpis VATROGASCI)  (2kom)</t>
  </si>
  <si>
    <t>Stožac za cestu (cca. 60 cm) (6kom)</t>
  </si>
  <si>
    <t>Prijenosni reflektor LED, min. 50W, 230 V, IP 44, z 10 m (2kom)</t>
  </si>
  <si>
    <t>Tronožac stativ za reflektor, visine min 1,6 m (2kom)</t>
  </si>
  <si>
    <t>Kabel produžni, cca. 30 m, 16A, 3x2,5 mm2 (2kom)</t>
  </si>
  <si>
    <t xml:space="preserve">Elektroagregat 5 kVA </t>
  </si>
  <si>
    <t>Posuda za ulje (tankvana), 60x40x18 (3kom)</t>
  </si>
  <si>
    <t>Škopac, veličina 3, za sile do 100 kN, pocinčan (4kom)</t>
  </si>
  <si>
    <t>Klin od drveta (2kom)</t>
  </si>
  <si>
    <t xml:space="preserve">Set mehaničarskog alata </t>
  </si>
  <si>
    <t>Vatrogasna sjekira (2kom)</t>
  </si>
  <si>
    <t>Kopača (2kom)</t>
  </si>
  <si>
    <t>Metla</t>
  </si>
  <si>
    <t>Detektor plina Drager (2kom)</t>
  </si>
  <si>
    <t>Absorbent za ugljikovodike 50L (2kom)</t>
  </si>
  <si>
    <t>Klin za podvozje (2kom)</t>
  </si>
  <si>
    <t>Spremnik vode 6510 lit. GRP</t>
  </si>
  <si>
    <t>MUP 21 AutoCisterna</t>
  </si>
  <si>
    <t>Trošak po projektu</t>
  </si>
  <si>
    <t xml:space="preserve"> </t>
  </si>
  <si>
    <t>Rezerva za popravke/zamjenu opreme do čije je neispravnosti došlo greškom firme</t>
  </si>
  <si>
    <t>Vezave</t>
  </si>
  <si>
    <t>VIP TEHNIKA</t>
  </si>
  <si>
    <t>Ergo-tehnika</t>
  </si>
  <si>
    <t>4.660 e + DODACI + TRANSPORT</t>
  </si>
  <si>
    <t>BERMAN - GFK 6.500 lit 92.000 kn/kom</t>
  </si>
  <si>
    <t xml:space="preserve">Aluminijska konstrucija </t>
  </si>
  <si>
    <t>Al 40x40x4 - 210m</t>
  </si>
  <si>
    <t>Al 80x40x4 - 30m</t>
  </si>
  <si>
    <t>Al L 20x40x4 - 12m</t>
  </si>
  <si>
    <t>Al 2x1500x3000 mm - 10pl</t>
  </si>
  <si>
    <t>Al L 60x20x4 - 6m</t>
  </si>
  <si>
    <t>Al L 40x40x4 - 6m</t>
  </si>
  <si>
    <t xml:space="preserve">Al 2/3 - 3000x1500mm - 4pl </t>
  </si>
  <si>
    <t xml:space="preserve">Al 3/4 - 3000x1500 mm - 4pl </t>
  </si>
  <si>
    <t>Miticech R45-90 -  5m ---- 15.50€/1m</t>
  </si>
  <si>
    <t>Minitech - 15,50 € /m</t>
  </si>
  <si>
    <t>MARANA - PEHD - 7.000 lit - 72.000 kn/ kom</t>
  </si>
  <si>
    <t>PRELEC - PPC 7.000 lit - 45.000 kn/kom</t>
  </si>
  <si>
    <t>Farbanje nadogradnje</t>
  </si>
  <si>
    <t>Dario Bobošević</t>
  </si>
  <si>
    <t>Damjan Grgat</t>
  </si>
  <si>
    <t>CNC Operater</t>
  </si>
  <si>
    <t>Boris Antolović</t>
  </si>
  <si>
    <t>Siniša Trbović</t>
  </si>
  <si>
    <t>Karlo Pregelj</t>
  </si>
  <si>
    <t>Velimir Vukosavljević</t>
  </si>
  <si>
    <t xml:space="preserve">Bravari </t>
  </si>
  <si>
    <t>Tomislav</t>
  </si>
  <si>
    <t>Administracija</t>
  </si>
  <si>
    <t>Edo</t>
  </si>
  <si>
    <t>Ana</t>
  </si>
  <si>
    <t>Ariana</t>
  </si>
  <si>
    <t>Dragan</t>
  </si>
  <si>
    <t>Davor</t>
  </si>
  <si>
    <t>Renato</t>
  </si>
  <si>
    <t>Danijela</t>
  </si>
  <si>
    <t>Plastika nova 60.000,00 kn/spremnik 7.000 lit pofarban</t>
  </si>
  <si>
    <t>Autolift uk</t>
  </si>
  <si>
    <t>DOMITRAN 65 t kn</t>
  </si>
  <si>
    <t>dva vozila</t>
  </si>
  <si>
    <t>22,5%</t>
  </si>
  <si>
    <t>90 dana od potpisa</t>
  </si>
  <si>
    <t>60 dana od šasije</t>
  </si>
  <si>
    <t>60 dana od nadog.</t>
  </si>
  <si>
    <t>isporuka 60 dana od kraka</t>
  </si>
  <si>
    <t>treće vozilo</t>
  </si>
  <si>
    <t>potpis (5 mjesec)</t>
  </si>
  <si>
    <t>šasija (6 mjesec)</t>
  </si>
  <si>
    <t>nadogradnja (10 mjesec)</t>
  </si>
  <si>
    <t>isporuka (12 mjesec)</t>
  </si>
  <si>
    <t>Nabavna vrijednost</t>
  </si>
  <si>
    <t>ukupno trošak</t>
  </si>
  <si>
    <t>materijal - neplanirano/nepredvidivo</t>
  </si>
  <si>
    <t>trošak rada</t>
  </si>
  <si>
    <t>zavisni trošak</t>
  </si>
  <si>
    <t>Ostali troškovi ZABA ( naknade, drugi krediti, itd…)</t>
  </si>
  <si>
    <t>PDV za platiti državi</t>
  </si>
  <si>
    <t>Rashod ukupno:</t>
  </si>
  <si>
    <t>ZABA - Revolving</t>
  </si>
  <si>
    <t>ZABA - Revolving Kredit</t>
  </si>
  <si>
    <t>Cash FLOW SA PDV_om</t>
  </si>
  <si>
    <t>CASH FLOW</t>
  </si>
  <si>
    <t>Trošak izrade projekta MUP 21 autocisterna</t>
  </si>
  <si>
    <t>Materijal MUP</t>
  </si>
  <si>
    <t>Rad (10 mjeseci)</t>
  </si>
  <si>
    <t>zavisni (10 mjeseci)</t>
  </si>
  <si>
    <t>Vlastita sredstva /plaćanje po projektu</t>
  </si>
  <si>
    <t>Razno/kooperanti</t>
  </si>
  <si>
    <t>Trošak proizvoda 10 kom</t>
  </si>
  <si>
    <t>Trošak proizvoda 4 kom</t>
  </si>
  <si>
    <t>Rad (3 mjeseci)</t>
  </si>
  <si>
    <t>zavisni (3 mjeseci)</t>
  </si>
  <si>
    <t>Trošak proizvoda 7 kom</t>
  </si>
  <si>
    <t>Rad (4 mjeseci)</t>
  </si>
  <si>
    <t>zavisni (4 mjeseci)</t>
  </si>
  <si>
    <t>predviđanje prihoda 2020</t>
  </si>
  <si>
    <t>trošak materijala</t>
  </si>
  <si>
    <t>Cash FLOW BEZ PDV-a</t>
  </si>
  <si>
    <t>monitor na krovu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</si>
</sst>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kn&quot;_-;\-* #,##0.00\ &quot;kn&quot;_-;_-* &quot;-&quot;??\ &quot;kn&quot;_-;_-@_-"/>
    <numFmt numFmtId="43" formatCode="_-* #,##0.00_-;\-* #,##0.00_-;_-* &quot;-&quot;??_-;_-@_-"/>
    <numFmt numFmtId="164" formatCode="_-* #,##0.00\ _k_n_-;\-* #,##0.00\ _k_n_-;_-* &quot;-&quot;??\ _k_n_-;_-@_-"/>
    <numFmt numFmtId="165" formatCode="#,##0.00\ &quot;kn&quot;"/>
    <numFmt numFmtId="166" formatCode="#,##0.00_ ;\-#,##0.00\ "/>
    <numFmt numFmtId="167" formatCode="[$-F800]dddd\,\ mmmm\ dd\,\ yyyy"/>
    <numFmt numFmtId="168" formatCode="[$-41A]mmmm\-yy;@"/>
  </numFmts>
  <fonts count="52" x14ac:knownFonts="1">
    <font>
      <sz val="11"/>
      <color theme="1"/>
      <name val="Calibri"/>
      <family val="2"/>
      <charset val="238"/>
      <scheme val="minor"/>
    </font>
    <font>
      <sz val="10"/>
      <name val="Arial"/>
      <family val="2"/>
      <charset val="238"/>
    </font>
    <font>
      <u/>
      <sz val="10"/>
      <color indexed="12"/>
      <name val="Arial"/>
      <family val="2"/>
      <charset val="238"/>
    </font>
    <font>
      <sz val="10"/>
      <name val="Arial"/>
      <family val="2"/>
    </font>
    <font>
      <b/>
      <sz val="10"/>
      <name val="Arial"/>
      <family val="2"/>
    </font>
    <font>
      <sz val="8"/>
      <name val="Arial"/>
      <family val="2"/>
    </font>
    <font>
      <sz val="10"/>
      <name val="Arial"/>
      <family val="2"/>
      <charset val="238"/>
    </font>
    <font>
      <b/>
      <sz val="9"/>
      <color indexed="81"/>
      <name val="Tahoma"/>
      <family val="2"/>
      <charset val="238"/>
    </font>
    <font>
      <sz val="9"/>
      <color indexed="81"/>
      <name val="Tahoma"/>
      <family val="2"/>
      <charset val="238"/>
    </font>
    <font>
      <b/>
      <sz val="10"/>
      <name val="Arial"/>
      <family val="2"/>
      <charset val="238"/>
    </font>
    <font>
      <b/>
      <sz val="10"/>
      <name val="Calibri"/>
      <family val="2"/>
      <charset val="238"/>
      <scheme val="minor"/>
    </font>
    <font>
      <sz val="10"/>
      <name val="Calibri"/>
      <family val="2"/>
      <charset val="238"/>
      <scheme val="minor"/>
    </font>
    <font>
      <b/>
      <i/>
      <sz val="10"/>
      <name val="Calibri"/>
      <family val="2"/>
      <charset val="238"/>
      <scheme val="minor"/>
    </font>
    <font>
      <sz val="11"/>
      <color theme="1"/>
      <name val="Calibri"/>
      <family val="2"/>
      <charset val="238"/>
      <scheme val="minor"/>
    </font>
    <font>
      <sz val="11"/>
      <color rgb="FFFF0000"/>
      <name val="Calibri"/>
      <family val="2"/>
      <charset val="238"/>
      <scheme val="minor"/>
    </font>
    <font>
      <b/>
      <sz val="12"/>
      <color theme="1"/>
      <name val="Calibri"/>
      <family val="2"/>
      <charset val="238"/>
      <scheme val="minor"/>
    </font>
    <font>
      <b/>
      <sz val="14"/>
      <color theme="1"/>
      <name val="Calibri"/>
      <family val="2"/>
      <charset val="238"/>
      <scheme val="minor"/>
    </font>
    <font>
      <b/>
      <sz val="11"/>
      <color theme="1"/>
      <name val="Calibri"/>
      <family val="2"/>
      <charset val="238"/>
      <scheme val="minor"/>
    </font>
    <font>
      <sz val="11"/>
      <name val="Calibri"/>
      <family val="2"/>
      <charset val="238"/>
      <scheme val="minor"/>
    </font>
    <font>
      <u/>
      <sz val="11"/>
      <color theme="10"/>
      <name val="Calibri"/>
      <family val="2"/>
      <charset val="238"/>
      <scheme val="minor"/>
    </font>
    <font>
      <sz val="12"/>
      <color theme="1"/>
      <name val="Arial"/>
      <family val="2"/>
      <charset val="238"/>
    </font>
    <font>
      <b/>
      <sz val="18"/>
      <color theme="1"/>
      <name val="Arial"/>
      <family val="2"/>
      <charset val="238"/>
    </font>
    <font>
      <sz val="18"/>
      <color theme="1"/>
      <name val="Arial"/>
      <family val="2"/>
      <charset val="238"/>
    </font>
    <font>
      <b/>
      <sz val="10"/>
      <color theme="1"/>
      <name val="Arial"/>
      <family val="2"/>
      <charset val="238"/>
    </font>
    <font>
      <sz val="10"/>
      <color theme="1"/>
      <name val="Arial"/>
      <family val="2"/>
      <charset val="238"/>
    </font>
    <font>
      <b/>
      <sz val="11"/>
      <color theme="1"/>
      <name val="Arial"/>
      <family val="2"/>
      <charset val="238"/>
    </font>
    <font>
      <sz val="11"/>
      <color theme="1"/>
      <name val="Arial"/>
      <family val="2"/>
      <charset val="238"/>
    </font>
    <font>
      <b/>
      <sz val="14"/>
      <color theme="1"/>
      <name val="Arial"/>
      <family val="2"/>
      <charset val="238"/>
    </font>
    <font>
      <sz val="14"/>
      <color theme="1"/>
      <name val="Arial"/>
      <family val="2"/>
      <charset val="238"/>
    </font>
    <font>
      <b/>
      <sz val="8"/>
      <color theme="1"/>
      <name val="Arial"/>
      <family val="2"/>
      <charset val="238"/>
    </font>
    <font>
      <b/>
      <u/>
      <sz val="8"/>
      <color theme="1"/>
      <name val="Arial"/>
      <family val="2"/>
      <charset val="238"/>
    </font>
    <font>
      <b/>
      <sz val="12"/>
      <color theme="1"/>
      <name val="Arial"/>
      <family val="2"/>
      <charset val="238"/>
    </font>
    <font>
      <sz val="10"/>
      <color theme="1"/>
      <name val="Arial"/>
      <family val="2"/>
    </font>
    <font>
      <sz val="12"/>
      <color theme="1"/>
      <name val="Arial"/>
      <family val="2"/>
    </font>
    <font>
      <sz val="9"/>
      <color theme="1"/>
      <name val="Arial"/>
      <family val="2"/>
      <charset val="238"/>
    </font>
    <font>
      <b/>
      <sz val="12"/>
      <color theme="1"/>
      <name val="Calibri"/>
      <family val="2"/>
      <charset val="238"/>
    </font>
    <font>
      <sz val="11"/>
      <color theme="1"/>
      <name val="Arial"/>
      <family val="2"/>
    </font>
    <font>
      <sz val="12"/>
      <color theme="1"/>
      <name val="Calibri"/>
      <family val="2"/>
      <charset val="238"/>
    </font>
    <font>
      <sz val="10"/>
      <color theme="1"/>
      <name val="Calibri"/>
      <family val="2"/>
    </font>
    <font>
      <b/>
      <sz val="12"/>
      <name val="Arial"/>
      <family val="2"/>
      <charset val="238"/>
    </font>
    <font>
      <u/>
      <sz val="12"/>
      <color theme="1"/>
      <name val="Arial"/>
      <family val="2"/>
      <charset val="238"/>
    </font>
    <font>
      <sz val="9"/>
      <name val="Arial"/>
      <family val="2"/>
      <charset val="238"/>
    </font>
    <font>
      <b/>
      <sz val="9"/>
      <name val="Arial"/>
      <family val="2"/>
      <charset val="238"/>
    </font>
    <font>
      <sz val="9"/>
      <name val="Arial"/>
      <family val="2"/>
    </font>
    <font>
      <b/>
      <sz val="10"/>
      <color theme="1"/>
      <name val="Arial"/>
      <family val="2"/>
    </font>
    <font>
      <b/>
      <sz val="11"/>
      <color theme="1"/>
      <name val="Calibri"/>
      <family val="2"/>
      <scheme val="minor"/>
    </font>
    <font>
      <sz val="10"/>
      <color theme="1"/>
      <name val="Calibri"/>
      <family val="2"/>
      <charset val="238"/>
      <scheme val="minor"/>
    </font>
    <font>
      <sz val="11"/>
      <color rgb="FF660033"/>
      <name val="Calibri"/>
      <family val="2"/>
      <charset val="238"/>
      <scheme val="minor"/>
    </font>
    <font>
      <sz val="11"/>
      <color theme="3"/>
      <name val="Calibri"/>
      <family val="2"/>
      <charset val="238"/>
      <scheme val="minor"/>
    </font>
    <font>
      <sz val="11"/>
      <color rgb="FF00B050"/>
      <name val="Calibri"/>
      <family val="2"/>
      <charset val="238"/>
      <scheme val="minor"/>
    </font>
    <font>
      <sz val="11"/>
      <color rgb="FFC00000"/>
      <name val="Calibri"/>
      <family val="2"/>
      <charset val="238"/>
      <scheme val="minor"/>
    </font>
    <font>
      <sz val="11"/>
      <color theme="4"/>
      <name val="Calibri"/>
      <family val="2"/>
      <charset val="238"/>
      <scheme val="minor"/>
    </font>
  </fonts>
  <fills count="2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D5D5D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499984740745262"/>
        <bgColor indexed="64"/>
      </patternFill>
    </fill>
    <fill>
      <patternFill patternType="solid">
        <fgColor rgb="FFFD887F"/>
        <bgColor indexed="64"/>
      </patternFill>
    </fill>
    <fill>
      <patternFill patternType="solid">
        <fgColor theme="8"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darkUp">
        <bgColor theme="0" tint="-0.34998626667073579"/>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3" tint="0.59999389629810485"/>
        <bgColor indexed="64"/>
      </patternFill>
    </fill>
  </fills>
  <borders count="81">
    <border>
      <left/>
      <right/>
      <top/>
      <bottom/>
      <diagonal/>
    </border>
    <border>
      <left style="thin">
        <color indexed="64"/>
      </left>
      <right/>
      <top/>
      <bottom/>
      <diagonal/>
    </border>
    <border>
      <left/>
      <right/>
      <top/>
      <bottom style="thin">
        <color indexed="64"/>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bottom style="double">
        <color indexed="64"/>
      </bottom>
      <diagonal/>
    </border>
    <border>
      <left style="hair">
        <color indexed="64"/>
      </left>
      <right style="hair">
        <color indexed="64"/>
      </right>
      <top/>
      <bottom style="double">
        <color indexed="64"/>
      </bottom>
      <diagonal/>
    </border>
    <border>
      <left/>
      <right style="medium">
        <color indexed="64"/>
      </right>
      <top/>
      <bottom style="double">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medium">
        <color indexed="64"/>
      </right>
      <top style="hair">
        <color indexed="64"/>
      </top>
      <bottom style="double">
        <color indexed="64"/>
      </bottom>
      <diagonal/>
    </border>
    <border>
      <left style="medium">
        <color indexed="64"/>
      </left>
      <right style="hair">
        <color indexed="64"/>
      </right>
      <top/>
      <bottom style="medium">
        <color indexed="64"/>
      </bottom>
      <diagonal/>
    </border>
    <border>
      <left style="hair">
        <color indexed="64"/>
      </left>
      <right style="thin">
        <color indexed="64"/>
      </right>
      <top/>
      <bottom style="medium">
        <color indexed="64"/>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right style="medium">
        <color indexed="64"/>
      </right>
      <top/>
      <bottom style="medium">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hair">
        <color indexed="64"/>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right style="thin">
        <color indexed="64"/>
      </right>
      <top/>
      <bottom/>
      <diagonal/>
    </border>
  </borders>
  <cellStyleXfs count="7">
    <xf numFmtId="0" fontId="0" fillId="0" borderId="0"/>
    <xf numFmtId="0" fontId="1" fillId="0" borderId="0" applyBorder="0"/>
    <xf numFmtId="164" fontId="6" fillId="0" borderId="0" applyFont="0" applyFill="0" applyBorder="0" applyAlignment="0" applyProtection="0"/>
    <xf numFmtId="0" fontId="2" fillId="0" borderId="0" applyNumberFormat="0" applyFill="0" applyBorder="0" applyAlignment="0" applyProtection="0">
      <alignment vertical="top"/>
      <protection locked="0"/>
    </xf>
    <xf numFmtId="164" fontId="13" fillId="0" borderId="0" applyFont="0" applyFill="0" applyBorder="0" applyAlignment="0" applyProtection="0"/>
    <xf numFmtId="0" fontId="19" fillId="0" borderId="0" applyNumberFormat="0" applyFill="0" applyBorder="0" applyAlignment="0" applyProtection="0"/>
    <xf numFmtId="0" fontId="3" fillId="0" borderId="0" applyBorder="0"/>
  </cellStyleXfs>
  <cellXfs count="591">
    <xf numFmtId="0" fontId="0" fillId="0" borderId="0" xfId="0"/>
    <xf numFmtId="0" fontId="1" fillId="0" borderId="0" xfId="1"/>
    <xf numFmtId="0" fontId="3" fillId="2" borderId="11" xfId="1" applyFont="1" applyFill="1" applyBorder="1" applyAlignment="1">
      <alignment horizontal="center" vertical="center" wrapText="1"/>
    </xf>
    <xf numFmtId="0" fontId="3" fillId="2" borderId="12" xfId="1" applyFont="1" applyFill="1" applyBorder="1" applyAlignment="1">
      <alignment horizontal="center" vertical="center"/>
    </xf>
    <xf numFmtId="0" fontId="3" fillId="2" borderId="10" xfId="1" applyFont="1" applyFill="1" applyBorder="1" applyAlignment="1">
      <alignment horizontal="center" vertical="center"/>
    </xf>
    <xf numFmtId="0" fontId="3" fillId="3" borderId="11" xfId="1" applyFont="1" applyFill="1" applyBorder="1" applyAlignment="1">
      <alignment horizontal="center" vertical="center"/>
    </xf>
    <xf numFmtId="0" fontId="3" fillId="3" borderId="12" xfId="1" applyFont="1" applyFill="1" applyBorder="1" applyAlignment="1">
      <alignment horizontal="center" vertical="center"/>
    </xf>
    <xf numFmtId="0" fontId="3" fillId="3" borderId="10" xfId="1" applyFont="1" applyFill="1" applyBorder="1" applyAlignment="1">
      <alignment horizontal="center" vertical="center"/>
    </xf>
    <xf numFmtId="0" fontId="3" fillId="4" borderId="11" xfId="1" applyFont="1" applyFill="1" applyBorder="1" applyAlignment="1">
      <alignment horizontal="center" vertical="center" wrapText="1"/>
    </xf>
    <xf numFmtId="0" fontId="3" fillId="4" borderId="12" xfId="1" applyFont="1" applyFill="1" applyBorder="1" applyAlignment="1">
      <alignment horizontal="center" vertical="center"/>
    </xf>
    <xf numFmtId="0" fontId="3" fillId="4" borderId="10" xfId="1" applyFont="1" applyFill="1" applyBorder="1" applyAlignment="1">
      <alignment horizontal="center" vertical="center"/>
    </xf>
    <xf numFmtId="0" fontId="3" fillId="5" borderId="11" xfId="1" applyFont="1" applyFill="1" applyBorder="1" applyAlignment="1">
      <alignment horizontal="center" vertical="center" wrapText="1"/>
    </xf>
    <xf numFmtId="0" fontId="3" fillId="5" borderId="12" xfId="1" applyFont="1" applyFill="1" applyBorder="1" applyAlignment="1">
      <alignment horizontal="center" vertical="center"/>
    </xf>
    <xf numFmtId="0" fontId="3" fillId="5" borderId="10" xfId="1" applyFont="1" applyFill="1" applyBorder="1" applyAlignment="1">
      <alignment horizontal="center" vertical="center"/>
    </xf>
    <xf numFmtId="0" fontId="1" fillId="0" borderId="0" xfId="1" applyAlignment="1">
      <alignment horizontal="center" vertical="center"/>
    </xf>
    <xf numFmtId="49" fontId="5" fillId="0" borderId="14" xfId="1" applyNumberFormat="1" applyFont="1" applyBorder="1" applyAlignment="1">
      <alignment horizontal="center" vertical="center"/>
    </xf>
    <xf numFmtId="49" fontId="5" fillId="0" borderId="15" xfId="1" applyNumberFormat="1" applyFont="1" applyBorder="1" applyAlignment="1">
      <alignment horizontal="center" vertical="center"/>
    </xf>
    <xf numFmtId="49" fontId="5" fillId="2" borderId="16" xfId="1" applyNumberFormat="1" applyFont="1" applyFill="1" applyBorder="1" applyAlignment="1">
      <alignment horizontal="center" vertical="center"/>
    </xf>
    <xf numFmtId="49" fontId="5" fillId="2" borderId="17" xfId="1" applyNumberFormat="1" applyFont="1" applyFill="1" applyBorder="1" applyAlignment="1">
      <alignment horizontal="center" vertical="center"/>
    </xf>
    <xf numFmtId="49" fontId="5" fillId="2" borderId="15" xfId="1" applyNumberFormat="1" applyFont="1" applyFill="1" applyBorder="1" applyAlignment="1">
      <alignment horizontal="center" vertical="center"/>
    </xf>
    <xf numFmtId="49" fontId="5" fillId="3" borderId="16" xfId="1" applyNumberFormat="1" applyFont="1" applyFill="1" applyBorder="1" applyAlignment="1">
      <alignment horizontal="center" vertical="center"/>
    </xf>
    <xf numFmtId="49" fontId="5" fillId="3" borderId="17" xfId="1" applyNumberFormat="1" applyFont="1" applyFill="1" applyBorder="1" applyAlignment="1">
      <alignment horizontal="center" vertical="center"/>
    </xf>
    <xf numFmtId="49" fontId="5" fillId="3" borderId="15" xfId="1" applyNumberFormat="1" applyFont="1" applyFill="1" applyBorder="1" applyAlignment="1">
      <alignment horizontal="center" vertical="center"/>
    </xf>
    <xf numFmtId="49" fontId="5" fillId="4" borderId="16" xfId="1" applyNumberFormat="1" applyFont="1" applyFill="1" applyBorder="1" applyAlignment="1">
      <alignment horizontal="center" vertical="center"/>
    </xf>
    <xf numFmtId="49" fontId="5" fillId="4" borderId="17" xfId="1" applyNumberFormat="1" applyFont="1" applyFill="1" applyBorder="1" applyAlignment="1">
      <alignment horizontal="center" vertical="center"/>
    </xf>
    <xf numFmtId="49" fontId="5" fillId="4" borderId="15" xfId="1" applyNumberFormat="1" applyFont="1" applyFill="1" applyBorder="1" applyAlignment="1">
      <alignment horizontal="center" vertical="center"/>
    </xf>
    <xf numFmtId="49" fontId="5" fillId="5" borderId="16" xfId="1" applyNumberFormat="1" applyFont="1" applyFill="1" applyBorder="1" applyAlignment="1">
      <alignment horizontal="center" vertical="center"/>
    </xf>
    <xf numFmtId="49" fontId="5" fillId="5" borderId="17" xfId="1" applyNumberFormat="1" applyFont="1" applyFill="1" applyBorder="1" applyAlignment="1">
      <alignment horizontal="center" vertical="center"/>
    </xf>
    <xf numFmtId="49" fontId="5" fillId="5" borderId="15" xfId="1" applyNumberFormat="1" applyFont="1" applyFill="1" applyBorder="1" applyAlignment="1">
      <alignment horizontal="center" vertical="center"/>
    </xf>
    <xf numFmtId="49" fontId="5" fillId="6" borderId="18" xfId="1" applyNumberFormat="1" applyFont="1" applyFill="1" applyBorder="1" applyAlignment="1">
      <alignment horizontal="center" vertical="center"/>
    </xf>
    <xf numFmtId="49" fontId="5" fillId="0" borderId="0" xfId="1" applyNumberFormat="1" applyFont="1" applyAlignment="1">
      <alignment horizontal="center" vertical="center"/>
    </xf>
    <xf numFmtId="0" fontId="1" fillId="0" borderId="19" xfId="1" applyBorder="1" applyAlignment="1">
      <alignment horizontal="center"/>
    </xf>
    <xf numFmtId="0" fontId="1" fillId="0" borderId="20" xfId="1" applyBorder="1"/>
    <xf numFmtId="164" fontId="6" fillId="2" borderId="21" xfId="2" applyFont="1" applyFill="1" applyBorder="1"/>
    <xf numFmtId="164" fontId="6" fillId="2" borderId="22" xfId="2" applyFont="1" applyFill="1" applyBorder="1"/>
    <xf numFmtId="164" fontId="6" fillId="2" borderId="20" xfId="2" applyFont="1" applyFill="1" applyBorder="1"/>
    <xf numFmtId="164" fontId="6" fillId="3" borderId="21" xfId="2" applyFont="1" applyFill="1" applyBorder="1"/>
    <xf numFmtId="164" fontId="6" fillId="3" borderId="22" xfId="2" applyFont="1" applyFill="1" applyBorder="1"/>
    <xf numFmtId="164" fontId="6" fillId="3" borderId="20" xfId="2" applyFont="1" applyFill="1" applyBorder="1"/>
    <xf numFmtId="164" fontId="6" fillId="4" borderId="21" xfId="2" applyFont="1" applyFill="1" applyBorder="1"/>
    <xf numFmtId="164" fontId="6" fillId="4" borderId="22" xfId="2" applyFont="1" applyFill="1" applyBorder="1"/>
    <xf numFmtId="164" fontId="6" fillId="4" borderId="20" xfId="2" applyFont="1" applyFill="1" applyBorder="1"/>
    <xf numFmtId="164" fontId="6" fillId="5" borderId="21" xfId="2" applyFont="1" applyFill="1" applyBorder="1"/>
    <xf numFmtId="164" fontId="6" fillId="5" borderId="22" xfId="2" applyFont="1" applyFill="1" applyBorder="1"/>
    <xf numFmtId="164" fontId="6" fillId="5" borderId="20" xfId="2" applyFont="1" applyFill="1" applyBorder="1"/>
    <xf numFmtId="164" fontId="4" fillId="6" borderId="23" xfId="2" applyFont="1" applyFill="1" applyBorder="1"/>
    <xf numFmtId="0" fontId="1" fillId="0" borderId="24" xfId="1" applyBorder="1" applyAlignment="1">
      <alignment horizontal="center"/>
    </xf>
    <xf numFmtId="0" fontId="6" fillId="0" borderId="25" xfId="1" applyFont="1" applyBorder="1"/>
    <xf numFmtId="164" fontId="6" fillId="2" borderId="26" xfId="2" applyFont="1" applyFill="1" applyBorder="1"/>
    <xf numFmtId="164" fontId="6" fillId="2" borderId="27" xfId="2" applyFont="1" applyFill="1" applyBorder="1"/>
    <xf numFmtId="164" fontId="6" fillId="2" borderId="25" xfId="2" applyFont="1" applyFill="1" applyBorder="1"/>
    <xf numFmtId="164" fontId="6" fillId="3" borderId="26" xfId="2" applyFont="1" applyFill="1" applyBorder="1"/>
    <xf numFmtId="164" fontId="6" fillId="3" borderId="27" xfId="2" applyFont="1" applyFill="1" applyBorder="1"/>
    <xf numFmtId="164" fontId="6" fillId="3" borderId="25" xfId="2" applyFont="1" applyFill="1" applyBorder="1"/>
    <xf numFmtId="164" fontId="6" fillId="4" borderId="26" xfId="2" applyFont="1" applyFill="1" applyBorder="1"/>
    <xf numFmtId="164" fontId="6" fillId="4" borderId="27" xfId="2" applyFont="1" applyFill="1" applyBorder="1"/>
    <xf numFmtId="164" fontId="6" fillId="4" borderId="25" xfId="2" applyFont="1" applyFill="1" applyBorder="1"/>
    <xf numFmtId="164" fontId="6" fillId="5" borderId="26" xfId="2" applyFont="1" applyFill="1" applyBorder="1"/>
    <xf numFmtId="164" fontId="6" fillId="5" borderId="27" xfId="2" applyFont="1" applyFill="1" applyBorder="1"/>
    <xf numFmtId="164" fontId="6" fillId="5" borderId="25" xfId="2" applyFont="1" applyFill="1" applyBorder="1"/>
    <xf numFmtId="164" fontId="4" fillId="6" borderId="28" xfId="2" applyFont="1" applyFill="1" applyBorder="1"/>
    <xf numFmtId="0" fontId="1" fillId="0" borderId="25" xfId="1" applyBorder="1"/>
    <xf numFmtId="0" fontId="3" fillId="0" borderId="25" xfId="1" applyFont="1" applyBorder="1"/>
    <xf numFmtId="0" fontId="1" fillId="0" borderId="29" xfId="1" applyBorder="1" applyAlignment="1">
      <alignment horizontal="center"/>
    </xf>
    <xf numFmtId="0" fontId="3" fillId="0" borderId="30" xfId="1" applyFont="1" applyBorder="1"/>
    <xf numFmtId="164" fontId="6" fillId="2" borderId="31" xfId="2" applyFont="1" applyFill="1" applyBorder="1"/>
    <xf numFmtId="164" fontId="6" fillId="2" borderId="32" xfId="2" applyFont="1" applyFill="1" applyBorder="1"/>
    <xf numFmtId="164" fontId="6" fillId="2" borderId="30" xfId="2" applyFont="1" applyFill="1" applyBorder="1"/>
    <xf numFmtId="164" fontId="6" fillId="3" borderId="31" xfId="2" applyFont="1" applyFill="1" applyBorder="1"/>
    <xf numFmtId="164" fontId="6" fillId="3" borderId="32" xfId="2" applyFont="1" applyFill="1" applyBorder="1"/>
    <xf numFmtId="164" fontId="6" fillId="3" borderId="30" xfId="2" applyFont="1" applyFill="1" applyBorder="1"/>
    <xf numFmtId="164" fontId="6" fillId="4" borderId="31" xfId="2" applyFont="1" applyFill="1" applyBorder="1"/>
    <xf numFmtId="164" fontId="6" fillId="4" borderId="32" xfId="2" applyFont="1" applyFill="1" applyBorder="1"/>
    <xf numFmtId="164" fontId="6" fillId="4" borderId="30" xfId="2" applyFont="1" applyFill="1" applyBorder="1"/>
    <xf numFmtId="164" fontId="6" fillId="5" borderId="31" xfId="2" applyFont="1" applyFill="1" applyBorder="1"/>
    <xf numFmtId="164" fontId="6" fillId="5" borderId="32" xfId="2" applyFont="1" applyFill="1" applyBorder="1"/>
    <xf numFmtId="164" fontId="6" fillId="5" borderId="30" xfId="2" applyFont="1" applyFill="1" applyBorder="1"/>
    <xf numFmtId="164" fontId="4" fillId="6" borderId="33" xfId="2" applyFont="1" applyFill="1" applyBorder="1"/>
    <xf numFmtId="0" fontId="1" fillId="0" borderId="34" xfId="1" applyBorder="1" applyAlignment="1">
      <alignment horizontal="center"/>
    </xf>
    <xf numFmtId="0" fontId="3" fillId="0" borderId="35" xfId="1" applyFont="1" applyBorder="1" applyAlignment="1">
      <alignment horizontal="right"/>
    </xf>
    <xf numFmtId="164" fontId="6" fillId="2" borderId="36" xfId="2" applyFont="1" applyFill="1" applyBorder="1"/>
    <xf numFmtId="164" fontId="6" fillId="2" borderId="37" xfId="2" applyFont="1" applyFill="1" applyBorder="1"/>
    <xf numFmtId="164" fontId="6" fillId="2" borderId="35" xfId="2" applyFont="1" applyFill="1" applyBorder="1"/>
    <xf numFmtId="164" fontId="6" fillId="3" borderId="36" xfId="2" applyFont="1" applyFill="1" applyBorder="1"/>
    <xf numFmtId="164" fontId="6" fillId="3" borderId="37" xfId="2" applyFont="1" applyFill="1" applyBorder="1"/>
    <xf numFmtId="164" fontId="6" fillId="3" borderId="35" xfId="2" applyFont="1" applyFill="1" applyBorder="1"/>
    <xf numFmtId="164" fontId="6" fillId="4" borderId="36" xfId="2" applyFont="1" applyFill="1" applyBorder="1"/>
    <xf numFmtId="164" fontId="6" fillId="4" borderId="37" xfId="2" applyFont="1" applyFill="1" applyBorder="1"/>
    <xf numFmtId="164" fontId="6" fillId="4" borderId="35" xfId="2" applyFont="1" applyFill="1" applyBorder="1"/>
    <xf numFmtId="164" fontId="6" fillId="5" borderId="36" xfId="2" applyFont="1" applyFill="1" applyBorder="1"/>
    <xf numFmtId="164" fontId="6" fillId="5" borderId="37" xfId="2" applyFont="1" applyFill="1" applyBorder="1"/>
    <xf numFmtId="164" fontId="6" fillId="5" borderId="35" xfId="2" applyFont="1" applyFill="1" applyBorder="1"/>
    <xf numFmtId="164" fontId="4" fillId="6" borderId="38" xfId="2" applyFont="1" applyFill="1" applyBorder="1"/>
    <xf numFmtId="0" fontId="6" fillId="0" borderId="0" xfId="1" applyFont="1"/>
    <xf numFmtId="164" fontId="1" fillId="0" borderId="0" xfId="1" applyNumberFormat="1"/>
    <xf numFmtId="0" fontId="1" fillId="0" borderId="0" xfId="1" applyAlignment="1">
      <alignment horizontal="center"/>
    </xf>
    <xf numFmtId="0" fontId="3" fillId="0" borderId="0" xfId="1" applyFont="1" applyAlignment="1">
      <alignment horizontal="right"/>
    </xf>
    <xf numFmtId="0" fontId="4" fillId="0" borderId="0" xfId="1" applyFont="1"/>
    <xf numFmtId="164" fontId="4" fillId="0" borderId="0" xfId="1" applyNumberFormat="1" applyFont="1"/>
    <xf numFmtId="0" fontId="3" fillId="7" borderId="0" xfId="1" applyFont="1" applyFill="1" applyAlignment="1">
      <alignment horizontal="left"/>
    </xf>
    <xf numFmtId="0" fontId="1" fillId="7" borderId="0" xfId="1" applyFill="1"/>
    <xf numFmtId="0" fontId="1" fillId="7" borderId="0" xfId="1" applyFill="1" applyAlignment="1">
      <alignment horizontal="center"/>
    </xf>
    <xf numFmtId="0" fontId="3" fillId="7" borderId="0" xfId="1" applyFont="1" applyFill="1" applyAlignment="1">
      <alignment wrapText="1"/>
    </xf>
    <xf numFmtId="0" fontId="3" fillId="7" borderId="0" xfId="1" quotePrefix="1" applyFont="1" applyFill="1"/>
    <xf numFmtId="0" fontId="3" fillId="0" borderId="0" xfId="1" quotePrefix="1" applyFont="1"/>
    <xf numFmtId="0" fontId="3" fillId="0" borderId="43" xfId="1" applyFont="1" applyBorder="1" applyAlignment="1">
      <alignment horizontal="center"/>
    </xf>
    <xf numFmtId="0" fontId="3" fillId="2" borderId="11" xfId="1" applyFont="1" applyFill="1" applyBorder="1" applyAlignment="1">
      <alignment horizontal="center" vertical="top"/>
    </xf>
    <xf numFmtId="0" fontId="3" fillId="2" borderId="12" xfId="1" applyFont="1" applyFill="1" applyBorder="1" applyAlignment="1">
      <alignment horizontal="center" vertical="top" wrapText="1"/>
    </xf>
    <xf numFmtId="0" fontId="3" fillId="2" borderId="44" xfId="1" applyFont="1" applyFill="1" applyBorder="1" applyAlignment="1">
      <alignment horizontal="center" vertical="top"/>
    </xf>
    <xf numFmtId="0" fontId="3" fillId="3" borderId="11" xfId="1" applyFont="1" applyFill="1" applyBorder="1" applyAlignment="1">
      <alignment horizontal="center" vertical="top"/>
    </xf>
    <xf numFmtId="0" fontId="3" fillId="3" borderId="12" xfId="1" applyFont="1" applyFill="1" applyBorder="1" applyAlignment="1">
      <alignment horizontal="center" vertical="top" wrapText="1"/>
    </xf>
    <xf numFmtId="0" fontId="3" fillId="3" borderId="44" xfId="1" applyFont="1" applyFill="1" applyBorder="1" applyAlignment="1">
      <alignment horizontal="center" vertical="top"/>
    </xf>
    <xf numFmtId="0" fontId="3" fillId="4" borderId="11" xfId="1" applyFont="1" applyFill="1" applyBorder="1" applyAlignment="1">
      <alignment horizontal="center" vertical="top"/>
    </xf>
    <xf numFmtId="0" fontId="3" fillId="4" borderId="12" xfId="1" applyFont="1" applyFill="1" applyBorder="1" applyAlignment="1">
      <alignment horizontal="center" vertical="top" wrapText="1"/>
    </xf>
    <xf numFmtId="0" fontId="3" fillId="4" borderId="44" xfId="1" applyFont="1" applyFill="1" applyBorder="1" applyAlignment="1">
      <alignment horizontal="center" vertical="top"/>
    </xf>
    <xf numFmtId="0" fontId="3" fillId="5" borderId="11" xfId="1" applyFont="1" applyFill="1" applyBorder="1" applyAlignment="1">
      <alignment horizontal="center" vertical="top"/>
    </xf>
    <xf numFmtId="0" fontId="3" fillId="5" borderId="12" xfId="1" applyFont="1" applyFill="1" applyBorder="1" applyAlignment="1">
      <alignment horizontal="center" vertical="top" wrapText="1"/>
    </xf>
    <xf numFmtId="0" fontId="3" fillId="5" borderId="44" xfId="1" applyFont="1" applyFill="1" applyBorder="1" applyAlignment="1">
      <alignment horizontal="center" vertical="top"/>
    </xf>
    <xf numFmtId="0" fontId="3" fillId="8" borderId="11" xfId="1" applyFont="1" applyFill="1" applyBorder="1" applyAlignment="1">
      <alignment horizontal="center" vertical="top"/>
    </xf>
    <xf numFmtId="0" fontId="3" fillId="8" borderId="12" xfId="1" applyFont="1" applyFill="1" applyBorder="1" applyAlignment="1">
      <alignment horizontal="center" vertical="top" wrapText="1"/>
    </xf>
    <xf numFmtId="0" fontId="3" fillId="8" borderId="44" xfId="1" applyFont="1" applyFill="1" applyBorder="1" applyAlignment="1">
      <alignment horizontal="center" vertical="top"/>
    </xf>
    <xf numFmtId="0" fontId="3" fillId="9" borderId="11" xfId="1" applyFont="1" applyFill="1" applyBorder="1" applyAlignment="1">
      <alignment horizontal="center" vertical="top"/>
    </xf>
    <xf numFmtId="0" fontId="3" fillId="9" borderId="12" xfId="1" applyFont="1" applyFill="1" applyBorder="1" applyAlignment="1">
      <alignment horizontal="center" vertical="top" wrapText="1"/>
    </xf>
    <xf numFmtId="0" fontId="3" fillId="9" borderId="44" xfId="1" applyFont="1" applyFill="1" applyBorder="1" applyAlignment="1">
      <alignment horizontal="center" vertical="top"/>
    </xf>
    <xf numFmtId="0" fontId="1" fillId="0" borderId="45" xfId="1" applyBorder="1" applyAlignment="1">
      <alignment vertical="top"/>
    </xf>
    <xf numFmtId="0" fontId="1" fillId="0" borderId="0" xfId="1" applyAlignment="1">
      <alignment vertical="top"/>
    </xf>
    <xf numFmtId="49" fontId="5" fillId="8" borderId="16" xfId="1" applyNumberFormat="1" applyFont="1" applyFill="1" applyBorder="1" applyAlignment="1">
      <alignment horizontal="center" vertical="center"/>
    </xf>
    <xf numFmtId="49" fontId="5" fillId="8" borderId="17" xfId="1" applyNumberFormat="1" applyFont="1" applyFill="1" applyBorder="1" applyAlignment="1">
      <alignment horizontal="center" vertical="center"/>
    </xf>
    <xf numFmtId="49" fontId="5" fillId="8" borderId="15" xfId="1" applyNumberFormat="1" applyFont="1" applyFill="1" applyBorder="1" applyAlignment="1">
      <alignment horizontal="center" vertical="center"/>
    </xf>
    <xf numFmtId="49" fontId="5" fillId="9" borderId="16" xfId="1" applyNumberFormat="1" applyFont="1" applyFill="1" applyBorder="1" applyAlignment="1">
      <alignment horizontal="center" vertical="center"/>
    </xf>
    <xf numFmtId="49" fontId="5" fillId="9" borderId="17" xfId="1" applyNumberFormat="1" applyFont="1" applyFill="1" applyBorder="1" applyAlignment="1">
      <alignment horizontal="center" vertical="center"/>
    </xf>
    <xf numFmtId="49" fontId="5" fillId="9" borderId="15" xfId="1" applyNumberFormat="1" applyFont="1" applyFill="1" applyBorder="1" applyAlignment="1">
      <alignment horizontal="center" vertical="center"/>
    </xf>
    <xf numFmtId="165" fontId="1" fillId="0" borderId="0" xfId="1" applyNumberFormat="1"/>
    <xf numFmtId="0" fontId="1" fillId="2" borderId="21" xfId="1" applyFill="1" applyBorder="1"/>
    <xf numFmtId="165" fontId="1" fillId="2" borderId="22" xfId="1" applyNumberFormat="1" applyFill="1" applyBorder="1"/>
    <xf numFmtId="165" fontId="1" fillId="2" borderId="20" xfId="1" applyNumberFormat="1" applyFill="1" applyBorder="1"/>
    <xf numFmtId="0" fontId="1" fillId="3" borderId="21" xfId="1" applyFill="1" applyBorder="1"/>
    <xf numFmtId="165" fontId="1" fillId="3" borderId="22" xfId="1" applyNumberFormat="1" applyFill="1" applyBorder="1"/>
    <xf numFmtId="165" fontId="1" fillId="3" borderId="20" xfId="1" applyNumberFormat="1" applyFill="1" applyBorder="1"/>
    <xf numFmtId="0" fontId="1" fillId="4" borderId="21" xfId="1" applyFill="1" applyBorder="1"/>
    <xf numFmtId="165" fontId="1" fillId="4" borderId="22" xfId="1" applyNumberFormat="1" applyFill="1" applyBorder="1"/>
    <xf numFmtId="165" fontId="1" fillId="4" borderId="20" xfId="1" applyNumberFormat="1" applyFill="1" applyBorder="1"/>
    <xf numFmtId="0" fontId="1" fillId="5" borderId="21" xfId="1" applyFill="1" applyBorder="1"/>
    <xf numFmtId="165" fontId="1" fillId="5" borderId="22" xfId="1" applyNumberFormat="1" applyFill="1" applyBorder="1"/>
    <xf numFmtId="165" fontId="1" fillId="5" borderId="20" xfId="1" applyNumberFormat="1" applyFill="1" applyBorder="1"/>
    <xf numFmtId="0" fontId="1" fillId="8" borderId="21" xfId="1" applyFill="1" applyBorder="1"/>
    <xf numFmtId="165" fontId="1" fillId="8" borderId="22" xfId="1" applyNumberFormat="1" applyFill="1" applyBorder="1"/>
    <xf numFmtId="165" fontId="1" fillId="8" borderId="20" xfId="1" applyNumberFormat="1" applyFill="1" applyBorder="1"/>
    <xf numFmtId="0" fontId="1" fillId="9" borderId="21" xfId="1" applyFill="1" applyBorder="1"/>
    <xf numFmtId="165" fontId="1" fillId="9" borderId="22" xfId="1" applyNumberFormat="1" applyFill="1" applyBorder="1"/>
    <xf numFmtId="165" fontId="1" fillId="9" borderId="20" xfId="1" applyNumberFormat="1" applyFill="1" applyBorder="1"/>
    <xf numFmtId="0" fontId="1" fillId="0" borderId="23" xfId="1" applyBorder="1"/>
    <xf numFmtId="0" fontId="1" fillId="2" borderId="26" xfId="1" applyFill="1" applyBorder="1"/>
    <xf numFmtId="165" fontId="1" fillId="2" borderId="27" xfId="1" applyNumberFormat="1" applyFill="1" applyBorder="1"/>
    <xf numFmtId="0" fontId="1" fillId="3" borderId="26" xfId="1" applyFill="1" applyBorder="1"/>
    <xf numFmtId="165" fontId="1" fillId="3" borderId="27" xfId="1" applyNumberFormat="1" applyFill="1" applyBorder="1"/>
    <xf numFmtId="165" fontId="1" fillId="3" borderId="25" xfId="1" applyNumberFormat="1" applyFill="1" applyBorder="1"/>
    <xf numFmtId="0" fontId="1" fillId="4" borderId="26" xfId="1" applyFill="1" applyBorder="1"/>
    <xf numFmtId="165" fontId="1" fillId="4" borderId="27" xfId="1" applyNumberFormat="1" applyFill="1" applyBorder="1"/>
    <xf numFmtId="165" fontId="1" fillId="4" borderId="25" xfId="1" applyNumberFormat="1" applyFill="1" applyBorder="1"/>
    <xf numFmtId="0" fontId="1" fillId="5" borderId="26" xfId="1" applyFill="1" applyBorder="1"/>
    <xf numFmtId="165" fontId="1" fillId="5" borderId="27" xfId="1" applyNumberFormat="1" applyFill="1" applyBorder="1"/>
    <xf numFmtId="165" fontId="1" fillId="5" borderId="25" xfId="1" applyNumberFormat="1" applyFill="1" applyBorder="1"/>
    <xf numFmtId="0" fontId="1" fillId="8" borderId="26" xfId="1" applyFill="1" applyBorder="1"/>
    <xf numFmtId="165" fontId="1" fillId="8" borderId="27" xfId="1" applyNumberFormat="1" applyFill="1" applyBorder="1"/>
    <xf numFmtId="165" fontId="1" fillId="8" borderId="25" xfId="1" applyNumberFormat="1" applyFill="1" applyBorder="1"/>
    <xf numFmtId="0" fontId="1" fillId="9" borderId="26" xfId="1" applyFill="1" applyBorder="1"/>
    <xf numFmtId="165" fontId="1" fillId="9" borderId="27" xfId="1" applyNumberFormat="1" applyFill="1" applyBorder="1"/>
    <xf numFmtId="165" fontId="1" fillId="9" borderId="25" xfId="1" applyNumberFormat="1" applyFill="1" applyBorder="1"/>
    <xf numFmtId="0" fontId="1" fillId="0" borderId="28" xfId="1" applyBorder="1"/>
    <xf numFmtId="0" fontId="1" fillId="2" borderId="31" xfId="1" applyFill="1" applyBorder="1"/>
    <xf numFmtId="165" fontId="1" fillId="2" borderId="32" xfId="1" applyNumberFormat="1" applyFill="1" applyBorder="1"/>
    <xf numFmtId="165" fontId="1" fillId="2" borderId="30" xfId="1" applyNumberFormat="1" applyFill="1" applyBorder="1"/>
    <xf numFmtId="0" fontId="1" fillId="3" borderId="31" xfId="1" applyFill="1" applyBorder="1"/>
    <xf numFmtId="165" fontId="1" fillId="3" borderId="32" xfId="1" applyNumberFormat="1" applyFill="1" applyBorder="1"/>
    <xf numFmtId="165" fontId="1" fillId="3" borderId="30" xfId="1" applyNumberFormat="1" applyFill="1" applyBorder="1"/>
    <xf numFmtId="0" fontId="1" fillId="4" borderId="31" xfId="1" applyFill="1" applyBorder="1"/>
    <xf numFmtId="165" fontId="1" fillId="4" borderId="32" xfId="1" applyNumberFormat="1" applyFill="1" applyBorder="1"/>
    <xf numFmtId="165" fontId="1" fillId="4" borderId="30" xfId="1" applyNumberFormat="1" applyFill="1" applyBorder="1"/>
    <xf numFmtId="0" fontId="1" fillId="5" borderId="31" xfId="1" applyFill="1" applyBorder="1"/>
    <xf numFmtId="165" fontId="1" fillId="5" borderId="32" xfId="1" applyNumberFormat="1" applyFill="1" applyBorder="1"/>
    <xf numFmtId="165" fontId="1" fillId="5" borderId="30" xfId="1" applyNumberFormat="1" applyFill="1" applyBorder="1"/>
    <xf numFmtId="0" fontId="1" fillId="8" borderId="31" xfId="1" applyFill="1" applyBorder="1"/>
    <xf numFmtId="165" fontId="1" fillId="8" borderId="32" xfId="1" applyNumberFormat="1" applyFill="1" applyBorder="1"/>
    <xf numFmtId="165" fontId="1" fillId="8" borderId="30" xfId="1" applyNumberFormat="1" applyFill="1" applyBorder="1"/>
    <xf numFmtId="0" fontId="1" fillId="9" borderId="31" xfId="1" applyFill="1" applyBorder="1"/>
    <xf numFmtId="165" fontId="1" fillId="9" borderId="32" xfId="1" applyNumberFormat="1" applyFill="1" applyBorder="1"/>
    <xf numFmtId="165" fontId="1" fillId="9" borderId="30" xfId="1" applyNumberFormat="1" applyFill="1" applyBorder="1"/>
    <xf numFmtId="0" fontId="1" fillId="0" borderId="33" xfId="1" applyBorder="1"/>
    <xf numFmtId="0" fontId="1" fillId="2" borderId="36" xfId="1" applyFill="1" applyBorder="1"/>
    <xf numFmtId="165" fontId="1" fillId="2" borderId="37" xfId="1" applyNumberFormat="1" applyFill="1" applyBorder="1"/>
    <xf numFmtId="165" fontId="1" fillId="2" borderId="35" xfId="1" applyNumberFormat="1" applyFill="1" applyBorder="1"/>
    <xf numFmtId="0" fontId="1" fillId="3" borderId="36" xfId="1" applyFill="1" applyBorder="1"/>
    <xf numFmtId="165" fontId="1" fillId="3" borderId="37" xfId="1" applyNumberFormat="1" applyFill="1" applyBorder="1"/>
    <xf numFmtId="165" fontId="1" fillId="3" borderId="35" xfId="1" applyNumberFormat="1" applyFill="1" applyBorder="1"/>
    <xf numFmtId="0" fontId="1" fillId="4" borderId="36" xfId="1" applyFill="1" applyBorder="1"/>
    <xf numFmtId="165" fontId="1" fillId="4" borderId="37" xfId="1" applyNumberFormat="1" applyFill="1" applyBorder="1"/>
    <xf numFmtId="165" fontId="1" fillId="4" borderId="35" xfId="1" applyNumberFormat="1" applyFill="1" applyBorder="1"/>
    <xf numFmtId="0" fontId="1" fillId="5" borderId="36" xfId="1" applyFill="1" applyBorder="1"/>
    <xf numFmtId="165" fontId="1" fillId="5" borderId="37" xfId="1" applyNumberFormat="1" applyFill="1" applyBorder="1"/>
    <xf numFmtId="165" fontId="1" fillId="5" borderId="35" xfId="1" applyNumberFormat="1" applyFill="1" applyBorder="1"/>
    <xf numFmtId="0" fontId="1" fillId="8" borderId="36" xfId="1" applyFill="1" applyBorder="1"/>
    <xf numFmtId="165" fontId="1" fillId="8" borderId="37" xfId="1" applyNumberFormat="1" applyFill="1" applyBorder="1"/>
    <xf numFmtId="165" fontId="1" fillId="8" borderId="35" xfId="1" applyNumberFormat="1" applyFill="1" applyBorder="1"/>
    <xf numFmtId="0" fontId="1" fillId="9" borderId="36" xfId="1" applyFill="1" applyBorder="1"/>
    <xf numFmtId="165" fontId="1" fillId="9" borderId="37" xfId="1" applyNumberFormat="1" applyFill="1" applyBorder="1"/>
    <xf numFmtId="165" fontId="1" fillId="9" borderId="35" xfId="1" applyNumberFormat="1" applyFill="1" applyBorder="1"/>
    <xf numFmtId="0" fontId="1" fillId="0" borderId="38" xfId="1" applyBorder="1"/>
    <xf numFmtId="0" fontId="3" fillId="0" borderId="0" xfId="1" applyFont="1"/>
    <xf numFmtId="0" fontId="4" fillId="0" borderId="0" xfId="1" applyFont="1" applyAlignment="1">
      <alignment horizontal="center"/>
    </xf>
    <xf numFmtId="164" fontId="6" fillId="0" borderId="0" xfId="2" applyFont="1"/>
    <xf numFmtId="164" fontId="6" fillId="10" borderId="0" xfId="2" applyFont="1" applyFill="1"/>
    <xf numFmtId="164" fontId="0" fillId="0" borderId="0" xfId="2" applyFont="1"/>
    <xf numFmtId="9" fontId="1" fillId="0" borderId="0" xfId="1" applyNumberFormat="1"/>
    <xf numFmtId="0" fontId="1" fillId="6" borderId="0" xfId="1" applyFill="1"/>
    <xf numFmtId="0" fontId="4" fillId="0" borderId="46" xfId="1" applyFont="1" applyBorder="1" applyAlignment="1">
      <alignment horizontal="center"/>
    </xf>
    <xf numFmtId="0" fontId="3" fillId="0" borderId="46" xfId="1" applyFont="1" applyBorder="1" applyAlignment="1">
      <alignment wrapText="1"/>
    </xf>
    <xf numFmtId="0" fontId="6" fillId="0" borderId="0" xfId="1" applyFont="1" applyAlignment="1">
      <alignment wrapText="1"/>
    </xf>
    <xf numFmtId="164" fontId="9" fillId="0" borderId="0" xfId="2" applyFont="1"/>
    <xf numFmtId="0" fontId="4" fillId="0" borderId="1" xfId="1" applyFont="1" applyBorder="1" applyAlignment="1">
      <alignment horizontal="center"/>
    </xf>
    <xf numFmtId="0" fontId="4" fillId="0" borderId="46" xfId="1" applyFont="1" applyBorder="1"/>
    <xf numFmtId="0" fontId="11" fillId="0" borderId="0" xfId="1" applyFont="1"/>
    <xf numFmtId="0" fontId="11" fillId="0" borderId="19" xfId="1" applyFont="1" applyBorder="1"/>
    <xf numFmtId="164" fontId="11" fillId="0" borderId="22" xfId="2" applyFont="1" applyBorder="1"/>
    <xf numFmtId="164" fontId="11" fillId="0" borderId="54" xfId="2" applyFont="1" applyBorder="1"/>
    <xf numFmtId="0" fontId="11" fillId="0" borderId="24" xfId="1" applyFont="1" applyBorder="1"/>
    <xf numFmtId="164" fontId="11" fillId="0" borderId="27" xfId="2" applyFont="1" applyBorder="1"/>
    <xf numFmtId="0" fontId="11" fillId="0" borderId="29" xfId="1" applyFont="1" applyBorder="1"/>
    <xf numFmtId="164" fontId="11" fillId="0" borderId="32" xfId="2" applyFont="1" applyBorder="1"/>
    <xf numFmtId="0" fontId="10" fillId="0" borderId="58" xfId="1" applyFont="1" applyBorder="1" applyAlignment="1">
      <alignment horizontal="right" vertical="center"/>
    </xf>
    <xf numFmtId="164" fontId="10" fillId="0" borderId="59" xfId="2" applyFont="1" applyBorder="1" applyAlignment="1">
      <alignment vertical="center"/>
    </xf>
    <xf numFmtId="164" fontId="10" fillId="0" borderId="60" xfId="2" applyFont="1" applyBorder="1" applyAlignment="1">
      <alignment vertical="center"/>
    </xf>
    <xf numFmtId="0" fontId="11" fillId="0" borderId="61" xfId="1" applyFont="1" applyBorder="1" applyAlignment="1">
      <alignment horizontal="right"/>
    </xf>
    <xf numFmtId="164" fontId="11" fillId="0" borderId="0" xfId="2" applyFont="1" applyBorder="1"/>
    <xf numFmtId="164" fontId="11" fillId="0" borderId="62" xfId="2" applyFont="1" applyBorder="1"/>
    <xf numFmtId="9" fontId="11" fillId="0" borderId="0" xfId="1" applyNumberFormat="1" applyFont="1"/>
    <xf numFmtId="0" fontId="11" fillId="11" borderId="61" xfId="1" applyFont="1" applyFill="1" applyBorder="1" applyAlignment="1">
      <alignment horizontal="right"/>
    </xf>
    <xf numFmtId="0" fontId="11" fillId="11" borderId="63" xfId="1" applyFont="1" applyFill="1" applyBorder="1" applyAlignment="1">
      <alignment horizontal="right"/>
    </xf>
    <xf numFmtId="164" fontId="11" fillId="0" borderId="0" xfId="2" applyFont="1"/>
    <xf numFmtId="0" fontId="0" fillId="0" borderId="0" xfId="0" applyAlignment="1">
      <alignment horizontal="left"/>
    </xf>
    <xf numFmtId="164" fontId="6" fillId="0" borderId="0" xfId="2" applyFont="1" applyBorder="1" applyAlignment="1">
      <alignment wrapText="1"/>
    </xf>
    <xf numFmtId="164" fontId="0" fillId="0" borderId="0" xfId="2" applyFont="1" applyAlignment="1">
      <alignment horizontal="center" vertical="center"/>
    </xf>
    <xf numFmtId="164" fontId="6" fillId="0" borderId="46" xfId="2" applyFont="1" applyBorder="1" applyAlignment="1">
      <alignment horizontal="center" vertical="center" wrapText="1"/>
    </xf>
    <xf numFmtId="164" fontId="9" fillId="0" borderId="0" xfId="2" applyFont="1" applyAlignment="1">
      <alignment horizontal="center" vertical="center"/>
    </xf>
    <xf numFmtId="164" fontId="6" fillId="0" borderId="0" xfId="2" applyFont="1" applyAlignment="1">
      <alignment horizontal="center"/>
    </xf>
    <xf numFmtId="0" fontId="1" fillId="0" borderId="66" xfId="1" applyBorder="1"/>
    <xf numFmtId="0" fontId="1" fillId="0" borderId="67" xfId="1" applyBorder="1"/>
    <xf numFmtId="0" fontId="6" fillId="0" borderId="67" xfId="1" applyFont="1" applyBorder="1"/>
    <xf numFmtId="0" fontId="6" fillId="0" borderId="66" xfId="1" applyFont="1" applyBorder="1"/>
    <xf numFmtId="164" fontId="0" fillId="15" borderId="0" xfId="2" applyFont="1" applyFill="1"/>
    <xf numFmtId="164" fontId="6" fillId="0" borderId="0" xfId="2" applyFont="1" applyFill="1"/>
    <xf numFmtId="164" fontId="1" fillId="0" borderId="0" xfId="2" applyFont="1" applyFill="1"/>
    <xf numFmtId="12" fontId="6" fillId="0" borderId="0" xfId="2" applyNumberFormat="1" applyFont="1" applyFill="1"/>
    <xf numFmtId="44" fontId="1" fillId="0" borderId="0" xfId="1" applyNumberFormat="1" applyAlignment="1">
      <alignment horizontal="center" vertical="center"/>
    </xf>
    <xf numFmtId="44" fontId="6" fillId="0" borderId="0" xfId="1" applyNumberFormat="1" applyFont="1" applyAlignment="1">
      <alignment horizontal="center" vertical="center"/>
    </xf>
    <xf numFmtId="44" fontId="0" fillId="0" borderId="0" xfId="2" applyNumberFormat="1" applyFont="1" applyAlignment="1">
      <alignment horizontal="center" vertical="center"/>
    </xf>
    <xf numFmtId="44" fontId="9" fillId="0" borderId="0" xfId="2" applyNumberFormat="1" applyFont="1" applyAlignment="1">
      <alignment horizontal="center" vertical="center"/>
    </xf>
    <xf numFmtId="44" fontId="6" fillId="0" borderId="0" xfId="2" applyNumberFormat="1" applyFont="1" applyAlignment="1">
      <alignment horizontal="center" vertical="center" wrapText="1"/>
    </xf>
    <xf numFmtId="44" fontId="6" fillId="0" borderId="46" xfId="2" applyNumberFormat="1" applyFont="1" applyBorder="1" applyAlignment="1">
      <alignment horizontal="center" vertical="center"/>
    </xf>
    <xf numFmtId="44" fontId="1" fillId="0" borderId="65" xfId="1" applyNumberFormat="1" applyBorder="1"/>
    <xf numFmtId="0" fontId="4" fillId="0" borderId="47" xfId="1" applyFont="1" applyBorder="1" applyAlignment="1">
      <alignment horizontal="center" vertical="center"/>
    </xf>
    <xf numFmtId="0" fontId="1" fillId="0" borderId="48" xfId="1" applyBorder="1" applyAlignment="1">
      <alignment vertical="center"/>
    </xf>
    <xf numFmtId="164" fontId="6" fillId="0" borderId="48" xfId="2" applyFont="1" applyBorder="1" applyAlignment="1">
      <alignment horizontal="center" vertical="center"/>
    </xf>
    <xf numFmtId="0" fontId="4" fillId="0" borderId="0" xfId="1" applyFont="1" applyBorder="1"/>
    <xf numFmtId="164" fontId="0" fillId="0" borderId="0" xfId="2" applyFont="1" applyBorder="1" applyAlignment="1">
      <alignment horizontal="center" vertical="center"/>
    </xf>
    <xf numFmtId="0" fontId="3" fillId="0" borderId="0" xfId="1" applyFont="1" applyBorder="1"/>
    <xf numFmtId="164" fontId="6" fillId="0" borderId="0" xfId="2" applyFont="1" applyBorder="1" applyAlignment="1">
      <alignment horizontal="center" vertical="center"/>
    </xf>
    <xf numFmtId="0" fontId="3" fillId="0" borderId="0" xfId="1" applyFont="1" applyBorder="1" applyAlignment="1">
      <alignment horizontal="left" indent="1"/>
    </xf>
    <xf numFmtId="0" fontId="3" fillId="0" borderId="0" xfId="1" applyFont="1" applyBorder="1" applyAlignment="1">
      <alignment horizontal="right"/>
    </xf>
    <xf numFmtId="0" fontId="4" fillId="7" borderId="1" xfId="1" applyFont="1" applyFill="1" applyBorder="1" applyAlignment="1">
      <alignment horizontal="center"/>
    </xf>
    <xf numFmtId="0" fontId="4" fillId="7" borderId="0" xfId="1" applyFont="1" applyFill="1" applyBorder="1"/>
    <xf numFmtId="164" fontId="6" fillId="7" borderId="0" xfId="2" applyFont="1" applyFill="1" applyBorder="1" applyAlignment="1">
      <alignment horizontal="center" vertical="center"/>
    </xf>
    <xf numFmtId="0" fontId="3" fillId="7" borderId="0" xfId="1" applyFont="1" applyFill="1" applyBorder="1"/>
    <xf numFmtId="0" fontId="4" fillId="6" borderId="1" xfId="1" applyFont="1" applyFill="1" applyBorder="1" applyAlignment="1">
      <alignment horizontal="center"/>
    </xf>
    <xf numFmtId="0" fontId="3" fillId="6" borderId="0" xfId="1" applyFont="1" applyFill="1" applyBorder="1"/>
    <xf numFmtId="164" fontId="1" fillId="6" borderId="0" xfId="2" applyFont="1" applyFill="1" applyBorder="1" applyAlignment="1">
      <alignment horizontal="center" vertical="center"/>
    </xf>
    <xf numFmtId="0" fontId="1" fillId="0" borderId="0" xfId="1" applyBorder="1"/>
    <xf numFmtId="0" fontId="3" fillId="0" borderId="0" xfId="1" applyFont="1" applyBorder="1" applyAlignment="1">
      <alignment wrapText="1"/>
    </xf>
    <xf numFmtId="0" fontId="4" fillId="0" borderId="72" xfId="1" applyFont="1" applyBorder="1" applyAlignment="1">
      <alignment horizontal="center"/>
    </xf>
    <xf numFmtId="164" fontId="9" fillId="0" borderId="2" xfId="2" applyFont="1" applyBorder="1" applyAlignment="1">
      <alignment horizontal="center" vertical="center"/>
    </xf>
    <xf numFmtId="0" fontId="4" fillId="0" borderId="49" xfId="1" applyFont="1" applyBorder="1" applyAlignment="1">
      <alignment horizontal="center" vertical="center"/>
    </xf>
    <xf numFmtId="0" fontId="3" fillId="0" borderId="2" xfId="1" applyFont="1" applyBorder="1" applyAlignment="1">
      <alignment horizontal="right" vertical="center"/>
    </xf>
    <xf numFmtId="0" fontId="15" fillId="13" borderId="0" xfId="0" applyFont="1" applyFill="1"/>
    <xf numFmtId="0" fontId="15" fillId="14" borderId="0" xfId="0" applyFont="1" applyFill="1"/>
    <xf numFmtId="16" fontId="0" fillId="0" borderId="0" xfId="0" applyNumberFormat="1" applyAlignment="1">
      <alignment horizontal="left"/>
    </xf>
    <xf numFmtId="0" fontId="15" fillId="12" borderId="0" xfId="0" applyFont="1" applyFill="1" applyAlignment="1">
      <alignment horizontal="center"/>
    </xf>
    <xf numFmtId="0" fontId="15" fillId="12" borderId="0" xfId="0" applyFont="1" applyFill="1" applyAlignment="1">
      <alignment horizontal="left"/>
    </xf>
    <xf numFmtId="0" fontId="18" fillId="0" borderId="0" xfId="0" applyFont="1"/>
    <xf numFmtId="0" fontId="17" fillId="0" borderId="0" xfId="0" applyFont="1" applyAlignment="1">
      <alignment horizontal="center"/>
    </xf>
    <xf numFmtId="164" fontId="11" fillId="0" borderId="0" xfId="4" applyFont="1"/>
    <xf numFmtId="164" fontId="11" fillId="0" borderId="0" xfId="1" applyNumberFormat="1" applyFont="1"/>
    <xf numFmtId="164" fontId="0" fillId="0" borderId="0" xfId="4" applyFont="1" applyAlignment="1">
      <alignment horizontal="center"/>
    </xf>
    <xf numFmtId="164" fontId="15" fillId="12" borderId="0" xfId="4" applyFont="1" applyFill="1" applyAlignment="1">
      <alignment horizontal="center"/>
    </xf>
    <xf numFmtId="164" fontId="18" fillId="0" borderId="0" xfId="4" applyFont="1" applyAlignment="1">
      <alignment horizontal="center"/>
    </xf>
    <xf numFmtId="164" fontId="0" fillId="0" borderId="0" xfId="4" applyFont="1" applyFill="1" applyAlignment="1">
      <alignment horizontal="center"/>
    </xf>
    <xf numFmtId="164" fontId="14" fillId="0" borderId="0" xfId="4" applyFont="1" applyAlignment="1">
      <alignment horizontal="center"/>
    </xf>
    <xf numFmtId="164" fontId="18" fillId="0" borderId="0" xfId="4" applyFont="1" applyFill="1" applyAlignment="1">
      <alignment horizontal="center"/>
    </xf>
    <xf numFmtId="164" fontId="15" fillId="14" borderId="0" xfId="4" applyFont="1" applyFill="1" applyAlignment="1">
      <alignment horizontal="center"/>
    </xf>
    <xf numFmtId="164" fontId="15" fillId="13" borderId="0" xfId="4" applyFont="1" applyFill="1" applyAlignment="1">
      <alignment horizontal="center"/>
    </xf>
    <xf numFmtId="0" fontId="0" fillId="16" borderId="0" xfId="0" applyFill="1"/>
    <xf numFmtId="17" fontId="0" fillId="0" borderId="0" xfId="0" applyNumberFormat="1" applyAlignment="1">
      <alignment horizontal="left"/>
    </xf>
    <xf numFmtId="44" fontId="9" fillId="0" borderId="65" xfId="2" applyNumberFormat="1" applyFont="1" applyBorder="1" applyAlignment="1">
      <alignment horizontal="center"/>
    </xf>
    <xf numFmtId="44" fontId="1" fillId="0" borderId="65" xfId="4" applyNumberFormat="1" applyFont="1" applyBorder="1"/>
    <xf numFmtId="44" fontId="1" fillId="0" borderId="68" xfId="1" applyNumberFormat="1" applyBorder="1"/>
    <xf numFmtId="44" fontId="3" fillId="0" borderId="65" xfId="1" applyNumberFormat="1" applyFont="1" applyBorder="1"/>
    <xf numFmtId="44" fontId="1" fillId="0" borderId="0" xfId="1" applyNumberFormat="1"/>
    <xf numFmtId="44" fontId="6" fillId="0" borderId="0" xfId="1" applyNumberFormat="1" applyFont="1"/>
    <xf numFmtId="44" fontId="9" fillId="0" borderId="69" xfId="2" applyNumberFormat="1" applyFont="1" applyBorder="1" applyAlignment="1">
      <alignment horizontal="center" vertical="center"/>
    </xf>
    <xf numFmtId="44" fontId="0" fillId="0" borderId="65" xfId="2" applyNumberFormat="1" applyFont="1" applyBorder="1"/>
    <xf numFmtId="44" fontId="6" fillId="0" borderId="65" xfId="2" applyNumberFormat="1" applyFont="1" applyBorder="1"/>
    <xf numFmtId="44" fontId="6" fillId="0" borderId="68" xfId="2" applyNumberFormat="1" applyFont="1" applyBorder="1"/>
    <xf numFmtId="44" fontId="9" fillId="0" borderId="66" xfId="2" applyNumberFormat="1" applyFont="1" applyBorder="1" applyAlignment="1">
      <alignment vertical="center"/>
    </xf>
    <xf numFmtId="44" fontId="0" fillId="0" borderId="0" xfId="2" applyNumberFormat="1" applyFont="1"/>
    <xf numFmtId="0" fontId="20" fillId="0" borderId="67" xfId="0" applyFont="1" applyBorder="1" applyAlignment="1">
      <alignment horizontal="center" vertical="center" wrapText="1"/>
    </xf>
    <xf numFmtId="165" fontId="1" fillId="0" borderId="0" xfId="0" applyNumberFormat="1"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14" fontId="27" fillId="0" borderId="67" xfId="0" applyNumberFormat="1" applyFont="1" applyBorder="1" applyAlignment="1">
      <alignment horizontal="center" vertical="center" wrapText="1"/>
    </xf>
    <xf numFmtId="0" fontId="28" fillId="0" borderId="67" xfId="0" applyFont="1" applyBorder="1" applyAlignment="1">
      <alignment horizontal="center" vertical="center" wrapText="1"/>
    </xf>
    <xf numFmtId="0" fontId="28" fillId="0" borderId="67" xfId="0" applyFont="1" applyBorder="1" applyAlignment="1">
      <alignment horizontal="center" vertical="center" textRotation="180" wrapText="1"/>
    </xf>
    <xf numFmtId="0" fontId="29" fillId="0" borderId="67" xfId="0" applyFont="1" applyBorder="1" applyAlignment="1" applyProtection="1">
      <alignment horizontal="center" vertical="center" wrapText="1"/>
      <protection locked="0"/>
    </xf>
    <xf numFmtId="0" fontId="23" fillId="0" borderId="67" xfId="0" applyFont="1" applyBorder="1" applyAlignment="1">
      <alignment horizontal="center" vertical="center" wrapText="1"/>
    </xf>
    <xf numFmtId="0" fontId="31" fillId="17" borderId="67" xfId="0" applyFont="1" applyFill="1" applyBorder="1" applyAlignment="1">
      <alignment vertical="center" wrapText="1"/>
    </xf>
    <xf numFmtId="0" fontId="31" fillId="0" borderId="67" xfId="0" applyFont="1" applyBorder="1" applyAlignment="1" applyProtection="1">
      <alignment horizontal="center" vertical="center" wrapText="1"/>
      <protection locked="0"/>
    </xf>
    <xf numFmtId="0" fontId="23" fillId="0" borderId="67" xfId="0" applyFont="1" applyBorder="1" applyAlignment="1" applyProtection="1">
      <alignment horizontal="center" vertical="center" wrapText="1"/>
      <protection locked="0"/>
    </xf>
    <xf numFmtId="165" fontId="1" fillId="16" borderId="0" xfId="0" applyNumberFormat="1" applyFont="1" applyFill="1" applyAlignment="1">
      <alignment vertical="center" wrapText="1"/>
    </xf>
    <xf numFmtId="0" fontId="24" fillId="0" borderId="67" xfId="0" applyFont="1" applyBorder="1" applyAlignment="1">
      <alignment horizontal="center" vertical="center" wrapText="1"/>
    </xf>
    <xf numFmtId="165" fontId="1" fillId="18" borderId="0" xfId="0" applyNumberFormat="1" applyFont="1" applyFill="1" applyAlignment="1">
      <alignment vertical="center" wrapText="1"/>
    </xf>
    <xf numFmtId="0" fontId="9" fillId="0" borderId="0" xfId="0" applyFont="1" applyAlignment="1">
      <alignment vertical="center" wrapText="1"/>
    </xf>
    <xf numFmtId="0" fontId="38" fillId="0" borderId="67" xfId="0" applyFont="1" applyBorder="1" applyAlignment="1">
      <alignment horizontal="center" vertical="center" wrapText="1"/>
    </xf>
    <xf numFmtId="0" fontId="24" fillId="0" borderId="67" xfId="0" applyFont="1" applyBorder="1" applyAlignment="1">
      <alignment vertical="center" wrapText="1"/>
    </xf>
    <xf numFmtId="0" fontId="39" fillId="0" borderId="67" xfId="0" applyFont="1" applyBorder="1" applyAlignment="1" applyProtection="1">
      <alignment horizontal="center" vertical="center" wrapText="1"/>
      <protection locked="0"/>
    </xf>
    <xf numFmtId="0" fontId="24" fillId="0" borderId="67" xfId="0" applyFont="1" applyBorder="1" applyAlignment="1">
      <alignment horizontal="left" vertical="center" wrapText="1"/>
    </xf>
    <xf numFmtId="0" fontId="19" fillId="0" borderId="0" xfId="5" applyAlignment="1">
      <alignment vertical="center" wrapText="1"/>
    </xf>
    <xf numFmtId="165" fontId="1" fillId="15" borderId="0" xfId="0" applyNumberFormat="1" applyFont="1" applyFill="1" applyAlignment="1">
      <alignment vertical="center" wrapText="1"/>
    </xf>
    <xf numFmtId="0" fontId="19" fillId="0" borderId="0" xfId="5" applyAlignment="1">
      <alignment wrapText="1"/>
    </xf>
    <xf numFmtId="0" fontId="44" fillId="0" borderId="67" xfId="0" applyFont="1" applyBorder="1" applyAlignment="1">
      <alignment vertical="center" wrapText="1"/>
    </xf>
    <xf numFmtId="0" fontId="9" fillId="0" borderId="0" xfId="0" applyFont="1" applyAlignment="1">
      <alignment horizontal="center" vertical="center" wrapText="1"/>
    </xf>
    <xf numFmtId="0" fontId="1" fillId="0" borderId="0" xfId="0" applyFont="1" applyAlignment="1">
      <alignment horizontal="left" vertical="center" wrapText="1"/>
    </xf>
    <xf numFmtId="0" fontId="39" fillId="0" borderId="0" xfId="0"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1" fillId="0" borderId="0" xfId="0" applyFont="1"/>
    <xf numFmtId="164" fontId="0" fillId="16" borderId="0" xfId="4" applyFont="1" applyFill="1" applyAlignment="1">
      <alignment horizontal="center"/>
    </xf>
    <xf numFmtId="164" fontId="0" fillId="18" borderId="0" xfId="4" applyFont="1" applyFill="1" applyAlignment="1">
      <alignment horizontal="center"/>
    </xf>
    <xf numFmtId="0" fontId="15" fillId="18" borderId="0" xfId="0" applyFont="1" applyFill="1" applyAlignment="1">
      <alignment horizontal="left"/>
    </xf>
    <xf numFmtId="0" fontId="16" fillId="18" borderId="0" xfId="0" applyFont="1" applyFill="1" applyAlignment="1">
      <alignment horizontal="left"/>
    </xf>
    <xf numFmtId="0" fontId="0" fillId="14" borderId="0" xfId="0" applyFill="1"/>
    <xf numFmtId="164" fontId="0" fillId="14" borderId="0" xfId="4" applyFont="1" applyFill="1" applyAlignment="1">
      <alignment horizontal="center"/>
    </xf>
    <xf numFmtId="0" fontId="0" fillId="18" borderId="0" xfId="0" applyFill="1"/>
    <xf numFmtId="164" fontId="11" fillId="0" borderId="0" xfId="4" applyFont="1" applyFill="1"/>
    <xf numFmtId="164" fontId="18" fillId="15" borderId="0" xfId="4" applyFont="1" applyFill="1" applyAlignment="1">
      <alignment horizontal="center"/>
    </xf>
    <xf numFmtId="164" fontId="0" fillId="19" borderId="0" xfId="0" applyNumberFormat="1" applyFill="1"/>
    <xf numFmtId="0" fontId="9" fillId="0" borderId="0" xfId="1" applyFont="1"/>
    <xf numFmtId="165" fontId="1" fillId="16" borderId="0" xfId="1" applyNumberFormat="1" applyFill="1"/>
    <xf numFmtId="0" fontId="1" fillId="16" borderId="0" xfId="1" applyFill="1"/>
    <xf numFmtId="0" fontId="11" fillId="0" borderId="0" xfId="6" applyFont="1"/>
    <xf numFmtId="9" fontId="0" fillId="0" borderId="0" xfId="0" applyNumberFormat="1"/>
    <xf numFmtId="0" fontId="11" fillId="0" borderId="67" xfId="6" applyFont="1" applyBorder="1"/>
    <xf numFmtId="10" fontId="11" fillId="0" borderId="67" xfId="4" applyNumberFormat="1" applyFont="1" applyBorder="1"/>
    <xf numFmtId="10" fontId="11" fillId="0" borderId="67" xfId="6" applyNumberFormat="1" applyFont="1" applyBorder="1"/>
    <xf numFmtId="167" fontId="0" fillId="0" borderId="0" xfId="0" applyNumberFormat="1"/>
    <xf numFmtId="9" fontId="11" fillId="0" borderId="67" xfId="6" applyNumberFormat="1" applyFont="1" applyBorder="1"/>
    <xf numFmtId="164" fontId="0" fillId="0" borderId="0" xfId="4" applyFont="1"/>
    <xf numFmtId="43" fontId="0" fillId="0" borderId="0" xfId="0" applyNumberFormat="1"/>
    <xf numFmtId="164" fontId="0" fillId="0" borderId="0" xfId="0" applyNumberFormat="1"/>
    <xf numFmtId="168" fontId="0" fillId="0" borderId="67" xfId="0" applyNumberFormat="1" applyBorder="1"/>
    <xf numFmtId="164" fontId="0" fillId="0" borderId="75" xfId="4" applyFont="1" applyBorder="1"/>
    <xf numFmtId="164" fontId="0" fillId="0" borderId="67" xfId="4" applyFont="1" applyBorder="1"/>
    <xf numFmtId="0" fontId="0" fillId="0" borderId="67" xfId="0" applyBorder="1"/>
    <xf numFmtId="164" fontId="47" fillId="0" borderId="67" xfId="4" applyFont="1" applyBorder="1"/>
    <xf numFmtId="164" fontId="0" fillId="0" borderId="79" xfId="4" applyFont="1" applyBorder="1"/>
    <xf numFmtId="164" fontId="18" fillId="0" borderId="68" xfId="4" applyFont="1" applyBorder="1"/>
    <xf numFmtId="164" fontId="48" fillId="0" borderId="68" xfId="4" applyFont="1" applyBorder="1"/>
    <xf numFmtId="164" fontId="48" fillId="16" borderId="77" xfId="0" applyNumberFormat="1" applyFont="1" applyFill="1" applyBorder="1"/>
    <xf numFmtId="0" fontId="0" fillId="0" borderId="80" xfId="0" applyBorder="1"/>
    <xf numFmtId="164" fontId="18" fillId="14" borderId="67" xfId="4" applyFont="1" applyFill="1" applyBorder="1"/>
    <xf numFmtId="164" fontId="0" fillId="14" borderId="67" xfId="4" applyFont="1" applyFill="1" applyBorder="1"/>
    <xf numFmtId="164" fontId="18" fillId="0" borderId="67" xfId="4" applyFont="1" applyBorder="1"/>
    <xf numFmtId="164" fontId="49" fillId="20" borderId="67" xfId="4" applyFont="1" applyFill="1" applyBorder="1"/>
    <xf numFmtId="164" fontId="18" fillId="20" borderId="67" xfId="4" applyFont="1" applyFill="1" applyBorder="1"/>
    <xf numFmtId="164" fontId="50" fillId="20" borderId="67" xfId="4" applyFont="1" applyFill="1" applyBorder="1"/>
    <xf numFmtId="164" fontId="18" fillId="21" borderId="67" xfId="4" applyFont="1" applyFill="1" applyBorder="1"/>
    <xf numFmtId="164" fontId="0" fillId="22" borderId="67" xfId="0" applyNumberFormat="1" applyFill="1" applyBorder="1"/>
    <xf numFmtId="164" fontId="14" fillId="22" borderId="67" xfId="0" applyNumberFormat="1" applyFont="1" applyFill="1" applyBorder="1"/>
    <xf numFmtId="0" fontId="45" fillId="0" borderId="73" xfId="0" applyFont="1" applyBorder="1" applyAlignment="1">
      <alignment vertical="center"/>
    </xf>
    <xf numFmtId="0" fontId="45" fillId="0" borderId="74" xfId="0" applyFont="1" applyBorder="1" applyAlignment="1">
      <alignment vertical="center"/>
    </xf>
    <xf numFmtId="0" fontId="45" fillId="0" borderId="75" xfId="0" applyFont="1" applyBorder="1" applyAlignment="1">
      <alignment vertical="center"/>
    </xf>
    <xf numFmtId="164" fontId="18" fillId="22" borderId="67" xfId="0" applyNumberFormat="1" applyFont="1" applyFill="1" applyBorder="1"/>
    <xf numFmtId="168" fontId="0" fillId="9" borderId="67" xfId="0" applyNumberFormat="1" applyFill="1" applyBorder="1"/>
    <xf numFmtId="164" fontId="0" fillId="9" borderId="67" xfId="4" applyFont="1" applyFill="1" applyBorder="1"/>
    <xf numFmtId="0" fontId="0" fillId="9" borderId="67" xfId="0" applyFill="1" applyBorder="1"/>
    <xf numFmtId="164" fontId="47" fillId="9" borderId="67" xfId="4" applyFont="1" applyFill="1" applyBorder="1"/>
    <xf numFmtId="164" fontId="18" fillId="9" borderId="68" xfId="4" applyFont="1" applyFill="1" applyBorder="1"/>
    <xf numFmtId="164" fontId="0" fillId="0" borderId="67" xfId="4" applyFont="1" applyFill="1" applyBorder="1"/>
    <xf numFmtId="164" fontId="47" fillId="0" borderId="67" xfId="4" applyFont="1" applyFill="1" applyBorder="1"/>
    <xf numFmtId="164" fontId="18" fillId="0" borderId="68" xfId="4" applyFont="1" applyFill="1" applyBorder="1"/>
    <xf numFmtId="168" fontId="0" fillId="5" borderId="67" xfId="0" applyNumberFormat="1" applyFill="1" applyBorder="1"/>
    <xf numFmtId="164" fontId="0" fillId="5" borderId="67" xfId="4" applyFont="1" applyFill="1" applyBorder="1"/>
    <xf numFmtId="0" fontId="0" fillId="5" borderId="67" xfId="0" applyFill="1" applyBorder="1"/>
    <xf numFmtId="164" fontId="47" fillId="5" borderId="67" xfId="4" applyFont="1" applyFill="1" applyBorder="1"/>
    <xf numFmtId="164" fontId="18" fillId="5" borderId="68" xfId="4" applyFont="1" applyFill="1" applyBorder="1"/>
    <xf numFmtId="164" fontId="50" fillId="22" borderId="67" xfId="0" applyNumberFormat="1" applyFont="1" applyFill="1" applyBorder="1"/>
    <xf numFmtId="164" fontId="51" fillId="0" borderId="68" xfId="4" applyFont="1" applyBorder="1"/>
    <xf numFmtId="164" fontId="51" fillId="9" borderId="68" xfId="4" applyFont="1" applyFill="1" applyBorder="1"/>
    <xf numFmtId="164" fontId="51" fillId="5" borderId="68" xfId="4" applyFont="1" applyFill="1" applyBorder="1"/>
    <xf numFmtId="164" fontId="14" fillId="20" borderId="67" xfId="4" applyFont="1" applyFill="1" applyBorder="1"/>
    <xf numFmtId="0" fontId="20" fillId="16" borderId="73" xfId="0" applyFont="1" applyFill="1" applyBorder="1" applyAlignment="1">
      <alignment horizontal="left" vertical="center" wrapText="1"/>
    </xf>
    <xf numFmtId="0" fontId="32" fillId="16" borderId="74" xfId="0" applyFont="1" applyFill="1" applyBorder="1" applyAlignment="1">
      <alignment horizontal="left" vertical="center" wrapText="1"/>
    </xf>
    <xf numFmtId="0" fontId="32" fillId="16" borderId="75" xfId="0" applyFont="1" applyFill="1" applyBorder="1" applyAlignment="1">
      <alignment horizontal="left" vertical="center" wrapText="1"/>
    </xf>
    <xf numFmtId="0" fontId="23" fillId="0" borderId="73" xfId="0" applyFont="1" applyBorder="1" applyAlignment="1" applyProtection="1">
      <alignment horizontal="center" vertical="center" wrapText="1"/>
      <protection locked="0"/>
    </xf>
    <xf numFmtId="0" fontId="32" fillId="0" borderId="75" xfId="0" applyFont="1" applyBorder="1" applyAlignment="1">
      <alignment horizontal="center" vertical="center" wrapText="1"/>
    </xf>
    <xf numFmtId="0" fontId="20" fillId="0" borderId="73" xfId="0" applyFont="1" applyBorder="1" applyAlignment="1">
      <alignment horizontal="left" vertical="center" wrapText="1"/>
    </xf>
    <xf numFmtId="0" fontId="20" fillId="0" borderId="74" xfId="0" applyFont="1" applyBorder="1" applyAlignment="1">
      <alignment horizontal="left" vertical="center" wrapText="1"/>
    </xf>
    <xf numFmtId="0" fontId="20" fillId="0" borderId="75" xfId="0" applyFont="1" applyBorder="1" applyAlignment="1">
      <alignment horizontal="left" vertical="center" wrapText="1"/>
    </xf>
    <xf numFmtId="0" fontId="32" fillId="0" borderId="74" xfId="0" applyFont="1" applyBorder="1" applyAlignment="1">
      <alignment horizontal="left" vertical="center" wrapText="1"/>
    </xf>
    <xf numFmtId="0" fontId="32" fillId="0" borderId="75" xfId="0" applyFont="1" applyBorder="1" applyAlignment="1">
      <alignment horizontal="left" vertical="center" wrapText="1"/>
    </xf>
    <xf numFmtId="0" fontId="34" fillId="0" borderId="73" xfId="0" applyFont="1" applyBorder="1" applyAlignment="1" applyProtection="1">
      <alignment horizontal="left" vertical="top" wrapText="1"/>
      <protection locked="0"/>
    </xf>
    <xf numFmtId="0" fontId="32" fillId="0" borderId="75" xfId="0" applyFont="1" applyBorder="1" applyAlignment="1">
      <alignment horizontal="left" vertical="top" wrapText="1"/>
    </xf>
    <xf numFmtId="0" fontId="23" fillId="0" borderId="69" xfId="0" applyFont="1" applyBorder="1" applyAlignment="1" applyProtection="1">
      <alignment horizontal="center" vertical="center" wrapText="1"/>
      <protection locked="0"/>
    </xf>
    <xf numFmtId="0" fontId="23" fillId="0" borderId="66" xfId="0" applyFont="1" applyBorder="1" applyAlignment="1" applyProtection="1">
      <alignment horizontal="center" vertical="center" wrapText="1"/>
      <protection locked="0"/>
    </xf>
    <xf numFmtId="0" fontId="20" fillId="0" borderId="49" xfId="0" applyFont="1" applyBorder="1" applyAlignment="1">
      <alignment horizontal="left" vertical="top" wrapText="1"/>
    </xf>
    <xf numFmtId="0" fontId="32" fillId="0" borderId="2" xfId="0" applyFont="1" applyBorder="1" applyAlignment="1">
      <alignment horizontal="left" vertical="top" wrapText="1"/>
    </xf>
    <xf numFmtId="0" fontId="32" fillId="0" borderId="77" xfId="0" applyFont="1" applyBorder="1" applyAlignment="1">
      <alignment horizontal="left" vertical="top" wrapText="1"/>
    </xf>
    <xf numFmtId="0" fontId="31" fillId="0" borderId="73" xfId="0" applyFont="1" applyBorder="1" applyAlignment="1">
      <alignment horizontal="center" vertical="center" wrapText="1"/>
    </xf>
    <xf numFmtId="0" fontId="32" fillId="0" borderId="74" xfId="0" applyFont="1" applyBorder="1" applyAlignment="1">
      <alignment horizontal="center" vertical="center" wrapText="1"/>
    </xf>
    <xf numFmtId="0" fontId="31" fillId="17" borderId="73" xfId="0" applyFont="1" applyFill="1" applyBorder="1" applyAlignment="1">
      <alignment horizontal="center" vertical="center" wrapText="1"/>
    </xf>
    <xf numFmtId="0" fontId="31" fillId="17" borderId="75" xfId="0" applyFont="1" applyFill="1" applyBorder="1" applyAlignment="1">
      <alignment horizontal="center" vertical="center" wrapText="1"/>
    </xf>
    <xf numFmtId="0" fontId="23" fillId="0" borderId="69" xfId="0" applyFont="1" applyBorder="1" applyAlignment="1">
      <alignment horizontal="center" vertical="center" wrapText="1"/>
    </xf>
    <xf numFmtId="0" fontId="23" fillId="0" borderId="66" xfId="0" applyFont="1" applyBorder="1" applyAlignment="1">
      <alignment horizontal="center" vertical="center" wrapText="1"/>
    </xf>
    <xf numFmtId="0" fontId="20" fillId="0" borderId="47" xfId="0" applyFont="1" applyBorder="1" applyAlignment="1">
      <alignment horizontal="left" vertical="center" wrapText="1"/>
    </xf>
    <xf numFmtId="0" fontId="32" fillId="0" borderId="48" xfId="0" applyFont="1" applyBorder="1" applyAlignment="1">
      <alignment horizontal="left" vertical="center" wrapText="1"/>
    </xf>
    <xf numFmtId="0" fontId="32" fillId="0" borderId="76" xfId="0" applyFont="1" applyBorder="1" applyAlignment="1">
      <alignment horizontal="left" vertical="center" wrapText="1"/>
    </xf>
    <xf numFmtId="0" fontId="24" fillId="0" borderId="69" xfId="0" applyFont="1" applyBorder="1" applyAlignment="1">
      <alignment horizontal="center" vertical="center" wrapText="1"/>
    </xf>
    <xf numFmtId="0" fontId="24" fillId="0" borderId="66" xfId="0" applyFont="1" applyBorder="1" applyAlignment="1">
      <alignment horizontal="center" vertical="center" wrapText="1"/>
    </xf>
    <xf numFmtId="0" fontId="31" fillId="0" borderId="69" xfId="0" applyFont="1" applyBorder="1" applyAlignment="1" applyProtection="1">
      <alignment horizontal="center" vertical="center" wrapText="1"/>
      <protection locked="0"/>
    </xf>
    <xf numFmtId="0" fontId="31" fillId="0" borderId="66" xfId="0" applyFont="1" applyBorder="1" applyAlignment="1" applyProtection="1">
      <alignment horizontal="center" vertical="center" wrapText="1"/>
      <protection locked="0"/>
    </xf>
    <xf numFmtId="0" fontId="41" fillId="0" borderId="47" xfId="0" applyFont="1" applyBorder="1" applyAlignment="1" applyProtection="1">
      <alignment horizontal="center" vertical="top" wrapText="1"/>
      <protection locked="0"/>
    </xf>
    <xf numFmtId="0" fontId="41" fillId="0" borderId="76" xfId="0" applyFont="1" applyBorder="1" applyAlignment="1" applyProtection="1">
      <alignment horizontal="center" vertical="top" wrapText="1"/>
      <protection locked="0"/>
    </xf>
    <xf numFmtId="0" fontId="41" fillId="0" borderId="49" xfId="0" applyFont="1" applyBorder="1" applyAlignment="1" applyProtection="1">
      <alignment horizontal="center" vertical="top" wrapText="1"/>
      <protection locked="0"/>
    </xf>
    <xf numFmtId="0" fontId="41" fillId="0" borderId="77" xfId="0" applyFont="1" applyBorder="1" applyAlignment="1" applyProtection="1">
      <alignment horizontal="center" vertical="top" wrapText="1"/>
      <protection locked="0"/>
    </xf>
    <xf numFmtId="0" fontId="43" fillId="0" borderId="73" xfId="0" applyFont="1" applyBorder="1" applyAlignment="1" applyProtection="1">
      <alignment horizontal="left" vertical="top" wrapText="1"/>
      <protection locked="0"/>
    </xf>
    <xf numFmtId="0" fontId="3" fillId="0" borderId="75" xfId="0" applyFont="1" applyBorder="1" applyAlignment="1">
      <alignment horizontal="left" vertical="top" wrapText="1"/>
    </xf>
    <xf numFmtId="0" fontId="41" fillId="0" borderId="73" xfId="0" applyFont="1" applyBorder="1" applyAlignment="1" applyProtection="1">
      <alignment horizontal="center" vertical="top" wrapText="1"/>
      <protection locked="0"/>
    </xf>
    <xf numFmtId="0" fontId="41" fillId="0" borderId="75" xfId="0" applyFont="1" applyBorder="1" applyAlignment="1" applyProtection="1">
      <alignment horizontal="center" vertical="top" wrapText="1"/>
      <protection locked="0"/>
    </xf>
    <xf numFmtId="0" fontId="34" fillId="0" borderId="73" xfId="0" applyFont="1" applyBorder="1" applyAlignment="1" applyProtection="1">
      <alignment horizontal="center" vertical="top" wrapText="1"/>
      <protection locked="0"/>
    </xf>
    <xf numFmtId="0" fontId="34" fillId="0" borderId="75" xfId="0" applyFont="1" applyBorder="1" applyAlignment="1" applyProtection="1">
      <alignment horizontal="center" vertical="top" wrapText="1"/>
      <protection locked="0"/>
    </xf>
    <xf numFmtId="0" fontId="20" fillId="0" borderId="73" xfId="0" applyFont="1" applyBorder="1" applyAlignment="1">
      <alignment vertical="center" wrapText="1"/>
    </xf>
    <xf numFmtId="0" fontId="32" fillId="0" borderId="74" xfId="0" applyFont="1" applyBorder="1" applyAlignment="1">
      <alignment vertical="center" wrapText="1"/>
    </xf>
    <xf numFmtId="0" fontId="32" fillId="0" borderId="75" xfId="0" applyFont="1" applyBorder="1" applyAlignment="1">
      <alignment vertical="center" wrapText="1"/>
    </xf>
    <xf numFmtId="0" fontId="20" fillId="0" borderId="47" xfId="0" applyFont="1" applyBorder="1" applyAlignment="1">
      <alignment horizontal="left" vertical="top" wrapText="1"/>
    </xf>
    <xf numFmtId="0" fontId="32" fillId="0" borderId="48" xfId="0" applyFont="1" applyBorder="1" applyAlignment="1">
      <alignment horizontal="left" vertical="top" wrapText="1"/>
    </xf>
    <xf numFmtId="0" fontId="32" fillId="0" borderId="76" xfId="0" applyFont="1" applyBorder="1" applyAlignment="1">
      <alignment horizontal="left" vertical="top" wrapText="1"/>
    </xf>
    <xf numFmtId="0" fontId="38" fillId="0" borderId="69" xfId="0" applyFont="1" applyBorder="1" applyAlignment="1">
      <alignment horizontal="center" vertical="center" wrapText="1"/>
    </xf>
    <xf numFmtId="0" fontId="38" fillId="0" borderId="66" xfId="0" applyFont="1" applyBorder="1" applyAlignment="1">
      <alignment horizontal="center" vertical="center" wrapText="1"/>
    </xf>
    <xf numFmtId="0" fontId="39" fillId="0" borderId="69" xfId="0" applyFont="1" applyBorder="1" applyAlignment="1" applyProtection="1">
      <alignment horizontal="center" vertical="center" wrapText="1"/>
      <protection locked="0"/>
    </xf>
    <xf numFmtId="0" fontId="39" fillId="0" borderId="66" xfId="0" applyFont="1" applyBorder="1" applyAlignment="1" applyProtection="1">
      <alignment horizontal="center" vertical="center" wrapText="1"/>
      <protection locked="0"/>
    </xf>
    <xf numFmtId="0" fontId="34" fillId="0" borderId="47" xfId="0" applyFont="1" applyBorder="1" applyAlignment="1" applyProtection="1">
      <alignment horizontal="center" vertical="top" wrapText="1"/>
      <protection locked="0"/>
    </xf>
    <xf numFmtId="0" fontId="34" fillId="0" borderId="76" xfId="0" applyFont="1" applyBorder="1" applyAlignment="1" applyProtection="1">
      <alignment horizontal="center" vertical="top" wrapText="1"/>
      <protection locked="0"/>
    </xf>
    <xf numFmtId="0" fontId="34" fillId="0" borderId="49" xfId="0" applyFont="1" applyBorder="1" applyAlignment="1" applyProtection="1">
      <alignment horizontal="center" vertical="top" wrapText="1"/>
      <protection locked="0"/>
    </xf>
    <xf numFmtId="0" fontId="34" fillId="0" borderId="77" xfId="0" applyFont="1" applyBorder="1" applyAlignment="1" applyProtection="1">
      <alignment horizontal="center" vertical="top" wrapText="1"/>
      <protection locked="0"/>
    </xf>
    <xf numFmtId="0" fontId="24" fillId="0" borderId="74" xfId="0" applyFont="1" applyBorder="1" applyAlignment="1">
      <alignment horizontal="left" vertical="center" wrapText="1"/>
    </xf>
    <xf numFmtId="0" fontId="24" fillId="0" borderId="75" xfId="0" applyFont="1" applyBorder="1" applyAlignment="1">
      <alignment horizontal="left" vertical="center" wrapText="1"/>
    </xf>
    <xf numFmtId="3" fontId="34" fillId="0" borderId="73" xfId="0" applyNumberFormat="1" applyFont="1" applyBorder="1" applyAlignment="1" applyProtection="1">
      <alignment horizontal="left" vertical="top" wrapText="1"/>
      <protection locked="0"/>
    </xf>
    <xf numFmtId="0" fontId="26" fillId="0" borderId="73" xfId="0" applyFont="1" applyBorder="1" applyAlignment="1">
      <alignment horizontal="left" vertical="center" wrapText="1"/>
    </xf>
    <xf numFmtId="0" fontId="26" fillId="0" borderId="74" xfId="0" applyFont="1" applyBorder="1" applyAlignment="1">
      <alignment horizontal="left" vertical="center" wrapText="1"/>
    </xf>
    <xf numFmtId="0" fontId="26" fillId="0" borderId="75" xfId="0" applyFont="1" applyBorder="1" applyAlignment="1">
      <alignment horizontal="left" vertical="center" wrapText="1"/>
    </xf>
    <xf numFmtId="0" fontId="20" fillId="0" borderId="67" xfId="0" applyFont="1" applyBorder="1" applyAlignment="1">
      <alignment horizontal="center" vertical="center" wrapText="1"/>
    </xf>
    <xf numFmtId="0" fontId="24" fillId="0" borderId="67" xfId="0" applyFont="1" applyBorder="1" applyAlignment="1">
      <alignment horizontal="left" vertical="center" wrapText="1"/>
    </xf>
    <xf numFmtId="0" fontId="27" fillId="0" borderId="67" xfId="0" applyFont="1" applyBorder="1" applyAlignment="1">
      <alignment horizontal="center" vertical="center" wrapText="1"/>
    </xf>
    <xf numFmtId="0" fontId="28" fillId="0" borderId="67" xfId="0" applyFont="1" applyBorder="1" applyAlignment="1">
      <alignment horizontal="center" vertical="center" wrapText="1"/>
    </xf>
    <xf numFmtId="0" fontId="25" fillId="0" borderId="67" xfId="0" applyFont="1" applyBorder="1" applyAlignment="1">
      <alignment horizontal="center" vertical="center" wrapText="1"/>
    </xf>
    <xf numFmtId="0" fontId="29" fillId="0" borderId="67" xfId="0" applyFont="1" applyBorder="1" applyAlignment="1" applyProtection="1">
      <alignment horizontal="center" vertical="center" wrapText="1"/>
      <protection locked="0"/>
    </xf>
    <xf numFmtId="0" fontId="31" fillId="0" borderId="67" xfId="0" applyFont="1" applyBorder="1" applyAlignment="1">
      <alignment horizontal="center" vertical="center" wrapText="1"/>
    </xf>
    <xf numFmtId="0" fontId="31" fillId="17" borderId="67" xfId="0" applyFont="1" applyFill="1" applyBorder="1" applyAlignment="1">
      <alignment horizontal="center" vertical="center" wrapText="1"/>
    </xf>
    <xf numFmtId="0" fontId="21" fillId="0" borderId="67" xfId="0" applyFont="1" applyBorder="1" applyAlignment="1">
      <alignment horizontal="center" vertical="center" wrapText="1"/>
    </xf>
    <xf numFmtId="0" fontId="22" fillId="0" borderId="67" xfId="0" applyFont="1" applyBorder="1" applyAlignment="1">
      <alignment horizontal="center" vertical="center" wrapText="1"/>
    </xf>
    <xf numFmtId="0" fontId="23" fillId="0" borderId="67" xfId="0" applyFont="1" applyBorder="1" applyAlignment="1">
      <alignment horizontal="center" vertical="center" wrapText="1"/>
    </xf>
    <xf numFmtId="0" fontId="24" fillId="0" borderId="67" xfId="0" applyFont="1" applyBorder="1" applyAlignment="1">
      <alignment horizontal="center" vertical="center" wrapText="1"/>
    </xf>
    <xf numFmtId="0" fontId="26" fillId="0" borderId="67" xfId="0" applyFont="1" applyBorder="1" applyAlignment="1">
      <alignment horizontal="center" vertical="center" wrapText="1"/>
    </xf>
    <xf numFmtId="164" fontId="0" fillId="0" borderId="0" xfId="4" applyFont="1" applyAlignment="1">
      <alignment horizontal="center"/>
    </xf>
    <xf numFmtId="0" fontId="4" fillId="6" borderId="8" xfId="1" applyFont="1" applyFill="1" applyBorder="1" applyAlignment="1">
      <alignment horizontal="center" vertical="center"/>
    </xf>
    <xf numFmtId="0" fontId="4" fillId="0" borderId="13" xfId="1" applyFont="1" applyBorder="1"/>
    <xf numFmtId="0" fontId="3" fillId="0" borderId="3" xfId="1" applyFont="1" applyBorder="1" applyAlignment="1">
      <alignment horizontal="center" vertical="center"/>
    </xf>
    <xf numFmtId="0" fontId="1" fillId="0" borderId="9" xfId="1" applyBorder="1" applyAlignment="1">
      <alignment horizontal="center"/>
    </xf>
    <xf numFmtId="0" fontId="3" fillId="0" borderId="4" xfId="1" applyFont="1" applyBorder="1" applyAlignment="1">
      <alignment horizontal="center" vertical="center"/>
    </xf>
    <xf numFmtId="0" fontId="1" fillId="0" borderId="10" xfId="1" applyBorder="1"/>
    <xf numFmtId="0" fontId="4" fillId="2" borderId="5" xfId="1" applyFont="1" applyFill="1" applyBorder="1" applyAlignment="1">
      <alignment horizontal="center"/>
    </xf>
    <xf numFmtId="0" fontId="4" fillId="2" borderId="6" xfId="1" applyFont="1" applyFill="1" applyBorder="1" applyAlignment="1">
      <alignment horizontal="center"/>
    </xf>
    <xf numFmtId="0" fontId="4" fillId="3" borderId="7" xfId="1" applyFont="1" applyFill="1" applyBorder="1" applyAlignment="1">
      <alignment horizontal="center"/>
    </xf>
    <xf numFmtId="0" fontId="4" fillId="3" borderId="5" xfId="1" applyFont="1" applyFill="1" applyBorder="1" applyAlignment="1">
      <alignment horizontal="center"/>
    </xf>
    <xf numFmtId="0" fontId="4" fillId="3" borderId="6" xfId="1" applyFont="1" applyFill="1" applyBorder="1" applyAlignment="1">
      <alignment horizontal="center"/>
    </xf>
    <xf numFmtId="0" fontId="4" fillId="4" borderId="7" xfId="1" applyFont="1" applyFill="1" applyBorder="1" applyAlignment="1">
      <alignment horizontal="center"/>
    </xf>
    <xf numFmtId="0" fontId="4" fillId="4" borderId="5" xfId="1" applyFont="1" applyFill="1" applyBorder="1" applyAlignment="1">
      <alignment horizontal="center"/>
    </xf>
    <xf numFmtId="0" fontId="4" fillId="4" borderId="6" xfId="1" applyFont="1" applyFill="1" applyBorder="1" applyAlignment="1">
      <alignment horizontal="center"/>
    </xf>
    <xf numFmtId="0" fontId="4" fillId="5" borderId="7" xfId="1" applyFont="1" applyFill="1" applyBorder="1" applyAlignment="1">
      <alignment horizontal="center"/>
    </xf>
    <xf numFmtId="0" fontId="4" fillId="5" borderId="5" xfId="1" applyFont="1" applyFill="1" applyBorder="1" applyAlignment="1">
      <alignment horizontal="center"/>
    </xf>
    <xf numFmtId="0" fontId="4" fillId="5" borderId="6" xfId="1" applyFont="1" applyFill="1" applyBorder="1" applyAlignment="1">
      <alignment horizontal="center"/>
    </xf>
    <xf numFmtId="0" fontId="3" fillId="8" borderId="39" xfId="1" applyFont="1" applyFill="1" applyBorder="1" applyAlignment="1">
      <alignment horizontal="center"/>
    </xf>
    <xf numFmtId="0" fontId="1" fillId="8" borderId="40" xfId="1" applyFill="1" applyBorder="1"/>
    <xf numFmtId="0" fontId="1" fillId="8" borderId="41" xfId="1" applyFill="1" applyBorder="1"/>
    <xf numFmtId="0" fontId="3" fillId="9" borderId="42" xfId="1" applyFont="1" applyFill="1" applyBorder="1" applyAlignment="1">
      <alignment horizontal="center"/>
    </xf>
    <xf numFmtId="0" fontId="1" fillId="9" borderId="40" xfId="1" applyFill="1" applyBorder="1"/>
    <xf numFmtId="0" fontId="1" fillId="9" borderId="41" xfId="1" applyFill="1" applyBorder="1"/>
    <xf numFmtId="0" fontId="1" fillId="0" borderId="9" xfId="1" applyBorder="1" applyAlignment="1">
      <alignment horizontal="center" vertical="center"/>
    </xf>
    <xf numFmtId="0" fontId="3" fillId="0" borderId="4" xfId="1" applyFont="1" applyBorder="1" applyAlignment="1">
      <alignment vertical="center"/>
    </xf>
    <xf numFmtId="0" fontId="1" fillId="0" borderId="10" xfId="1" applyBorder="1" applyAlignment="1">
      <alignment vertical="center"/>
    </xf>
    <xf numFmtId="0" fontId="3" fillId="2" borderId="39" xfId="1" applyFont="1" applyFill="1" applyBorder="1" applyAlignment="1">
      <alignment horizontal="center"/>
    </xf>
    <xf numFmtId="0" fontId="1" fillId="2" borderId="40" xfId="1" applyFill="1" applyBorder="1"/>
    <xf numFmtId="0" fontId="1" fillId="2" borderId="41" xfId="1" applyFill="1" applyBorder="1"/>
    <xf numFmtId="0" fontId="3" fillId="3" borderId="39" xfId="1" applyFont="1" applyFill="1" applyBorder="1" applyAlignment="1">
      <alignment horizontal="center"/>
    </xf>
    <xf numFmtId="0" fontId="1" fillId="3" borderId="40" xfId="1" applyFill="1" applyBorder="1"/>
    <xf numFmtId="0" fontId="1" fillId="3" borderId="41" xfId="1" applyFill="1" applyBorder="1"/>
    <xf numFmtId="0" fontId="3" fillId="4" borderId="39" xfId="1" applyFont="1" applyFill="1" applyBorder="1" applyAlignment="1">
      <alignment horizontal="center"/>
    </xf>
    <xf numFmtId="0" fontId="1" fillId="4" borderId="40" xfId="1" applyFill="1" applyBorder="1"/>
    <xf numFmtId="0" fontId="1" fillId="4" borderId="41" xfId="1" applyFill="1" applyBorder="1"/>
    <xf numFmtId="0" fontId="3" fillId="5" borderId="39" xfId="1" applyFont="1" applyFill="1" applyBorder="1" applyAlignment="1">
      <alignment horizontal="center"/>
    </xf>
    <xf numFmtId="0" fontId="1" fillId="5" borderId="40" xfId="1" applyFill="1" applyBorder="1"/>
    <xf numFmtId="0" fontId="1" fillId="5" borderId="41" xfId="1" applyFill="1" applyBorder="1"/>
    <xf numFmtId="0" fontId="6" fillId="0" borderId="70" xfId="1" applyFont="1" applyBorder="1" applyAlignment="1">
      <alignment horizontal="center"/>
    </xf>
    <xf numFmtId="0" fontId="6" fillId="0" borderId="71" xfId="1" applyFont="1" applyBorder="1" applyAlignment="1">
      <alignment horizontal="center"/>
    </xf>
    <xf numFmtId="0" fontId="10" fillId="0" borderId="50" xfId="1" applyFont="1" applyBorder="1" applyAlignment="1">
      <alignment horizontal="center"/>
    </xf>
    <xf numFmtId="0" fontId="10" fillId="0" borderId="5" xfId="1" applyFont="1" applyBorder="1" applyAlignment="1">
      <alignment horizontal="center"/>
    </xf>
    <xf numFmtId="0" fontId="10" fillId="0" borderId="43" xfId="1" applyFont="1" applyBorder="1" applyAlignment="1">
      <alignment horizontal="center"/>
    </xf>
    <xf numFmtId="0" fontId="11" fillId="0" borderId="51" xfId="1" applyFont="1" applyBorder="1" applyAlignment="1">
      <alignment horizontal="center"/>
    </xf>
    <xf numFmtId="0" fontId="11" fillId="0" borderId="52" xfId="1" applyFont="1" applyBorder="1" applyAlignment="1">
      <alignment horizontal="center"/>
    </xf>
    <xf numFmtId="0" fontId="11" fillId="0" borderId="53" xfId="1" applyFont="1" applyBorder="1" applyAlignment="1">
      <alignment horizontal="center"/>
    </xf>
    <xf numFmtId="164" fontId="11" fillId="0" borderId="55" xfId="2" applyFont="1" applyBorder="1" applyAlignment="1">
      <alignment horizontal="center"/>
    </xf>
    <xf numFmtId="164" fontId="11" fillId="0" borderId="56" xfId="2" applyFont="1" applyBorder="1" applyAlignment="1">
      <alignment horizontal="center"/>
    </xf>
    <xf numFmtId="164" fontId="11" fillId="0" borderId="57" xfId="2" applyFont="1" applyBorder="1" applyAlignment="1">
      <alignment horizontal="center"/>
    </xf>
    <xf numFmtId="166" fontId="12" fillId="11" borderId="0" xfId="2" applyNumberFormat="1" applyFont="1" applyFill="1" applyBorder="1" applyAlignment="1">
      <alignment horizontal="center" vertical="top"/>
    </xf>
    <xf numFmtId="166" fontId="12" fillId="11" borderId="62" xfId="2" applyNumberFormat="1" applyFont="1" applyFill="1" applyBorder="1" applyAlignment="1">
      <alignment horizontal="center" vertical="top"/>
    </xf>
    <xf numFmtId="10" fontId="12" fillId="11" borderId="64" xfId="2" applyNumberFormat="1" applyFont="1" applyFill="1" applyBorder="1" applyAlignment="1">
      <alignment horizontal="center" vertical="center"/>
    </xf>
    <xf numFmtId="10" fontId="12" fillId="11" borderId="38" xfId="2" applyNumberFormat="1" applyFont="1" applyFill="1" applyBorder="1" applyAlignment="1">
      <alignment horizontal="center" vertical="center"/>
    </xf>
    <xf numFmtId="0" fontId="11" fillId="0" borderId="67" xfId="6" applyFont="1" applyBorder="1" applyAlignment="1">
      <alignment horizontal="center"/>
    </xf>
    <xf numFmtId="164" fontId="11" fillId="0" borderId="69" xfId="4" applyFont="1" applyBorder="1" applyAlignment="1">
      <alignment horizontal="center" vertical="center"/>
    </xf>
    <xf numFmtId="164" fontId="11" fillId="0" borderId="66" xfId="4" applyFont="1" applyBorder="1" applyAlignment="1">
      <alignment horizontal="center" vertical="center"/>
    </xf>
    <xf numFmtId="164" fontId="46" fillId="0" borderId="69" xfId="4" applyFont="1" applyBorder="1" applyAlignment="1">
      <alignment horizontal="center" vertical="center"/>
    </xf>
    <xf numFmtId="164" fontId="46" fillId="0" borderId="65" xfId="4" applyFont="1" applyBorder="1" applyAlignment="1">
      <alignment horizontal="center" vertical="center"/>
    </xf>
    <xf numFmtId="164" fontId="11" fillId="0" borderId="67" xfId="4" applyFont="1" applyBorder="1" applyAlignment="1">
      <alignment horizontal="center" vertical="center"/>
    </xf>
    <xf numFmtId="164" fontId="0" fillId="0" borderId="66" xfId="4" applyFont="1" applyBorder="1" applyAlignment="1">
      <alignment horizontal="center" vertical="center"/>
    </xf>
    <xf numFmtId="0" fontId="0" fillId="0" borderId="67" xfId="0" applyBorder="1" applyAlignment="1">
      <alignment horizontal="center"/>
    </xf>
    <xf numFmtId="164" fontId="0" fillId="0" borderId="67" xfId="4" applyFont="1" applyBorder="1" applyAlignment="1">
      <alignment horizontal="center" vertical="center"/>
    </xf>
    <xf numFmtId="0" fontId="0" fillId="0" borderId="78" xfId="0" applyBorder="1" applyAlignment="1">
      <alignment horizontal="center"/>
    </xf>
    <xf numFmtId="164" fontId="0" fillId="0" borderId="78" xfId="4" applyFont="1" applyBorder="1" applyAlignment="1">
      <alignment horizontal="center" vertical="center"/>
    </xf>
    <xf numFmtId="0" fontId="0" fillId="0" borderId="47" xfId="0" applyBorder="1" applyAlignment="1">
      <alignment horizontal="left" vertical="center"/>
    </xf>
    <xf numFmtId="0" fontId="0" fillId="0" borderId="48" xfId="0" applyBorder="1" applyAlignment="1">
      <alignment horizontal="left" vertical="center"/>
    </xf>
    <xf numFmtId="0" fontId="0" fillId="0" borderId="76"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0" fillId="0" borderId="80" xfId="0" applyBorder="1" applyAlignment="1">
      <alignment horizontal="left" vertical="center"/>
    </xf>
    <xf numFmtId="0" fontId="0" fillId="0" borderId="49" xfId="0" applyBorder="1" applyAlignment="1">
      <alignment horizontal="left" vertical="center"/>
    </xf>
    <xf numFmtId="0" fontId="0" fillId="0" borderId="2" xfId="0" applyBorder="1" applyAlignment="1">
      <alignment horizontal="left" vertical="center"/>
    </xf>
    <xf numFmtId="0" fontId="0" fillId="0" borderId="77" xfId="0" applyBorder="1" applyAlignment="1">
      <alignment horizontal="left" vertical="center"/>
    </xf>
    <xf numFmtId="0" fontId="0" fillId="0" borderId="73"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45" fillId="0" borderId="74" xfId="0" applyFont="1" applyBorder="1" applyAlignment="1">
      <alignment horizontal="center" vertical="center"/>
    </xf>
    <xf numFmtId="0" fontId="0" fillId="0" borderId="47" xfId="0" applyBorder="1" applyAlignment="1">
      <alignment horizontal="center"/>
    </xf>
    <xf numFmtId="0" fontId="0" fillId="0" borderId="48" xfId="0" applyBorder="1" applyAlignment="1">
      <alignment horizontal="center"/>
    </xf>
    <xf numFmtId="0" fontId="0" fillId="0" borderId="76" xfId="0" applyBorder="1" applyAlignment="1">
      <alignment horizontal="center"/>
    </xf>
    <xf numFmtId="0" fontId="0" fillId="0" borderId="49" xfId="0" applyBorder="1" applyAlignment="1">
      <alignment horizontal="center"/>
    </xf>
    <xf numFmtId="0" fontId="0" fillId="0" borderId="2" xfId="0" applyBorder="1" applyAlignment="1">
      <alignment horizontal="center"/>
    </xf>
    <xf numFmtId="0" fontId="0" fillId="0" borderId="77" xfId="0" applyBorder="1" applyAlignment="1">
      <alignment horizontal="center"/>
    </xf>
    <xf numFmtId="0" fontId="0" fillId="0" borderId="67" xfId="0" applyBorder="1" applyAlignment="1">
      <alignment horizontal="left"/>
    </xf>
    <xf numFmtId="0" fontId="0" fillId="0" borderId="67" xfId="0" applyBorder="1" applyAlignment="1">
      <alignment horizontal="left" vertical="center"/>
    </xf>
    <xf numFmtId="0" fontId="45" fillId="0" borderId="73" xfId="0" applyFont="1" applyBorder="1" applyAlignment="1">
      <alignment horizontal="center" vertical="center"/>
    </xf>
    <xf numFmtId="0" fontId="0" fillId="0" borderId="67" xfId="0" applyBorder="1" applyAlignment="1">
      <alignment horizontal="left" wrapText="1"/>
    </xf>
    <xf numFmtId="0" fontId="0" fillId="0" borderId="73" xfId="0" applyBorder="1" applyAlignment="1">
      <alignment horizontal="left" vertical="center" wrapText="1"/>
    </xf>
    <xf numFmtId="0" fontId="0" fillId="0" borderId="74" xfId="0" applyBorder="1" applyAlignment="1">
      <alignment horizontal="left" vertical="center" wrapText="1"/>
    </xf>
    <xf numFmtId="0" fontId="0" fillId="0" borderId="75" xfId="0" applyBorder="1" applyAlignment="1">
      <alignment horizontal="left" vertical="center" wrapText="1"/>
    </xf>
    <xf numFmtId="0" fontId="0" fillId="0" borderId="47" xfId="0" applyBorder="1" applyAlignment="1">
      <alignment horizontal="left"/>
    </xf>
    <xf numFmtId="0" fontId="0" fillId="0" borderId="48" xfId="0" applyBorder="1" applyAlignment="1">
      <alignment horizontal="left"/>
    </xf>
    <xf numFmtId="0" fontId="0" fillId="0" borderId="76" xfId="0" applyBorder="1" applyAlignment="1">
      <alignment horizontal="left"/>
    </xf>
    <xf numFmtId="0" fontId="0" fillId="0" borderId="49" xfId="0" applyBorder="1" applyAlignment="1">
      <alignment horizontal="left"/>
    </xf>
    <xf numFmtId="0" fontId="0" fillId="0" borderId="2" xfId="0" applyBorder="1" applyAlignment="1">
      <alignment horizontal="left"/>
    </xf>
    <xf numFmtId="0" fontId="0" fillId="0" borderId="77" xfId="0" applyBorder="1" applyAlignment="1">
      <alignment horizontal="left"/>
    </xf>
    <xf numFmtId="0" fontId="0" fillId="0" borderId="47" xfId="0" applyBorder="1" applyAlignment="1">
      <alignment horizontal="left" vertical="center" wrapText="1"/>
    </xf>
    <xf numFmtId="0" fontId="0" fillId="0" borderId="48" xfId="0" applyBorder="1" applyAlignment="1">
      <alignment horizontal="left" vertical="center" wrapText="1"/>
    </xf>
    <xf numFmtId="0" fontId="0" fillId="0" borderId="76"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80" xfId="0" applyBorder="1" applyAlignment="1">
      <alignment horizontal="left" vertical="center" wrapText="1"/>
    </xf>
    <xf numFmtId="0" fontId="0" fillId="0" borderId="49" xfId="0" applyBorder="1" applyAlignment="1">
      <alignment horizontal="left" vertical="center" wrapText="1"/>
    </xf>
    <xf numFmtId="0" fontId="0" fillId="0" borderId="2" xfId="0" applyBorder="1" applyAlignment="1">
      <alignment horizontal="left" vertical="center" wrapText="1"/>
    </xf>
    <xf numFmtId="0" fontId="0" fillId="0" borderId="77" xfId="0" applyBorder="1" applyAlignment="1">
      <alignment horizontal="left" vertical="center" wrapText="1"/>
    </xf>
    <xf numFmtId="0" fontId="45" fillId="0" borderId="73" xfId="0" applyFont="1" applyBorder="1" applyAlignment="1">
      <alignment horizontal="center"/>
    </xf>
    <xf numFmtId="0" fontId="45" fillId="0" borderId="74" xfId="0" applyFont="1" applyBorder="1" applyAlignment="1">
      <alignment horizontal="center"/>
    </xf>
    <xf numFmtId="0" fontId="0" fillId="0" borderId="66" xfId="0" applyBorder="1" applyAlignment="1">
      <alignment horizontal="center"/>
    </xf>
    <xf numFmtId="0" fontId="45" fillId="0" borderId="75" xfId="0" applyFont="1" applyBorder="1" applyAlignment="1">
      <alignment horizontal="center" vertical="center"/>
    </xf>
    <xf numFmtId="0" fontId="45" fillId="0" borderId="49" xfId="0" applyFont="1" applyBorder="1" applyAlignment="1">
      <alignment horizontal="center" vertical="center"/>
    </xf>
    <xf numFmtId="0" fontId="45" fillId="0" borderId="2" xfId="0" applyFont="1" applyBorder="1" applyAlignment="1">
      <alignment horizontal="center" vertical="center"/>
    </xf>
  </cellXfs>
  <cellStyles count="7">
    <cellStyle name="Comma" xfId="4" builtinId="3"/>
    <cellStyle name="Comma 2" xfId="2" xr:uid="{00000000-0005-0000-0000-000001000000}"/>
    <cellStyle name="Hyperlink" xfId="5" builtinId="8"/>
    <cellStyle name="Hyperlink 2" xfId="3" xr:uid="{00000000-0005-0000-0000-000002000000}"/>
    <cellStyle name="Normal" xfId="0" builtinId="0"/>
    <cellStyle name="Normal 2" xfId="1" xr:uid="{00000000-0005-0000-0000-000004000000}"/>
    <cellStyle name="Normal 2 2" xfId="6" xr:uid="{878392A6-3914-4F47-9E93-FCC812077C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9</xdr:col>
      <xdr:colOff>197643</xdr:colOff>
      <xdr:row>19</xdr:row>
      <xdr:rowOff>0</xdr:rowOff>
    </xdr:from>
    <xdr:ext cx="65" cy="172227"/>
    <xdr:sp macro="" textlink="">
      <xdr:nvSpPr>
        <xdr:cNvPr id="2" name="TekstniOkvir 1">
          <a:extLst>
            <a:ext uri="{FF2B5EF4-FFF2-40B4-BE49-F238E27FC236}">
              <a16:creationId xmlns:a16="http://schemas.microsoft.com/office/drawing/2014/main" id="{C1E79A85-9212-464C-BDCD-7E8152372CDA}"/>
            </a:ext>
          </a:extLst>
        </xdr:cNvPr>
        <xdr:cNvSpPr txBox="1"/>
      </xdr:nvSpPr>
      <xdr:spPr>
        <a:xfrm>
          <a:off x="10627518" y="1005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hr-HR" sz="1100"/>
        </a:p>
      </xdr:txBody>
    </xdr:sp>
    <xdr:clientData/>
  </xdr:oneCellAnchor>
  <xdr:twoCellAnchor>
    <xdr:from>
      <xdr:col>6</xdr:col>
      <xdr:colOff>115957</xdr:colOff>
      <xdr:row>105</xdr:row>
      <xdr:rowOff>124239</xdr:rowOff>
    </xdr:from>
    <xdr:to>
      <xdr:col>6</xdr:col>
      <xdr:colOff>723176</xdr:colOff>
      <xdr:row>105</xdr:row>
      <xdr:rowOff>479045</xdr:rowOff>
    </xdr:to>
    <xdr:sp macro="" textlink="">
      <xdr:nvSpPr>
        <xdr:cNvPr id="3" name="Oval 2">
          <a:extLst>
            <a:ext uri="{FF2B5EF4-FFF2-40B4-BE49-F238E27FC236}">
              <a16:creationId xmlns:a16="http://schemas.microsoft.com/office/drawing/2014/main" id="{3D87C611-9309-4CA4-B13B-39CB4D1830E0}"/>
            </a:ext>
          </a:extLst>
        </xdr:cNvPr>
        <xdr:cNvSpPr/>
      </xdr:nvSpPr>
      <xdr:spPr>
        <a:xfrm>
          <a:off x="6450082" y="1181199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102</xdr:row>
      <xdr:rowOff>135835</xdr:rowOff>
    </xdr:from>
    <xdr:to>
      <xdr:col>6</xdr:col>
      <xdr:colOff>709924</xdr:colOff>
      <xdr:row>102</xdr:row>
      <xdr:rowOff>490641</xdr:rowOff>
    </xdr:to>
    <xdr:sp macro="" textlink="">
      <xdr:nvSpPr>
        <xdr:cNvPr id="4" name="Oval 3">
          <a:extLst>
            <a:ext uri="{FF2B5EF4-FFF2-40B4-BE49-F238E27FC236}">
              <a16:creationId xmlns:a16="http://schemas.microsoft.com/office/drawing/2014/main" id="{BFCF87F4-0A8B-41A9-9679-9A7DD32F7F27}"/>
            </a:ext>
          </a:extLst>
        </xdr:cNvPr>
        <xdr:cNvSpPr/>
      </xdr:nvSpPr>
      <xdr:spPr>
        <a:xfrm>
          <a:off x="6436830" y="11624558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81170</xdr:colOff>
      <xdr:row>101</xdr:row>
      <xdr:rowOff>130865</xdr:rowOff>
    </xdr:from>
    <xdr:to>
      <xdr:col>6</xdr:col>
      <xdr:colOff>688389</xdr:colOff>
      <xdr:row>101</xdr:row>
      <xdr:rowOff>485671</xdr:rowOff>
    </xdr:to>
    <xdr:sp macro="" textlink="">
      <xdr:nvSpPr>
        <xdr:cNvPr id="5" name="Oval 4">
          <a:extLst>
            <a:ext uri="{FF2B5EF4-FFF2-40B4-BE49-F238E27FC236}">
              <a16:creationId xmlns:a16="http://schemas.microsoft.com/office/drawing/2014/main" id="{89D7AE93-54F2-455D-8246-197991C1D4F3}"/>
            </a:ext>
          </a:extLst>
        </xdr:cNvPr>
        <xdr:cNvSpPr/>
      </xdr:nvSpPr>
      <xdr:spPr>
        <a:xfrm>
          <a:off x="6415295" y="11561196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76201</xdr:colOff>
      <xdr:row>100</xdr:row>
      <xdr:rowOff>101048</xdr:rowOff>
    </xdr:from>
    <xdr:to>
      <xdr:col>6</xdr:col>
      <xdr:colOff>683420</xdr:colOff>
      <xdr:row>100</xdr:row>
      <xdr:rowOff>455854</xdr:rowOff>
    </xdr:to>
    <xdr:sp macro="" textlink="">
      <xdr:nvSpPr>
        <xdr:cNvPr id="6" name="Oval 5">
          <a:extLst>
            <a:ext uri="{FF2B5EF4-FFF2-40B4-BE49-F238E27FC236}">
              <a16:creationId xmlns:a16="http://schemas.microsoft.com/office/drawing/2014/main" id="{BC221722-4A5F-4EE6-B43F-566762FAC72D}"/>
            </a:ext>
          </a:extLst>
        </xdr:cNvPr>
        <xdr:cNvSpPr/>
      </xdr:nvSpPr>
      <xdr:spPr>
        <a:xfrm>
          <a:off x="6410326" y="1150201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99</xdr:row>
      <xdr:rowOff>443947</xdr:rowOff>
    </xdr:from>
    <xdr:to>
      <xdr:col>6</xdr:col>
      <xdr:colOff>719864</xdr:colOff>
      <xdr:row>99</xdr:row>
      <xdr:rowOff>798753</xdr:rowOff>
    </xdr:to>
    <xdr:sp macro="" textlink="">
      <xdr:nvSpPr>
        <xdr:cNvPr id="7" name="Oval 6">
          <a:extLst>
            <a:ext uri="{FF2B5EF4-FFF2-40B4-BE49-F238E27FC236}">
              <a16:creationId xmlns:a16="http://schemas.microsoft.com/office/drawing/2014/main" id="{CCB43822-9710-4B3D-9947-850D45F6A131}"/>
            </a:ext>
          </a:extLst>
        </xdr:cNvPr>
        <xdr:cNvSpPr/>
      </xdr:nvSpPr>
      <xdr:spPr>
        <a:xfrm>
          <a:off x="6446770" y="1140771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98</xdr:row>
      <xdr:rowOff>1350064</xdr:rowOff>
    </xdr:from>
    <xdr:to>
      <xdr:col>6</xdr:col>
      <xdr:colOff>714894</xdr:colOff>
      <xdr:row>98</xdr:row>
      <xdr:rowOff>1704870</xdr:rowOff>
    </xdr:to>
    <xdr:sp macro="" textlink="">
      <xdr:nvSpPr>
        <xdr:cNvPr id="8" name="Oval 7">
          <a:extLst>
            <a:ext uri="{FF2B5EF4-FFF2-40B4-BE49-F238E27FC236}">
              <a16:creationId xmlns:a16="http://schemas.microsoft.com/office/drawing/2014/main" id="{3926A545-3AA5-4803-BAC2-95688BA6CFE1}"/>
            </a:ext>
          </a:extLst>
        </xdr:cNvPr>
        <xdr:cNvSpPr/>
      </xdr:nvSpPr>
      <xdr:spPr>
        <a:xfrm>
          <a:off x="6441800" y="1119924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144118</xdr:colOff>
      <xdr:row>97</xdr:row>
      <xdr:rowOff>525120</xdr:rowOff>
    </xdr:from>
    <xdr:to>
      <xdr:col>6</xdr:col>
      <xdr:colOff>751337</xdr:colOff>
      <xdr:row>97</xdr:row>
      <xdr:rowOff>879926</xdr:rowOff>
    </xdr:to>
    <xdr:sp macro="" textlink="">
      <xdr:nvSpPr>
        <xdr:cNvPr id="9" name="Oval 8">
          <a:extLst>
            <a:ext uri="{FF2B5EF4-FFF2-40B4-BE49-F238E27FC236}">
              <a16:creationId xmlns:a16="http://schemas.microsoft.com/office/drawing/2014/main" id="{DE595D43-AE02-479A-A174-331458F39F4C}"/>
            </a:ext>
          </a:extLst>
        </xdr:cNvPr>
        <xdr:cNvSpPr/>
      </xdr:nvSpPr>
      <xdr:spPr>
        <a:xfrm>
          <a:off x="6478243" y="109748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147428</xdr:colOff>
      <xdr:row>96</xdr:row>
      <xdr:rowOff>155709</xdr:rowOff>
    </xdr:from>
    <xdr:to>
      <xdr:col>6</xdr:col>
      <xdr:colOff>754647</xdr:colOff>
      <xdr:row>96</xdr:row>
      <xdr:rowOff>510515</xdr:rowOff>
    </xdr:to>
    <xdr:sp macro="" textlink="">
      <xdr:nvSpPr>
        <xdr:cNvPr id="10" name="Oval 9">
          <a:extLst>
            <a:ext uri="{FF2B5EF4-FFF2-40B4-BE49-F238E27FC236}">
              <a16:creationId xmlns:a16="http://schemas.microsoft.com/office/drawing/2014/main" id="{A892F72C-24BF-476D-B794-FA1B25372166}"/>
            </a:ext>
          </a:extLst>
        </xdr:cNvPr>
        <xdr:cNvSpPr/>
      </xdr:nvSpPr>
      <xdr:spPr>
        <a:xfrm>
          <a:off x="6481553" y="1087502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142455</xdr:colOff>
      <xdr:row>95</xdr:row>
      <xdr:rowOff>183868</xdr:rowOff>
    </xdr:from>
    <xdr:to>
      <xdr:col>6</xdr:col>
      <xdr:colOff>749674</xdr:colOff>
      <xdr:row>95</xdr:row>
      <xdr:rowOff>538674</xdr:rowOff>
    </xdr:to>
    <xdr:sp macro="" textlink="">
      <xdr:nvSpPr>
        <xdr:cNvPr id="11" name="Oval 10">
          <a:extLst>
            <a:ext uri="{FF2B5EF4-FFF2-40B4-BE49-F238E27FC236}">
              <a16:creationId xmlns:a16="http://schemas.microsoft.com/office/drawing/2014/main" id="{B0B545EC-CA01-4849-A3E5-1EA592225CA2}"/>
            </a:ext>
          </a:extLst>
        </xdr:cNvPr>
        <xdr:cNvSpPr/>
      </xdr:nvSpPr>
      <xdr:spPr>
        <a:xfrm>
          <a:off x="6476580" y="10809259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154047</xdr:colOff>
      <xdr:row>94</xdr:row>
      <xdr:rowOff>154048</xdr:rowOff>
    </xdr:from>
    <xdr:to>
      <xdr:col>6</xdr:col>
      <xdr:colOff>761266</xdr:colOff>
      <xdr:row>94</xdr:row>
      <xdr:rowOff>508854</xdr:rowOff>
    </xdr:to>
    <xdr:sp macro="" textlink="">
      <xdr:nvSpPr>
        <xdr:cNvPr id="12" name="Oval 11">
          <a:extLst>
            <a:ext uri="{FF2B5EF4-FFF2-40B4-BE49-F238E27FC236}">
              <a16:creationId xmlns:a16="http://schemas.microsoft.com/office/drawing/2014/main" id="{FAC54435-91B1-4150-92B2-990799EE010C}"/>
            </a:ext>
          </a:extLst>
        </xdr:cNvPr>
        <xdr:cNvSpPr/>
      </xdr:nvSpPr>
      <xdr:spPr>
        <a:xfrm>
          <a:off x="6488172" y="10743412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140792</xdr:colOff>
      <xdr:row>93</xdr:row>
      <xdr:rowOff>149074</xdr:rowOff>
    </xdr:from>
    <xdr:to>
      <xdr:col>6</xdr:col>
      <xdr:colOff>748011</xdr:colOff>
      <xdr:row>93</xdr:row>
      <xdr:rowOff>503880</xdr:rowOff>
    </xdr:to>
    <xdr:sp macro="" textlink="">
      <xdr:nvSpPr>
        <xdr:cNvPr id="13" name="Oval 12">
          <a:extLst>
            <a:ext uri="{FF2B5EF4-FFF2-40B4-BE49-F238E27FC236}">
              <a16:creationId xmlns:a16="http://schemas.microsoft.com/office/drawing/2014/main" id="{D9089D0F-2C72-44EE-AEBF-DE407BA73032}"/>
            </a:ext>
          </a:extLst>
        </xdr:cNvPr>
        <xdr:cNvSpPr/>
      </xdr:nvSpPr>
      <xdr:spPr>
        <a:xfrm>
          <a:off x="6474917" y="10680049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110977</xdr:colOff>
      <xdr:row>91</xdr:row>
      <xdr:rowOff>715607</xdr:rowOff>
    </xdr:from>
    <xdr:to>
      <xdr:col>6</xdr:col>
      <xdr:colOff>718196</xdr:colOff>
      <xdr:row>91</xdr:row>
      <xdr:rowOff>1070413</xdr:rowOff>
    </xdr:to>
    <xdr:sp macro="" textlink="">
      <xdr:nvSpPr>
        <xdr:cNvPr id="14" name="Oval 13">
          <a:extLst>
            <a:ext uri="{FF2B5EF4-FFF2-40B4-BE49-F238E27FC236}">
              <a16:creationId xmlns:a16="http://schemas.microsoft.com/office/drawing/2014/main" id="{DD682D36-CC00-41CD-B8F5-F057A4752232}"/>
            </a:ext>
          </a:extLst>
        </xdr:cNvPr>
        <xdr:cNvSpPr/>
      </xdr:nvSpPr>
      <xdr:spPr>
        <a:xfrm>
          <a:off x="6445102" y="1049381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106008</xdr:colOff>
      <xdr:row>89</xdr:row>
      <xdr:rowOff>329637</xdr:rowOff>
    </xdr:from>
    <xdr:to>
      <xdr:col>6</xdr:col>
      <xdr:colOff>713227</xdr:colOff>
      <xdr:row>89</xdr:row>
      <xdr:rowOff>684443</xdr:rowOff>
    </xdr:to>
    <xdr:sp macro="" textlink="">
      <xdr:nvSpPr>
        <xdr:cNvPr id="15" name="Oval 14">
          <a:extLst>
            <a:ext uri="{FF2B5EF4-FFF2-40B4-BE49-F238E27FC236}">
              <a16:creationId xmlns:a16="http://schemas.microsoft.com/office/drawing/2014/main" id="{C001DA6E-08BC-43F8-B15E-5554EDFFD7CB}"/>
            </a:ext>
          </a:extLst>
        </xdr:cNvPr>
        <xdr:cNvSpPr/>
      </xdr:nvSpPr>
      <xdr:spPr>
        <a:xfrm>
          <a:off x="6440133" y="1029519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109321</xdr:colOff>
      <xdr:row>87</xdr:row>
      <xdr:rowOff>1285451</xdr:rowOff>
    </xdr:from>
    <xdr:to>
      <xdr:col>6</xdr:col>
      <xdr:colOff>716540</xdr:colOff>
      <xdr:row>87</xdr:row>
      <xdr:rowOff>1640257</xdr:rowOff>
    </xdr:to>
    <xdr:sp macro="" textlink="">
      <xdr:nvSpPr>
        <xdr:cNvPr id="16" name="Oval 15">
          <a:extLst>
            <a:ext uri="{FF2B5EF4-FFF2-40B4-BE49-F238E27FC236}">
              <a16:creationId xmlns:a16="http://schemas.microsoft.com/office/drawing/2014/main" id="{5F5FAC57-5B58-4CD5-A2B8-E6A94991B9CF}"/>
            </a:ext>
          </a:extLst>
        </xdr:cNvPr>
        <xdr:cNvSpPr/>
      </xdr:nvSpPr>
      <xdr:spPr>
        <a:xfrm>
          <a:off x="6443446" y="10034545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104351</xdr:colOff>
      <xdr:row>86</xdr:row>
      <xdr:rowOff>1313611</xdr:rowOff>
    </xdr:from>
    <xdr:to>
      <xdr:col>6</xdr:col>
      <xdr:colOff>711570</xdr:colOff>
      <xdr:row>86</xdr:row>
      <xdr:rowOff>1668417</xdr:rowOff>
    </xdr:to>
    <xdr:sp macro="" textlink="">
      <xdr:nvSpPr>
        <xdr:cNvPr id="17" name="Oval 16">
          <a:extLst>
            <a:ext uri="{FF2B5EF4-FFF2-40B4-BE49-F238E27FC236}">
              <a16:creationId xmlns:a16="http://schemas.microsoft.com/office/drawing/2014/main" id="{98473F37-B25C-4A0E-BAC8-5EABB2AB0D36}"/>
            </a:ext>
          </a:extLst>
        </xdr:cNvPr>
        <xdr:cNvSpPr/>
      </xdr:nvSpPr>
      <xdr:spPr>
        <a:xfrm>
          <a:off x="6438476" y="9737323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115946</xdr:colOff>
      <xdr:row>85</xdr:row>
      <xdr:rowOff>414120</xdr:rowOff>
    </xdr:from>
    <xdr:to>
      <xdr:col>6</xdr:col>
      <xdr:colOff>723165</xdr:colOff>
      <xdr:row>85</xdr:row>
      <xdr:rowOff>768926</xdr:rowOff>
    </xdr:to>
    <xdr:sp macro="" textlink="">
      <xdr:nvSpPr>
        <xdr:cNvPr id="18" name="Oval 17">
          <a:extLst>
            <a:ext uri="{FF2B5EF4-FFF2-40B4-BE49-F238E27FC236}">
              <a16:creationId xmlns:a16="http://schemas.microsoft.com/office/drawing/2014/main" id="{CDAEA09F-71A4-4404-AD56-1B779E3C50BA}"/>
            </a:ext>
          </a:extLst>
        </xdr:cNvPr>
        <xdr:cNvSpPr/>
      </xdr:nvSpPr>
      <xdr:spPr>
        <a:xfrm>
          <a:off x="6450071" y="953307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94411</xdr:colOff>
      <xdr:row>84</xdr:row>
      <xdr:rowOff>1411346</xdr:rowOff>
    </xdr:from>
    <xdr:to>
      <xdr:col>6</xdr:col>
      <xdr:colOff>701630</xdr:colOff>
      <xdr:row>84</xdr:row>
      <xdr:rowOff>1766152</xdr:rowOff>
    </xdr:to>
    <xdr:sp macro="" textlink="">
      <xdr:nvSpPr>
        <xdr:cNvPr id="19" name="Oval 18">
          <a:extLst>
            <a:ext uri="{FF2B5EF4-FFF2-40B4-BE49-F238E27FC236}">
              <a16:creationId xmlns:a16="http://schemas.microsoft.com/office/drawing/2014/main" id="{530C6C0D-885F-4433-BA3D-5FEB6EB37EA7}"/>
            </a:ext>
          </a:extLst>
        </xdr:cNvPr>
        <xdr:cNvSpPr/>
      </xdr:nvSpPr>
      <xdr:spPr>
        <a:xfrm>
          <a:off x="6428536" y="9321329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114289</xdr:colOff>
      <xdr:row>83</xdr:row>
      <xdr:rowOff>453877</xdr:rowOff>
    </xdr:from>
    <xdr:to>
      <xdr:col>6</xdr:col>
      <xdr:colOff>721508</xdr:colOff>
      <xdr:row>83</xdr:row>
      <xdr:rowOff>808683</xdr:rowOff>
    </xdr:to>
    <xdr:sp macro="" textlink="">
      <xdr:nvSpPr>
        <xdr:cNvPr id="20" name="Oval 19">
          <a:extLst>
            <a:ext uri="{FF2B5EF4-FFF2-40B4-BE49-F238E27FC236}">
              <a16:creationId xmlns:a16="http://schemas.microsoft.com/office/drawing/2014/main" id="{5F1B5058-7FB4-4DC1-AA4B-A820230EC22A}"/>
            </a:ext>
          </a:extLst>
        </xdr:cNvPr>
        <xdr:cNvSpPr/>
      </xdr:nvSpPr>
      <xdr:spPr>
        <a:xfrm>
          <a:off x="6448414" y="9098900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84472</xdr:colOff>
      <xdr:row>82</xdr:row>
      <xdr:rowOff>332951</xdr:rowOff>
    </xdr:from>
    <xdr:to>
      <xdr:col>6</xdr:col>
      <xdr:colOff>691691</xdr:colOff>
      <xdr:row>82</xdr:row>
      <xdr:rowOff>687757</xdr:rowOff>
    </xdr:to>
    <xdr:sp macro="" textlink="">
      <xdr:nvSpPr>
        <xdr:cNvPr id="21" name="Oval 20">
          <a:extLst>
            <a:ext uri="{FF2B5EF4-FFF2-40B4-BE49-F238E27FC236}">
              <a16:creationId xmlns:a16="http://schemas.microsoft.com/office/drawing/2014/main" id="{968B3038-24F9-4E51-926E-C155BDA6D328}"/>
            </a:ext>
          </a:extLst>
        </xdr:cNvPr>
        <xdr:cNvSpPr/>
      </xdr:nvSpPr>
      <xdr:spPr>
        <a:xfrm>
          <a:off x="6418597" y="8987747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104350</xdr:colOff>
      <xdr:row>81</xdr:row>
      <xdr:rowOff>452221</xdr:rowOff>
    </xdr:from>
    <xdr:to>
      <xdr:col>6</xdr:col>
      <xdr:colOff>711569</xdr:colOff>
      <xdr:row>81</xdr:row>
      <xdr:rowOff>807027</xdr:rowOff>
    </xdr:to>
    <xdr:sp macro="" textlink="">
      <xdr:nvSpPr>
        <xdr:cNvPr id="22" name="Oval 21">
          <a:extLst>
            <a:ext uri="{FF2B5EF4-FFF2-40B4-BE49-F238E27FC236}">
              <a16:creationId xmlns:a16="http://schemas.microsoft.com/office/drawing/2014/main" id="{BB8A69A5-1D68-4BCA-9DE5-2605DE8D25ED}"/>
            </a:ext>
          </a:extLst>
        </xdr:cNvPr>
        <xdr:cNvSpPr/>
      </xdr:nvSpPr>
      <xdr:spPr>
        <a:xfrm>
          <a:off x="6438475" y="887394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99380</xdr:colOff>
      <xdr:row>79</xdr:row>
      <xdr:rowOff>140795</xdr:rowOff>
    </xdr:from>
    <xdr:to>
      <xdr:col>6</xdr:col>
      <xdr:colOff>706599</xdr:colOff>
      <xdr:row>79</xdr:row>
      <xdr:rowOff>495601</xdr:rowOff>
    </xdr:to>
    <xdr:sp macro="" textlink="">
      <xdr:nvSpPr>
        <xdr:cNvPr id="23" name="Oval 22">
          <a:extLst>
            <a:ext uri="{FF2B5EF4-FFF2-40B4-BE49-F238E27FC236}">
              <a16:creationId xmlns:a16="http://schemas.microsoft.com/office/drawing/2014/main" id="{E4B6EA36-6209-46F2-AD9C-479C268ED280}"/>
            </a:ext>
          </a:extLst>
        </xdr:cNvPr>
        <xdr:cNvSpPr/>
      </xdr:nvSpPr>
      <xdr:spPr>
        <a:xfrm>
          <a:off x="6433505" y="87199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119258</xdr:colOff>
      <xdr:row>78</xdr:row>
      <xdr:rowOff>284913</xdr:rowOff>
    </xdr:from>
    <xdr:to>
      <xdr:col>6</xdr:col>
      <xdr:colOff>726477</xdr:colOff>
      <xdr:row>78</xdr:row>
      <xdr:rowOff>639719</xdr:rowOff>
    </xdr:to>
    <xdr:sp macro="" textlink="">
      <xdr:nvSpPr>
        <xdr:cNvPr id="24" name="Oval 23">
          <a:extLst>
            <a:ext uri="{FF2B5EF4-FFF2-40B4-BE49-F238E27FC236}">
              <a16:creationId xmlns:a16="http://schemas.microsoft.com/office/drawing/2014/main" id="{2428E5C3-A648-47E0-B302-B939D2050705}"/>
            </a:ext>
          </a:extLst>
        </xdr:cNvPr>
        <xdr:cNvSpPr/>
      </xdr:nvSpPr>
      <xdr:spPr>
        <a:xfrm>
          <a:off x="6453383" y="8644806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81158</xdr:colOff>
      <xdr:row>77</xdr:row>
      <xdr:rowOff>130856</xdr:rowOff>
    </xdr:from>
    <xdr:to>
      <xdr:col>6</xdr:col>
      <xdr:colOff>688377</xdr:colOff>
      <xdr:row>77</xdr:row>
      <xdr:rowOff>485662</xdr:rowOff>
    </xdr:to>
    <xdr:sp macro="" textlink="">
      <xdr:nvSpPr>
        <xdr:cNvPr id="25" name="Oval 24">
          <a:extLst>
            <a:ext uri="{FF2B5EF4-FFF2-40B4-BE49-F238E27FC236}">
              <a16:creationId xmlns:a16="http://schemas.microsoft.com/office/drawing/2014/main" id="{0E0A547E-9E77-454D-A2A5-652C93BB71D2}"/>
            </a:ext>
          </a:extLst>
        </xdr:cNvPr>
        <xdr:cNvSpPr/>
      </xdr:nvSpPr>
      <xdr:spPr>
        <a:xfrm>
          <a:off x="6415283" y="856653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142450</xdr:colOff>
      <xdr:row>75</xdr:row>
      <xdr:rowOff>109321</xdr:rowOff>
    </xdr:from>
    <xdr:to>
      <xdr:col>6</xdr:col>
      <xdr:colOff>749669</xdr:colOff>
      <xdr:row>75</xdr:row>
      <xdr:rowOff>464127</xdr:rowOff>
    </xdr:to>
    <xdr:sp macro="" textlink="">
      <xdr:nvSpPr>
        <xdr:cNvPr id="26" name="Oval 25">
          <a:extLst>
            <a:ext uri="{FF2B5EF4-FFF2-40B4-BE49-F238E27FC236}">
              <a16:creationId xmlns:a16="http://schemas.microsoft.com/office/drawing/2014/main" id="{85333400-E54D-4042-B0E2-499E24CB4806}"/>
            </a:ext>
          </a:extLst>
        </xdr:cNvPr>
        <xdr:cNvSpPr/>
      </xdr:nvSpPr>
      <xdr:spPr>
        <a:xfrm>
          <a:off x="6476575" y="843865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129198</xdr:colOff>
      <xdr:row>74</xdr:row>
      <xdr:rowOff>518483</xdr:rowOff>
    </xdr:from>
    <xdr:to>
      <xdr:col>6</xdr:col>
      <xdr:colOff>736417</xdr:colOff>
      <xdr:row>74</xdr:row>
      <xdr:rowOff>873289</xdr:rowOff>
    </xdr:to>
    <xdr:sp macro="" textlink="">
      <xdr:nvSpPr>
        <xdr:cNvPr id="27" name="Oval 26">
          <a:extLst>
            <a:ext uri="{FF2B5EF4-FFF2-40B4-BE49-F238E27FC236}">
              <a16:creationId xmlns:a16="http://schemas.microsoft.com/office/drawing/2014/main" id="{520F31CE-8FB0-4EB1-9B78-CCE5C82A77D0}"/>
            </a:ext>
          </a:extLst>
        </xdr:cNvPr>
        <xdr:cNvSpPr/>
      </xdr:nvSpPr>
      <xdr:spPr>
        <a:xfrm>
          <a:off x="6463323" y="833478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132511</xdr:colOff>
      <xdr:row>73</xdr:row>
      <xdr:rowOff>314730</xdr:rowOff>
    </xdr:from>
    <xdr:to>
      <xdr:col>6</xdr:col>
      <xdr:colOff>739730</xdr:colOff>
      <xdr:row>73</xdr:row>
      <xdr:rowOff>669536</xdr:rowOff>
    </xdr:to>
    <xdr:sp macro="" textlink="">
      <xdr:nvSpPr>
        <xdr:cNvPr id="28" name="Oval 27">
          <a:extLst>
            <a:ext uri="{FF2B5EF4-FFF2-40B4-BE49-F238E27FC236}">
              <a16:creationId xmlns:a16="http://schemas.microsoft.com/office/drawing/2014/main" id="{F92CC4AB-82DA-4915-9B41-434D68C7B529}"/>
            </a:ext>
          </a:extLst>
        </xdr:cNvPr>
        <xdr:cNvSpPr/>
      </xdr:nvSpPr>
      <xdr:spPr>
        <a:xfrm>
          <a:off x="6466636" y="821916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110976</xdr:colOff>
      <xdr:row>72</xdr:row>
      <xdr:rowOff>1138021</xdr:rowOff>
    </xdr:from>
    <xdr:to>
      <xdr:col>6</xdr:col>
      <xdr:colOff>718195</xdr:colOff>
      <xdr:row>72</xdr:row>
      <xdr:rowOff>1492827</xdr:rowOff>
    </xdr:to>
    <xdr:sp macro="" textlink="">
      <xdr:nvSpPr>
        <xdr:cNvPr id="29" name="Oval 28">
          <a:extLst>
            <a:ext uri="{FF2B5EF4-FFF2-40B4-BE49-F238E27FC236}">
              <a16:creationId xmlns:a16="http://schemas.microsoft.com/office/drawing/2014/main" id="{29DB01C3-E779-46F0-893C-21EA0D7E4556}"/>
            </a:ext>
          </a:extLst>
        </xdr:cNvPr>
        <xdr:cNvSpPr/>
      </xdr:nvSpPr>
      <xdr:spPr>
        <a:xfrm>
          <a:off x="6445101" y="803860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106</xdr:row>
      <xdr:rowOff>3768587</xdr:rowOff>
    </xdr:from>
    <xdr:to>
      <xdr:col>6</xdr:col>
      <xdr:colOff>714893</xdr:colOff>
      <xdr:row>106</xdr:row>
      <xdr:rowOff>4123393</xdr:rowOff>
    </xdr:to>
    <xdr:sp macro="" textlink="">
      <xdr:nvSpPr>
        <xdr:cNvPr id="30" name="Oval 29">
          <a:extLst>
            <a:ext uri="{FF2B5EF4-FFF2-40B4-BE49-F238E27FC236}">
              <a16:creationId xmlns:a16="http://schemas.microsoft.com/office/drawing/2014/main" id="{7F7FE391-D4D5-4ACC-97E0-FD38D6A975C2}"/>
            </a:ext>
          </a:extLst>
        </xdr:cNvPr>
        <xdr:cNvSpPr/>
      </xdr:nvSpPr>
      <xdr:spPr>
        <a:xfrm>
          <a:off x="6441799" y="1223929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108</xdr:row>
      <xdr:rowOff>314739</xdr:rowOff>
    </xdr:from>
    <xdr:to>
      <xdr:col>6</xdr:col>
      <xdr:colOff>723176</xdr:colOff>
      <xdr:row>108</xdr:row>
      <xdr:rowOff>669545</xdr:rowOff>
    </xdr:to>
    <xdr:sp macro="" textlink="">
      <xdr:nvSpPr>
        <xdr:cNvPr id="31" name="Oval 30">
          <a:extLst>
            <a:ext uri="{FF2B5EF4-FFF2-40B4-BE49-F238E27FC236}">
              <a16:creationId xmlns:a16="http://schemas.microsoft.com/office/drawing/2014/main" id="{2CA086A7-1FAC-4DB9-9DDD-7AAE061946DC}"/>
            </a:ext>
          </a:extLst>
        </xdr:cNvPr>
        <xdr:cNvSpPr/>
      </xdr:nvSpPr>
      <xdr:spPr>
        <a:xfrm>
          <a:off x="6450082" y="1268543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109</xdr:row>
      <xdr:rowOff>124239</xdr:rowOff>
    </xdr:from>
    <xdr:to>
      <xdr:col>6</xdr:col>
      <xdr:colOff>739741</xdr:colOff>
      <xdr:row>109</xdr:row>
      <xdr:rowOff>479045</xdr:rowOff>
    </xdr:to>
    <xdr:sp macro="" textlink="">
      <xdr:nvSpPr>
        <xdr:cNvPr id="32" name="Oval 31">
          <a:extLst>
            <a:ext uri="{FF2B5EF4-FFF2-40B4-BE49-F238E27FC236}">
              <a16:creationId xmlns:a16="http://schemas.microsoft.com/office/drawing/2014/main" id="{42A76E82-4875-4748-8B61-1F49A5D237E4}"/>
            </a:ext>
          </a:extLst>
        </xdr:cNvPr>
        <xdr:cNvSpPr/>
      </xdr:nvSpPr>
      <xdr:spPr>
        <a:xfrm>
          <a:off x="6466647" y="1277116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102704</xdr:colOff>
      <xdr:row>110</xdr:row>
      <xdr:rowOff>135835</xdr:rowOff>
    </xdr:from>
    <xdr:to>
      <xdr:col>6</xdr:col>
      <xdr:colOff>709923</xdr:colOff>
      <xdr:row>110</xdr:row>
      <xdr:rowOff>490641</xdr:rowOff>
    </xdr:to>
    <xdr:sp macro="" textlink="">
      <xdr:nvSpPr>
        <xdr:cNvPr id="33" name="Oval 32">
          <a:extLst>
            <a:ext uri="{FF2B5EF4-FFF2-40B4-BE49-F238E27FC236}">
              <a16:creationId xmlns:a16="http://schemas.microsoft.com/office/drawing/2014/main" id="{C355D7CF-D0D6-49D1-BB83-7B2B2B165055}"/>
            </a:ext>
          </a:extLst>
        </xdr:cNvPr>
        <xdr:cNvSpPr/>
      </xdr:nvSpPr>
      <xdr:spPr>
        <a:xfrm>
          <a:off x="6436829" y="1283518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111</xdr:row>
      <xdr:rowOff>240196</xdr:rowOff>
    </xdr:from>
    <xdr:to>
      <xdr:col>6</xdr:col>
      <xdr:colOff>706610</xdr:colOff>
      <xdr:row>111</xdr:row>
      <xdr:rowOff>595002</xdr:rowOff>
    </xdr:to>
    <xdr:sp macro="" textlink="">
      <xdr:nvSpPr>
        <xdr:cNvPr id="34" name="Oval 33">
          <a:extLst>
            <a:ext uri="{FF2B5EF4-FFF2-40B4-BE49-F238E27FC236}">
              <a16:creationId xmlns:a16="http://schemas.microsoft.com/office/drawing/2014/main" id="{21F884B5-3F03-4D08-94B0-42CE7EA4E6E7}"/>
            </a:ext>
          </a:extLst>
        </xdr:cNvPr>
        <xdr:cNvSpPr/>
      </xdr:nvSpPr>
      <xdr:spPr>
        <a:xfrm>
          <a:off x="6433516" y="1290848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112</xdr:row>
      <xdr:rowOff>256761</xdr:rowOff>
    </xdr:from>
    <xdr:to>
      <xdr:col>6</xdr:col>
      <xdr:colOff>698328</xdr:colOff>
      <xdr:row>112</xdr:row>
      <xdr:rowOff>611567</xdr:rowOff>
    </xdr:to>
    <xdr:sp macro="" textlink="">
      <xdr:nvSpPr>
        <xdr:cNvPr id="35" name="Oval 34">
          <a:extLst>
            <a:ext uri="{FF2B5EF4-FFF2-40B4-BE49-F238E27FC236}">
              <a16:creationId xmlns:a16="http://schemas.microsoft.com/office/drawing/2014/main" id="{C037DB16-B3E8-44AD-A51C-EB8C713DEE8B}"/>
            </a:ext>
          </a:extLst>
        </xdr:cNvPr>
        <xdr:cNvSpPr/>
      </xdr:nvSpPr>
      <xdr:spPr>
        <a:xfrm>
          <a:off x="6425234" y="1299872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113</xdr:row>
      <xdr:rowOff>309770</xdr:rowOff>
    </xdr:from>
    <xdr:to>
      <xdr:col>6</xdr:col>
      <xdr:colOff>709924</xdr:colOff>
      <xdr:row>113</xdr:row>
      <xdr:rowOff>664576</xdr:rowOff>
    </xdr:to>
    <xdr:sp macro="" textlink="">
      <xdr:nvSpPr>
        <xdr:cNvPr id="36" name="Oval 35">
          <a:extLst>
            <a:ext uri="{FF2B5EF4-FFF2-40B4-BE49-F238E27FC236}">
              <a16:creationId xmlns:a16="http://schemas.microsoft.com/office/drawing/2014/main" id="{B75CF0DC-1AE7-452D-A14C-E62BEB382374}"/>
            </a:ext>
          </a:extLst>
        </xdr:cNvPr>
        <xdr:cNvSpPr/>
      </xdr:nvSpPr>
      <xdr:spPr>
        <a:xfrm>
          <a:off x="6436830" y="1308784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114301</xdr:colOff>
      <xdr:row>114</xdr:row>
      <xdr:rowOff>114300</xdr:rowOff>
    </xdr:from>
    <xdr:to>
      <xdr:col>6</xdr:col>
      <xdr:colOff>721520</xdr:colOff>
      <xdr:row>114</xdr:row>
      <xdr:rowOff>469106</xdr:rowOff>
    </xdr:to>
    <xdr:sp macro="" textlink="">
      <xdr:nvSpPr>
        <xdr:cNvPr id="37" name="Oval 36">
          <a:extLst>
            <a:ext uri="{FF2B5EF4-FFF2-40B4-BE49-F238E27FC236}">
              <a16:creationId xmlns:a16="http://schemas.microsoft.com/office/drawing/2014/main" id="{CFDB6459-B474-4753-829C-761A8CE01F94}"/>
            </a:ext>
          </a:extLst>
        </xdr:cNvPr>
        <xdr:cNvSpPr/>
      </xdr:nvSpPr>
      <xdr:spPr>
        <a:xfrm>
          <a:off x="6448426" y="13165455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116</xdr:row>
      <xdr:rowOff>223630</xdr:rowOff>
    </xdr:from>
    <xdr:to>
      <xdr:col>6</xdr:col>
      <xdr:colOff>723175</xdr:colOff>
      <xdr:row>116</xdr:row>
      <xdr:rowOff>578436</xdr:rowOff>
    </xdr:to>
    <xdr:sp macro="" textlink="">
      <xdr:nvSpPr>
        <xdr:cNvPr id="38" name="Oval 37">
          <a:extLst>
            <a:ext uri="{FF2B5EF4-FFF2-40B4-BE49-F238E27FC236}">
              <a16:creationId xmlns:a16="http://schemas.microsoft.com/office/drawing/2014/main" id="{EAAF1BF4-DED6-403A-B566-AE02B201697B}"/>
            </a:ext>
          </a:extLst>
        </xdr:cNvPr>
        <xdr:cNvSpPr/>
      </xdr:nvSpPr>
      <xdr:spPr>
        <a:xfrm>
          <a:off x="6450081" y="13302118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69574</xdr:colOff>
      <xdr:row>117</xdr:row>
      <xdr:rowOff>110987</xdr:rowOff>
    </xdr:from>
    <xdr:to>
      <xdr:col>6</xdr:col>
      <xdr:colOff>676793</xdr:colOff>
      <xdr:row>117</xdr:row>
      <xdr:rowOff>465793</xdr:rowOff>
    </xdr:to>
    <xdr:sp macro="" textlink="">
      <xdr:nvSpPr>
        <xdr:cNvPr id="39" name="Oval 38">
          <a:extLst>
            <a:ext uri="{FF2B5EF4-FFF2-40B4-BE49-F238E27FC236}">
              <a16:creationId xmlns:a16="http://schemas.microsoft.com/office/drawing/2014/main" id="{7519BF63-6F04-4FB4-B502-452B269B4017}"/>
            </a:ext>
          </a:extLst>
        </xdr:cNvPr>
        <xdr:cNvSpPr/>
      </xdr:nvSpPr>
      <xdr:spPr>
        <a:xfrm>
          <a:off x="6403699" y="1337657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122583</xdr:colOff>
      <xdr:row>118</xdr:row>
      <xdr:rowOff>139147</xdr:rowOff>
    </xdr:from>
    <xdr:to>
      <xdr:col>6</xdr:col>
      <xdr:colOff>729802</xdr:colOff>
      <xdr:row>118</xdr:row>
      <xdr:rowOff>493953</xdr:rowOff>
    </xdr:to>
    <xdr:sp macro="" textlink="">
      <xdr:nvSpPr>
        <xdr:cNvPr id="40" name="Oval 39">
          <a:extLst>
            <a:ext uri="{FF2B5EF4-FFF2-40B4-BE49-F238E27FC236}">
              <a16:creationId xmlns:a16="http://schemas.microsoft.com/office/drawing/2014/main" id="{5FB57F3B-524D-45DC-85E4-5DF252886305}"/>
            </a:ext>
          </a:extLst>
        </xdr:cNvPr>
        <xdr:cNvSpPr/>
      </xdr:nvSpPr>
      <xdr:spPr>
        <a:xfrm>
          <a:off x="6456708" y="1344225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84483</xdr:colOff>
      <xdr:row>119</xdr:row>
      <xdr:rowOff>125895</xdr:rowOff>
    </xdr:from>
    <xdr:to>
      <xdr:col>6</xdr:col>
      <xdr:colOff>691702</xdr:colOff>
      <xdr:row>119</xdr:row>
      <xdr:rowOff>480701</xdr:rowOff>
    </xdr:to>
    <xdr:sp macro="" textlink="">
      <xdr:nvSpPr>
        <xdr:cNvPr id="41" name="Oval 40">
          <a:extLst>
            <a:ext uri="{FF2B5EF4-FFF2-40B4-BE49-F238E27FC236}">
              <a16:creationId xmlns:a16="http://schemas.microsoft.com/office/drawing/2014/main" id="{93F1D858-80CC-49E3-9B83-57551F651008}"/>
            </a:ext>
          </a:extLst>
        </xdr:cNvPr>
        <xdr:cNvSpPr/>
      </xdr:nvSpPr>
      <xdr:spPr>
        <a:xfrm>
          <a:off x="6418608" y="1350379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87796</xdr:colOff>
      <xdr:row>120</xdr:row>
      <xdr:rowOff>377687</xdr:rowOff>
    </xdr:from>
    <xdr:to>
      <xdr:col>6</xdr:col>
      <xdr:colOff>695015</xdr:colOff>
      <xdr:row>120</xdr:row>
      <xdr:rowOff>732493</xdr:rowOff>
    </xdr:to>
    <xdr:sp macro="" textlink="">
      <xdr:nvSpPr>
        <xdr:cNvPr id="42" name="Oval 41">
          <a:extLst>
            <a:ext uri="{FF2B5EF4-FFF2-40B4-BE49-F238E27FC236}">
              <a16:creationId xmlns:a16="http://schemas.microsoft.com/office/drawing/2014/main" id="{D3DB7204-37AC-4E2A-B336-BE2A366B1909}"/>
            </a:ext>
          </a:extLst>
        </xdr:cNvPr>
        <xdr:cNvSpPr/>
      </xdr:nvSpPr>
      <xdr:spPr>
        <a:xfrm>
          <a:off x="6421921" y="1359184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121</xdr:row>
      <xdr:rowOff>107674</xdr:rowOff>
    </xdr:from>
    <xdr:to>
      <xdr:col>6</xdr:col>
      <xdr:colOff>748024</xdr:colOff>
      <xdr:row>121</xdr:row>
      <xdr:rowOff>462480</xdr:rowOff>
    </xdr:to>
    <xdr:sp macro="" textlink="">
      <xdr:nvSpPr>
        <xdr:cNvPr id="43" name="Oval 42">
          <a:extLst>
            <a:ext uri="{FF2B5EF4-FFF2-40B4-BE49-F238E27FC236}">
              <a16:creationId xmlns:a16="http://schemas.microsoft.com/office/drawing/2014/main" id="{82F59A97-7ACA-4425-B3B9-03C87A77F188}"/>
            </a:ext>
          </a:extLst>
        </xdr:cNvPr>
        <xdr:cNvSpPr/>
      </xdr:nvSpPr>
      <xdr:spPr>
        <a:xfrm>
          <a:off x="6474930" y="1366771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123</xdr:row>
      <xdr:rowOff>364435</xdr:rowOff>
    </xdr:from>
    <xdr:to>
      <xdr:col>6</xdr:col>
      <xdr:colOff>706611</xdr:colOff>
      <xdr:row>123</xdr:row>
      <xdr:rowOff>719241</xdr:rowOff>
    </xdr:to>
    <xdr:sp macro="" textlink="">
      <xdr:nvSpPr>
        <xdr:cNvPr id="44" name="Oval 43">
          <a:extLst>
            <a:ext uri="{FF2B5EF4-FFF2-40B4-BE49-F238E27FC236}">
              <a16:creationId xmlns:a16="http://schemas.microsoft.com/office/drawing/2014/main" id="{95F1D69F-7590-4CA3-83F3-D0AFD7C31FE9}"/>
            </a:ext>
          </a:extLst>
        </xdr:cNvPr>
        <xdr:cNvSpPr/>
      </xdr:nvSpPr>
      <xdr:spPr>
        <a:xfrm>
          <a:off x="6433517" y="13819118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124</xdr:row>
      <xdr:rowOff>309770</xdr:rowOff>
    </xdr:from>
    <xdr:to>
      <xdr:col>6</xdr:col>
      <xdr:colOff>709924</xdr:colOff>
      <xdr:row>124</xdr:row>
      <xdr:rowOff>664576</xdr:rowOff>
    </xdr:to>
    <xdr:sp macro="" textlink="">
      <xdr:nvSpPr>
        <xdr:cNvPr id="45" name="Oval 44">
          <a:extLst>
            <a:ext uri="{FF2B5EF4-FFF2-40B4-BE49-F238E27FC236}">
              <a16:creationId xmlns:a16="http://schemas.microsoft.com/office/drawing/2014/main" id="{42E31DF9-E786-4DBA-87EB-63172A62C63D}"/>
            </a:ext>
          </a:extLst>
        </xdr:cNvPr>
        <xdr:cNvSpPr/>
      </xdr:nvSpPr>
      <xdr:spPr>
        <a:xfrm>
          <a:off x="6436830" y="13924142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130866</xdr:colOff>
      <xdr:row>125</xdr:row>
      <xdr:rowOff>362779</xdr:rowOff>
    </xdr:from>
    <xdr:to>
      <xdr:col>6</xdr:col>
      <xdr:colOff>738085</xdr:colOff>
      <xdr:row>125</xdr:row>
      <xdr:rowOff>717585</xdr:rowOff>
    </xdr:to>
    <xdr:sp macro="" textlink="">
      <xdr:nvSpPr>
        <xdr:cNvPr id="46" name="Oval 45">
          <a:extLst>
            <a:ext uri="{FF2B5EF4-FFF2-40B4-BE49-F238E27FC236}">
              <a16:creationId xmlns:a16="http://schemas.microsoft.com/office/drawing/2014/main" id="{902C1270-CE2E-48BD-865C-D2CA8CA00EB0}"/>
            </a:ext>
          </a:extLst>
        </xdr:cNvPr>
        <xdr:cNvSpPr/>
      </xdr:nvSpPr>
      <xdr:spPr>
        <a:xfrm>
          <a:off x="6464991" y="1403136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59636</xdr:colOff>
      <xdr:row>126</xdr:row>
      <xdr:rowOff>332961</xdr:rowOff>
    </xdr:from>
    <xdr:to>
      <xdr:col>6</xdr:col>
      <xdr:colOff>666855</xdr:colOff>
      <xdr:row>126</xdr:row>
      <xdr:rowOff>687767</xdr:rowOff>
    </xdr:to>
    <xdr:sp macro="" textlink="">
      <xdr:nvSpPr>
        <xdr:cNvPr id="47" name="Oval 46">
          <a:extLst>
            <a:ext uri="{FF2B5EF4-FFF2-40B4-BE49-F238E27FC236}">
              <a16:creationId xmlns:a16="http://schemas.microsoft.com/office/drawing/2014/main" id="{AD71EB19-20CD-48B0-8947-9BAD6A66D436}"/>
            </a:ext>
          </a:extLst>
        </xdr:cNvPr>
        <xdr:cNvSpPr/>
      </xdr:nvSpPr>
      <xdr:spPr>
        <a:xfrm>
          <a:off x="6393761" y="14136963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112645</xdr:colOff>
      <xdr:row>127</xdr:row>
      <xdr:rowOff>178904</xdr:rowOff>
    </xdr:from>
    <xdr:to>
      <xdr:col>6</xdr:col>
      <xdr:colOff>719864</xdr:colOff>
      <xdr:row>127</xdr:row>
      <xdr:rowOff>533710</xdr:rowOff>
    </xdr:to>
    <xdr:sp macro="" textlink="">
      <xdr:nvSpPr>
        <xdr:cNvPr id="48" name="Oval 47">
          <a:extLst>
            <a:ext uri="{FF2B5EF4-FFF2-40B4-BE49-F238E27FC236}">
              <a16:creationId xmlns:a16="http://schemas.microsoft.com/office/drawing/2014/main" id="{B6ACA984-35FD-4F00-B282-BE7199DAC147}"/>
            </a:ext>
          </a:extLst>
        </xdr:cNvPr>
        <xdr:cNvSpPr/>
      </xdr:nvSpPr>
      <xdr:spPr>
        <a:xfrm>
          <a:off x="6446770" y="14222522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129</xdr:row>
      <xdr:rowOff>173935</xdr:rowOff>
    </xdr:from>
    <xdr:to>
      <xdr:col>6</xdr:col>
      <xdr:colOff>714893</xdr:colOff>
      <xdr:row>129</xdr:row>
      <xdr:rowOff>528741</xdr:rowOff>
    </xdr:to>
    <xdr:sp macro="" textlink="">
      <xdr:nvSpPr>
        <xdr:cNvPr id="49" name="Oval 48">
          <a:extLst>
            <a:ext uri="{FF2B5EF4-FFF2-40B4-BE49-F238E27FC236}">
              <a16:creationId xmlns:a16="http://schemas.microsoft.com/office/drawing/2014/main" id="{31430143-4DE5-418C-9B1D-3EB530C73E81}"/>
            </a:ext>
          </a:extLst>
        </xdr:cNvPr>
        <xdr:cNvSpPr/>
      </xdr:nvSpPr>
      <xdr:spPr>
        <a:xfrm>
          <a:off x="6441799" y="1435918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128</xdr:row>
      <xdr:rowOff>185531</xdr:rowOff>
    </xdr:from>
    <xdr:to>
      <xdr:col>6</xdr:col>
      <xdr:colOff>709924</xdr:colOff>
      <xdr:row>128</xdr:row>
      <xdr:rowOff>540337</xdr:rowOff>
    </xdr:to>
    <xdr:sp macro="" textlink="">
      <xdr:nvSpPr>
        <xdr:cNvPr id="50" name="Oval 49">
          <a:extLst>
            <a:ext uri="{FF2B5EF4-FFF2-40B4-BE49-F238E27FC236}">
              <a16:creationId xmlns:a16="http://schemas.microsoft.com/office/drawing/2014/main" id="{AF6CEB8D-8F13-41FE-B227-0774098D4E83}"/>
            </a:ext>
          </a:extLst>
        </xdr:cNvPr>
        <xdr:cNvSpPr/>
      </xdr:nvSpPr>
      <xdr:spPr>
        <a:xfrm>
          <a:off x="6436830" y="1429176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72887</xdr:colOff>
      <xdr:row>130</xdr:row>
      <xdr:rowOff>147430</xdr:rowOff>
    </xdr:from>
    <xdr:to>
      <xdr:col>6</xdr:col>
      <xdr:colOff>680106</xdr:colOff>
      <xdr:row>130</xdr:row>
      <xdr:rowOff>502236</xdr:rowOff>
    </xdr:to>
    <xdr:sp macro="" textlink="">
      <xdr:nvSpPr>
        <xdr:cNvPr id="51" name="Oval 50">
          <a:extLst>
            <a:ext uri="{FF2B5EF4-FFF2-40B4-BE49-F238E27FC236}">
              <a16:creationId xmlns:a16="http://schemas.microsoft.com/office/drawing/2014/main" id="{9331E24E-4A33-4DAA-9F08-EEF76DF0F6F3}"/>
            </a:ext>
          </a:extLst>
        </xdr:cNvPr>
        <xdr:cNvSpPr/>
      </xdr:nvSpPr>
      <xdr:spPr>
        <a:xfrm>
          <a:off x="6407012" y="1441940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99392</xdr:colOff>
      <xdr:row>131</xdr:row>
      <xdr:rowOff>115957</xdr:rowOff>
    </xdr:from>
    <xdr:to>
      <xdr:col>6</xdr:col>
      <xdr:colOff>706611</xdr:colOff>
      <xdr:row>131</xdr:row>
      <xdr:rowOff>470763</xdr:rowOff>
    </xdr:to>
    <xdr:sp macro="" textlink="">
      <xdr:nvSpPr>
        <xdr:cNvPr id="52" name="Oval 51">
          <a:extLst>
            <a:ext uri="{FF2B5EF4-FFF2-40B4-BE49-F238E27FC236}">
              <a16:creationId xmlns:a16="http://schemas.microsoft.com/office/drawing/2014/main" id="{29E376CB-6F08-4D90-9E8D-7413C06AB832}"/>
            </a:ext>
          </a:extLst>
        </xdr:cNvPr>
        <xdr:cNvSpPr/>
      </xdr:nvSpPr>
      <xdr:spPr>
        <a:xfrm>
          <a:off x="6433517" y="1447911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132</xdr:row>
      <xdr:rowOff>127553</xdr:rowOff>
    </xdr:from>
    <xdr:to>
      <xdr:col>6</xdr:col>
      <xdr:colOff>701641</xdr:colOff>
      <xdr:row>132</xdr:row>
      <xdr:rowOff>482359</xdr:rowOff>
    </xdr:to>
    <xdr:sp macro="" textlink="">
      <xdr:nvSpPr>
        <xdr:cNvPr id="53" name="Oval 52">
          <a:extLst>
            <a:ext uri="{FF2B5EF4-FFF2-40B4-BE49-F238E27FC236}">
              <a16:creationId xmlns:a16="http://schemas.microsoft.com/office/drawing/2014/main" id="{AF9FB472-7EA0-4E10-8C15-1507CC1039DA}"/>
            </a:ext>
          </a:extLst>
        </xdr:cNvPr>
        <xdr:cNvSpPr/>
      </xdr:nvSpPr>
      <xdr:spPr>
        <a:xfrm>
          <a:off x="6428547" y="14543142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133</xdr:row>
      <xdr:rowOff>114301</xdr:rowOff>
    </xdr:from>
    <xdr:to>
      <xdr:col>6</xdr:col>
      <xdr:colOff>721519</xdr:colOff>
      <xdr:row>133</xdr:row>
      <xdr:rowOff>469107</xdr:rowOff>
    </xdr:to>
    <xdr:sp macro="" textlink="">
      <xdr:nvSpPr>
        <xdr:cNvPr id="54" name="Oval 53">
          <a:extLst>
            <a:ext uri="{FF2B5EF4-FFF2-40B4-BE49-F238E27FC236}">
              <a16:creationId xmlns:a16="http://schemas.microsoft.com/office/drawing/2014/main" id="{8DAC8197-2780-4591-A9CE-37AF4B1D5CF3}"/>
            </a:ext>
          </a:extLst>
        </xdr:cNvPr>
        <xdr:cNvSpPr/>
      </xdr:nvSpPr>
      <xdr:spPr>
        <a:xfrm>
          <a:off x="6448425" y="1460468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117613</xdr:colOff>
      <xdr:row>134</xdr:row>
      <xdr:rowOff>142462</xdr:rowOff>
    </xdr:from>
    <xdr:to>
      <xdr:col>6</xdr:col>
      <xdr:colOff>724832</xdr:colOff>
      <xdr:row>134</xdr:row>
      <xdr:rowOff>497268</xdr:rowOff>
    </xdr:to>
    <xdr:sp macro="" textlink="">
      <xdr:nvSpPr>
        <xdr:cNvPr id="55" name="Oval 54">
          <a:extLst>
            <a:ext uri="{FF2B5EF4-FFF2-40B4-BE49-F238E27FC236}">
              <a16:creationId xmlns:a16="http://schemas.microsoft.com/office/drawing/2014/main" id="{FB17F5BB-36DA-4EDC-AA39-9F2BF65B7A79}"/>
            </a:ext>
          </a:extLst>
        </xdr:cNvPr>
        <xdr:cNvSpPr/>
      </xdr:nvSpPr>
      <xdr:spPr>
        <a:xfrm>
          <a:off x="6451738" y="1467036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129208</xdr:colOff>
      <xdr:row>135</xdr:row>
      <xdr:rowOff>129209</xdr:rowOff>
    </xdr:from>
    <xdr:to>
      <xdr:col>6</xdr:col>
      <xdr:colOff>736427</xdr:colOff>
      <xdr:row>135</xdr:row>
      <xdr:rowOff>484015</xdr:rowOff>
    </xdr:to>
    <xdr:sp macro="" textlink="">
      <xdr:nvSpPr>
        <xdr:cNvPr id="56" name="Oval 55">
          <a:extLst>
            <a:ext uri="{FF2B5EF4-FFF2-40B4-BE49-F238E27FC236}">
              <a16:creationId xmlns:a16="http://schemas.microsoft.com/office/drawing/2014/main" id="{DE4E653D-D725-47C0-AFF2-3B8C7C975E49}"/>
            </a:ext>
          </a:extLst>
        </xdr:cNvPr>
        <xdr:cNvSpPr/>
      </xdr:nvSpPr>
      <xdr:spPr>
        <a:xfrm>
          <a:off x="6463333" y="1473190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136</xdr:row>
      <xdr:rowOff>115957</xdr:rowOff>
    </xdr:from>
    <xdr:to>
      <xdr:col>6</xdr:col>
      <xdr:colOff>714893</xdr:colOff>
      <xdr:row>136</xdr:row>
      <xdr:rowOff>470763</xdr:rowOff>
    </xdr:to>
    <xdr:sp macro="" textlink="">
      <xdr:nvSpPr>
        <xdr:cNvPr id="57" name="Oval 56">
          <a:extLst>
            <a:ext uri="{FF2B5EF4-FFF2-40B4-BE49-F238E27FC236}">
              <a16:creationId xmlns:a16="http://schemas.microsoft.com/office/drawing/2014/main" id="{9F407387-DA60-45C2-AA41-24ED73EC94C5}"/>
            </a:ext>
          </a:extLst>
        </xdr:cNvPr>
        <xdr:cNvSpPr/>
      </xdr:nvSpPr>
      <xdr:spPr>
        <a:xfrm>
          <a:off x="6441799" y="14793443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137</xdr:row>
      <xdr:rowOff>144119</xdr:rowOff>
    </xdr:from>
    <xdr:to>
      <xdr:col>6</xdr:col>
      <xdr:colOff>709924</xdr:colOff>
      <xdr:row>137</xdr:row>
      <xdr:rowOff>498925</xdr:rowOff>
    </xdr:to>
    <xdr:sp macro="" textlink="">
      <xdr:nvSpPr>
        <xdr:cNvPr id="58" name="Oval 57">
          <a:extLst>
            <a:ext uri="{FF2B5EF4-FFF2-40B4-BE49-F238E27FC236}">
              <a16:creationId xmlns:a16="http://schemas.microsoft.com/office/drawing/2014/main" id="{6C2921A6-D637-4EFC-8228-349D856EBB34}"/>
            </a:ext>
          </a:extLst>
        </xdr:cNvPr>
        <xdr:cNvSpPr/>
      </xdr:nvSpPr>
      <xdr:spPr>
        <a:xfrm>
          <a:off x="6436830" y="1485912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138</xdr:row>
      <xdr:rowOff>155714</xdr:rowOff>
    </xdr:from>
    <xdr:to>
      <xdr:col>6</xdr:col>
      <xdr:colOff>713237</xdr:colOff>
      <xdr:row>138</xdr:row>
      <xdr:rowOff>510520</xdr:rowOff>
    </xdr:to>
    <xdr:sp macro="" textlink="">
      <xdr:nvSpPr>
        <xdr:cNvPr id="59" name="Oval 58">
          <a:extLst>
            <a:ext uri="{FF2B5EF4-FFF2-40B4-BE49-F238E27FC236}">
              <a16:creationId xmlns:a16="http://schemas.microsoft.com/office/drawing/2014/main" id="{F7D62788-5B7D-4E03-B474-8580A1A4E21E}"/>
            </a:ext>
          </a:extLst>
        </xdr:cNvPr>
        <xdr:cNvSpPr/>
      </xdr:nvSpPr>
      <xdr:spPr>
        <a:xfrm>
          <a:off x="6440143" y="14923148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101049</xdr:colOff>
      <xdr:row>139</xdr:row>
      <xdr:rowOff>332961</xdr:rowOff>
    </xdr:from>
    <xdr:to>
      <xdr:col>6</xdr:col>
      <xdr:colOff>708268</xdr:colOff>
      <xdr:row>139</xdr:row>
      <xdr:rowOff>687767</xdr:rowOff>
    </xdr:to>
    <xdr:sp macro="" textlink="">
      <xdr:nvSpPr>
        <xdr:cNvPr id="60" name="Oval 59">
          <a:extLst>
            <a:ext uri="{FF2B5EF4-FFF2-40B4-BE49-F238E27FC236}">
              <a16:creationId xmlns:a16="http://schemas.microsoft.com/office/drawing/2014/main" id="{BAFEFAF9-B4F3-46B1-AB53-1D578584DDE8}"/>
            </a:ext>
          </a:extLst>
        </xdr:cNvPr>
        <xdr:cNvSpPr/>
      </xdr:nvSpPr>
      <xdr:spPr>
        <a:xfrm>
          <a:off x="6435174" y="15003738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96079</xdr:colOff>
      <xdr:row>140</xdr:row>
      <xdr:rowOff>129208</xdr:rowOff>
    </xdr:from>
    <xdr:to>
      <xdr:col>6</xdr:col>
      <xdr:colOff>703298</xdr:colOff>
      <xdr:row>140</xdr:row>
      <xdr:rowOff>484014</xdr:rowOff>
    </xdr:to>
    <xdr:sp macro="" textlink="">
      <xdr:nvSpPr>
        <xdr:cNvPr id="61" name="Oval 60">
          <a:extLst>
            <a:ext uri="{FF2B5EF4-FFF2-40B4-BE49-F238E27FC236}">
              <a16:creationId xmlns:a16="http://schemas.microsoft.com/office/drawing/2014/main" id="{A3666A21-E4E7-4B1B-A971-771EF849FB72}"/>
            </a:ext>
          </a:extLst>
        </xdr:cNvPr>
        <xdr:cNvSpPr/>
      </xdr:nvSpPr>
      <xdr:spPr>
        <a:xfrm>
          <a:off x="6430204" y="15089090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107675</xdr:colOff>
      <xdr:row>142</xdr:row>
      <xdr:rowOff>132521</xdr:rowOff>
    </xdr:from>
    <xdr:to>
      <xdr:col>6</xdr:col>
      <xdr:colOff>714894</xdr:colOff>
      <xdr:row>142</xdr:row>
      <xdr:rowOff>487327</xdr:rowOff>
    </xdr:to>
    <xdr:sp macro="" textlink="">
      <xdr:nvSpPr>
        <xdr:cNvPr id="62" name="Oval 61">
          <a:extLst>
            <a:ext uri="{FF2B5EF4-FFF2-40B4-BE49-F238E27FC236}">
              <a16:creationId xmlns:a16="http://schemas.microsoft.com/office/drawing/2014/main" id="{6A58EC7D-C38A-48A6-85FD-CAF1F7CA4467}"/>
            </a:ext>
          </a:extLst>
        </xdr:cNvPr>
        <xdr:cNvSpPr/>
      </xdr:nvSpPr>
      <xdr:spPr>
        <a:xfrm>
          <a:off x="6441800" y="1525801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102705</xdr:colOff>
      <xdr:row>141</xdr:row>
      <xdr:rowOff>359465</xdr:rowOff>
    </xdr:from>
    <xdr:to>
      <xdr:col>6</xdr:col>
      <xdr:colOff>709924</xdr:colOff>
      <xdr:row>141</xdr:row>
      <xdr:rowOff>714271</xdr:rowOff>
    </xdr:to>
    <xdr:sp macro="" textlink="">
      <xdr:nvSpPr>
        <xdr:cNvPr id="63" name="Oval 62">
          <a:extLst>
            <a:ext uri="{FF2B5EF4-FFF2-40B4-BE49-F238E27FC236}">
              <a16:creationId xmlns:a16="http://schemas.microsoft.com/office/drawing/2014/main" id="{7A6F52D9-4EFD-484C-9733-6CFA66529440}"/>
            </a:ext>
          </a:extLst>
        </xdr:cNvPr>
        <xdr:cNvSpPr/>
      </xdr:nvSpPr>
      <xdr:spPr>
        <a:xfrm>
          <a:off x="6436830" y="15174981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143</xdr:row>
      <xdr:rowOff>149087</xdr:rowOff>
    </xdr:from>
    <xdr:to>
      <xdr:col>6</xdr:col>
      <xdr:colOff>690045</xdr:colOff>
      <xdr:row>143</xdr:row>
      <xdr:rowOff>503893</xdr:rowOff>
    </xdr:to>
    <xdr:sp macro="" textlink="">
      <xdr:nvSpPr>
        <xdr:cNvPr id="64" name="Oval 63">
          <a:extLst>
            <a:ext uri="{FF2B5EF4-FFF2-40B4-BE49-F238E27FC236}">
              <a16:creationId xmlns:a16="http://schemas.microsoft.com/office/drawing/2014/main" id="{EDA2DD5B-0691-464D-9B75-843261C82EDA}"/>
            </a:ext>
          </a:extLst>
        </xdr:cNvPr>
        <xdr:cNvSpPr/>
      </xdr:nvSpPr>
      <xdr:spPr>
        <a:xfrm>
          <a:off x="6416951" y="15322536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119269</xdr:colOff>
      <xdr:row>144</xdr:row>
      <xdr:rowOff>127552</xdr:rowOff>
    </xdr:from>
    <xdr:to>
      <xdr:col>6</xdr:col>
      <xdr:colOff>726488</xdr:colOff>
      <xdr:row>144</xdr:row>
      <xdr:rowOff>482358</xdr:rowOff>
    </xdr:to>
    <xdr:sp macro="" textlink="">
      <xdr:nvSpPr>
        <xdr:cNvPr id="65" name="Oval 64">
          <a:extLst>
            <a:ext uri="{FF2B5EF4-FFF2-40B4-BE49-F238E27FC236}">
              <a16:creationId xmlns:a16="http://schemas.microsoft.com/office/drawing/2014/main" id="{82FA91E4-6123-479E-99AB-9B66E9E3E180}"/>
            </a:ext>
          </a:extLst>
        </xdr:cNvPr>
        <xdr:cNvSpPr/>
      </xdr:nvSpPr>
      <xdr:spPr>
        <a:xfrm>
          <a:off x="6453394" y="15383247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97734</xdr:colOff>
      <xdr:row>145</xdr:row>
      <xdr:rowOff>163995</xdr:rowOff>
    </xdr:from>
    <xdr:to>
      <xdr:col>6</xdr:col>
      <xdr:colOff>704953</xdr:colOff>
      <xdr:row>145</xdr:row>
      <xdr:rowOff>518801</xdr:rowOff>
    </xdr:to>
    <xdr:sp macro="" textlink="">
      <xdr:nvSpPr>
        <xdr:cNvPr id="66" name="Oval 65">
          <a:extLst>
            <a:ext uri="{FF2B5EF4-FFF2-40B4-BE49-F238E27FC236}">
              <a16:creationId xmlns:a16="http://schemas.microsoft.com/office/drawing/2014/main" id="{23522EC1-D856-4197-86CF-81945D56E2F9}"/>
            </a:ext>
          </a:extLst>
        </xdr:cNvPr>
        <xdr:cNvSpPr/>
      </xdr:nvSpPr>
      <xdr:spPr>
        <a:xfrm>
          <a:off x="6431859" y="15449757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101047</xdr:colOff>
      <xdr:row>146</xdr:row>
      <xdr:rowOff>109329</xdr:rowOff>
    </xdr:from>
    <xdr:to>
      <xdr:col>6</xdr:col>
      <xdr:colOff>708266</xdr:colOff>
      <xdr:row>146</xdr:row>
      <xdr:rowOff>464135</xdr:rowOff>
    </xdr:to>
    <xdr:sp macro="" textlink="">
      <xdr:nvSpPr>
        <xdr:cNvPr id="67" name="Oval 66">
          <a:extLst>
            <a:ext uri="{FF2B5EF4-FFF2-40B4-BE49-F238E27FC236}">
              <a16:creationId xmlns:a16="http://schemas.microsoft.com/office/drawing/2014/main" id="{D8C2A68A-E702-4025-970A-C9F75475A6F6}"/>
            </a:ext>
          </a:extLst>
        </xdr:cNvPr>
        <xdr:cNvSpPr/>
      </xdr:nvSpPr>
      <xdr:spPr>
        <a:xfrm>
          <a:off x="6435172" y="15507155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112643</xdr:colOff>
      <xdr:row>147</xdr:row>
      <xdr:rowOff>129207</xdr:rowOff>
    </xdr:from>
    <xdr:to>
      <xdr:col>6</xdr:col>
      <xdr:colOff>719862</xdr:colOff>
      <xdr:row>147</xdr:row>
      <xdr:rowOff>484013</xdr:rowOff>
    </xdr:to>
    <xdr:sp macro="" textlink="">
      <xdr:nvSpPr>
        <xdr:cNvPr id="68" name="Oval 67">
          <a:extLst>
            <a:ext uri="{FF2B5EF4-FFF2-40B4-BE49-F238E27FC236}">
              <a16:creationId xmlns:a16="http://schemas.microsoft.com/office/drawing/2014/main" id="{F3960058-4AEC-4FEB-BCE7-4924759479DA}"/>
            </a:ext>
          </a:extLst>
        </xdr:cNvPr>
        <xdr:cNvSpPr/>
      </xdr:nvSpPr>
      <xdr:spPr>
        <a:xfrm>
          <a:off x="6446768" y="15572008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148</xdr:row>
      <xdr:rowOff>132520</xdr:rowOff>
    </xdr:from>
    <xdr:to>
      <xdr:col>6</xdr:col>
      <xdr:colOff>723175</xdr:colOff>
      <xdr:row>148</xdr:row>
      <xdr:rowOff>487326</xdr:rowOff>
    </xdr:to>
    <xdr:sp macro="" textlink="">
      <xdr:nvSpPr>
        <xdr:cNvPr id="69" name="Oval 68">
          <a:extLst>
            <a:ext uri="{FF2B5EF4-FFF2-40B4-BE49-F238E27FC236}">
              <a16:creationId xmlns:a16="http://schemas.microsoft.com/office/drawing/2014/main" id="{E359B9FC-1BB1-4C67-A025-00286CBFDF48}"/>
            </a:ext>
          </a:extLst>
        </xdr:cNvPr>
        <xdr:cNvSpPr/>
      </xdr:nvSpPr>
      <xdr:spPr>
        <a:xfrm>
          <a:off x="6450081" y="1563520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110987</xdr:colOff>
      <xdr:row>149</xdr:row>
      <xdr:rowOff>152398</xdr:rowOff>
    </xdr:from>
    <xdr:to>
      <xdr:col>6</xdr:col>
      <xdr:colOff>718206</xdr:colOff>
      <xdr:row>149</xdr:row>
      <xdr:rowOff>507204</xdr:rowOff>
    </xdr:to>
    <xdr:sp macro="" textlink="">
      <xdr:nvSpPr>
        <xdr:cNvPr id="70" name="Oval 69">
          <a:extLst>
            <a:ext uri="{FF2B5EF4-FFF2-40B4-BE49-F238E27FC236}">
              <a16:creationId xmlns:a16="http://schemas.microsoft.com/office/drawing/2014/main" id="{8984BFA9-284E-4A32-A615-AAE5EAB7BCC7}"/>
            </a:ext>
          </a:extLst>
        </xdr:cNvPr>
        <xdr:cNvSpPr/>
      </xdr:nvSpPr>
      <xdr:spPr>
        <a:xfrm>
          <a:off x="6445112" y="1570005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106018</xdr:colOff>
      <xdr:row>150</xdr:row>
      <xdr:rowOff>139146</xdr:rowOff>
    </xdr:from>
    <xdr:to>
      <xdr:col>6</xdr:col>
      <xdr:colOff>713237</xdr:colOff>
      <xdr:row>150</xdr:row>
      <xdr:rowOff>493952</xdr:rowOff>
    </xdr:to>
    <xdr:sp macro="" textlink="">
      <xdr:nvSpPr>
        <xdr:cNvPr id="71" name="Oval 70">
          <a:extLst>
            <a:ext uri="{FF2B5EF4-FFF2-40B4-BE49-F238E27FC236}">
              <a16:creationId xmlns:a16="http://schemas.microsoft.com/office/drawing/2014/main" id="{C5313D13-9BEC-43CA-9538-1D5D51E3160F}"/>
            </a:ext>
          </a:extLst>
        </xdr:cNvPr>
        <xdr:cNvSpPr/>
      </xdr:nvSpPr>
      <xdr:spPr>
        <a:xfrm>
          <a:off x="6440143" y="1576159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151</xdr:row>
      <xdr:rowOff>132522</xdr:rowOff>
    </xdr:from>
    <xdr:to>
      <xdr:col>6</xdr:col>
      <xdr:colOff>681762</xdr:colOff>
      <xdr:row>151</xdr:row>
      <xdr:rowOff>487328</xdr:rowOff>
    </xdr:to>
    <xdr:sp macro="" textlink="">
      <xdr:nvSpPr>
        <xdr:cNvPr id="72" name="Oval 71">
          <a:extLst>
            <a:ext uri="{FF2B5EF4-FFF2-40B4-BE49-F238E27FC236}">
              <a16:creationId xmlns:a16="http://schemas.microsoft.com/office/drawing/2014/main" id="{2AC28D79-A5B6-4FB3-B637-037DDB51E093}"/>
            </a:ext>
          </a:extLst>
        </xdr:cNvPr>
        <xdr:cNvSpPr/>
      </xdr:nvSpPr>
      <xdr:spPr>
        <a:xfrm>
          <a:off x="6408668" y="1582379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173934</xdr:colOff>
      <xdr:row>153</xdr:row>
      <xdr:rowOff>124239</xdr:rowOff>
    </xdr:from>
    <xdr:to>
      <xdr:col>6</xdr:col>
      <xdr:colOff>781153</xdr:colOff>
      <xdr:row>153</xdr:row>
      <xdr:rowOff>479045</xdr:rowOff>
    </xdr:to>
    <xdr:sp macro="" textlink="">
      <xdr:nvSpPr>
        <xdr:cNvPr id="73" name="Oval 72">
          <a:extLst>
            <a:ext uri="{FF2B5EF4-FFF2-40B4-BE49-F238E27FC236}">
              <a16:creationId xmlns:a16="http://schemas.microsoft.com/office/drawing/2014/main" id="{6384018E-843C-47C7-846D-7BD7F725F90D}"/>
            </a:ext>
          </a:extLst>
        </xdr:cNvPr>
        <xdr:cNvSpPr/>
      </xdr:nvSpPr>
      <xdr:spPr>
        <a:xfrm>
          <a:off x="6508059" y="1594870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135834</xdr:colOff>
      <xdr:row>154</xdr:row>
      <xdr:rowOff>127553</xdr:rowOff>
    </xdr:from>
    <xdr:to>
      <xdr:col>6</xdr:col>
      <xdr:colOff>743053</xdr:colOff>
      <xdr:row>154</xdr:row>
      <xdr:rowOff>482359</xdr:rowOff>
    </xdr:to>
    <xdr:sp macro="" textlink="">
      <xdr:nvSpPr>
        <xdr:cNvPr id="74" name="Oval 73">
          <a:extLst>
            <a:ext uri="{FF2B5EF4-FFF2-40B4-BE49-F238E27FC236}">
              <a16:creationId xmlns:a16="http://schemas.microsoft.com/office/drawing/2014/main" id="{D11839C5-0E21-467B-968C-267C8B768056}"/>
            </a:ext>
          </a:extLst>
        </xdr:cNvPr>
        <xdr:cNvSpPr/>
      </xdr:nvSpPr>
      <xdr:spPr>
        <a:xfrm>
          <a:off x="6469959" y="16011897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130864</xdr:colOff>
      <xdr:row>155</xdr:row>
      <xdr:rowOff>147432</xdr:rowOff>
    </xdr:from>
    <xdr:to>
      <xdr:col>6</xdr:col>
      <xdr:colOff>738083</xdr:colOff>
      <xdr:row>155</xdr:row>
      <xdr:rowOff>502238</xdr:rowOff>
    </xdr:to>
    <xdr:sp macro="" textlink="">
      <xdr:nvSpPr>
        <xdr:cNvPr id="75" name="Oval 74">
          <a:extLst>
            <a:ext uri="{FF2B5EF4-FFF2-40B4-BE49-F238E27FC236}">
              <a16:creationId xmlns:a16="http://schemas.microsoft.com/office/drawing/2014/main" id="{0A21E1CB-958A-45FB-A3BC-E60EEB3AF200}"/>
            </a:ext>
          </a:extLst>
        </xdr:cNvPr>
        <xdr:cNvSpPr/>
      </xdr:nvSpPr>
      <xdr:spPr>
        <a:xfrm>
          <a:off x="6464989" y="1607675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125895</xdr:colOff>
      <xdr:row>156</xdr:row>
      <xdr:rowOff>134180</xdr:rowOff>
    </xdr:from>
    <xdr:to>
      <xdr:col>6</xdr:col>
      <xdr:colOff>733114</xdr:colOff>
      <xdr:row>156</xdr:row>
      <xdr:rowOff>488986</xdr:rowOff>
    </xdr:to>
    <xdr:sp macro="" textlink="">
      <xdr:nvSpPr>
        <xdr:cNvPr id="76" name="Oval 75">
          <a:extLst>
            <a:ext uri="{FF2B5EF4-FFF2-40B4-BE49-F238E27FC236}">
              <a16:creationId xmlns:a16="http://schemas.microsoft.com/office/drawing/2014/main" id="{BB24155B-8F2D-4A57-AB75-0A481666F1BB}"/>
            </a:ext>
          </a:extLst>
        </xdr:cNvPr>
        <xdr:cNvSpPr/>
      </xdr:nvSpPr>
      <xdr:spPr>
        <a:xfrm>
          <a:off x="6460020" y="1613829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49695</xdr:colOff>
      <xdr:row>158</xdr:row>
      <xdr:rowOff>140804</xdr:rowOff>
    </xdr:from>
    <xdr:to>
      <xdr:col>6</xdr:col>
      <xdr:colOff>656914</xdr:colOff>
      <xdr:row>158</xdr:row>
      <xdr:rowOff>495610</xdr:rowOff>
    </xdr:to>
    <xdr:sp macro="" textlink="">
      <xdr:nvSpPr>
        <xdr:cNvPr id="77" name="Oval 76">
          <a:extLst>
            <a:ext uri="{FF2B5EF4-FFF2-40B4-BE49-F238E27FC236}">
              <a16:creationId xmlns:a16="http://schemas.microsoft.com/office/drawing/2014/main" id="{DB4C85D3-84CC-4D9F-B761-77684E3420F7}"/>
            </a:ext>
          </a:extLst>
        </xdr:cNvPr>
        <xdr:cNvSpPr/>
      </xdr:nvSpPr>
      <xdr:spPr>
        <a:xfrm>
          <a:off x="6383820" y="16264682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110986</xdr:colOff>
      <xdr:row>159</xdr:row>
      <xdr:rowOff>119269</xdr:rowOff>
    </xdr:from>
    <xdr:to>
      <xdr:col>6</xdr:col>
      <xdr:colOff>718205</xdr:colOff>
      <xdr:row>159</xdr:row>
      <xdr:rowOff>474075</xdr:rowOff>
    </xdr:to>
    <xdr:sp macro="" textlink="">
      <xdr:nvSpPr>
        <xdr:cNvPr id="78" name="Oval 77">
          <a:extLst>
            <a:ext uri="{FF2B5EF4-FFF2-40B4-BE49-F238E27FC236}">
              <a16:creationId xmlns:a16="http://schemas.microsoft.com/office/drawing/2014/main" id="{D0F6F0A4-6EE1-4909-A0F8-0804E95D77D2}"/>
            </a:ext>
          </a:extLst>
        </xdr:cNvPr>
        <xdr:cNvSpPr/>
      </xdr:nvSpPr>
      <xdr:spPr>
        <a:xfrm>
          <a:off x="6445111" y="16325394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89451</xdr:colOff>
      <xdr:row>160</xdr:row>
      <xdr:rowOff>155713</xdr:rowOff>
    </xdr:from>
    <xdr:to>
      <xdr:col>6</xdr:col>
      <xdr:colOff>696670</xdr:colOff>
      <xdr:row>160</xdr:row>
      <xdr:rowOff>510519</xdr:rowOff>
    </xdr:to>
    <xdr:sp macro="" textlink="">
      <xdr:nvSpPr>
        <xdr:cNvPr id="79" name="Oval 78">
          <a:extLst>
            <a:ext uri="{FF2B5EF4-FFF2-40B4-BE49-F238E27FC236}">
              <a16:creationId xmlns:a16="http://schemas.microsoft.com/office/drawing/2014/main" id="{8BA387EA-7DC7-4B08-BB4B-04EBCDF7EC59}"/>
            </a:ext>
          </a:extLst>
        </xdr:cNvPr>
        <xdr:cNvSpPr/>
      </xdr:nvSpPr>
      <xdr:spPr>
        <a:xfrm>
          <a:off x="6423576" y="1639190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162</xdr:row>
      <xdr:rowOff>91108</xdr:rowOff>
    </xdr:from>
    <xdr:to>
      <xdr:col>6</xdr:col>
      <xdr:colOff>723175</xdr:colOff>
      <xdr:row>162</xdr:row>
      <xdr:rowOff>445914</xdr:rowOff>
    </xdr:to>
    <xdr:sp macro="" textlink="">
      <xdr:nvSpPr>
        <xdr:cNvPr id="80" name="Oval 79">
          <a:extLst>
            <a:ext uri="{FF2B5EF4-FFF2-40B4-BE49-F238E27FC236}">
              <a16:creationId xmlns:a16="http://schemas.microsoft.com/office/drawing/2014/main" id="{FC0DB3FC-3E92-4260-A5F6-B2241B06E0CA}"/>
            </a:ext>
          </a:extLst>
        </xdr:cNvPr>
        <xdr:cNvSpPr/>
      </xdr:nvSpPr>
      <xdr:spPr>
        <a:xfrm>
          <a:off x="6450081" y="16511173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163</xdr:row>
      <xdr:rowOff>132522</xdr:rowOff>
    </xdr:from>
    <xdr:to>
      <xdr:col>6</xdr:col>
      <xdr:colOff>698328</xdr:colOff>
      <xdr:row>163</xdr:row>
      <xdr:rowOff>487328</xdr:rowOff>
    </xdr:to>
    <xdr:sp macro="" textlink="">
      <xdr:nvSpPr>
        <xdr:cNvPr id="81" name="Oval 80">
          <a:extLst>
            <a:ext uri="{FF2B5EF4-FFF2-40B4-BE49-F238E27FC236}">
              <a16:creationId xmlns:a16="http://schemas.microsoft.com/office/drawing/2014/main" id="{7EC0563F-2373-4EF5-BCA3-E60ECC2EB211}"/>
            </a:ext>
          </a:extLst>
        </xdr:cNvPr>
        <xdr:cNvSpPr/>
      </xdr:nvSpPr>
      <xdr:spPr>
        <a:xfrm>
          <a:off x="6425234" y="16578179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164</xdr:row>
      <xdr:rowOff>132521</xdr:rowOff>
    </xdr:from>
    <xdr:to>
      <xdr:col>6</xdr:col>
      <xdr:colOff>714893</xdr:colOff>
      <xdr:row>164</xdr:row>
      <xdr:rowOff>487327</xdr:rowOff>
    </xdr:to>
    <xdr:sp macro="" textlink="">
      <xdr:nvSpPr>
        <xdr:cNvPr id="82" name="Oval 81">
          <a:extLst>
            <a:ext uri="{FF2B5EF4-FFF2-40B4-BE49-F238E27FC236}">
              <a16:creationId xmlns:a16="http://schemas.microsoft.com/office/drawing/2014/main" id="{23BDF2F8-E87E-4E04-A537-0193587349CF}"/>
            </a:ext>
          </a:extLst>
        </xdr:cNvPr>
        <xdr:cNvSpPr/>
      </xdr:nvSpPr>
      <xdr:spPr>
        <a:xfrm>
          <a:off x="6441799" y="16641044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165</xdr:row>
      <xdr:rowOff>168963</xdr:rowOff>
    </xdr:from>
    <xdr:to>
      <xdr:col>6</xdr:col>
      <xdr:colOff>701641</xdr:colOff>
      <xdr:row>165</xdr:row>
      <xdr:rowOff>523769</xdr:rowOff>
    </xdr:to>
    <xdr:sp macro="" textlink="">
      <xdr:nvSpPr>
        <xdr:cNvPr id="83" name="Oval 82">
          <a:extLst>
            <a:ext uri="{FF2B5EF4-FFF2-40B4-BE49-F238E27FC236}">
              <a16:creationId xmlns:a16="http://schemas.microsoft.com/office/drawing/2014/main" id="{31ACA8AC-DF7A-4663-835D-1A6F42B5BF34}"/>
            </a:ext>
          </a:extLst>
        </xdr:cNvPr>
        <xdr:cNvSpPr/>
      </xdr:nvSpPr>
      <xdr:spPr>
        <a:xfrm>
          <a:off x="6428547" y="16707553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166</xdr:row>
      <xdr:rowOff>140805</xdr:rowOff>
    </xdr:from>
    <xdr:to>
      <xdr:col>6</xdr:col>
      <xdr:colOff>723175</xdr:colOff>
      <xdr:row>166</xdr:row>
      <xdr:rowOff>495611</xdr:rowOff>
    </xdr:to>
    <xdr:sp macro="" textlink="">
      <xdr:nvSpPr>
        <xdr:cNvPr id="84" name="Oval 83">
          <a:extLst>
            <a:ext uri="{FF2B5EF4-FFF2-40B4-BE49-F238E27FC236}">
              <a16:creationId xmlns:a16="http://schemas.microsoft.com/office/drawing/2014/main" id="{A9912C54-B229-4E5E-9A7B-2C9FDBA54006}"/>
            </a:ext>
          </a:extLst>
        </xdr:cNvPr>
        <xdr:cNvSpPr/>
      </xdr:nvSpPr>
      <xdr:spPr>
        <a:xfrm>
          <a:off x="6450081" y="1676760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167</xdr:row>
      <xdr:rowOff>124239</xdr:rowOff>
    </xdr:from>
    <xdr:to>
      <xdr:col>6</xdr:col>
      <xdr:colOff>690045</xdr:colOff>
      <xdr:row>167</xdr:row>
      <xdr:rowOff>479045</xdr:rowOff>
    </xdr:to>
    <xdr:sp macro="" textlink="">
      <xdr:nvSpPr>
        <xdr:cNvPr id="85" name="Oval 84">
          <a:extLst>
            <a:ext uri="{FF2B5EF4-FFF2-40B4-BE49-F238E27FC236}">
              <a16:creationId xmlns:a16="http://schemas.microsoft.com/office/drawing/2014/main" id="{C6BE771F-87F7-44D7-8DA0-C915062501D3}"/>
            </a:ext>
          </a:extLst>
        </xdr:cNvPr>
        <xdr:cNvSpPr/>
      </xdr:nvSpPr>
      <xdr:spPr>
        <a:xfrm>
          <a:off x="6416951" y="1682881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168</xdr:row>
      <xdr:rowOff>124239</xdr:rowOff>
    </xdr:from>
    <xdr:to>
      <xdr:col>6</xdr:col>
      <xdr:colOff>706610</xdr:colOff>
      <xdr:row>168</xdr:row>
      <xdr:rowOff>479045</xdr:rowOff>
    </xdr:to>
    <xdr:sp macro="" textlink="">
      <xdr:nvSpPr>
        <xdr:cNvPr id="86" name="Oval 85">
          <a:extLst>
            <a:ext uri="{FF2B5EF4-FFF2-40B4-BE49-F238E27FC236}">
              <a16:creationId xmlns:a16="http://schemas.microsoft.com/office/drawing/2014/main" id="{D0B15D13-21A5-4DD3-8B02-2B5BDE3FE300}"/>
            </a:ext>
          </a:extLst>
        </xdr:cNvPr>
        <xdr:cNvSpPr/>
      </xdr:nvSpPr>
      <xdr:spPr>
        <a:xfrm>
          <a:off x="6433516" y="1689167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169</xdr:row>
      <xdr:rowOff>140804</xdr:rowOff>
    </xdr:from>
    <xdr:to>
      <xdr:col>6</xdr:col>
      <xdr:colOff>698328</xdr:colOff>
      <xdr:row>169</xdr:row>
      <xdr:rowOff>495610</xdr:rowOff>
    </xdr:to>
    <xdr:sp macro="" textlink="">
      <xdr:nvSpPr>
        <xdr:cNvPr id="87" name="Oval 86">
          <a:extLst>
            <a:ext uri="{FF2B5EF4-FFF2-40B4-BE49-F238E27FC236}">
              <a16:creationId xmlns:a16="http://schemas.microsoft.com/office/drawing/2014/main" id="{BE5CA12E-1102-437D-97F8-1410159AEB2B}"/>
            </a:ext>
          </a:extLst>
        </xdr:cNvPr>
        <xdr:cNvSpPr/>
      </xdr:nvSpPr>
      <xdr:spPr>
        <a:xfrm>
          <a:off x="6425234" y="1695619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170</xdr:row>
      <xdr:rowOff>115956</xdr:rowOff>
    </xdr:from>
    <xdr:to>
      <xdr:col>6</xdr:col>
      <xdr:colOff>698328</xdr:colOff>
      <xdr:row>170</xdr:row>
      <xdr:rowOff>470762</xdr:rowOff>
    </xdr:to>
    <xdr:sp macro="" textlink="">
      <xdr:nvSpPr>
        <xdr:cNvPr id="88" name="Oval 87">
          <a:extLst>
            <a:ext uri="{FF2B5EF4-FFF2-40B4-BE49-F238E27FC236}">
              <a16:creationId xmlns:a16="http://schemas.microsoft.com/office/drawing/2014/main" id="{13037529-6D22-4F94-AA1B-C7FBF93F03C0}"/>
            </a:ext>
          </a:extLst>
        </xdr:cNvPr>
        <xdr:cNvSpPr/>
      </xdr:nvSpPr>
      <xdr:spPr>
        <a:xfrm>
          <a:off x="6425234" y="1701657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172</xdr:row>
      <xdr:rowOff>132522</xdr:rowOff>
    </xdr:from>
    <xdr:to>
      <xdr:col>6</xdr:col>
      <xdr:colOff>731458</xdr:colOff>
      <xdr:row>172</xdr:row>
      <xdr:rowOff>487328</xdr:rowOff>
    </xdr:to>
    <xdr:sp macro="" textlink="">
      <xdr:nvSpPr>
        <xdr:cNvPr id="89" name="Oval 88">
          <a:extLst>
            <a:ext uri="{FF2B5EF4-FFF2-40B4-BE49-F238E27FC236}">
              <a16:creationId xmlns:a16="http://schemas.microsoft.com/office/drawing/2014/main" id="{A262FA79-CDCB-41C8-ADF0-1D813E8194B3}"/>
            </a:ext>
          </a:extLst>
        </xdr:cNvPr>
        <xdr:cNvSpPr/>
      </xdr:nvSpPr>
      <xdr:spPr>
        <a:xfrm>
          <a:off x="6458364" y="17143964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119270</xdr:colOff>
      <xdr:row>173</xdr:row>
      <xdr:rowOff>152400</xdr:rowOff>
    </xdr:from>
    <xdr:to>
      <xdr:col>6</xdr:col>
      <xdr:colOff>726489</xdr:colOff>
      <xdr:row>173</xdr:row>
      <xdr:rowOff>507206</xdr:rowOff>
    </xdr:to>
    <xdr:sp macro="" textlink="">
      <xdr:nvSpPr>
        <xdr:cNvPr id="90" name="Oval 89">
          <a:extLst>
            <a:ext uri="{FF2B5EF4-FFF2-40B4-BE49-F238E27FC236}">
              <a16:creationId xmlns:a16="http://schemas.microsoft.com/office/drawing/2014/main" id="{5D5C0F70-E471-4153-B9F2-6478D07573B8}"/>
            </a:ext>
          </a:extLst>
        </xdr:cNvPr>
        <xdr:cNvSpPr/>
      </xdr:nvSpPr>
      <xdr:spPr>
        <a:xfrm>
          <a:off x="6453395" y="1720881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174</xdr:row>
      <xdr:rowOff>124239</xdr:rowOff>
    </xdr:from>
    <xdr:to>
      <xdr:col>6</xdr:col>
      <xdr:colOff>698328</xdr:colOff>
      <xdr:row>174</xdr:row>
      <xdr:rowOff>479045</xdr:rowOff>
    </xdr:to>
    <xdr:sp macro="" textlink="">
      <xdr:nvSpPr>
        <xdr:cNvPr id="91" name="Oval 90">
          <a:extLst>
            <a:ext uri="{FF2B5EF4-FFF2-40B4-BE49-F238E27FC236}">
              <a16:creationId xmlns:a16="http://schemas.microsoft.com/office/drawing/2014/main" id="{79207F2A-3253-4ED0-A4E1-12B41DC6D2EB}"/>
            </a:ext>
          </a:extLst>
        </xdr:cNvPr>
        <xdr:cNvSpPr/>
      </xdr:nvSpPr>
      <xdr:spPr>
        <a:xfrm>
          <a:off x="6425234" y="1726886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175</xdr:row>
      <xdr:rowOff>140804</xdr:rowOff>
    </xdr:from>
    <xdr:to>
      <xdr:col>6</xdr:col>
      <xdr:colOff>723175</xdr:colOff>
      <xdr:row>175</xdr:row>
      <xdr:rowOff>495610</xdr:rowOff>
    </xdr:to>
    <xdr:sp macro="" textlink="">
      <xdr:nvSpPr>
        <xdr:cNvPr id="92" name="Oval 91">
          <a:extLst>
            <a:ext uri="{FF2B5EF4-FFF2-40B4-BE49-F238E27FC236}">
              <a16:creationId xmlns:a16="http://schemas.microsoft.com/office/drawing/2014/main" id="{9B4C5D68-17CD-48D7-87E5-94911D72F3F2}"/>
            </a:ext>
          </a:extLst>
        </xdr:cNvPr>
        <xdr:cNvSpPr/>
      </xdr:nvSpPr>
      <xdr:spPr>
        <a:xfrm>
          <a:off x="6450081" y="1733338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176</xdr:row>
      <xdr:rowOff>140805</xdr:rowOff>
    </xdr:from>
    <xdr:to>
      <xdr:col>6</xdr:col>
      <xdr:colOff>706610</xdr:colOff>
      <xdr:row>176</xdr:row>
      <xdr:rowOff>495611</xdr:rowOff>
    </xdr:to>
    <xdr:sp macro="" textlink="">
      <xdr:nvSpPr>
        <xdr:cNvPr id="93" name="Oval 92">
          <a:extLst>
            <a:ext uri="{FF2B5EF4-FFF2-40B4-BE49-F238E27FC236}">
              <a16:creationId xmlns:a16="http://schemas.microsoft.com/office/drawing/2014/main" id="{15CC04A7-FA0F-4ED0-99E1-E04AB931A6F1}"/>
            </a:ext>
          </a:extLst>
        </xdr:cNvPr>
        <xdr:cNvSpPr/>
      </xdr:nvSpPr>
      <xdr:spPr>
        <a:xfrm>
          <a:off x="6433516" y="17396253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177</xdr:row>
      <xdr:rowOff>124239</xdr:rowOff>
    </xdr:from>
    <xdr:to>
      <xdr:col>6</xdr:col>
      <xdr:colOff>714893</xdr:colOff>
      <xdr:row>177</xdr:row>
      <xdr:rowOff>479045</xdr:rowOff>
    </xdr:to>
    <xdr:sp macro="" textlink="">
      <xdr:nvSpPr>
        <xdr:cNvPr id="94" name="Oval 93">
          <a:extLst>
            <a:ext uri="{FF2B5EF4-FFF2-40B4-BE49-F238E27FC236}">
              <a16:creationId xmlns:a16="http://schemas.microsoft.com/office/drawing/2014/main" id="{921729C1-B7A7-4887-9F71-DBDF99B89D1F}"/>
            </a:ext>
          </a:extLst>
        </xdr:cNvPr>
        <xdr:cNvSpPr/>
      </xdr:nvSpPr>
      <xdr:spPr>
        <a:xfrm>
          <a:off x="6441799" y="17457461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157370</xdr:colOff>
      <xdr:row>178</xdr:row>
      <xdr:rowOff>124239</xdr:rowOff>
    </xdr:from>
    <xdr:to>
      <xdr:col>6</xdr:col>
      <xdr:colOff>764589</xdr:colOff>
      <xdr:row>178</xdr:row>
      <xdr:rowOff>479045</xdr:rowOff>
    </xdr:to>
    <xdr:sp macro="" textlink="">
      <xdr:nvSpPr>
        <xdr:cNvPr id="95" name="Oval 94">
          <a:extLst>
            <a:ext uri="{FF2B5EF4-FFF2-40B4-BE49-F238E27FC236}">
              <a16:creationId xmlns:a16="http://schemas.microsoft.com/office/drawing/2014/main" id="{9C422C01-83E1-4BA0-95AC-EEADC6317E20}"/>
            </a:ext>
          </a:extLst>
        </xdr:cNvPr>
        <xdr:cNvSpPr/>
      </xdr:nvSpPr>
      <xdr:spPr>
        <a:xfrm>
          <a:off x="6491495" y="1752032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179</xdr:row>
      <xdr:rowOff>157370</xdr:rowOff>
    </xdr:from>
    <xdr:to>
      <xdr:col>6</xdr:col>
      <xdr:colOff>706610</xdr:colOff>
      <xdr:row>179</xdr:row>
      <xdr:rowOff>512176</xdr:rowOff>
    </xdr:to>
    <xdr:sp macro="" textlink="">
      <xdr:nvSpPr>
        <xdr:cNvPr id="96" name="Oval 95">
          <a:extLst>
            <a:ext uri="{FF2B5EF4-FFF2-40B4-BE49-F238E27FC236}">
              <a16:creationId xmlns:a16="http://schemas.microsoft.com/office/drawing/2014/main" id="{4F49C48A-9864-495D-B4DB-C7982D63F782}"/>
            </a:ext>
          </a:extLst>
        </xdr:cNvPr>
        <xdr:cNvSpPr/>
      </xdr:nvSpPr>
      <xdr:spPr>
        <a:xfrm>
          <a:off x="6433516" y="1758650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180</xdr:row>
      <xdr:rowOff>57978</xdr:rowOff>
    </xdr:from>
    <xdr:to>
      <xdr:col>6</xdr:col>
      <xdr:colOff>756306</xdr:colOff>
      <xdr:row>180</xdr:row>
      <xdr:rowOff>412784</xdr:rowOff>
    </xdr:to>
    <xdr:sp macro="" textlink="">
      <xdr:nvSpPr>
        <xdr:cNvPr id="97" name="Oval 96">
          <a:extLst>
            <a:ext uri="{FF2B5EF4-FFF2-40B4-BE49-F238E27FC236}">
              <a16:creationId xmlns:a16="http://schemas.microsoft.com/office/drawing/2014/main" id="{E482AE0A-90CD-472C-A67D-23794CCEBAA3}"/>
            </a:ext>
          </a:extLst>
        </xdr:cNvPr>
        <xdr:cNvSpPr/>
      </xdr:nvSpPr>
      <xdr:spPr>
        <a:xfrm>
          <a:off x="6483212" y="17639430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181</xdr:row>
      <xdr:rowOff>115957</xdr:rowOff>
    </xdr:from>
    <xdr:to>
      <xdr:col>6</xdr:col>
      <xdr:colOff>706610</xdr:colOff>
      <xdr:row>181</xdr:row>
      <xdr:rowOff>470763</xdr:rowOff>
    </xdr:to>
    <xdr:sp macro="" textlink="">
      <xdr:nvSpPr>
        <xdr:cNvPr id="98" name="Oval 97">
          <a:extLst>
            <a:ext uri="{FF2B5EF4-FFF2-40B4-BE49-F238E27FC236}">
              <a16:creationId xmlns:a16="http://schemas.microsoft.com/office/drawing/2014/main" id="{4C44460A-F01B-452E-8BDD-8B030F5146A2}"/>
            </a:ext>
          </a:extLst>
        </xdr:cNvPr>
        <xdr:cNvSpPr/>
      </xdr:nvSpPr>
      <xdr:spPr>
        <a:xfrm>
          <a:off x="6433516" y="1769380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183</xdr:row>
      <xdr:rowOff>132522</xdr:rowOff>
    </xdr:from>
    <xdr:to>
      <xdr:col>6</xdr:col>
      <xdr:colOff>706610</xdr:colOff>
      <xdr:row>183</xdr:row>
      <xdr:rowOff>487328</xdr:rowOff>
    </xdr:to>
    <xdr:sp macro="" textlink="">
      <xdr:nvSpPr>
        <xdr:cNvPr id="99" name="Oval 98">
          <a:extLst>
            <a:ext uri="{FF2B5EF4-FFF2-40B4-BE49-F238E27FC236}">
              <a16:creationId xmlns:a16="http://schemas.microsoft.com/office/drawing/2014/main" id="{AFD25869-FA42-4E66-8B84-6B1D4BCEE25F}"/>
            </a:ext>
          </a:extLst>
        </xdr:cNvPr>
        <xdr:cNvSpPr/>
      </xdr:nvSpPr>
      <xdr:spPr>
        <a:xfrm>
          <a:off x="6433516" y="1782119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184</xdr:row>
      <xdr:rowOff>173934</xdr:rowOff>
    </xdr:from>
    <xdr:to>
      <xdr:col>6</xdr:col>
      <xdr:colOff>698327</xdr:colOff>
      <xdr:row>184</xdr:row>
      <xdr:rowOff>528740</xdr:rowOff>
    </xdr:to>
    <xdr:sp macro="" textlink="">
      <xdr:nvSpPr>
        <xdr:cNvPr id="100" name="Oval 99">
          <a:extLst>
            <a:ext uri="{FF2B5EF4-FFF2-40B4-BE49-F238E27FC236}">
              <a16:creationId xmlns:a16="http://schemas.microsoft.com/office/drawing/2014/main" id="{D8EB2271-73F6-4D5B-AA05-245446510E88}"/>
            </a:ext>
          </a:extLst>
        </xdr:cNvPr>
        <xdr:cNvSpPr/>
      </xdr:nvSpPr>
      <xdr:spPr>
        <a:xfrm>
          <a:off x="6425233" y="1788819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185</xdr:row>
      <xdr:rowOff>124239</xdr:rowOff>
    </xdr:from>
    <xdr:to>
      <xdr:col>6</xdr:col>
      <xdr:colOff>673480</xdr:colOff>
      <xdr:row>185</xdr:row>
      <xdr:rowOff>479045</xdr:rowOff>
    </xdr:to>
    <xdr:sp macro="" textlink="">
      <xdr:nvSpPr>
        <xdr:cNvPr id="101" name="Oval 100">
          <a:extLst>
            <a:ext uri="{FF2B5EF4-FFF2-40B4-BE49-F238E27FC236}">
              <a16:creationId xmlns:a16="http://schemas.microsoft.com/office/drawing/2014/main" id="{1644DE46-3F1A-49C9-A7DD-48C719E829B9}"/>
            </a:ext>
          </a:extLst>
        </xdr:cNvPr>
        <xdr:cNvSpPr/>
      </xdr:nvSpPr>
      <xdr:spPr>
        <a:xfrm>
          <a:off x="6400386" y="17946093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186</xdr:row>
      <xdr:rowOff>132522</xdr:rowOff>
    </xdr:from>
    <xdr:to>
      <xdr:col>6</xdr:col>
      <xdr:colOff>681762</xdr:colOff>
      <xdr:row>186</xdr:row>
      <xdr:rowOff>487328</xdr:rowOff>
    </xdr:to>
    <xdr:sp macro="" textlink="">
      <xdr:nvSpPr>
        <xdr:cNvPr id="102" name="Oval 101">
          <a:extLst>
            <a:ext uri="{FF2B5EF4-FFF2-40B4-BE49-F238E27FC236}">
              <a16:creationId xmlns:a16="http://schemas.microsoft.com/office/drawing/2014/main" id="{AE80E167-00D8-4BDC-9F8F-667E48BED872}"/>
            </a:ext>
          </a:extLst>
        </xdr:cNvPr>
        <xdr:cNvSpPr/>
      </xdr:nvSpPr>
      <xdr:spPr>
        <a:xfrm>
          <a:off x="6408668" y="1800978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187</xdr:row>
      <xdr:rowOff>149087</xdr:rowOff>
    </xdr:from>
    <xdr:to>
      <xdr:col>6</xdr:col>
      <xdr:colOff>731458</xdr:colOff>
      <xdr:row>187</xdr:row>
      <xdr:rowOff>503893</xdr:rowOff>
    </xdr:to>
    <xdr:sp macro="" textlink="">
      <xdr:nvSpPr>
        <xdr:cNvPr id="103" name="Oval 102">
          <a:extLst>
            <a:ext uri="{FF2B5EF4-FFF2-40B4-BE49-F238E27FC236}">
              <a16:creationId xmlns:a16="http://schemas.microsoft.com/office/drawing/2014/main" id="{AB1FAC88-1A5E-4708-8903-7A490C0535FA}"/>
            </a:ext>
          </a:extLst>
        </xdr:cNvPr>
        <xdr:cNvSpPr/>
      </xdr:nvSpPr>
      <xdr:spPr>
        <a:xfrm>
          <a:off x="6458364" y="1807430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188</xdr:row>
      <xdr:rowOff>107674</xdr:rowOff>
    </xdr:from>
    <xdr:to>
      <xdr:col>6</xdr:col>
      <xdr:colOff>731458</xdr:colOff>
      <xdr:row>188</xdr:row>
      <xdr:rowOff>462480</xdr:rowOff>
    </xdr:to>
    <xdr:sp macro="" textlink="">
      <xdr:nvSpPr>
        <xdr:cNvPr id="104" name="Oval 103">
          <a:extLst>
            <a:ext uri="{FF2B5EF4-FFF2-40B4-BE49-F238E27FC236}">
              <a16:creationId xmlns:a16="http://schemas.microsoft.com/office/drawing/2014/main" id="{E27F62BA-D35B-4D14-B31D-D2F9A7A2A7FB}"/>
            </a:ext>
          </a:extLst>
        </xdr:cNvPr>
        <xdr:cNvSpPr/>
      </xdr:nvSpPr>
      <xdr:spPr>
        <a:xfrm>
          <a:off x="6458364" y="1813303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189</xdr:row>
      <xdr:rowOff>115956</xdr:rowOff>
    </xdr:from>
    <xdr:to>
      <xdr:col>6</xdr:col>
      <xdr:colOff>739741</xdr:colOff>
      <xdr:row>189</xdr:row>
      <xdr:rowOff>470762</xdr:rowOff>
    </xdr:to>
    <xdr:sp macro="" textlink="">
      <xdr:nvSpPr>
        <xdr:cNvPr id="105" name="Oval 104">
          <a:extLst>
            <a:ext uri="{FF2B5EF4-FFF2-40B4-BE49-F238E27FC236}">
              <a16:creationId xmlns:a16="http://schemas.microsoft.com/office/drawing/2014/main" id="{EE80C536-CA89-4EFE-87E8-1662B859DAE4}"/>
            </a:ext>
          </a:extLst>
        </xdr:cNvPr>
        <xdr:cNvSpPr/>
      </xdr:nvSpPr>
      <xdr:spPr>
        <a:xfrm>
          <a:off x="6466647" y="1819672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190</xdr:row>
      <xdr:rowOff>132522</xdr:rowOff>
    </xdr:from>
    <xdr:to>
      <xdr:col>6</xdr:col>
      <xdr:colOff>690045</xdr:colOff>
      <xdr:row>190</xdr:row>
      <xdr:rowOff>487328</xdr:rowOff>
    </xdr:to>
    <xdr:sp macro="" textlink="">
      <xdr:nvSpPr>
        <xdr:cNvPr id="106" name="Oval 105">
          <a:extLst>
            <a:ext uri="{FF2B5EF4-FFF2-40B4-BE49-F238E27FC236}">
              <a16:creationId xmlns:a16="http://schemas.microsoft.com/office/drawing/2014/main" id="{4BE11A5A-8331-4049-A244-F0021CE8F5F6}"/>
            </a:ext>
          </a:extLst>
        </xdr:cNvPr>
        <xdr:cNvSpPr/>
      </xdr:nvSpPr>
      <xdr:spPr>
        <a:xfrm>
          <a:off x="6416951" y="1826124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191</xdr:row>
      <xdr:rowOff>140805</xdr:rowOff>
    </xdr:from>
    <xdr:to>
      <xdr:col>6</xdr:col>
      <xdr:colOff>698327</xdr:colOff>
      <xdr:row>191</xdr:row>
      <xdr:rowOff>495611</xdr:rowOff>
    </xdr:to>
    <xdr:sp macro="" textlink="">
      <xdr:nvSpPr>
        <xdr:cNvPr id="107" name="Oval 106">
          <a:extLst>
            <a:ext uri="{FF2B5EF4-FFF2-40B4-BE49-F238E27FC236}">
              <a16:creationId xmlns:a16="http://schemas.microsoft.com/office/drawing/2014/main" id="{CCAE9FA1-87B7-4437-AA6D-FFC6271B58F7}"/>
            </a:ext>
          </a:extLst>
        </xdr:cNvPr>
        <xdr:cNvSpPr/>
      </xdr:nvSpPr>
      <xdr:spPr>
        <a:xfrm>
          <a:off x="6425233" y="1832494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107673</xdr:colOff>
      <xdr:row>192</xdr:row>
      <xdr:rowOff>124239</xdr:rowOff>
    </xdr:from>
    <xdr:to>
      <xdr:col>6</xdr:col>
      <xdr:colOff>714892</xdr:colOff>
      <xdr:row>192</xdr:row>
      <xdr:rowOff>479045</xdr:rowOff>
    </xdr:to>
    <xdr:sp macro="" textlink="">
      <xdr:nvSpPr>
        <xdr:cNvPr id="108" name="Oval 107">
          <a:extLst>
            <a:ext uri="{FF2B5EF4-FFF2-40B4-BE49-F238E27FC236}">
              <a16:creationId xmlns:a16="http://schemas.microsoft.com/office/drawing/2014/main" id="{F303C042-4BEB-440B-BF3B-71D47FAC5552}"/>
            </a:ext>
          </a:extLst>
        </xdr:cNvPr>
        <xdr:cNvSpPr/>
      </xdr:nvSpPr>
      <xdr:spPr>
        <a:xfrm>
          <a:off x="6441798" y="18386148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193</xdr:row>
      <xdr:rowOff>149087</xdr:rowOff>
    </xdr:from>
    <xdr:to>
      <xdr:col>6</xdr:col>
      <xdr:colOff>665197</xdr:colOff>
      <xdr:row>193</xdr:row>
      <xdr:rowOff>503893</xdr:rowOff>
    </xdr:to>
    <xdr:sp macro="" textlink="">
      <xdr:nvSpPr>
        <xdr:cNvPr id="109" name="Oval 108">
          <a:extLst>
            <a:ext uri="{FF2B5EF4-FFF2-40B4-BE49-F238E27FC236}">
              <a16:creationId xmlns:a16="http://schemas.microsoft.com/office/drawing/2014/main" id="{D0685238-5E40-4191-A85B-03ECDD291EE0}"/>
            </a:ext>
          </a:extLst>
        </xdr:cNvPr>
        <xdr:cNvSpPr/>
      </xdr:nvSpPr>
      <xdr:spPr>
        <a:xfrm>
          <a:off x="6392103" y="18451498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194</xdr:row>
      <xdr:rowOff>3810000</xdr:rowOff>
    </xdr:from>
    <xdr:to>
      <xdr:col>6</xdr:col>
      <xdr:colOff>714893</xdr:colOff>
      <xdr:row>194</xdr:row>
      <xdr:rowOff>4164806</xdr:rowOff>
    </xdr:to>
    <xdr:sp macro="" textlink="">
      <xdr:nvSpPr>
        <xdr:cNvPr id="110" name="Oval 109">
          <a:extLst>
            <a:ext uri="{FF2B5EF4-FFF2-40B4-BE49-F238E27FC236}">
              <a16:creationId xmlns:a16="http://schemas.microsoft.com/office/drawing/2014/main" id="{6D7C2C56-2E9C-426A-83AA-4E860C5D3519}"/>
            </a:ext>
          </a:extLst>
        </xdr:cNvPr>
        <xdr:cNvSpPr/>
      </xdr:nvSpPr>
      <xdr:spPr>
        <a:xfrm>
          <a:off x="6441799" y="18880455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197</xdr:row>
      <xdr:rowOff>99392</xdr:rowOff>
    </xdr:from>
    <xdr:to>
      <xdr:col>6</xdr:col>
      <xdr:colOff>731458</xdr:colOff>
      <xdr:row>197</xdr:row>
      <xdr:rowOff>454198</xdr:rowOff>
    </xdr:to>
    <xdr:sp macro="" textlink="">
      <xdr:nvSpPr>
        <xdr:cNvPr id="111" name="Oval 110">
          <a:extLst>
            <a:ext uri="{FF2B5EF4-FFF2-40B4-BE49-F238E27FC236}">
              <a16:creationId xmlns:a16="http://schemas.microsoft.com/office/drawing/2014/main" id="{AE3DCD6E-FAF6-4E7B-B04A-B44FA9D0D098}"/>
            </a:ext>
          </a:extLst>
        </xdr:cNvPr>
        <xdr:cNvSpPr/>
      </xdr:nvSpPr>
      <xdr:spPr>
        <a:xfrm>
          <a:off x="6458364" y="19371406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198</xdr:row>
      <xdr:rowOff>152401</xdr:rowOff>
    </xdr:from>
    <xdr:to>
      <xdr:col>6</xdr:col>
      <xdr:colOff>701641</xdr:colOff>
      <xdr:row>198</xdr:row>
      <xdr:rowOff>507207</xdr:rowOff>
    </xdr:to>
    <xdr:sp macro="" textlink="">
      <xdr:nvSpPr>
        <xdr:cNvPr id="112" name="Oval 111">
          <a:extLst>
            <a:ext uri="{FF2B5EF4-FFF2-40B4-BE49-F238E27FC236}">
              <a16:creationId xmlns:a16="http://schemas.microsoft.com/office/drawing/2014/main" id="{F48F773A-95DE-44A2-96A9-205DAAC9B398}"/>
            </a:ext>
          </a:extLst>
        </xdr:cNvPr>
        <xdr:cNvSpPr/>
      </xdr:nvSpPr>
      <xdr:spPr>
        <a:xfrm>
          <a:off x="6428547" y="1943957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147431</xdr:colOff>
      <xdr:row>199</xdr:row>
      <xdr:rowOff>122584</xdr:rowOff>
    </xdr:from>
    <xdr:to>
      <xdr:col>6</xdr:col>
      <xdr:colOff>754650</xdr:colOff>
      <xdr:row>199</xdr:row>
      <xdr:rowOff>477390</xdr:rowOff>
    </xdr:to>
    <xdr:sp macro="" textlink="">
      <xdr:nvSpPr>
        <xdr:cNvPr id="113" name="Oval 112">
          <a:extLst>
            <a:ext uri="{FF2B5EF4-FFF2-40B4-BE49-F238E27FC236}">
              <a16:creationId xmlns:a16="http://schemas.microsoft.com/office/drawing/2014/main" id="{71C22BCD-DA37-4F97-A0D6-FB8B5FFB1AE4}"/>
            </a:ext>
          </a:extLst>
        </xdr:cNvPr>
        <xdr:cNvSpPr/>
      </xdr:nvSpPr>
      <xdr:spPr>
        <a:xfrm>
          <a:off x="6481556" y="1949945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200</xdr:row>
      <xdr:rowOff>173934</xdr:rowOff>
    </xdr:from>
    <xdr:to>
      <xdr:col>6</xdr:col>
      <xdr:colOff>681763</xdr:colOff>
      <xdr:row>200</xdr:row>
      <xdr:rowOff>528740</xdr:rowOff>
    </xdr:to>
    <xdr:sp macro="" textlink="">
      <xdr:nvSpPr>
        <xdr:cNvPr id="114" name="Oval 113">
          <a:extLst>
            <a:ext uri="{FF2B5EF4-FFF2-40B4-BE49-F238E27FC236}">
              <a16:creationId xmlns:a16="http://schemas.microsoft.com/office/drawing/2014/main" id="{9E874948-2399-40F5-99C1-5FCB24C17230}"/>
            </a:ext>
          </a:extLst>
        </xdr:cNvPr>
        <xdr:cNvSpPr/>
      </xdr:nvSpPr>
      <xdr:spPr>
        <a:xfrm>
          <a:off x="6408669" y="1956745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74544</xdr:colOff>
      <xdr:row>201</xdr:row>
      <xdr:rowOff>140804</xdr:rowOff>
    </xdr:from>
    <xdr:to>
      <xdr:col>6</xdr:col>
      <xdr:colOff>681763</xdr:colOff>
      <xdr:row>201</xdr:row>
      <xdr:rowOff>495610</xdr:rowOff>
    </xdr:to>
    <xdr:sp macro="" textlink="">
      <xdr:nvSpPr>
        <xdr:cNvPr id="115" name="Oval 114">
          <a:extLst>
            <a:ext uri="{FF2B5EF4-FFF2-40B4-BE49-F238E27FC236}">
              <a16:creationId xmlns:a16="http://schemas.microsoft.com/office/drawing/2014/main" id="{7C4DD34C-121B-46E7-903B-211E2F4BF278}"/>
            </a:ext>
          </a:extLst>
        </xdr:cNvPr>
        <xdr:cNvSpPr/>
      </xdr:nvSpPr>
      <xdr:spPr>
        <a:xfrm>
          <a:off x="6408669" y="19627007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140805</xdr:colOff>
      <xdr:row>202</xdr:row>
      <xdr:rowOff>1068456</xdr:rowOff>
    </xdr:from>
    <xdr:to>
      <xdr:col>6</xdr:col>
      <xdr:colOff>748024</xdr:colOff>
      <xdr:row>202</xdr:row>
      <xdr:rowOff>1423262</xdr:rowOff>
    </xdr:to>
    <xdr:sp macro="" textlink="">
      <xdr:nvSpPr>
        <xdr:cNvPr id="116" name="Oval 115">
          <a:extLst>
            <a:ext uri="{FF2B5EF4-FFF2-40B4-BE49-F238E27FC236}">
              <a16:creationId xmlns:a16="http://schemas.microsoft.com/office/drawing/2014/main" id="{8467B291-8EB0-41D0-B7F6-45C48C43BE15}"/>
            </a:ext>
          </a:extLst>
        </xdr:cNvPr>
        <xdr:cNvSpPr/>
      </xdr:nvSpPr>
      <xdr:spPr>
        <a:xfrm>
          <a:off x="6474930" y="19782638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203</xdr:row>
      <xdr:rowOff>1515717</xdr:rowOff>
    </xdr:from>
    <xdr:to>
      <xdr:col>6</xdr:col>
      <xdr:colOff>690045</xdr:colOff>
      <xdr:row>203</xdr:row>
      <xdr:rowOff>1870523</xdr:rowOff>
    </xdr:to>
    <xdr:sp macro="" textlink="">
      <xdr:nvSpPr>
        <xdr:cNvPr id="117" name="Oval 116">
          <a:extLst>
            <a:ext uri="{FF2B5EF4-FFF2-40B4-BE49-F238E27FC236}">
              <a16:creationId xmlns:a16="http://schemas.microsoft.com/office/drawing/2014/main" id="{8229532E-1CD4-40C5-B86F-A84CD760759D}"/>
            </a:ext>
          </a:extLst>
        </xdr:cNvPr>
        <xdr:cNvSpPr/>
      </xdr:nvSpPr>
      <xdr:spPr>
        <a:xfrm>
          <a:off x="6416951" y="20082634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205</xdr:row>
      <xdr:rowOff>1524000</xdr:rowOff>
    </xdr:from>
    <xdr:to>
      <xdr:col>6</xdr:col>
      <xdr:colOff>698327</xdr:colOff>
      <xdr:row>205</xdr:row>
      <xdr:rowOff>1878806</xdr:rowOff>
    </xdr:to>
    <xdr:sp macro="" textlink="">
      <xdr:nvSpPr>
        <xdr:cNvPr id="118" name="Oval 117">
          <a:extLst>
            <a:ext uri="{FF2B5EF4-FFF2-40B4-BE49-F238E27FC236}">
              <a16:creationId xmlns:a16="http://schemas.microsoft.com/office/drawing/2014/main" id="{D76325FA-1A06-4044-918E-697EE8D26525}"/>
            </a:ext>
          </a:extLst>
        </xdr:cNvPr>
        <xdr:cNvSpPr/>
      </xdr:nvSpPr>
      <xdr:spPr>
        <a:xfrm>
          <a:off x="6425233" y="2068734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206</xdr:row>
      <xdr:rowOff>977348</xdr:rowOff>
    </xdr:from>
    <xdr:to>
      <xdr:col>6</xdr:col>
      <xdr:colOff>739741</xdr:colOff>
      <xdr:row>206</xdr:row>
      <xdr:rowOff>1332154</xdr:rowOff>
    </xdr:to>
    <xdr:sp macro="" textlink="">
      <xdr:nvSpPr>
        <xdr:cNvPr id="119" name="Oval 118">
          <a:extLst>
            <a:ext uri="{FF2B5EF4-FFF2-40B4-BE49-F238E27FC236}">
              <a16:creationId xmlns:a16="http://schemas.microsoft.com/office/drawing/2014/main" id="{CC82539A-3C08-4350-AE19-5B41D75759F2}"/>
            </a:ext>
          </a:extLst>
        </xdr:cNvPr>
        <xdr:cNvSpPr/>
      </xdr:nvSpPr>
      <xdr:spPr>
        <a:xfrm>
          <a:off x="6466647" y="20970819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207</xdr:row>
      <xdr:rowOff>438979</xdr:rowOff>
    </xdr:from>
    <xdr:to>
      <xdr:col>6</xdr:col>
      <xdr:colOff>690045</xdr:colOff>
      <xdr:row>207</xdr:row>
      <xdr:rowOff>793785</xdr:rowOff>
    </xdr:to>
    <xdr:sp macro="" textlink="">
      <xdr:nvSpPr>
        <xdr:cNvPr id="120" name="Oval 119">
          <a:extLst>
            <a:ext uri="{FF2B5EF4-FFF2-40B4-BE49-F238E27FC236}">
              <a16:creationId xmlns:a16="http://schemas.microsoft.com/office/drawing/2014/main" id="{1A972EF6-6C8A-48A5-9AA6-2F8ABD959503}"/>
            </a:ext>
          </a:extLst>
        </xdr:cNvPr>
        <xdr:cNvSpPr/>
      </xdr:nvSpPr>
      <xdr:spPr>
        <a:xfrm>
          <a:off x="6416951" y="2115606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208</xdr:row>
      <xdr:rowOff>753717</xdr:rowOff>
    </xdr:from>
    <xdr:to>
      <xdr:col>6</xdr:col>
      <xdr:colOff>739740</xdr:colOff>
      <xdr:row>208</xdr:row>
      <xdr:rowOff>1108523</xdr:rowOff>
    </xdr:to>
    <xdr:sp macro="" textlink="">
      <xdr:nvSpPr>
        <xdr:cNvPr id="121" name="Oval 120">
          <a:extLst>
            <a:ext uri="{FF2B5EF4-FFF2-40B4-BE49-F238E27FC236}">
              <a16:creationId xmlns:a16="http://schemas.microsoft.com/office/drawing/2014/main" id="{2C727B0C-BA8B-489A-B7C4-45F2DAB962A0}"/>
            </a:ext>
          </a:extLst>
        </xdr:cNvPr>
        <xdr:cNvSpPr/>
      </xdr:nvSpPr>
      <xdr:spPr>
        <a:xfrm>
          <a:off x="6466646" y="21307549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204</xdr:row>
      <xdr:rowOff>1209260</xdr:rowOff>
    </xdr:from>
    <xdr:to>
      <xdr:col>6</xdr:col>
      <xdr:colOff>673480</xdr:colOff>
      <xdr:row>204</xdr:row>
      <xdr:rowOff>1564066</xdr:rowOff>
    </xdr:to>
    <xdr:sp macro="" textlink="">
      <xdr:nvSpPr>
        <xdr:cNvPr id="122" name="Oval 121">
          <a:extLst>
            <a:ext uri="{FF2B5EF4-FFF2-40B4-BE49-F238E27FC236}">
              <a16:creationId xmlns:a16="http://schemas.microsoft.com/office/drawing/2014/main" id="{002C106F-78ED-412D-8A33-400B0C7750C0}"/>
            </a:ext>
          </a:extLst>
        </xdr:cNvPr>
        <xdr:cNvSpPr/>
      </xdr:nvSpPr>
      <xdr:spPr>
        <a:xfrm>
          <a:off x="6400386" y="2038631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74543</xdr:colOff>
      <xdr:row>11</xdr:row>
      <xdr:rowOff>132522</xdr:rowOff>
    </xdr:from>
    <xdr:to>
      <xdr:col>6</xdr:col>
      <xdr:colOff>681762</xdr:colOff>
      <xdr:row>11</xdr:row>
      <xdr:rowOff>487328</xdr:rowOff>
    </xdr:to>
    <xdr:sp macro="" textlink="">
      <xdr:nvSpPr>
        <xdr:cNvPr id="123" name="Oval 122">
          <a:extLst>
            <a:ext uri="{FF2B5EF4-FFF2-40B4-BE49-F238E27FC236}">
              <a16:creationId xmlns:a16="http://schemas.microsoft.com/office/drawing/2014/main" id="{DC80FFCD-6694-4D01-819B-FD49D39C28B7}"/>
            </a:ext>
          </a:extLst>
        </xdr:cNvPr>
        <xdr:cNvSpPr/>
      </xdr:nvSpPr>
      <xdr:spPr>
        <a:xfrm>
          <a:off x="6408668" y="516172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74543</xdr:colOff>
      <xdr:row>12</xdr:row>
      <xdr:rowOff>132522</xdr:rowOff>
    </xdr:from>
    <xdr:to>
      <xdr:col>6</xdr:col>
      <xdr:colOff>681762</xdr:colOff>
      <xdr:row>12</xdr:row>
      <xdr:rowOff>487328</xdr:rowOff>
    </xdr:to>
    <xdr:sp macro="" textlink="">
      <xdr:nvSpPr>
        <xdr:cNvPr id="124" name="Oval 123">
          <a:extLst>
            <a:ext uri="{FF2B5EF4-FFF2-40B4-BE49-F238E27FC236}">
              <a16:creationId xmlns:a16="http://schemas.microsoft.com/office/drawing/2014/main" id="{0BE9BE08-15AB-474B-ACFE-9A76C8049EEB}"/>
            </a:ext>
          </a:extLst>
        </xdr:cNvPr>
        <xdr:cNvSpPr/>
      </xdr:nvSpPr>
      <xdr:spPr>
        <a:xfrm>
          <a:off x="6408668" y="57903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86139</xdr:colOff>
      <xdr:row>13</xdr:row>
      <xdr:rowOff>135835</xdr:rowOff>
    </xdr:from>
    <xdr:to>
      <xdr:col>6</xdr:col>
      <xdr:colOff>693358</xdr:colOff>
      <xdr:row>13</xdr:row>
      <xdr:rowOff>490641</xdr:rowOff>
    </xdr:to>
    <xdr:sp macro="" textlink="">
      <xdr:nvSpPr>
        <xdr:cNvPr id="125" name="Oval 124">
          <a:extLst>
            <a:ext uri="{FF2B5EF4-FFF2-40B4-BE49-F238E27FC236}">
              <a16:creationId xmlns:a16="http://schemas.microsoft.com/office/drawing/2014/main" id="{3F2AF748-C17F-4FF6-8B74-E8A18C245675}"/>
            </a:ext>
          </a:extLst>
        </xdr:cNvPr>
        <xdr:cNvSpPr/>
      </xdr:nvSpPr>
      <xdr:spPr>
        <a:xfrm>
          <a:off x="6420264" y="642233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14</xdr:row>
      <xdr:rowOff>132522</xdr:rowOff>
    </xdr:from>
    <xdr:to>
      <xdr:col>6</xdr:col>
      <xdr:colOff>706610</xdr:colOff>
      <xdr:row>14</xdr:row>
      <xdr:rowOff>487328</xdr:rowOff>
    </xdr:to>
    <xdr:sp macro="" textlink="">
      <xdr:nvSpPr>
        <xdr:cNvPr id="126" name="Oval 125">
          <a:extLst>
            <a:ext uri="{FF2B5EF4-FFF2-40B4-BE49-F238E27FC236}">
              <a16:creationId xmlns:a16="http://schemas.microsoft.com/office/drawing/2014/main" id="{2A335506-F51B-4F28-840C-919D58166348}"/>
            </a:ext>
          </a:extLst>
        </xdr:cNvPr>
        <xdr:cNvSpPr/>
      </xdr:nvSpPr>
      <xdr:spPr>
        <a:xfrm>
          <a:off x="6433516" y="70476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15</xdr:row>
      <xdr:rowOff>115957</xdr:rowOff>
    </xdr:from>
    <xdr:to>
      <xdr:col>6</xdr:col>
      <xdr:colOff>723175</xdr:colOff>
      <xdr:row>15</xdr:row>
      <xdr:rowOff>470763</xdr:rowOff>
    </xdr:to>
    <xdr:sp macro="" textlink="">
      <xdr:nvSpPr>
        <xdr:cNvPr id="127" name="Oval 126">
          <a:extLst>
            <a:ext uri="{FF2B5EF4-FFF2-40B4-BE49-F238E27FC236}">
              <a16:creationId xmlns:a16="http://schemas.microsoft.com/office/drawing/2014/main" id="{D0979AD2-2A05-454F-AEA1-7C918015C203}"/>
            </a:ext>
          </a:extLst>
        </xdr:cNvPr>
        <xdr:cNvSpPr/>
      </xdr:nvSpPr>
      <xdr:spPr>
        <a:xfrm>
          <a:off x="6450081" y="76597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124240</xdr:colOff>
      <xdr:row>16</xdr:row>
      <xdr:rowOff>157370</xdr:rowOff>
    </xdr:from>
    <xdr:to>
      <xdr:col>6</xdr:col>
      <xdr:colOff>731459</xdr:colOff>
      <xdr:row>16</xdr:row>
      <xdr:rowOff>512176</xdr:rowOff>
    </xdr:to>
    <xdr:sp macro="" textlink="">
      <xdr:nvSpPr>
        <xdr:cNvPr id="128" name="Oval 127">
          <a:extLst>
            <a:ext uri="{FF2B5EF4-FFF2-40B4-BE49-F238E27FC236}">
              <a16:creationId xmlns:a16="http://schemas.microsoft.com/office/drawing/2014/main" id="{2B8642BB-E9B5-4C84-89AB-78CACA8AE235}"/>
            </a:ext>
          </a:extLst>
        </xdr:cNvPr>
        <xdr:cNvSpPr/>
      </xdr:nvSpPr>
      <xdr:spPr>
        <a:xfrm>
          <a:off x="6458365" y="832982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17</xdr:row>
      <xdr:rowOff>132521</xdr:rowOff>
    </xdr:from>
    <xdr:to>
      <xdr:col>6</xdr:col>
      <xdr:colOff>706610</xdr:colOff>
      <xdr:row>17</xdr:row>
      <xdr:rowOff>487327</xdr:rowOff>
    </xdr:to>
    <xdr:sp macro="" textlink="">
      <xdr:nvSpPr>
        <xdr:cNvPr id="129" name="Oval 128">
          <a:extLst>
            <a:ext uri="{FF2B5EF4-FFF2-40B4-BE49-F238E27FC236}">
              <a16:creationId xmlns:a16="http://schemas.microsoft.com/office/drawing/2014/main" id="{43A5B5A1-BD8A-49F2-81EB-09CCDCF4A9CC}"/>
            </a:ext>
          </a:extLst>
        </xdr:cNvPr>
        <xdr:cNvSpPr/>
      </xdr:nvSpPr>
      <xdr:spPr>
        <a:xfrm>
          <a:off x="6433516" y="89336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19</xdr:row>
      <xdr:rowOff>173934</xdr:rowOff>
    </xdr:from>
    <xdr:to>
      <xdr:col>6</xdr:col>
      <xdr:colOff>714893</xdr:colOff>
      <xdr:row>19</xdr:row>
      <xdr:rowOff>528740</xdr:rowOff>
    </xdr:to>
    <xdr:sp macro="" textlink="">
      <xdr:nvSpPr>
        <xdr:cNvPr id="130" name="Oval 129">
          <a:extLst>
            <a:ext uri="{FF2B5EF4-FFF2-40B4-BE49-F238E27FC236}">
              <a16:creationId xmlns:a16="http://schemas.microsoft.com/office/drawing/2014/main" id="{2CAEB63D-6806-4346-B0F7-03F5331DEC16}"/>
            </a:ext>
          </a:extLst>
        </xdr:cNvPr>
        <xdr:cNvSpPr/>
      </xdr:nvSpPr>
      <xdr:spPr>
        <a:xfrm>
          <a:off x="6441799" y="1023233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57978</xdr:colOff>
      <xdr:row>20</xdr:row>
      <xdr:rowOff>115957</xdr:rowOff>
    </xdr:from>
    <xdr:to>
      <xdr:col>6</xdr:col>
      <xdr:colOff>665197</xdr:colOff>
      <xdr:row>20</xdr:row>
      <xdr:rowOff>470763</xdr:rowOff>
    </xdr:to>
    <xdr:sp macro="" textlink="">
      <xdr:nvSpPr>
        <xdr:cNvPr id="131" name="Oval 130">
          <a:extLst>
            <a:ext uri="{FF2B5EF4-FFF2-40B4-BE49-F238E27FC236}">
              <a16:creationId xmlns:a16="http://schemas.microsoft.com/office/drawing/2014/main" id="{CE933444-9C17-487D-8945-2068A9EFB1CE}"/>
            </a:ext>
          </a:extLst>
        </xdr:cNvPr>
        <xdr:cNvSpPr/>
      </xdr:nvSpPr>
      <xdr:spPr>
        <a:xfrm>
          <a:off x="6392103" y="1080300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21</xdr:row>
      <xdr:rowOff>115957</xdr:rowOff>
    </xdr:from>
    <xdr:to>
      <xdr:col>6</xdr:col>
      <xdr:colOff>723175</xdr:colOff>
      <xdr:row>21</xdr:row>
      <xdr:rowOff>470763</xdr:rowOff>
    </xdr:to>
    <xdr:sp macro="" textlink="">
      <xdr:nvSpPr>
        <xdr:cNvPr id="132" name="Oval 131">
          <a:extLst>
            <a:ext uri="{FF2B5EF4-FFF2-40B4-BE49-F238E27FC236}">
              <a16:creationId xmlns:a16="http://schemas.microsoft.com/office/drawing/2014/main" id="{0AF58866-BAE2-4FEB-B09B-32E2E7A0C895}"/>
            </a:ext>
          </a:extLst>
        </xdr:cNvPr>
        <xdr:cNvSpPr/>
      </xdr:nvSpPr>
      <xdr:spPr>
        <a:xfrm>
          <a:off x="6450081" y="1143165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22</xdr:row>
      <xdr:rowOff>149087</xdr:rowOff>
    </xdr:from>
    <xdr:to>
      <xdr:col>6</xdr:col>
      <xdr:colOff>698328</xdr:colOff>
      <xdr:row>22</xdr:row>
      <xdr:rowOff>503893</xdr:rowOff>
    </xdr:to>
    <xdr:sp macro="" textlink="">
      <xdr:nvSpPr>
        <xdr:cNvPr id="133" name="Oval 132">
          <a:extLst>
            <a:ext uri="{FF2B5EF4-FFF2-40B4-BE49-F238E27FC236}">
              <a16:creationId xmlns:a16="http://schemas.microsoft.com/office/drawing/2014/main" id="{83F36DA0-AAF9-46BE-B460-CE32CB1F3181}"/>
            </a:ext>
          </a:extLst>
        </xdr:cNvPr>
        <xdr:cNvSpPr/>
      </xdr:nvSpPr>
      <xdr:spPr>
        <a:xfrm>
          <a:off x="6425234" y="120934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94422</xdr:colOff>
      <xdr:row>23</xdr:row>
      <xdr:rowOff>127552</xdr:rowOff>
    </xdr:from>
    <xdr:to>
      <xdr:col>6</xdr:col>
      <xdr:colOff>701641</xdr:colOff>
      <xdr:row>23</xdr:row>
      <xdr:rowOff>482358</xdr:rowOff>
    </xdr:to>
    <xdr:sp macro="" textlink="">
      <xdr:nvSpPr>
        <xdr:cNvPr id="134" name="Oval 133">
          <a:extLst>
            <a:ext uri="{FF2B5EF4-FFF2-40B4-BE49-F238E27FC236}">
              <a16:creationId xmlns:a16="http://schemas.microsoft.com/office/drawing/2014/main" id="{C673CD69-5B76-42BE-A8A7-3A03865DD2D0}"/>
            </a:ext>
          </a:extLst>
        </xdr:cNvPr>
        <xdr:cNvSpPr/>
      </xdr:nvSpPr>
      <xdr:spPr>
        <a:xfrm>
          <a:off x="6428547" y="1270055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24</xdr:row>
      <xdr:rowOff>165653</xdr:rowOff>
    </xdr:from>
    <xdr:to>
      <xdr:col>6</xdr:col>
      <xdr:colOff>756306</xdr:colOff>
      <xdr:row>24</xdr:row>
      <xdr:rowOff>520459</xdr:rowOff>
    </xdr:to>
    <xdr:sp macro="" textlink="">
      <xdr:nvSpPr>
        <xdr:cNvPr id="135" name="Oval 134">
          <a:extLst>
            <a:ext uri="{FF2B5EF4-FFF2-40B4-BE49-F238E27FC236}">
              <a16:creationId xmlns:a16="http://schemas.microsoft.com/office/drawing/2014/main" id="{09FE98D0-0E37-485B-BD47-460872C8D8F6}"/>
            </a:ext>
          </a:extLst>
        </xdr:cNvPr>
        <xdr:cNvSpPr/>
      </xdr:nvSpPr>
      <xdr:spPr>
        <a:xfrm>
          <a:off x="6483212" y="1336730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25</xdr:row>
      <xdr:rowOff>480391</xdr:rowOff>
    </xdr:from>
    <xdr:to>
      <xdr:col>6</xdr:col>
      <xdr:colOff>714893</xdr:colOff>
      <xdr:row>25</xdr:row>
      <xdr:rowOff>835197</xdr:rowOff>
    </xdr:to>
    <xdr:sp macro="" textlink="">
      <xdr:nvSpPr>
        <xdr:cNvPr id="136" name="Oval 135">
          <a:extLst>
            <a:ext uri="{FF2B5EF4-FFF2-40B4-BE49-F238E27FC236}">
              <a16:creationId xmlns:a16="http://schemas.microsoft.com/office/drawing/2014/main" id="{3D6CBE39-5EB4-4E8F-A5ED-1DF5B9632006}"/>
            </a:ext>
          </a:extLst>
        </xdr:cNvPr>
        <xdr:cNvSpPr/>
      </xdr:nvSpPr>
      <xdr:spPr>
        <a:xfrm>
          <a:off x="6441799" y="1431069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26</xdr:row>
      <xdr:rowOff>604630</xdr:rowOff>
    </xdr:from>
    <xdr:to>
      <xdr:col>6</xdr:col>
      <xdr:colOff>739740</xdr:colOff>
      <xdr:row>26</xdr:row>
      <xdr:rowOff>959436</xdr:rowOff>
    </xdr:to>
    <xdr:sp macro="" textlink="">
      <xdr:nvSpPr>
        <xdr:cNvPr id="137" name="Oval 136">
          <a:extLst>
            <a:ext uri="{FF2B5EF4-FFF2-40B4-BE49-F238E27FC236}">
              <a16:creationId xmlns:a16="http://schemas.microsoft.com/office/drawing/2014/main" id="{96E19169-30C0-4AF7-9D0A-45B96381BC53}"/>
            </a:ext>
          </a:extLst>
        </xdr:cNvPr>
        <xdr:cNvSpPr/>
      </xdr:nvSpPr>
      <xdr:spPr>
        <a:xfrm>
          <a:off x="6466646" y="15720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27</xdr:row>
      <xdr:rowOff>554934</xdr:rowOff>
    </xdr:from>
    <xdr:to>
      <xdr:col>6</xdr:col>
      <xdr:colOff>706610</xdr:colOff>
      <xdr:row>27</xdr:row>
      <xdr:rowOff>909740</xdr:rowOff>
    </xdr:to>
    <xdr:sp macro="" textlink="">
      <xdr:nvSpPr>
        <xdr:cNvPr id="138" name="Oval 137">
          <a:extLst>
            <a:ext uri="{FF2B5EF4-FFF2-40B4-BE49-F238E27FC236}">
              <a16:creationId xmlns:a16="http://schemas.microsoft.com/office/drawing/2014/main" id="{5738C5DE-9DFF-4815-AE65-1BA04B02A910}"/>
            </a:ext>
          </a:extLst>
        </xdr:cNvPr>
        <xdr:cNvSpPr/>
      </xdr:nvSpPr>
      <xdr:spPr>
        <a:xfrm>
          <a:off x="6433516" y="1729035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28</xdr:row>
      <xdr:rowOff>347870</xdr:rowOff>
    </xdr:from>
    <xdr:to>
      <xdr:col>6</xdr:col>
      <xdr:colOff>690045</xdr:colOff>
      <xdr:row>28</xdr:row>
      <xdr:rowOff>702676</xdr:rowOff>
    </xdr:to>
    <xdr:sp macro="" textlink="">
      <xdr:nvSpPr>
        <xdr:cNvPr id="139" name="Oval 138">
          <a:extLst>
            <a:ext uri="{FF2B5EF4-FFF2-40B4-BE49-F238E27FC236}">
              <a16:creationId xmlns:a16="http://schemas.microsoft.com/office/drawing/2014/main" id="{28B5F969-9E71-4462-96D8-8BE76409572C}"/>
            </a:ext>
          </a:extLst>
        </xdr:cNvPr>
        <xdr:cNvSpPr/>
      </xdr:nvSpPr>
      <xdr:spPr>
        <a:xfrm>
          <a:off x="6416951" y="186072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29</xdr:row>
      <xdr:rowOff>405848</xdr:rowOff>
    </xdr:from>
    <xdr:to>
      <xdr:col>6</xdr:col>
      <xdr:colOff>714893</xdr:colOff>
      <xdr:row>29</xdr:row>
      <xdr:rowOff>760654</xdr:rowOff>
    </xdr:to>
    <xdr:sp macro="" textlink="">
      <xdr:nvSpPr>
        <xdr:cNvPr id="140" name="Oval 139">
          <a:extLst>
            <a:ext uri="{FF2B5EF4-FFF2-40B4-BE49-F238E27FC236}">
              <a16:creationId xmlns:a16="http://schemas.microsoft.com/office/drawing/2014/main" id="{5553F317-3A2F-47C9-9B0F-37DBB5E0CE30}"/>
            </a:ext>
          </a:extLst>
        </xdr:cNvPr>
        <xdr:cNvSpPr/>
      </xdr:nvSpPr>
      <xdr:spPr>
        <a:xfrm>
          <a:off x="6441799" y="1972254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30</xdr:row>
      <xdr:rowOff>538370</xdr:rowOff>
    </xdr:from>
    <xdr:to>
      <xdr:col>6</xdr:col>
      <xdr:colOff>706610</xdr:colOff>
      <xdr:row>30</xdr:row>
      <xdr:rowOff>893176</xdr:rowOff>
    </xdr:to>
    <xdr:sp macro="" textlink="">
      <xdr:nvSpPr>
        <xdr:cNvPr id="141" name="Oval 140">
          <a:extLst>
            <a:ext uri="{FF2B5EF4-FFF2-40B4-BE49-F238E27FC236}">
              <a16:creationId xmlns:a16="http://schemas.microsoft.com/office/drawing/2014/main" id="{B588637F-5344-4FD0-9936-9B492CD8BCB1}"/>
            </a:ext>
          </a:extLst>
        </xdr:cNvPr>
        <xdr:cNvSpPr/>
      </xdr:nvSpPr>
      <xdr:spPr>
        <a:xfrm>
          <a:off x="6433516" y="209504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31</xdr:row>
      <xdr:rowOff>438978</xdr:rowOff>
    </xdr:from>
    <xdr:to>
      <xdr:col>6</xdr:col>
      <xdr:colOff>723176</xdr:colOff>
      <xdr:row>31</xdr:row>
      <xdr:rowOff>793784</xdr:rowOff>
    </xdr:to>
    <xdr:sp macro="" textlink="">
      <xdr:nvSpPr>
        <xdr:cNvPr id="142" name="Oval 141">
          <a:extLst>
            <a:ext uri="{FF2B5EF4-FFF2-40B4-BE49-F238E27FC236}">
              <a16:creationId xmlns:a16="http://schemas.microsoft.com/office/drawing/2014/main" id="{4E2F8757-BA26-48C5-8C48-258757DF8DD9}"/>
            </a:ext>
          </a:extLst>
        </xdr:cNvPr>
        <xdr:cNvSpPr/>
      </xdr:nvSpPr>
      <xdr:spPr>
        <a:xfrm>
          <a:off x="6450082" y="223369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32</xdr:row>
      <xdr:rowOff>472109</xdr:rowOff>
    </xdr:from>
    <xdr:to>
      <xdr:col>6</xdr:col>
      <xdr:colOff>714893</xdr:colOff>
      <xdr:row>32</xdr:row>
      <xdr:rowOff>826915</xdr:rowOff>
    </xdr:to>
    <xdr:sp macro="" textlink="">
      <xdr:nvSpPr>
        <xdr:cNvPr id="143" name="Oval 142">
          <a:extLst>
            <a:ext uri="{FF2B5EF4-FFF2-40B4-BE49-F238E27FC236}">
              <a16:creationId xmlns:a16="http://schemas.microsoft.com/office/drawing/2014/main" id="{9A92ABFD-C525-4469-A241-8E30C421C7BD}"/>
            </a:ext>
          </a:extLst>
        </xdr:cNvPr>
        <xdr:cNvSpPr/>
      </xdr:nvSpPr>
      <xdr:spPr>
        <a:xfrm>
          <a:off x="6441799" y="236273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33</xdr:row>
      <xdr:rowOff>397565</xdr:rowOff>
    </xdr:from>
    <xdr:to>
      <xdr:col>6</xdr:col>
      <xdr:colOff>698327</xdr:colOff>
      <xdr:row>33</xdr:row>
      <xdr:rowOff>752371</xdr:rowOff>
    </xdr:to>
    <xdr:sp macro="" textlink="">
      <xdr:nvSpPr>
        <xdr:cNvPr id="144" name="Oval 143">
          <a:extLst>
            <a:ext uri="{FF2B5EF4-FFF2-40B4-BE49-F238E27FC236}">
              <a16:creationId xmlns:a16="http://schemas.microsoft.com/office/drawing/2014/main" id="{78A99714-7A22-4780-94D3-4F7DFB5CDEB8}"/>
            </a:ext>
          </a:extLst>
        </xdr:cNvPr>
        <xdr:cNvSpPr/>
      </xdr:nvSpPr>
      <xdr:spPr>
        <a:xfrm>
          <a:off x="6425233" y="2488634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34</xdr:row>
      <xdr:rowOff>430695</xdr:rowOff>
    </xdr:from>
    <xdr:to>
      <xdr:col>6</xdr:col>
      <xdr:colOff>706610</xdr:colOff>
      <xdr:row>34</xdr:row>
      <xdr:rowOff>785501</xdr:rowOff>
    </xdr:to>
    <xdr:sp macro="" textlink="">
      <xdr:nvSpPr>
        <xdr:cNvPr id="145" name="Oval 144">
          <a:extLst>
            <a:ext uri="{FF2B5EF4-FFF2-40B4-BE49-F238E27FC236}">
              <a16:creationId xmlns:a16="http://schemas.microsoft.com/office/drawing/2014/main" id="{B021AFAD-3993-4D7D-9977-1690EF81E0C0}"/>
            </a:ext>
          </a:extLst>
        </xdr:cNvPr>
        <xdr:cNvSpPr/>
      </xdr:nvSpPr>
      <xdr:spPr>
        <a:xfrm>
          <a:off x="6433516" y="261672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35</xdr:row>
      <xdr:rowOff>157370</xdr:rowOff>
    </xdr:from>
    <xdr:to>
      <xdr:col>6</xdr:col>
      <xdr:colOff>690045</xdr:colOff>
      <xdr:row>35</xdr:row>
      <xdr:rowOff>512176</xdr:rowOff>
    </xdr:to>
    <xdr:sp macro="" textlink="">
      <xdr:nvSpPr>
        <xdr:cNvPr id="146" name="Oval 145">
          <a:extLst>
            <a:ext uri="{FF2B5EF4-FFF2-40B4-BE49-F238E27FC236}">
              <a16:creationId xmlns:a16="http://schemas.microsoft.com/office/drawing/2014/main" id="{4206CF2C-A650-4A81-BBC4-DC0C4E63BD4B}"/>
            </a:ext>
          </a:extLst>
        </xdr:cNvPr>
        <xdr:cNvSpPr/>
      </xdr:nvSpPr>
      <xdr:spPr>
        <a:xfrm>
          <a:off x="6416951" y="2711312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82826</xdr:colOff>
      <xdr:row>36</xdr:row>
      <xdr:rowOff>107673</xdr:rowOff>
    </xdr:from>
    <xdr:to>
      <xdr:col>6</xdr:col>
      <xdr:colOff>690045</xdr:colOff>
      <xdr:row>36</xdr:row>
      <xdr:rowOff>462479</xdr:rowOff>
    </xdr:to>
    <xdr:sp macro="" textlink="">
      <xdr:nvSpPr>
        <xdr:cNvPr id="147" name="Oval 146">
          <a:extLst>
            <a:ext uri="{FF2B5EF4-FFF2-40B4-BE49-F238E27FC236}">
              <a16:creationId xmlns:a16="http://schemas.microsoft.com/office/drawing/2014/main" id="{4907A3F7-DCD8-4569-A907-415C2A000BA1}"/>
            </a:ext>
          </a:extLst>
        </xdr:cNvPr>
        <xdr:cNvSpPr/>
      </xdr:nvSpPr>
      <xdr:spPr>
        <a:xfrm>
          <a:off x="6416951" y="2769207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37</xdr:row>
      <xdr:rowOff>107674</xdr:rowOff>
    </xdr:from>
    <xdr:to>
      <xdr:col>6</xdr:col>
      <xdr:colOff>731458</xdr:colOff>
      <xdr:row>37</xdr:row>
      <xdr:rowOff>462480</xdr:rowOff>
    </xdr:to>
    <xdr:sp macro="" textlink="">
      <xdr:nvSpPr>
        <xdr:cNvPr id="148" name="Oval 147">
          <a:extLst>
            <a:ext uri="{FF2B5EF4-FFF2-40B4-BE49-F238E27FC236}">
              <a16:creationId xmlns:a16="http://schemas.microsoft.com/office/drawing/2014/main" id="{18DA88DC-1E7A-4568-9E0E-F650AB402CD5}"/>
            </a:ext>
          </a:extLst>
        </xdr:cNvPr>
        <xdr:cNvSpPr/>
      </xdr:nvSpPr>
      <xdr:spPr>
        <a:xfrm>
          <a:off x="6458364" y="283207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38</xdr:row>
      <xdr:rowOff>331304</xdr:rowOff>
    </xdr:from>
    <xdr:to>
      <xdr:col>6</xdr:col>
      <xdr:colOff>731458</xdr:colOff>
      <xdr:row>38</xdr:row>
      <xdr:rowOff>686110</xdr:rowOff>
    </xdr:to>
    <xdr:sp macro="" textlink="">
      <xdr:nvSpPr>
        <xdr:cNvPr id="149" name="Oval 148">
          <a:extLst>
            <a:ext uri="{FF2B5EF4-FFF2-40B4-BE49-F238E27FC236}">
              <a16:creationId xmlns:a16="http://schemas.microsoft.com/office/drawing/2014/main" id="{41956B82-A347-4B8C-9414-6A9B84E965D3}"/>
            </a:ext>
          </a:extLst>
        </xdr:cNvPr>
        <xdr:cNvSpPr/>
      </xdr:nvSpPr>
      <xdr:spPr>
        <a:xfrm>
          <a:off x="6458364" y="2917300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39</xdr:row>
      <xdr:rowOff>107674</xdr:rowOff>
    </xdr:from>
    <xdr:to>
      <xdr:col>6</xdr:col>
      <xdr:colOff>698327</xdr:colOff>
      <xdr:row>39</xdr:row>
      <xdr:rowOff>462480</xdr:rowOff>
    </xdr:to>
    <xdr:sp macro="" textlink="">
      <xdr:nvSpPr>
        <xdr:cNvPr id="150" name="Oval 149">
          <a:extLst>
            <a:ext uri="{FF2B5EF4-FFF2-40B4-BE49-F238E27FC236}">
              <a16:creationId xmlns:a16="http://schemas.microsoft.com/office/drawing/2014/main" id="{DA9DFDED-83E4-493F-B464-B63FA64A0AFB}"/>
            </a:ext>
          </a:extLst>
        </xdr:cNvPr>
        <xdr:cNvSpPr/>
      </xdr:nvSpPr>
      <xdr:spPr>
        <a:xfrm>
          <a:off x="6425233" y="300352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99391</xdr:colOff>
      <xdr:row>41</xdr:row>
      <xdr:rowOff>2393674</xdr:rowOff>
    </xdr:from>
    <xdr:to>
      <xdr:col>6</xdr:col>
      <xdr:colOff>706610</xdr:colOff>
      <xdr:row>41</xdr:row>
      <xdr:rowOff>2748480</xdr:rowOff>
    </xdr:to>
    <xdr:sp macro="" textlink="">
      <xdr:nvSpPr>
        <xdr:cNvPr id="151" name="Oval 150">
          <a:extLst>
            <a:ext uri="{FF2B5EF4-FFF2-40B4-BE49-F238E27FC236}">
              <a16:creationId xmlns:a16="http://schemas.microsoft.com/office/drawing/2014/main" id="{7021FCB6-ECDE-4D62-BB37-15008B242AF8}"/>
            </a:ext>
          </a:extLst>
        </xdr:cNvPr>
        <xdr:cNvSpPr/>
      </xdr:nvSpPr>
      <xdr:spPr>
        <a:xfrm>
          <a:off x="6433516" y="335785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42</xdr:row>
      <xdr:rowOff>298174</xdr:rowOff>
    </xdr:from>
    <xdr:to>
      <xdr:col>6</xdr:col>
      <xdr:colOff>723175</xdr:colOff>
      <xdr:row>42</xdr:row>
      <xdr:rowOff>652980</xdr:rowOff>
    </xdr:to>
    <xdr:sp macro="" textlink="">
      <xdr:nvSpPr>
        <xdr:cNvPr id="152" name="Oval 151">
          <a:extLst>
            <a:ext uri="{FF2B5EF4-FFF2-40B4-BE49-F238E27FC236}">
              <a16:creationId xmlns:a16="http://schemas.microsoft.com/office/drawing/2014/main" id="{A6190617-BFD7-4602-89FC-722544B460AD}"/>
            </a:ext>
          </a:extLst>
        </xdr:cNvPr>
        <xdr:cNvSpPr/>
      </xdr:nvSpPr>
      <xdr:spPr>
        <a:xfrm>
          <a:off x="6450081" y="3667414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66261</xdr:colOff>
      <xdr:row>44</xdr:row>
      <xdr:rowOff>248478</xdr:rowOff>
    </xdr:from>
    <xdr:to>
      <xdr:col>6</xdr:col>
      <xdr:colOff>673480</xdr:colOff>
      <xdr:row>44</xdr:row>
      <xdr:rowOff>603284</xdr:rowOff>
    </xdr:to>
    <xdr:sp macro="" textlink="">
      <xdr:nvSpPr>
        <xdr:cNvPr id="153" name="Oval 152">
          <a:extLst>
            <a:ext uri="{FF2B5EF4-FFF2-40B4-BE49-F238E27FC236}">
              <a16:creationId xmlns:a16="http://schemas.microsoft.com/office/drawing/2014/main" id="{F62EAA29-A924-467A-8593-052511550410}"/>
            </a:ext>
          </a:extLst>
        </xdr:cNvPr>
        <xdr:cNvSpPr/>
      </xdr:nvSpPr>
      <xdr:spPr>
        <a:xfrm>
          <a:off x="6400386" y="3822465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45</xdr:row>
      <xdr:rowOff>140805</xdr:rowOff>
    </xdr:from>
    <xdr:to>
      <xdr:col>6</xdr:col>
      <xdr:colOff>714893</xdr:colOff>
      <xdr:row>45</xdr:row>
      <xdr:rowOff>495611</xdr:rowOff>
    </xdr:to>
    <xdr:sp macro="" textlink="">
      <xdr:nvSpPr>
        <xdr:cNvPr id="154" name="Oval 153">
          <a:extLst>
            <a:ext uri="{FF2B5EF4-FFF2-40B4-BE49-F238E27FC236}">
              <a16:creationId xmlns:a16="http://schemas.microsoft.com/office/drawing/2014/main" id="{E9F77828-46AE-49F3-B3F5-031928800B9C}"/>
            </a:ext>
          </a:extLst>
        </xdr:cNvPr>
        <xdr:cNvSpPr/>
      </xdr:nvSpPr>
      <xdr:spPr>
        <a:xfrm>
          <a:off x="6441799" y="3900280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46</xdr:row>
      <xdr:rowOff>298174</xdr:rowOff>
    </xdr:from>
    <xdr:to>
      <xdr:col>6</xdr:col>
      <xdr:colOff>731458</xdr:colOff>
      <xdr:row>46</xdr:row>
      <xdr:rowOff>652980</xdr:rowOff>
    </xdr:to>
    <xdr:sp macro="" textlink="">
      <xdr:nvSpPr>
        <xdr:cNvPr id="155" name="Oval 154">
          <a:extLst>
            <a:ext uri="{FF2B5EF4-FFF2-40B4-BE49-F238E27FC236}">
              <a16:creationId xmlns:a16="http://schemas.microsoft.com/office/drawing/2014/main" id="{B96A16E8-CB01-4AC4-8EB9-485A43229397}"/>
            </a:ext>
          </a:extLst>
        </xdr:cNvPr>
        <xdr:cNvSpPr/>
      </xdr:nvSpPr>
      <xdr:spPr>
        <a:xfrm>
          <a:off x="6458364" y="3978882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132522</xdr:colOff>
      <xdr:row>47</xdr:row>
      <xdr:rowOff>720587</xdr:rowOff>
    </xdr:from>
    <xdr:to>
      <xdr:col>6</xdr:col>
      <xdr:colOff>739741</xdr:colOff>
      <xdr:row>47</xdr:row>
      <xdr:rowOff>1075393</xdr:rowOff>
    </xdr:to>
    <xdr:sp macro="" textlink="">
      <xdr:nvSpPr>
        <xdr:cNvPr id="156" name="Oval 155">
          <a:extLst>
            <a:ext uri="{FF2B5EF4-FFF2-40B4-BE49-F238E27FC236}">
              <a16:creationId xmlns:a16="http://schemas.microsoft.com/office/drawing/2014/main" id="{D3EB4BF8-CD94-48AC-8EF2-BC94BF9887D4}"/>
            </a:ext>
          </a:extLst>
        </xdr:cNvPr>
        <xdr:cNvSpPr/>
      </xdr:nvSpPr>
      <xdr:spPr>
        <a:xfrm>
          <a:off x="6466647" y="41125637"/>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48</xdr:row>
      <xdr:rowOff>728870</xdr:rowOff>
    </xdr:from>
    <xdr:to>
      <xdr:col>6</xdr:col>
      <xdr:colOff>714893</xdr:colOff>
      <xdr:row>48</xdr:row>
      <xdr:rowOff>1083676</xdr:rowOff>
    </xdr:to>
    <xdr:sp macro="" textlink="">
      <xdr:nvSpPr>
        <xdr:cNvPr id="157" name="Oval 156">
          <a:extLst>
            <a:ext uri="{FF2B5EF4-FFF2-40B4-BE49-F238E27FC236}">
              <a16:creationId xmlns:a16="http://schemas.microsoft.com/office/drawing/2014/main" id="{F5B85819-7180-4E79-A3D1-D48BBC72DBC5}"/>
            </a:ext>
          </a:extLst>
        </xdr:cNvPr>
        <xdr:cNvSpPr/>
      </xdr:nvSpPr>
      <xdr:spPr>
        <a:xfrm>
          <a:off x="6441799" y="4297224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49</xdr:row>
      <xdr:rowOff>488674</xdr:rowOff>
    </xdr:from>
    <xdr:to>
      <xdr:col>6</xdr:col>
      <xdr:colOff>698328</xdr:colOff>
      <xdr:row>49</xdr:row>
      <xdr:rowOff>843480</xdr:rowOff>
    </xdr:to>
    <xdr:sp macro="" textlink="">
      <xdr:nvSpPr>
        <xdr:cNvPr id="158" name="Oval 157">
          <a:extLst>
            <a:ext uri="{FF2B5EF4-FFF2-40B4-BE49-F238E27FC236}">
              <a16:creationId xmlns:a16="http://schemas.microsoft.com/office/drawing/2014/main" id="{CADD6B47-A245-4AD4-A616-719AD23175BE}"/>
            </a:ext>
          </a:extLst>
        </xdr:cNvPr>
        <xdr:cNvSpPr/>
      </xdr:nvSpPr>
      <xdr:spPr>
        <a:xfrm>
          <a:off x="6425234" y="4457037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50</xdr:row>
      <xdr:rowOff>463826</xdr:rowOff>
    </xdr:from>
    <xdr:to>
      <xdr:col>6</xdr:col>
      <xdr:colOff>723175</xdr:colOff>
      <xdr:row>50</xdr:row>
      <xdr:rowOff>818632</xdr:rowOff>
    </xdr:to>
    <xdr:sp macro="" textlink="">
      <xdr:nvSpPr>
        <xdr:cNvPr id="159" name="Oval 158">
          <a:extLst>
            <a:ext uri="{FF2B5EF4-FFF2-40B4-BE49-F238E27FC236}">
              <a16:creationId xmlns:a16="http://schemas.microsoft.com/office/drawing/2014/main" id="{0871FE4C-C74C-40C9-840B-2AB0AEE27743}"/>
            </a:ext>
          </a:extLst>
        </xdr:cNvPr>
        <xdr:cNvSpPr/>
      </xdr:nvSpPr>
      <xdr:spPr>
        <a:xfrm>
          <a:off x="6450081" y="4587902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51</xdr:row>
      <xdr:rowOff>422413</xdr:rowOff>
    </xdr:from>
    <xdr:to>
      <xdr:col>6</xdr:col>
      <xdr:colOff>756306</xdr:colOff>
      <xdr:row>51</xdr:row>
      <xdr:rowOff>777219</xdr:rowOff>
    </xdr:to>
    <xdr:sp macro="" textlink="">
      <xdr:nvSpPr>
        <xdr:cNvPr id="160" name="Oval 159">
          <a:extLst>
            <a:ext uri="{FF2B5EF4-FFF2-40B4-BE49-F238E27FC236}">
              <a16:creationId xmlns:a16="http://schemas.microsoft.com/office/drawing/2014/main" id="{A9363259-FF78-45A3-A47A-843BAFF14E10}"/>
            </a:ext>
          </a:extLst>
        </xdr:cNvPr>
        <xdr:cNvSpPr/>
      </xdr:nvSpPr>
      <xdr:spPr>
        <a:xfrm>
          <a:off x="6483212" y="4717111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52</xdr:row>
      <xdr:rowOff>405848</xdr:rowOff>
    </xdr:from>
    <xdr:to>
      <xdr:col>6</xdr:col>
      <xdr:colOff>698328</xdr:colOff>
      <xdr:row>52</xdr:row>
      <xdr:rowOff>760654</xdr:rowOff>
    </xdr:to>
    <xdr:sp macro="" textlink="">
      <xdr:nvSpPr>
        <xdr:cNvPr id="161" name="Oval 160">
          <a:extLst>
            <a:ext uri="{FF2B5EF4-FFF2-40B4-BE49-F238E27FC236}">
              <a16:creationId xmlns:a16="http://schemas.microsoft.com/office/drawing/2014/main" id="{09670E33-B0D5-48BB-BBA9-C5150604D6AA}"/>
            </a:ext>
          </a:extLst>
        </xdr:cNvPr>
        <xdr:cNvSpPr/>
      </xdr:nvSpPr>
      <xdr:spPr>
        <a:xfrm>
          <a:off x="6425234" y="4841184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91108</xdr:colOff>
      <xdr:row>53</xdr:row>
      <xdr:rowOff>381000</xdr:rowOff>
    </xdr:from>
    <xdr:to>
      <xdr:col>6</xdr:col>
      <xdr:colOff>698327</xdr:colOff>
      <xdr:row>53</xdr:row>
      <xdr:rowOff>735806</xdr:rowOff>
    </xdr:to>
    <xdr:sp macro="" textlink="">
      <xdr:nvSpPr>
        <xdr:cNvPr id="162" name="Oval 161">
          <a:extLst>
            <a:ext uri="{FF2B5EF4-FFF2-40B4-BE49-F238E27FC236}">
              <a16:creationId xmlns:a16="http://schemas.microsoft.com/office/drawing/2014/main" id="{2B4D94C9-DE0E-4954-842B-3BB12F5BA98E}"/>
            </a:ext>
          </a:extLst>
        </xdr:cNvPr>
        <xdr:cNvSpPr/>
      </xdr:nvSpPr>
      <xdr:spPr>
        <a:xfrm>
          <a:off x="6425233" y="4954905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54</xdr:row>
      <xdr:rowOff>1408043</xdr:rowOff>
    </xdr:from>
    <xdr:to>
      <xdr:col>6</xdr:col>
      <xdr:colOff>723175</xdr:colOff>
      <xdr:row>54</xdr:row>
      <xdr:rowOff>1762849</xdr:rowOff>
    </xdr:to>
    <xdr:sp macro="" textlink="">
      <xdr:nvSpPr>
        <xdr:cNvPr id="163" name="Oval 162">
          <a:extLst>
            <a:ext uri="{FF2B5EF4-FFF2-40B4-BE49-F238E27FC236}">
              <a16:creationId xmlns:a16="http://schemas.microsoft.com/office/drawing/2014/main" id="{79D18F12-FB5B-478C-BF24-F5D446B23FC6}"/>
            </a:ext>
          </a:extLst>
        </xdr:cNvPr>
        <xdr:cNvSpPr/>
      </xdr:nvSpPr>
      <xdr:spPr>
        <a:xfrm>
          <a:off x="6450081" y="5173814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140804</xdr:colOff>
      <xdr:row>55</xdr:row>
      <xdr:rowOff>190500</xdr:rowOff>
    </xdr:from>
    <xdr:to>
      <xdr:col>6</xdr:col>
      <xdr:colOff>748023</xdr:colOff>
      <xdr:row>55</xdr:row>
      <xdr:rowOff>545306</xdr:rowOff>
    </xdr:to>
    <xdr:sp macro="" textlink="">
      <xdr:nvSpPr>
        <xdr:cNvPr id="164" name="Oval 163">
          <a:extLst>
            <a:ext uri="{FF2B5EF4-FFF2-40B4-BE49-F238E27FC236}">
              <a16:creationId xmlns:a16="http://schemas.microsoft.com/office/drawing/2014/main" id="{A0C35C7E-C72F-4A09-BC33-60B0FAB1A8ED}"/>
            </a:ext>
          </a:extLst>
        </xdr:cNvPr>
        <xdr:cNvSpPr/>
      </xdr:nvSpPr>
      <xdr:spPr>
        <a:xfrm>
          <a:off x="6474929" y="5369242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56</xdr:row>
      <xdr:rowOff>430695</xdr:rowOff>
    </xdr:from>
    <xdr:to>
      <xdr:col>6</xdr:col>
      <xdr:colOff>698328</xdr:colOff>
      <xdr:row>56</xdr:row>
      <xdr:rowOff>785501</xdr:rowOff>
    </xdr:to>
    <xdr:sp macro="" textlink="">
      <xdr:nvSpPr>
        <xdr:cNvPr id="165" name="Oval 164">
          <a:extLst>
            <a:ext uri="{FF2B5EF4-FFF2-40B4-BE49-F238E27FC236}">
              <a16:creationId xmlns:a16="http://schemas.microsoft.com/office/drawing/2014/main" id="{E37C969B-7675-4DBD-9A1E-F904F1BF339F}"/>
            </a:ext>
          </a:extLst>
        </xdr:cNvPr>
        <xdr:cNvSpPr/>
      </xdr:nvSpPr>
      <xdr:spPr>
        <a:xfrm>
          <a:off x="6425234" y="5460889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57</xdr:row>
      <xdr:rowOff>554935</xdr:rowOff>
    </xdr:from>
    <xdr:to>
      <xdr:col>6</xdr:col>
      <xdr:colOff>756306</xdr:colOff>
      <xdr:row>57</xdr:row>
      <xdr:rowOff>909741</xdr:rowOff>
    </xdr:to>
    <xdr:sp macro="" textlink="">
      <xdr:nvSpPr>
        <xdr:cNvPr id="166" name="Oval 165">
          <a:extLst>
            <a:ext uri="{FF2B5EF4-FFF2-40B4-BE49-F238E27FC236}">
              <a16:creationId xmlns:a16="http://schemas.microsoft.com/office/drawing/2014/main" id="{6CE1C29E-52D9-4B50-8871-4E887769E2B5}"/>
            </a:ext>
          </a:extLst>
        </xdr:cNvPr>
        <xdr:cNvSpPr/>
      </xdr:nvSpPr>
      <xdr:spPr>
        <a:xfrm>
          <a:off x="6483212" y="55999960"/>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58</xdr:row>
      <xdr:rowOff>265044</xdr:rowOff>
    </xdr:from>
    <xdr:to>
      <xdr:col>6</xdr:col>
      <xdr:colOff>698328</xdr:colOff>
      <xdr:row>58</xdr:row>
      <xdr:rowOff>619850</xdr:rowOff>
    </xdr:to>
    <xdr:sp macro="" textlink="">
      <xdr:nvSpPr>
        <xdr:cNvPr id="167" name="Oval 166">
          <a:extLst>
            <a:ext uri="{FF2B5EF4-FFF2-40B4-BE49-F238E27FC236}">
              <a16:creationId xmlns:a16="http://schemas.microsoft.com/office/drawing/2014/main" id="{BE7E5A6A-1295-4026-87D6-E98EDB4E3CCD}"/>
            </a:ext>
          </a:extLst>
        </xdr:cNvPr>
        <xdr:cNvSpPr/>
      </xdr:nvSpPr>
      <xdr:spPr>
        <a:xfrm>
          <a:off x="6425234" y="5724359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59</xdr:row>
      <xdr:rowOff>1068456</xdr:rowOff>
    </xdr:from>
    <xdr:to>
      <xdr:col>6</xdr:col>
      <xdr:colOff>731458</xdr:colOff>
      <xdr:row>59</xdr:row>
      <xdr:rowOff>1423262</xdr:rowOff>
    </xdr:to>
    <xdr:sp macro="" textlink="">
      <xdr:nvSpPr>
        <xdr:cNvPr id="168" name="Oval 167">
          <a:extLst>
            <a:ext uri="{FF2B5EF4-FFF2-40B4-BE49-F238E27FC236}">
              <a16:creationId xmlns:a16="http://schemas.microsoft.com/office/drawing/2014/main" id="{5D5CEB9D-20A7-42A4-8BC2-617B93E11775}"/>
            </a:ext>
          </a:extLst>
        </xdr:cNvPr>
        <xdr:cNvSpPr/>
      </xdr:nvSpPr>
      <xdr:spPr>
        <a:xfrm>
          <a:off x="6458364" y="5898045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60</xdr:row>
      <xdr:rowOff>281609</xdr:rowOff>
    </xdr:from>
    <xdr:to>
      <xdr:col>6</xdr:col>
      <xdr:colOff>731458</xdr:colOff>
      <xdr:row>60</xdr:row>
      <xdr:rowOff>636415</xdr:rowOff>
    </xdr:to>
    <xdr:sp macro="" textlink="">
      <xdr:nvSpPr>
        <xdr:cNvPr id="169" name="Oval 168">
          <a:extLst>
            <a:ext uri="{FF2B5EF4-FFF2-40B4-BE49-F238E27FC236}">
              <a16:creationId xmlns:a16="http://schemas.microsoft.com/office/drawing/2014/main" id="{991CCEF8-9A95-4B11-AB2D-07F7652A195F}"/>
            </a:ext>
          </a:extLst>
        </xdr:cNvPr>
        <xdr:cNvSpPr/>
      </xdr:nvSpPr>
      <xdr:spPr>
        <a:xfrm>
          <a:off x="6458364" y="60746309"/>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149087</xdr:colOff>
      <xdr:row>61</xdr:row>
      <xdr:rowOff>314739</xdr:rowOff>
    </xdr:from>
    <xdr:to>
      <xdr:col>6</xdr:col>
      <xdr:colOff>756306</xdr:colOff>
      <xdr:row>61</xdr:row>
      <xdr:rowOff>669545</xdr:rowOff>
    </xdr:to>
    <xdr:sp macro="" textlink="">
      <xdr:nvSpPr>
        <xdr:cNvPr id="170" name="Oval 169">
          <a:extLst>
            <a:ext uri="{FF2B5EF4-FFF2-40B4-BE49-F238E27FC236}">
              <a16:creationId xmlns:a16="http://schemas.microsoft.com/office/drawing/2014/main" id="{EC99D00F-A739-4350-A516-615179502DAA}"/>
            </a:ext>
          </a:extLst>
        </xdr:cNvPr>
        <xdr:cNvSpPr/>
      </xdr:nvSpPr>
      <xdr:spPr>
        <a:xfrm>
          <a:off x="6483212" y="6174146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132521</xdr:colOff>
      <xdr:row>62</xdr:row>
      <xdr:rowOff>323022</xdr:rowOff>
    </xdr:from>
    <xdr:to>
      <xdr:col>6</xdr:col>
      <xdr:colOff>739740</xdr:colOff>
      <xdr:row>62</xdr:row>
      <xdr:rowOff>677828</xdr:rowOff>
    </xdr:to>
    <xdr:sp macro="" textlink="">
      <xdr:nvSpPr>
        <xdr:cNvPr id="171" name="Oval 170">
          <a:extLst>
            <a:ext uri="{FF2B5EF4-FFF2-40B4-BE49-F238E27FC236}">
              <a16:creationId xmlns:a16="http://schemas.microsoft.com/office/drawing/2014/main" id="{335E21AC-883C-4313-BAE7-C6083A1E0368}"/>
            </a:ext>
          </a:extLst>
        </xdr:cNvPr>
        <xdr:cNvSpPr/>
      </xdr:nvSpPr>
      <xdr:spPr>
        <a:xfrm>
          <a:off x="6466646" y="6271177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63</xdr:row>
      <xdr:rowOff>289891</xdr:rowOff>
    </xdr:from>
    <xdr:to>
      <xdr:col>6</xdr:col>
      <xdr:colOff>723176</xdr:colOff>
      <xdr:row>63</xdr:row>
      <xdr:rowOff>644697</xdr:rowOff>
    </xdr:to>
    <xdr:sp macro="" textlink="">
      <xdr:nvSpPr>
        <xdr:cNvPr id="172" name="Oval 171">
          <a:extLst>
            <a:ext uri="{FF2B5EF4-FFF2-40B4-BE49-F238E27FC236}">
              <a16:creationId xmlns:a16="http://schemas.microsoft.com/office/drawing/2014/main" id="{F6B29E23-EF43-4F3F-93E6-EFA5C2352F34}"/>
            </a:ext>
          </a:extLst>
        </xdr:cNvPr>
        <xdr:cNvSpPr/>
      </xdr:nvSpPr>
      <xdr:spPr>
        <a:xfrm>
          <a:off x="6450082" y="63716866"/>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64</xdr:row>
      <xdr:rowOff>579783</xdr:rowOff>
    </xdr:from>
    <xdr:to>
      <xdr:col>6</xdr:col>
      <xdr:colOff>714893</xdr:colOff>
      <xdr:row>64</xdr:row>
      <xdr:rowOff>934589</xdr:rowOff>
    </xdr:to>
    <xdr:sp macro="" textlink="">
      <xdr:nvSpPr>
        <xdr:cNvPr id="173" name="Oval 172">
          <a:extLst>
            <a:ext uri="{FF2B5EF4-FFF2-40B4-BE49-F238E27FC236}">
              <a16:creationId xmlns:a16="http://schemas.microsoft.com/office/drawing/2014/main" id="{DD9A1B57-8B0F-4474-99C1-B95FD80F067C}"/>
            </a:ext>
          </a:extLst>
        </xdr:cNvPr>
        <xdr:cNvSpPr/>
      </xdr:nvSpPr>
      <xdr:spPr>
        <a:xfrm>
          <a:off x="6441799" y="64968783"/>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91109</xdr:colOff>
      <xdr:row>65</xdr:row>
      <xdr:rowOff>256761</xdr:rowOff>
    </xdr:from>
    <xdr:to>
      <xdr:col>6</xdr:col>
      <xdr:colOff>698328</xdr:colOff>
      <xdr:row>65</xdr:row>
      <xdr:rowOff>611567</xdr:rowOff>
    </xdr:to>
    <xdr:sp macro="" textlink="">
      <xdr:nvSpPr>
        <xdr:cNvPr id="174" name="Oval 173">
          <a:extLst>
            <a:ext uri="{FF2B5EF4-FFF2-40B4-BE49-F238E27FC236}">
              <a16:creationId xmlns:a16="http://schemas.microsoft.com/office/drawing/2014/main" id="{E0E5E9E7-44B0-4D10-8BE9-35531E6DC808}"/>
            </a:ext>
          </a:extLst>
        </xdr:cNvPr>
        <xdr:cNvSpPr/>
      </xdr:nvSpPr>
      <xdr:spPr>
        <a:xfrm>
          <a:off x="6425234" y="6620786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107674</xdr:colOff>
      <xdr:row>66</xdr:row>
      <xdr:rowOff>554934</xdr:rowOff>
    </xdr:from>
    <xdr:to>
      <xdr:col>6</xdr:col>
      <xdr:colOff>714893</xdr:colOff>
      <xdr:row>66</xdr:row>
      <xdr:rowOff>909740</xdr:rowOff>
    </xdr:to>
    <xdr:sp macro="" textlink="">
      <xdr:nvSpPr>
        <xdr:cNvPr id="175" name="Oval 174">
          <a:extLst>
            <a:ext uri="{FF2B5EF4-FFF2-40B4-BE49-F238E27FC236}">
              <a16:creationId xmlns:a16="http://schemas.microsoft.com/office/drawing/2014/main" id="{40E8F18A-4794-48D0-89B6-26A8508E50B4}"/>
            </a:ext>
          </a:extLst>
        </xdr:cNvPr>
        <xdr:cNvSpPr/>
      </xdr:nvSpPr>
      <xdr:spPr>
        <a:xfrm>
          <a:off x="6441799" y="67363284"/>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67</xdr:row>
      <xdr:rowOff>1002196</xdr:rowOff>
    </xdr:from>
    <xdr:to>
      <xdr:col>6</xdr:col>
      <xdr:colOff>731458</xdr:colOff>
      <xdr:row>67</xdr:row>
      <xdr:rowOff>1357002</xdr:rowOff>
    </xdr:to>
    <xdr:sp macro="" textlink="">
      <xdr:nvSpPr>
        <xdr:cNvPr id="176" name="Oval 175">
          <a:extLst>
            <a:ext uri="{FF2B5EF4-FFF2-40B4-BE49-F238E27FC236}">
              <a16:creationId xmlns:a16="http://schemas.microsoft.com/office/drawing/2014/main" id="{C38B5E04-F46F-462F-A927-9CEED75FF33F}"/>
            </a:ext>
          </a:extLst>
        </xdr:cNvPr>
        <xdr:cNvSpPr/>
      </xdr:nvSpPr>
      <xdr:spPr>
        <a:xfrm>
          <a:off x="6458364" y="6922977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124239</xdr:colOff>
      <xdr:row>68</xdr:row>
      <xdr:rowOff>1184413</xdr:rowOff>
    </xdr:from>
    <xdr:to>
      <xdr:col>6</xdr:col>
      <xdr:colOff>731458</xdr:colOff>
      <xdr:row>68</xdr:row>
      <xdr:rowOff>1539219</xdr:rowOff>
    </xdr:to>
    <xdr:sp macro="" textlink="">
      <xdr:nvSpPr>
        <xdr:cNvPr id="177" name="Oval 176">
          <a:extLst>
            <a:ext uri="{FF2B5EF4-FFF2-40B4-BE49-F238E27FC236}">
              <a16:creationId xmlns:a16="http://schemas.microsoft.com/office/drawing/2014/main" id="{2AE103DD-A135-4CA8-89DA-33971F8E7B6C}"/>
            </a:ext>
          </a:extLst>
        </xdr:cNvPr>
        <xdr:cNvSpPr/>
      </xdr:nvSpPr>
      <xdr:spPr>
        <a:xfrm>
          <a:off x="6458364" y="71736088"/>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115957</xdr:colOff>
      <xdr:row>69</xdr:row>
      <xdr:rowOff>190500</xdr:rowOff>
    </xdr:from>
    <xdr:to>
      <xdr:col>6</xdr:col>
      <xdr:colOff>723176</xdr:colOff>
      <xdr:row>69</xdr:row>
      <xdr:rowOff>545306</xdr:rowOff>
    </xdr:to>
    <xdr:sp macro="" textlink="">
      <xdr:nvSpPr>
        <xdr:cNvPr id="178" name="Oval 177">
          <a:extLst>
            <a:ext uri="{FF2B5EF4-FFF2-40B4-BE49-F238E27FC236}">
              <a16:creationId xmlns:a16="http://schemas.microsoft.com/office/drawing/2014/main" id="{E36DA6B5-299B-4ACA-BD8F-74AAE985215F}"/>
            </a:ext>
          </a:extLst>
        </xdr:cNvPr>
        <xdr:cNvSpPr/>
      </xdr:nvSpPr>
      <xdr:spPr>
        <a:xfrm>
          <a:off x="6450082" y="73447275"/>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66260</xdr:colOff>
      <xdr:row>70</xdr:row>
      <xdr:rowOff>1482587</xdr:rowOff>
    </xdr:from>
    <xdr:to>
      <xdr:col>6</xdr:col>
      <xdr:colOff>673479</xdr:colOff>
      <xdr:row>70</xdr:row>
      <xdr:rowOff>1837393</xdr:rowOff>
    </xdr:to>
    <xdr:sp macro="" textlink="">
      <xdr:nvSpPr>
        <xdr:cNvPr id="179" name="Oval 178">
          <a:extLst>
            <a:ext uri="{FF2B5EF4-FFF2-40B4-BE49-F238E27FC236}">
              <a16:creationId xmlns:a16="http://schemas.microsoft.com/office/drawing/2014/main" id="{A32EC2EC-EF0D-44ED-BB89-7CA0B33DD614}"/>
            </a:ext>
          </a:extLst>
        </xdr:cNvPr>
        <xdr:cNvSpPr/>
      </xdr:nvSpPr>
      <xdr:spPr>
        <a:xfrm>
          <a:off x="6400385" y="75520412"/>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115956</xdr:colOff>
      <xdr:row>71</xdr:row>
      <xdr:rowOff>704021</xdr:rowOff>
    </xdr:from>
    <xdr:to>
      <xdr:col>6</xdr:col>
      <xdr:colOff>723175</xdr:colOff>
      <xdr:row>71</xdr:row>
      <xdr:rowOff>1058827</xdr:rowOff>
    </xdr:to>
    <xdr:sp macro="" textlink="">
      <xdr:nvSpPr>
        <xdr:cNvPr id="180" name="Oval 179">
          <a:extLst>
            <a:ext uri="{FF2B5EF4-FFF2-40B4-BE49-F238E27FC236}">
              <a16:creationId xmlns:a16="http://schemas.microsoft.com/office/drawing/2014/main" id="{55BB13DF-3E68-47B2-94A9-B9192F8B4311}"/>
            </a:ext>
          </a:extLst>
        </xdr:cNvPr>
        <xdr:cNvSpPr/>
      </xdr:nvSpPr>
      <xdr:spPr>
        <a:xfrm>
          <a:off x="6450081" y="78123221"/>
          <a:ext cx="607219" cy="35480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Documents\MGS%20Grupa\2018\JANAF\Kalkulacija%20-%20%20zavrsno%20V3-za%20bank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lkulacija"/>
      <sheetName val="MATERIJAL"/>
      <sheetName val="RAD"/>
      <sheetName val="NEPOSREDNI"/>
      <sheetName val="POSREDNI"/>
      <sheetName val="banka i sranja koja su trošak"/>
      <sheetName val="REKAPITULACIJA"/>
      <sheetName val="Sheet3"/>
      <sheetName val="Sheet2"/>
      <sheetName val="Sheet 4"/>
      <sheetName val="Sheet5"/>
      <sheetName val="Sheet1"/>
    </sheetNames>
    <sheetDataSet>
      <sheetData sheetId="0"/>
      <sheetData sheetId="1"/>
      <sheetData sheetId="2"/>
      <sheetData sheetId="3"/>
      <sheetData sheetId="4"/>
      <sheetData sheetId="5"/>
      <sheetData sheetId="6">
        <row r="13">
          <cell r="E13">
            <v>7747147.665</v>
          </cell>
        </row>
        <row r="57">
          <cell r="H57">
            <v>224750</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Edo Seifried" id="{58C983F4-31D2-4534-9CF3-6FE701295A6B}" userId="S-1-5-21-4183133845-2513518004-1943695315-11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30" dT="2019-02-01T17:21:18.46" personId="{58C983F4-31D2-4534-9CF3-6FE701295A6B}" id="{F1563937-430A-4A90-BBF6-BD87B020ECAD}">
    <text>Ovo mi je plaćanje šasija sa cijelim PDV-om</text>
  </threadedComment>
</ThreadedComments>
</file>

<file path=xl/threadedComments/threadedComment2.xml><?xml version="1.0" encoding="utf-8"?>
<ThreadedComments xmlns="http://schemas.microsoft.com/office/spreadsheetml/2018/threadedcomments" xmlns:x="http://schemas.openxmlformats.org/spreadsheetml/2006/main">
  <threadedComment ref="M30" dT="2019-02-01T17:21:18.46" personId="{58C983F4-31D2-4534-9CF3-6FE701295A6B}" id="{77C9EE40-8820-4C3E-9406-075E0B67CEC4}">
    <text>Ovo mi je plaćanje šasija sa cijelim PDV-om</text>
  </threadedComment>
</ThreadedComments>
</file>

<file path=xl/threadedComments/threadedComment3.xml><?xml version="1.0" encoding="utf-8"?>
<ThreadedComments xmlns="http://schemas.microsoft.com/office/spreadsheetml/2018/threadedcomments" xmlns:x="http://schemas.openxmlformats.org/spreadsheetml/2006/main">
  <threadedComment ref="M30" dT="2019-02-01T17:21:18.46" personId="{58C983F4-31D2-4534-9CF3-6FE701295A6B}" id="{84456DBA-7B48-40E8-9FAC-F3DEADE8DC2F}">
    <text>Ovo mi je plaćanje šasija sa cijelim PDV-om</text>
  </threadedComment>
</ThreadedComments>
</file>

<file path=xl/threadedComments/threadedComment4.xml><?xml version="1.0" encoding="utf-8"?>
<ThreadedComments xmlns="http://schemas.microsoft.com/office/spreadsheetml/2018/threadedcomments" xmlns:x="http://schemas.openxmlformats.org/spreadsheetml/2006/main">
  <threadedComment ref="M30" dT="2019-02-01T17:21:18.46" personId="{58C983F4-31D2-4534-9CF3-6FE701295A6B}" id="{ED1DD27A-F4EC-4963-9C8D-D0A615A6F11C}">
    <text>Ovo mi je plaćanje šasija sa cijelim PDV-om</text>
  </threadedComment>
</ThreadedComment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gifas.de/en/cable-reels/plastic-cable-reels-2/" TargetMode="External"/><Relationship Id="rId7" Type="http://schemas.openxmlformats.org/officeDocument/2006/relationships/printerSettings" Target="../printerSettings/printerSettings1.bin"/><Relationship Id="rId2" Type="http://schemas.openxmlformats.org/officeDocument/2006/relationships/hyperlink" Target="https://www.brennenstuhl.com/en-JO/products/cable-reels/garant-cee-1-ip44-cable-reel-for-site-und-industry-30m-h07rn-f-5g2-5" TargetMode="External"/><Relationship Id="rId1" Type="http://schemas.openxmlformats.org/officeDocument/2006/relationships/hyperlink" Target="https://www.thomann.de/gb/stairville_steel_cable_drum_40m_25_mm.htm" TargetMode="External"/><Relationship Id="rId6" Type="http://schemas.openxmlformats.org/officeDocument/2006/relationships/hyperlink" Target="http://www.ceag.de/en/products/portable-emergency-lights/seb-10-10l-explosion-protected" TargetMode="External"/><Relationship Id="rId5" Type="http://schemas.openxmlformats.org/officeDocument/2006/relationships/hyperlink" Target="https://www.molydon.hr/trokut-upozorenja-filson-48-215fil" TargetMode="External"/><Relationship Id="rId4" Type="http://schemas.openxmlformats.org/officeDocument/2006/relationships/hyperlink" Target="https://www.mall.hr/trokut-upozorenja/oem-euro-sigurnosni-trokut?tab=parameter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6F25-1AEB-41F6-814E-198EBF0528EE}">
  <dimension ref="A1:V215"/>
  <sheetViews>
    <sheetView topLeftCell="A163" workbookViewId="0">
      <selection activeCell="B165" sqref="B165:D165"/>
    </sheetView>
  </sheetViews>
  <sheetFormatPr defaultRowHeight="14.4" x14ac:dyDescent="0.3"/>
  <cols>
    <col min="4" max="4" width="57.33203125" customWidth="1"/>
    <col min="11" max="11" width="17.33203125" customWidth="1"/>
    <col min="12" max="12" width="17.5546875" customWidth="1"/>
    <col min="13" max="13" width="15" customWidth="1"/>
  </cols>
  <sheetData>
    <row r="1" spans="1:22" ht="50.1" customHeight="1" x14ac:dyDescent="0.3">
      <c r="A1" s="466" t="s">
        <v>371</v>
      </c>
      <c r="B1" s="466"/>
      <c r="C1" s="313" t="s">
        <v>372</v>
      </c>
      <c r="D1" s="474" t="s">
        <v>373</v>
      </c>
      <c r="E1" s="474"/>
      <c r="F1" s="474"/>
      <c r="G1" s="475"/>
      <c r="H1" s="475"/>
      <c r="I1" s="476"/>
      <c r="J1" s="477"/>
      <c r="K1" s="314" t="s">
        <v>374</v>
      </c>
      <c r="L1" s="315" t="s">
        <v>1</v>
      </c>
      <c r="M1" s="316"/>
      <c r="N1" s="316"/>
      <c r="O1" s="316"/>
      <c r="P1" s="316"/>
      <c r="Q1" s="316"/>
      <c r="R1" s="316"/>
      <c r="S1" s="316"/>
      <c r="T1" s="316"/>
      <c r="U1" s="316"/>
      <c r="V1" s="316"/>
    </row>
    <row r="2" spans="1:22" ht="50.1" customHeight="1" x14ac:dyDescent="0.3">
      <c r="A2" s="470"/>
      <c r="B2" s="478"/>
      <c r="C2" s="317" t="s">
        <v>375</v>
      </c>
      <c r="D2" s="475"/>
      <c r="E2" s="475"/>
      <c r="F2" s="475"/>
      <c r="G2" s="475"/>
      <c r="H2" s="475"/>
      <c r="I2" s="476"/>
      <c r="J2" s="476"/>
      <c r="K2" s="314"/>
      <c r="L2" s="316"/>
      <c r="M2" s="316"/>
      <c r="N2" s="316"/>
      <c r="O2" s="316"/>
      <c r="P2" s="316"/>
      <c r="Q2" s="316"/>
      <c r="R2" s="316"/>
      <c r="S2" s="316"/>
      <c r="T2" s="316"/>
      <c r="U2" s="316"/>
      <c r="V2" s="316"/>
    </row>
    <row r="3" spans="1:22" ht="50.1" customHeight="1" x14ac:dyDescent="0.3">
      <c r="A3" s="466" t="s">
        <v>376</v>
      </c>
      <c r="B3" s="466"/>
      <c r="C3" s="466"/>
      <c r="D3" s="468" t="s">
        <v>377</v>
      </c>
      <c r="E3" s="468"/>
      <c r="F3" s="468"/>
      <c r="G3" s="468"/>
      <c r="H3" s="468"/>
      <c r="I3" s="470" t="s">
        <v>378</v>
      </c>
      <c r="J3" s="470"/>
      <c r="K3" s="314"/>
      <c r="L3" s="316"/>
      <c r="M3" s="316"/>
      <c r="N3" s="316"/>
      <c r="O3" s="316"/>
      <c r="P3" s="316"/>
      <c r="Q3" s="316"/>
      <c r="R3" s="316"/>
      <c r="S3" s="316"/>
      <c r="T3" s="316"/>
      <c r="U3" s="316"/>
      <c r="V3" s="316"/>
    </row>
    <row r="4" spans="1:22" ht="50.1" customHeight="1" x14ac:dyDescent="0.3">
      <c r="A4" s="466"/>
      <c r="B4" s="466"/>
      <c r="C4" s="466"/>
      <c r="D4" s="468"/>
      <c r="E4" s="468"/>
      <c r="F4" s="468"/>
      <c r="G4" s="468"/>
      <c r="H4" s="468"/>
      <c r="I4" s="470" t="s">
        <v>379</v>
      </c>
      <c r="J4" s="470"/>
      <c r="K4" s="314"/>
      <c r="L4" s="316"/>
      <c r="M4" s="316"/>
      <c r="N4" s="316"/>
      <c r="O4" s="316"/>
      <c r="P4" s="316"/>
      <c r="Q4" s="316"/>
      <c r="R4" s="316"/>
      <c r="S4" s="316"/>
      <c r="T4" s="316"/>
      <c r="U4" s="316"/>
      <c r="V4" s="316"/>
    </row>
    <row r="5" spans="1:22" ht="50.1" customHeight="1" x14ac:dyDescent="0.3">
      <c r="A5" s="466" t="s">
        <v>380</v>
      </c>
      <c r="B5" s="466"/>
      <c r="C5" s="466"/>
      <c r="D5" s="468" t="s">
        <v>381</v>
      </c>
      <c r="E5" s="468"/>
      <c r="F5" s="468"/>
      <c r="G5" s="468"/>
      <c r="H5" s="468"/>
      <c r="I5" s="468"/>
      <c r="J5" s="468"/>
      <c r="K5" s="314"/>
      <c r="L5" s="316"/>
      <c r="M5" s="316"/>
      <c r="N5" s="316"/>
      <c r="O5" s="316"/>
      <c r="P5" s="316"/>
      <c r="Q5" s="316"/>
      <c r="R5" s="316"/>
      <c r="S5" s="316"/>
      <c r="T5" s="316"/>
      <c r="U5" s="316"/>
      <c r="V5" s="316"/>
    </row>
    <row r="6" spans="1:22" ht="50.1" customHeight="1" x14ac:dyDescent="0.3">
      <c r="A6" s="466" t="s">
        <v>382</v>
      </c>
      <c r="B6" s="466"/>
      <c r="C6" s="466"/>
      <c r="D6" s="468" t="s">
        <v>383</v>
      </c>
      <c r="E6" s="468"/>
      <c r="F6" s="468"/>
      <c r="G6" s="468"/>
      <c r="H6" s="468"/>
      <c r="I6" s="468"/>
      <c r="J6" s="468"/>
      <c r="K6" s="314"/>
      <c r="L6" s="316"/>
      <c r="M6" s="316"/>
      <c r="N6" s="316"/>
      <c r="O6" s="316"/>
      <c r="P6" s="316"/>
      <c r="Q6" s="316"/>
      <c r="R6" s="316"/>
      <c r="S6" s="316"/>
      <c r="T6" s="316"/>
      <c r="U6" s="316"/>
      <c r="V6" s="316"/>
    </row>
    <row r="7" spans="1:22" ht="50.1" customHeight="1" x14ac:dyDescent="0.3">
      <c r="A7" s="466" t="s">
        <v>384</v>
      </c>
      <c r="B7" s="466"/>
      <c r="C7" s="466"/>
      <c r="D7" s="467" t="s">
        <v>385</v>
      </c>
      <c r="E7" s="467"/>
      <c r="F7" s="467"/>
      <c r="G7" s="467"/>
      <c r="H7" s="467"/>
      <c r="I7" s="467"/>
      <c r="J7" s="467"/>
      <c r="K7" s="314"/>
      <c r="L7" s="316"/>
      <c r="M7" s="316"/>
      <c r="N7" s="316"/>
      <c r="O7" s="316"/>
      <c r="P7" s="316"/>
      <c r="Q7" s="316"/>
      <c r="R7" s="316"/>
      <c r="S7" s="316"/>
      <c r="T7" s="316"/>
      <c r="U7" s="316"/>
      <c r="V7" s="316"/>
    </row>
    <row r="8" spans="1:22" ht="50.1" customHeight="1" x14ac:dyDescent="0.3">
      <c r="A8" s="466" t="s">
        <v>386</v>
      </c>
      <c r="B8" s="466"/>
      <c r="C8" s="466"/>
      <c r="D8" s="467" t="s">
        <v>387</v>
      </c>
      <c r="E8" s="467"/>
      <c r="F8" s="467"/>
      <c r="G8" s="467"/>
      <c r="H8" s="467"/>
      <c r="I8" s="467"/>
      <c r="J8" s="467"/>
      <c r="K8" s="314"/>
      <c r="L8" s="316"/>
      <c r="M8" s="316"/>
      <c r="N8" s="316"/>
      <c r="O8" s="316"/>
      <c r="P8" s="316"/>
      <c r="Q8" s="316"/>
      <c r="R8" s="316"/>
      <c r="S8" s="316"/>
      <c r="T8" s="316"/>
      <c r="U8" s="316"/>
      <c r="V8" s="316"/>
    </row>
    <row r="9" spans="1:22" ht="50.1" customHeight="1" x14ac:dyDescent="0.3">
      <c r="A9" s="468" t="s">
        <v>388</v>
      </c>
      <c r="B9" s="469"/>
      <c r="C9" s="469"/>
      <c r="D9" s="469"/>
      <c r="E9" s="318"/>
      <c r="F9" s="318"/>
      <c r="G9" s="470" t="s">
        <v>389</v>
      </c>
      <c r="H9" s="470"/>
      <c r="I9" s="470"/>
      <c r="J9" s="470"/>
      <c r="K9" s="314"/>
      <c r="L9" s="316"/>
      <c r="M9" s="316"/>
      <c r="N9" s="316"/>
      <c r="O9" s="316"/>
      <c r="P9" s="316"/>
      <c r="Q9" s="316"/>
      <c r="R9" s="316"/>
      <c r="S9" s="316"/>
      <c r="T9" s="316"/>
      <c r="U9" s="316"/>
      <c r="V9" s="316"/>
    </row>
    <row r="10" spans="1:22" ht="50.1" customHeight="1" x14ac:dyDescent="0.3">
      <c r="A10" s="469"/>
      <c r="B10" s="469"/>
      <c r="C10" s="469"/>
      <c r="D10" s="469"/>
      <c r="E10" s="319" t="s">
        <v>390</v>
      </c>
      <c r="F10" s="318" t="s">
        <v>391</v>
      </c>
      <c r="G10" s="320" t="s">
        <v>392</v>
      </c>
      <c r="H10" s="471" t="s">
        <v>393</v>
      </c>
      <c r="I10" s="471"/>
      <c r="J10" s="320" t="s">
        <v>394</v>
      </c>
      <c r="K10" s="314"/>
      <c r="L10" s="316"/>
      <c r="M10" s="316"/>
      <c r="N10" s="316"/>
      <c r="O10" s="316"/>
      <c r="P10" s="316"/>
      <c r="Q10" s="316"/>
      <c r="R10" s="316"/>
      <c r="S10" s="316"/>
      <c r="T10" s="316"/>
      <c r="U10" s="316"/>
      <c r="V10" s="316"/>
    </row>
    <row r="11" spans="1:22" ht="50.1" customHeight="1" x14ac:dyDescent="0.3">
      <c r="A11" s="321">
        <v>1</v>
      </c>
      <c r="B11" s="472" t="s">
        <v>395</v>
      </c>
      <c r="C11" s="472"/>
      <c r="D11" s="472"/>
      <c r="E11" s="322"/>
      <c r="F11" s="322"/>
      <c r="G11" s="322"/>
      <c r="H11" s="473"/>
      <c r="I11" s="473"/>
      <c r="J11" s="322"/>
      <c r="K11" s="314"/>
      <c r="L11" s="316"/>
      <c r="M11" s="316"/>
      <c r="N11" s="316"/>
      <c r="O11" s="316"/>
      <c r="P11" s="316"/>
      <c r="Q11" s="316"/>
      <c r="R11" s="316"/>
      <c r="S11" s="316"/>
      <c r="T11" s="316"/>
      <c r="U11" s="316"/>
      <c r="V11" s="316"/>
    </row>
    <row r="12" spans="1:22" ht="50.1" customHeight="1" x14ac:dyDescent="0.3">
      <c r="A12" s="321">
        <v>2</v>
      </c>
      <c r="B12" s="411" t="s">
        <v>396</v>
      </c>
      <c r="C12" s="414"/>
      <c r="D12" s="415"/>
      <c r="E12" s="322"/>
      <c r="F12" s="322"/>
      <c r="G12" s="323" t="s">
        <v>397</v>
      </c>
      <c r="H12" s="409" t="s">
        <v>398</v>
      </c>
      <c r="I12" s="410"/>
      <c r="J12" s="324" t="s">
        <v>399</v>
      </c>
      <c r="K12" s="314"/>
      <c r="L12" s="316"/>
      <c r="M12" s="316"/>
      <c r="N12" s="316"/>
      <c r="O12" s="316"/>
      <c r="P12" s="316"/>
      <c r="Q12" s="316"/>
      <c r="R12" s="316"/>
      <c r="S12" s="316"/>
      <c r="T12" s="316"/>
      <c r="U12" s="316"/>
      <c r="V12" s="316"/>
    </row>
    <row r="13" spans="1:22" ht="50.1" customHeight="1" x14ac:dyDescent="0.3">
      <c r="A13" s="321">
        <v>3</v>
      </c>
      <c r="B13" s="411" t="s">
        <v>400</v>
      </c>
      <c r="C13" s="414"/>
      <c r="D13" s="415"/>
      <c r="E13" s="322"/>
      <c r="F13" s="322"/>
      <c r="G13" s="323" t="s">
        <v>397</v>
      </c>
      <c r="H13" s="409" t="s">
        <v>398</v>
      </c>
      <c r="I13" s="410"/>
      <c r="J13" s="324" t="s">
        <v>399</v>
      </c>
      <c r="K13" s="314"/>
      <c r="L13" s="316"/>
      <c r="M13" s="316"/>
      <c r="N13" s="316"/>
      <c r="O13" s="316"/>
      <c r="P13" s="316"/>
      <c r="Q13" s="316"/>
      <c r="R13" s="316"/>
      <c r="S13" s="316"/>
      <c r="T13" s="316"/>
      <c r="U13" s="316"/>
      <c r="V13" s="316"/>
    </row>
    <row r="14" spans="1:22" ht="50.1" customHeight="1" x14ac:dyDescent="0.3">
      <c r="A14" s="321">
        <v>4</v>
      </c>
      <c r="B14" s="411" t="s">
        <v>401</v>
      </c>
      <c r="C14" s="414"/>
      <c r="D14" s="415"/>
      <c r="E14" s="322"/>
      <c r="F14" s="322"/>
      <c r="G14" s="323" t="s">
        <v>397</v>
      </c>
      <c r="H14" s="416" t="s">
        <v>402</v>
      </c>
      <c r="I14" s="417"/>
      <c r="J14" s="324" t="s">
        <v>399</v>
      </c>
      <c r="K14" s="314"/>
      <c r="L14" s="316"/>
      <c r="M14" s="316"/>
      <c r="N14" s="316"/>
      <c r="O14" s="316"/>
      <c r="P14" s="316"/>
      <c r="Q14" s="316"/>
      <c r="R14" s="316"/>
      <c r="S14" s="316"/>
      <c r="T14" s="316"/>
      <c r="U14" s="316"/>
      <c r="V14" s="316"/>
    </row>
    <row r="15" spans="1:22" ht="50.1" customHeight="1" x14ac:dyDescent="0.3">
      <c r="A15" s="321">
        <v>5</v>
      </c>
      <c r="B15" s="411" t="s">
        <v>403</v>
      </c>
      <c r="C15" s="414"/>
      <c r="D15" s="415"/>
      <c r="E15" s="322"/>
      <c r="F15" s="322"/>
      <c r="G15" s="323" t="s">
        <v>397</v>
      </c>
      <c r="H15" s="409" t="s">
        <v>398</v>
      </c>
      <c r="I15" s="410"/>
      <c r="J15" s="324" t="s">
        <v>399</v>
      </c>
      <c r="K15" s="314"/>
      <c r="L15" s="316"/>
      <c r="M15" s="316"/>
      <c r="N15" s="316"/>
      <c r="O15" s="316"/>
      <c r="P15" s="316"/>
      <c r="Q15" s="316"/>
      <c r="R15" s="316"/>
      <c r="S15" s="316"/>
      <c r="T15" s="316"/>
      <c r="U15" s="316"/>
      <c r="V15" s="316"/>
    </row>
    <row r="16" spans="1:22" ht="50.1" customHeight="1" x14ac:dyDescent="0.3">
      <c r="A16" s="321">
        <v>6</v>
      </c>
      <c r="B16" s="411" t="s">
        <v>404</v>
      </c>
      <c r="C16" s="460"/>
      <c r="D16" s="461"/>
      <c r="E16" s="322"/>
      <c r="F16" s="322"/>
      <c r="G16" s="323" t="s">
        <v>397</v>
      </c>
      <c r="H16" s="416" t="s">
        <v>405</v>
      </c>
      <c r="I16" s="417"/>
      <c r="J16" s="324" t="s">
        <v>399</v>
      </c>
      <c r="K16" s="325">
        <v>600000</v>
      </c>
      <c r="L16" s="314">
        <f>K16*21</f>
        <v>12600000</v>
      </c>
      <c r="M16" s="316"/>
      <c r="N16" s="316" t="s">
        <v>406</v>
      </c>
      <c r="O16" s="316"/>
      <c r="P16" s="316"/>
      <c r="Q16" s="316"/>
      <c r="R16" s="316"/>
      <c r="S16" s="316"/>
      <c r="T16" s="316"/>
      <c r="U16" s="316"/>
      <c r="V16" s="316"/>
    </row>
    <row r="17" spans="1:22" ht="50.1" customHeight="1" x14ac:dyDescent="0.3">
      <c r="A17" s="321">
        <v>7</v>
      </c>
      <c r="B17" s="411" t="s">
        <v>407</v>
      </c>
      <c r="C17" s="414"/>
      <c r="D17" s="415"/>
      <c r="E17" s="322"/>
      <c r="F17" s="322"/>
      <c r="G17" s="323" t="s">
        <v>397</v>
      </c>
      <c r="H17" s="409" t="s">
        <v>398</v>
      </c>
      <c r="I17" s="410"/>
      <c r="J17" s="324" t="s">
        <v>399</v>
      </c>
      <c r="K17" s="314"/>
      <c r="L17" s="316"/>
      <c r="M17" s="316"/>
      <c r="N17" s="316"/>
      <c r="O17" s="316"/>
      <c r="P17" s="316"/>
      <c r="Q17" s="316"/>
      <c r="R17" s="316"/>
      <c r="S17" s="316"/>
      <c r="T17" s="316"/>
      <c r="U17" s="316"/>
      <c r="V17" s="316"/>
    </row>
    <row r="18" spans="1:22" ht="50.1" customHeight="1" x14ac:dyDescent="0.3">
      <c r="A18" s="321">
        <v>8</v>
      </c>
      <c r="B18" s="411" t="s">
        <v>408</v>
      </c>
      <c r="C18" s="414"/>
      <c r="D18" s="415"/>
      <c r="E18" s="322"/>
      <c r="F18" s="322"/>
      <c r="G18" s="323" t="s">
        <v>397</v>
      </c>
      <c r="H18" s="409" t="s">
        <v>398</v>
      </c>
      <c r="I18" s="410"/>
      <c r="J18" s="324" t="s">
        <v>399</v>
      </c>
      <c r="K18" s="314"/>
      <c r="L18" s="316"/>
      <c r="M18" s="316"/>
      <c r="N18" s="316"/>
      <c r="O18" s="316"/>
      <c r="P18" s="316"/>
      <c r="Q18" s="316"/>
      <c r="R18" s="316"/>
      <c r="S18" s="316"/>
      <c r="T18" s="316"/>
      <c r="U18" s="316"/>
      <c r="V18" s="316"/>
    </row>
    <row r="19" spans="1:22" ht="50.1" customHeight="1" x14ac:dyDescent="0.3">
      <c r="A19" s="321">
        <v>9</v>
      </c>
      <c r="B19" s="423" t="s">
        <v>409</v>
      </c>
      <c r="C19" s="424"/>
      <c r="D19" s="410"/>
      <c r="E19" s="322"/>
      <c r="F19" s="322"/>
      <c r="G19" s="322"/>
      <c r="H19" s="425"/>
      <c r="I19" s="426"/>
      <c r="J19" s="322"/>
      <c r="K19" s="314"/>
      <c r="L19" s="316"/>
      <c r="M19" s="316"/>
      <c r="N19" s="316"/>
      <c r="O19" s="316"/>
      <c r="P19" s="316"/>
      <c r="Q19" s="316"/>
      <c r="R19" s="316"/>
      <c r="S19" s="316"/>
      <c r="T19" s="316"/>
      <c r="U19" s="316"/>
      <c r="V19" s="316"/>
    </row>
    <row r="20" spans="1:22" ht="50.1" customHeight="1" x14ac:dyDescent="0.3">
      <c r="A20" s="321">
        <v>10</v>
      </c>
      <c r="B20" s="446" t="s">
        <v>410</v>
      </c>
      <c r="C20" s="447"/>
      <c r="D20" s="448"/>
      <c r="E20" s="322"/>
      <c r="F20" s="322"/>
      <c r="G20" s="323" t="s">
        <v>397</v>
      </c>
      <c r="H20" s="416" t="s">
        <v>411</v>
      </c>
      <c r="I20" s="417"/>
      <c r="J20" s="324" t="s">
        <v>399</v>
      </c>
      <c r="K20" s="314"/>
      <c r="L20" s="316"/>
      <c r="M20" s="316"/>
      <c r="N20" s="316"/>
      <c r="O20" s="316"/>
      <c r="P20" s="316"/>
      <c r="Q20" s="316"/>
      <c r="R20" s="316"/>
      <c r="S20" s="316"/>
      <c r="T20" s="316"/>
      <c r="U20" s="316"/>
      <c r="V20" s="316"/>
    </row>
    <row r="21" spans="1:22" ht="50.1" customHeight="1" x14ac:dyDescent="0.3">
      <c r="A21" s="321">
        <v>11</v>
      </c>
      <c r="B21" s="446" t="s">
        <v>412</v>
      </c>
      <c r="C21" s="447"/>
      <c r="D21" s="448"/>
      <c r="E21" s="322"/>
      <c r="F21" s="322"/>
      <c r="G21" s="323" t="s">
        <v>397</v>
      </c>
      <c r="H21" s="416" t="s">
        <v>413</v>
      </c>
      <c r="I21" s="417"/>
      <c r="J21" s="324" t="s">
        <v>399</v>
      </c>
      <c r="K21" s="314"/>
      <c r="L21" s="316"/>
      <c r="M21" s="316"/>
      <c r="N21" s="316"/>
      <c r="O21" s="316"/>
      <c r="P21" s="316"/>
      <c r="Q21" s="316"/>
      <c r="R21" s="316"/>
      <c r="S21" s="316"/>
      <c r="T21" s="316"/>
      <c r="U21" s="316"/>
      <c r="V21" s="316"/>
    </row>
    <row r="22" spans="1:22" ht="50.1" customHeight="1" x14ac:dyDescent="0.3">
      <c r="A22" s="321">
        <v>12</v>
      </c>
      <c r="B22" s="446" t="s">
        <v>414</v>
      </c>
      <c r="C22" s="447"/>
      <c r="D22" s="448"/>
      <c r="E22" s="322"/>
      <c r="F22" s="322"/>
      <c r="G22" s="323" t="s">
        <v>397</v>
      </c>
      <c r="H22" s="416" t="s">
        <v>415</v>
      </c>
      <c r="I22" s="417"/>
      <c r="J22" s="324" t="s">
        <v>399</v>
      </c>
      <c r="K22" s="314"/>
      <c r="L22" s="316"/>
      <c r="M22" s="316"/>
      <c r="N22" s="316"/>
      <c r="O22" s="316"/>
      <c r="P22" s="316"/>
      <c r="Q22" s="316"/>
      <c r="R22" s="316"/>
      <c r="S22" s="316"/>
      <c r="T22" s="316"/>
      <c r="U22" s="316"/>
      <c r="V22" s="316"/>
    </row>
    <row r="23" spans="1:22" ht="50.1" customHeight="1" x14ac:dyDescent="0.3">
      <c r="A23" s="321">
        <v>13</v>
      </c>
      <c r="B23" s="446" t="s">
        <v>416</v>
      </c>
      <c r="C23" s="447"/>
      <c r="D23" s="448"/>
      <c r="E23" s="322"/>
      <c r="F23" s="322"/>
      <c r="G23" s="323" t="s">
        <v>397</v>
      </c>
      <c r="H23" s="416" t="s">
        <v>417</v>
      </c>
      <c r="I23" s="417"/>
      <c r="J23" s="324" t="s">
        <v>399</v>
      </c>
      <c r="K23" s="314"/>
      <c r="L23" s="316"/>
      <c r="M23" s="316"/>
      <c r="N23" s="316"/>
      <c r="O23" s="316"/>
      <c r="P23" s="316"/>
      <c r="Q23" s="316"/>
      <c r="R23" s="316"/>
      <c r="S23" s="316"/>
      <c r="T23" s="316"/>
      <c r="U23" s="316"/>
      <c r="V23" s="316"/>
    </row>
    <row r="24" spans="1:22" ht="50.1" customHeight="1" x14ac:dyDescent="0.3">
      <c r="A24" s="321">
        <v>14</v>
      </c>
      <c r="B24" s="446" t="s">
        <v>418</v>
      </c>
      <c r="C24" s="447"/>
      <c r="D24" s="448"/>
      <c r="E24" s="322"/>
      <c r="F24" s="326" t="s">
        <v>419</v>
      </c>
      <c r="G24" s="323" t="s">
        <v>397</v>
      </c>
      <c r="H24" s="416" t="s">
        <v>420</v>
      </c>
      <c r="I24" s="417"/>
      <c r="J24" s="324" t="s">
        <v>399</v>
      </c>
      <c r="K24" s="314"/>
      <c r="L24" s="316"/>
      <c r="M24" s="316"/>
      <c r="N24" s="316"/>
      <c r="O24" s="316"/>
      <c r="P24" s="316"/>
      <c r="Q24" s="316"/>
      <c r="R24" s="316"/>
      <c r="S24" s="316"/>
      <c r="T24" s="316"/>
      <c r="U24" s="316"/>
      <c r="V24" s="316"/>
    </row>
    <row r="25" spans="1:22" ht="50.1" customHeight="1" x14ac:dyDescent="0.3">
      <c r="A25" s="321">
        <v>15</v>
      </c>
      <c r="B25" s="411" t="s">
        <v>421</v>
      </c>
      <c r="C25" s="414"/>
      <c r="D25" s="415"/>
      <c r="E25" s="322"/>
      <c r="F25" s="322"/>
      <c r="G25" s="323" t="s">
        <v>397</v>
      </c>
      <c r="H25" s="409" t="s">
        <v>398</v>
      </c>
      <c r="I25" s="410"/>
      <c r="J25" s="324" t="s">
        <v>399</v>
      </c>
      <c r="K25" s="314"/>
      <c r="L25" s="316"/>
      <c r="M25" s="316"/>
      <c r="N25" s="316"/>
      <c r="O25" s="316"/>
      <c r="P25" s="316"/>
      <c r="Q25" s="316"/>
      <c r="R25" s="316"/>
      <c r="S25" s="316"/>
      <c r="T25" s="316"/>
      <c r="U25" s="316"/>
      <c r="V25" s="316"/>
    </row>
    <row r="26" spans="1:22" ht="50.1" customHeight="1" x14ac:dyDescent="0.3">
      <c r="A26" s="321">
        <v>16</v>
      </c>
      <c r="B26" s="411" t="s">
        <v>422</v>
      </c>
      <c r="C26" s="414"/>
      <c r="D26" s="415"/>
      <c r="E26" s="322"/>
      <c r="F26" s="326" t="s">
        <v>419</v>
      </c>
      <c r="G26" s="323" t="s">
        <v>397</v>
      </c>
      <c r="H26" s="416" t="s">
        <v>423</v>
      </c>
      <c r="I26" s="417"/>
      <c r="J26" s="324" t="s">
        <v>399</v>
      </c>
      <c r="K26" s="314"/>
      <c r="L26" s="316"/>
      <c r="M26" s="316"/>
      <c r="N26" s="316"/>
      <c r="O26" s="316"/>
      <c r="P26" s="316"/>
      <c r="Q26" s="316"/>
      <c r="R26" s="316"/>
      <c r="S26" s="316"/>
      <c r="T26" s="316"/>
      <c r="U26" s="316"/>
      <c r="V26" s="316"/>
    </row>
    <row r="27" spans="1:22" ht="50.1" customHeight="1" x14ac:dyDescent="0.3">
      <c r="A27" s="321">
        <v>17</v>
      </c>
      <c r="B27" s="411" t="s">
        <v>424</v>
      </c>
      <c r="C27" s="414"/>
      <c r="D27" s="415"/>
      <c r="E27" s="322"/>
      <c r="F27" s="326" t="s">
        <v>419</v>
      </c>
      <c r="G27" s="323" t="s">
        <v>397</v>
      </c>
      <c r="H27" s="416" t="s">
        <v>425</v>
      </c>
      <c r="I27" s="417"/>
      <c r="J27" s="324" t="s">
        <v>399</v>
      </c>
      <c r="K27" s="314"/>
      <c r="L27" s="316"/>
      <c r="M27" s="316"/>
      <c r="N27" s="316"/>
      <c r="O27" s="316"/>
      <c r="P27" s="316"/>
      <c r="Q27" s="316"/>
      <c r="R27" s="316"/>
      <c r="S27" s="316"/>
      <c r="T27" s="316"/>
      <c r="U27" s="316"/>
      <c r="V27" s="316"/>
    </row>
    <row r="28" spans="1:22" ht="50.1" customHeight="1" x14ac:dyDescent="0.3">
      <c r="A28" s="321">
        <v>18</v>
      </c>
      <c r="B28" s="411" t="s">
        <v>426</v>
      </c>
      <c r="C28" s="414"/>
      <c r="D28" s="415"/>
      <c r="E28" s="322"/>
      <c r="F28" s="326" t="s">
        <v>419</v>
      </c>
      <c r="G28" s="323" t="s">
        <v>397</v>
      </c>
      <c r="H28" s="416" t="s">
        <v>427</v>
      </c>
      <c r="I28" s="417"/>
      <c r="J28" s="324" t="s">
        <v>399</v>
      </c>
      <c r="K28" s="314"/>
      <c r="L28" s="316"/>
      <c r="M28" s="316"/>
      <c r="N28" s="316"/>
      <c r="O28" s="316"/>
      <c r="P28" s="316"/>
      <c r="Q28" s="316"/>
      <c r="R28" s="316"/>
      <c r="S28" s="316"/>
      <c r="T28" s="316"/>
      <c r="U28" s="316"/>
      <c r="V28" s="316"/>
    </row>
    <row r="29" spans="1:22" ht="50.1" customHeight="1" x14ac:dyDescent="0.3">
      <c r="A29" s="321">
        <v>19</v>
      </c>
      <c r="B29" s="411" t="s">
        <v>428</v>
      </c>
      <c r="C29" s="414"/>
      <c r="D29" s="415"/>
      <c r="E29" s="322"/>
      <c r="F29" s="326" t="s">
        <v>419</v>
      </c>
      <c r="G29" s="323" t="s">
        <v>397</v>
      </c>
      <c r="H29" s="416" t="s">
        <v>429</v>
      </c>
      <c r="I29" s="417"/>
      <c r="J29" s="324" t="s">
        <v>399</v>
      </c>
      <c r="K29" s="314"/>
      <c r="L29" s="316"/>
      <c r="M29" s="316"/>
      <c r="N29" s="316"/>
      <c r="O29" s="316"/>
      <c r="P29" s="316"/>
      <c r="Q29" s="316"/>
      <c r="R29" s="316"/>
      <c r="S29" s="316"/>
      <c r="T29" s="316"/>
      <c r="U29" s="316"/>
      <c r="V29" s="316"/>
    </row>
    <row r="30" spans="1:22" ht="50.1" customHeight="1" x14ac:dyDescent="0.3">
      <c r="A30" s="321">
        <v>20</v>
      </c>
      <c r="B30" s="411" t="s">
        <v>430</v>
      </c>
      <c r="C30" s="414"/>
      <c r="D30" s="415"/>
      <c r="E30" s="322"/>
      <c r="F30" s="326" t="s">
        <v>419</v>
      </c>
      <c r="G30" s="323" t="s">
        <v>397</v>
      </c>
      <c r="H30" s="416" t="s">
        <v>431</v>
      </c>
      <c r="I30" s="417"/>
      <c r="J30" s="324" t="s">
        <v>399</v>
      </c>
      <c r="K30" s="314"/>
      <c r="L30" s="316"/>
      <c r="M30" s="316"/>
      <c r="N30" s="316"/>
      <c r="O30" s="316"/>
      <c r="P30" s="316"/>
      <c r="Q30" s="316"/>
      <c r="R30" s="316"/>
      <c r="S30" s="316"/>
      <c r="T30" s="316"/>
      <c r="U30" s="316"/>
      <c r="V30" s="316"/>
    </row>
    <row r="31" spans="1:22" ht="50.1" customHeight="1" x14ac:dyDescent="0.3">
      <c r="A31" s="321">
        <v>21</v>
      </c>
      <c r="B31" s="411" t="s">
        <v>432</v>
      </c>
      <c r="C31" s="414"/>
      <c r="D31" s="415"/>
      <c r="E31" s="322"/>
      <c r="F31" s="326" t="s">
        <v>419</v>
      </c>
      <c r="G31" s="323" t="s">
        <v>397</v>
      </c>
      <c r="H31" s="416" t="s">
        <v>433</v>
      </c>
      <c r="I31" s="417"/>
      <c r="J31" s="324" t="s">
        <v>399</v>
      </c>
      <c r="K31" s="314"/>
      <c r="L31" s="316"/>
      <c r="M31" s="316"/>
      <c r="N31" s="316"/>
      <c r="O31" s="316"/>
      <c r="P31" s="316"/>
      <c r="Q31" s="316"/>
      <c r="R31" s="316"/>
      <c r="S31" s="316"/>
      <c r="T31" s="316"/>
      <c r="U31" s="316"/>
      <c r="V31" s="316"/>
    </row>
    <row r="32" spans="1:22" ht="50.1" customHeight="1" x14ac:dyDescent="0.3">
      <c r="A32" s="321">
        <v>22</v>
      </c>
      <c r="B32" s="411" t="s">
        <v>434</v>
      </c>
      <c r="C32" s="414"/>
      <c r="D32" s="415"/>
      <c r="E32" s="322"/>
      <c r="F32" s="326" t="s">
        <v>419</v>
      </c>
      <c r="G32" s="323" t="s">
        <v>397</v>
      </c>
      <c r="H32" s="416" t="s">
        <v>435</v>
      </c>
      <c r="I32" s="417"/>
      <c r="J32" s="324" t="s">
        <v>399</v>
      </c>
      <c r="K32" s="314"/>
      <c r="L32" s="316"/>
      <c r="M32" s="316"/>
      <c r="N32" s="316"/>
      <c r="O32" s="316"/>
      <c r="P32" s="316"/>
      <c r="Q32" s="316"/>
      <c r="R32" s="316"/>
      <c r="S32" s="316"/>
      <c r="T32" s="316"/>
      <c r="U32" s="316"/>
      <c r="V32" s="316"/>
    </row>
    <row r="33" spans="1:22" ht="50.1" customHeight="1" x14ac:dyDescent="0.3">
      <c r="A33" s="321">
        <v>23</v>
      </c>
      <c r="B33" s="411" t="s">
        <v>436</v>
      </c>
      <c r="C33" s="414"/>
      <c r="D33" s="415"/>
      <c r="E33" s="322"/>
      <c r="F33" s="326" t="s">
        <v>419</v>
      </c>
      <c r="G33" s="323" t="s">
        <v>397</v>
      </c>
      <c r="H33" s="416" t="s">
        <v>437</v>
      </c>
      <c r="I33" s="417"/>
      <c r="J33" s="324" t="s">
        <v>399</v>
      </c>
      <c r="K33" s="314"/>
      <c r="L33" s="316"/>
      <c r="M33" s="316"/>
      <c r="N33" s="316"/>
      <c r="O33" s="316"/>
      <c r="P33" s="316"/>
      <c r="Q33" s="316"/>
      <c r="R33" s="316"/>
      <c r="S33" s="316"/>
      <c r="T33" s="316"/>
      <c r="U33" s="316"/>
      <c r="V33" s="316"/>
    </row>
    <row r="34" spans="1:22" ht="50.1" customHeight="1" x14ac:dyDescent="0.3">
      <c r="A34" s="321">
        <v>24</v>
      </c>
      <c r="B34" s="411" t="s">
        <v>438</v>
      </c>
      <c r="C34" s="414"/>
      <c r="D34" s="415"/>
      <c r="E34" s="322"/>
      <c r="F34" s="326" t="s">
        <v>419</v>
      </c>
      <c r="G34" s="323" t="s">
        <v>397</v>
      </c>
      <c r="H34" s="416" t="s">
        <v>439</v>
      </c>
      <c r="I34" s="417"/>
      <c r="J34" s="324" t="s">
        <v>399</v>
      </c>
      <c r="K34" s="314"/>
      <c r="L34" s="316"/>
      <c r="M34" s="316"/>
      <c r="N34" s="316"/>
      <c r="O34" s="316"/>
      <c r="P34" s="316"/>
      <c r="Q34" s="316"/>
      <c r="R34" s="316"/>
      <c r="S34" s="316"/>
      <c r="T34" s="316"/>
      <c r="U34" s="316"/>
      <c r="V34" s="316"/>
    </row>
    <row r="35" spans="1:22" ht="50.1" customHeight="1" x14ac:dyDescent="0.3">
      <c r="A35" s="321">
        <v>25</v>
      </c>
      <c r="B35" s="411" t="s">
        <v>440</v>
      </c>
      <c r="C35" s="414"/>
      <c r="D35" s="415"/>
      <c r="E35" s="322"/>
      <c r="F35" s="326" t="s">
        <v>419</v>
      </c>
      <c r="G35" s="323" t="s">
        <v>397</v>
      </c>
      <c r="H35" s="416" t="s">
        <v>441</v>
      </c>
      <c r="I35" s="417"/>
      <c r="J35" s="324" t="s">
        <v>399</v>
      </c>
      <c r="K35" s="314"/>
      <c r="L35" s="316"/>
      <c r="M35" s="316"/>
      <c r="N35" s="316"/>
      <c r="O35" s="316"/>
      <c r="P35" s="316"/>
      <c r="Q35" s="316"/>
      <c r="R35" s="316"/>
      <c r="S35" s="316"/>
      <c r="T35" s="316"/>
      <c r="U35" s="316"/>
      <c r="V35" s="316"/>
    </row>
    <row r="36" spans="1:22" ht="50.1" customHeight="1" x14ac:dyDescent="0.3">
      <c r="A36" s="321">
        <v>26</v>
      </c>
      <c r="B36" s="411" t="s">
        <v>442</v>
      </c>
      <c r="C36" s="414"/>
      <c r="D36" s="415"/>
      <c r="E36" s="322"/>
      <c r="F36" s="322"/>
      <c r="G36" s="323" t="s">
        <v>397</v>
      </c>
      <c r="H36" s="416" t="s">
        <v>443</v>
      </c>
      <c r="I36" s="417"/>
      <c r="J36" s="324" t="s">
        <v>399</v>
      </c>
      <c r="K36" s="314"/>
      <c r="L36" s="316"/>
      <c r="M36" s="316"/>
      <c r="N36" s="316"/>
      <c r="O36" s="316"/>
      <c r="P36" s="316"/>
      <c r="Q36" s="316"/>
      <c r="R36" s="316"/>
      <c r="S36" s="316"/>
      <c r="T36" s="316"/>
      <c r="U36" s="316"/>
      <c r="V36" s="316"/>
    </row>
    <row r="37" spans="1:22" ht="50.1" customHeight="1" x14ac:dyDescent="0.3">
      <c r="A37" s="321">
        <v>27</v>
      </c>
      <c r="B37" s="411" t="s">
        <v>444</v>
      </c>
      <c r="C37" s="414"/>
      <c r="D37" s="415"/>
      <c r="E37" s="322"/>
      <c r="F37" s="322"/>
      <c r="G37" s="323" t="s">
        <v>397</v>
      </c>
      <c r="H37" s="416" t="s">
        <v>445</v>
      </c>
      <c r="I37" s="417"/>
      <c r="J37" s="324" t="s">
        <v>399</v>
      </c>
      <c r="K37" s="314"/>
      <c r="L37" s="316"/>
      <c r="M37" s="316"/>
      <c r="N37" s="316"/>
      <c r="O37" s="316"/>
      <c r="P37" s="316"/>
      <c r="Q37" s="316"/>
      <c r="R37" s="316"/>
      <c r="S37" s="316"/>
      <c r="T37" s="316"/>
      <c r="U37" s="316"/>
      <c r="V37" s="316"/>
    </row>
    <row r="38" spans="1:22" ht="50.1" customHeight="1" x14ac:dyDescent="0.3">
      <c r="A38" s="321">
        <v>28</v>
      </c>
      <c r="B38" s="411" t="s">
        <v>446</v>
      </c>
      <c r="C38" s="414"/>
      <c r="D38" s="415"/>
      <c r="E38" s="322"/>
      <c r="F38" s="322"/>
      <c r="G38" s="323" t="s">
        <v>397</v>
      </c>
      <c r="H38" s="409" t="s">
        <v>398</v>
      </c>
      <c r="I38" s="410"/>
      <c r="J38" s="324" t="s">
        <v>399</v>
      </c>
      <c r="K38" s="314"/>
      <c r="L38" s="316"/>
      <c r="M38" s="316"/>
      <c r="N38" s="316"/>
      <c r="O38" s="316"/>
      <c r="P38" s="316"/>
      <c r="Q38" s="316"/>
      <c r="R38" s="316"/>
      <c r="S38" s="316"/>
      <c r="T38" s="316"/>
      <c r="U38" s="316"/>
      <c r="V38" s="316"/>
    </row>
    <row r="39" spans="1:22" ht="50.1" customHeight="1" x14ac:dyDescent="0.3">
      <c r="A39" s="321">
        <v>29</v>
      </c>
      <c r="B39" s="411" t="s">
        <v>447</v>
      </c>
      <c r="C39" s="414"/>
      <c r="D39" s="415"/>
      <c r="E39" s="322"/>
      <c r="F39" s="322"/>
      <c r="G39" s="323" t="s">
        <v>397</v>
      </c>
      <c r="H39" s="416" t="s">
        <v>448</v>
      </c>
      <c r="I39" s="417"/>
      <c r="J39" s="324" t="s">
        <v>399</v>
      </c>
      <c r="K39" s="314"/>
      <c r="L39" s="316"/>
      <c r="M39" s="316"/>
      <c r="N39" s="316"/>
      <c r="O39" s="316"/>
      <c r="P39" s="316"/>
      <c r="Q39" s="316"/>
      <c r="R39" s="316"/>
      <c r="S39" s="316"/>
      <c r="T39" s="316"/>
      <c r="U39" s="316"/>
      <c r="V39" s="316"/>
    </row>
    <row r="40" spans="1:22" ht="50.1" customHeight="1" x14ac:dyDescent="0.3">
      <c r="A40" s="321">
        <v>30</v>
      </c>
      <c r="B40" s="411" t="s">
        <v>449</v>
      </c>
      <c r="C40" s="414"/>
      <c r="D40" s="415"/>
      <c r="E40" s="322"/>
      <c r="F40" s="322"/>
      <c r="G40" s="323" t="s">
        <v>397</v>
      </c>
      <c r="H40" s="416" t="s">
        <v>450</v>
      </c>
      <c r="I40" s="417"/>
      <c r="J40" s="324" t="s">
        <v>399</v>
      </c>
      <c r="K40" s="314"/>
      <c r="L40" s="316"/>
      <c r="M40" s="316"/>
      <c r="N40" s="316"/>
      <c r="O40" s="316"/>
      <c r="P40" s="316"/>
      <c r="Q40" s="316"/>
      <c r="R40" s="316"/>
      <c r="S40" s="316"/>
      <c r="T40" s="316"/>
      <c r="U40" s="316"/>
      <c r="V40" s="316"/>
    </row>
    <row r="41" spans="1:22" ht="50.1" customHeight="1" x14ac:dyDescent="0.3">
      <c r="A41" s="321">
        <v>31</v>
      </c>
      <c r="B41" s="423" t="s">
        <v>451</v>
      </c>
      <c r="C41" s="424"/>
      <c r="D41" s="410"/>
      <c r="E41" s="322"/>
      <c r="F41" s="322"/>
      <c r="G41" s="322"/>
      <c r="H41" s="425"/>
      <c r="I41" s="426"/>
      <c r="J41" s="322"/>
      <c r="K41" s="314"/>
      <c r="L41" s="316"/>
      <c r="M41" s="316"/>
      <c r="N41" s="316"/>
      <c r="O41" s="316"/>
      <c r="P41" s="316"/>
      <c r="Q41" s="316"/>
      <c r="R41" s="316"/>
      <c r="S41" s="316"/>
      <c r="T41" s="316"/>
      <c r="U41" s="316"/>
      <c r="V41" s="316"/>
    </row>
    <row r="42" spans="1:22" ht="50.1" customHeight="1" x14ac:dyDescent="0.3">
      <c r="A42" s="321">
        <v>32</v>
      </c>
      <c r="B42" s="463" t="s">
        <v>452</v>
      </c>
      <c r="C42" s="464"/>
      <c r="D42" s="465"/>
      <c r="E42" s="322"/>
      <c r="F42" s="322"/>
      <c r="G42" s="323" t="s">
        <v>397</v>
      </c>
      <c r="H42" s="416" t="s">
        <v>453</v>
      </c>
      <c r="I42" s="417"/>
      <c r="J42" s="324" t="s">
        <v>399</v>
      </c>
      <c r="K42" s="314"/>
      <c r="L42" s="316"/>
      <c r="M42" s="316"/>
      <c r="N42" s="316"/>
      <c r="O42" s="316"/>
      <c r="P42" s="316"/>
      <c r="Q42" s="316"/>
      <c r="R42" s="316"/>
      <c r="S42" s="316"/>
      <c r="T42" s="316"/>
      <c r="U42" s="316"/>
      <c r="V42" s="316"/>
    </row>
    <row r="43" spans="1:22" ht="50.1" customHeight="1" x14ac:dyDescent="0.3">
      <c r="A43" s="321">
        <v>33</v>
      </c>
      <c r="B43" s="463" t="s">
        <v>454</v>
      </c>
      <c r="C43" s="464"/>
      <c r="D43" s="465"/>
      <c r="E43" s="322"/>
      <c r="F43" s="322"/>
      <c r="G43" s="323" t="s">
        <v>397</v>
      </c>
      <c r="H43" s="409" t="s">
        <v>398</v>
      </c>
      <c r="I43" s="410"/>
      <c r="J43" s="324" t="s">
        <v>399</v>
      </c>
      <c r="K43" s="314"/>
      <c r="L43" s="316"/>
      <c r="M43" s="316"/>
      <c r="N43" s="316"/>
      <c r="O43" s="316"/>
      <c r="P43" s="316"/>
      <c r="Q43" s="316"/>
      <c r="R43" s="316"/>
      <c r="S43" s="316"/>
      <c r="T43" s="316"/>
      <c r="U43" s="316"/>
      <c r="V43" s="316"/>
    </row>
    <row r="44" spans="1:22" ht="50.1" customHeight="1" x14ac:dyDescent="0.3">
      <c r="A44" s="321">
        <v>34</v>
      </c>
      <c r="B44" s="423" t="s">
        <v>455</v>
      </c>
      <c r="C44" s="424"/>
      <c r="D44" s="410"/>
      <c r="E44" s="322"/>
      <c r="F44" s="322"/>
      <c r="G44" s="322"/>
      <c r="H44" s="425"/>
      <c r="I44" s="426"/>
      <c r="J44" s="322"/>
      <c r="K44" s="314"/>
      <c r="L44" s="316"/>
      <c r="M44" s="316"/>
      <c r="N44" s="316"/>
      <c r="O44" s="316"/>
      <c r="P44" s="316"/>
      <c r="Q44" s="316"/>
      <c r="R44" s="316"/>
      <c r="S44" s="316"/>
      <c r="T44" s="316"/>
      <c r="U44" s="316"/>
      <c r="V44" s="316"/>
    </row>
    <row r="45" spans="1:22" ht="50.1" customHeight="1" x14ac:dyDescent="0.3">
      <c r="A45" s="321">
        <v>35</v>
      </c>
      <c r="B45" s="411" t="s">
        <v>456</v>
      </c>
      <c r="C45" s="414"/>
      <c r="D45" s="415"/>
      <c r="E45" s="322"/>
      <c r="F45" s="322"/>
      <c r="G45" s="323" t="s">
        <v>397</v>
      </c>
      <c r="H45" s="409" t="s">
        <v>398</v>
      </c>
      <c r="I45" s="410"/>
      <c r="J45" s="324" t="s">
        <v>399</v>
      </c>
      <c r="K45" s="327"/>
      <c r="L45" s="327"/>
      <c r="M45" s="316"/>
      <c r="N45" s="316"/>
      <c r="O45" s="316"/>
      <c r="P45" s="316"/>
      <c r="Q45" s="316"/>
      <c r="R45" s="316"/>
      <c r="S45" s="316"/>
      <c r="T45" s="316"/>
      <c r="U45" s="316"/>
      <c r="V45" s="316"/>
    </row>
    <row r="46" spans="1:22" ht="50.1" customHeight="1" x14ac:dyDescent="0.3">
      <c r="A46" s="321">
        <v>36</v>
      </c>
      <c r="B46" s="411" t="s">
        <v>457</v>
      </c>
      <c r="C46" s="414"/>
      <c r="D46" s="415"/>
      <c r="E46" s="322"/>
      <c r="F46" s="322"/>
      <c r="G46" s="323" t="s">
        <v>397</v>
      </c>
      <c r="H46" s="409" t="s">
        <v>398</v>
      </c>
      <c r="I46" s="410"/>
      <c r="J46" s="324" t="s">
        <v>399</v>
      </c>
      <c r="K46" s="314"/>
      <c r="L46" s="316"/>
      <c r="M46" s="316"/>
      <c r="N46" s="316"/>
      <c r="O46" s="316"/>
      <c r="P46" s="316"/>
      <c r="Q46" s="316"/>
      <c r="R46" s="316"/>
      <c r="S46" s="316"/>
      <c r="T46" s="316"/>
      <c r="U46" s="316"/>
      <c r="V46" s="316"/>
    </row>
    <row r="47" spans="1:22" ht="50.1" customHeight="1" x14ac:dyDescent="0.3">
      <c r="A47" s="321">
        <v>37</v>
      </c>
      <c r="B47" s="411" t="s">
        <v>458</v>
      </c>
      <c r="C47" s="414"/>
      <c r="D47" s="415"/>
      <c r="E47" s="322"/>
      <c r="F47" s="322"/>
      <c r="G47" s="323" t="s">
        <v>397</v>
      </c>
      <c r="H47" s="409" t="s">
        <v>398</v>
      </c>
      <c r="I47" s="410"/>
      <c r="J47" s="324" t="s">
        <v>399</v>
      </c>
      <c r="K47" s="314"/>
      <c r="L47" s="316"/>
      <c r="M47" s="316"/>
      <c r="N47" s="316"/>
      <c r="O47" s="316"/>
      <c r="P47" s="316"/>
      <c r="Q47" s="316"/>
      <c r="R47" s="316"/>
      <c r="S47" s="316"/>
      <c r="T47" s="316"/>
      <c r="U47" s="316"/>
      <c r="V47" s="316"/>
    </row>
    <row r="48" spans="1:22" ht="50.1" customHeight="1" x14ac:dyDescent="0.3">
      <c r="A48" s="321">
        <v>38</v>
      </c>
      <c r="B48" s="411" t="s">
        <v>459</v>
      </c>
      <c r="C48" s="414"/>
      <c r="D48" s="415"/>
      <c r="E48" s="322"/>
      <c r="F48" s="322"/>
      <c r="G48" s="323" t="s">
        <v>397</v>
      </c>
      <c r="H48" s="409" t="s">
        <v>398</v>
      </c>
      <c r="I48" s="410"/>
      <c r="J48" s="324" t="s">
        <v>399</v>
      </c>
      <c r="K48" s="314"/>
      <c r="L48" s="316"/>
      <c r="M48" s="316"/>
      <c r="N48" s="316"/>
      <c r="O48" s="316"/>
      <c r="P48" s="316"/>
      <c r="Q48" s="316"/>
      <c r="R48" s="316"/>
      <c r="S48" s="316"/>
      <c r="T48" s="316"/>
      <c r="U48" s="316"/>
      <c r="V48" s="316"/>
    </row>
    <row r="49" spans="1:22" ht="96.75" customHeight="1" x14ac:dyDescent="0.3">
      <c r="A49" s="321">
        <v>39</v>
      </c>
      <c r="B49" s="411" t="s">
        <v>460</v>
      </c>
      <c r="C49" s="414"/>
      <c r="D49" s="415"/>
      <c r="E49" s="322"/>
      <c r="F49" s="322"/>
      <c r="G49" s="323" t="s">
        <v>397</v>
      </c>
      <c r="H49" s="409" t="s">
        <v>398</v>
      </c>
      <c r="I49" s="410"/>
      <c r="J49" s="324" t="s">
        <v>399</v>
      </c>
      <c r="K49" s="325">
        <v>150000</v>
      </c>
      <c r="L49" s="314">
        <f>K49*21</f>
        <v>3150000</v>
      </c>
      <c r="M49" s="316"/>
      <c r="N49" s="316"/>
      <c r="O49" s="316"/>
      <c r="P49" s="316"/>
      <c r="Q49" s="316"/>
      <c r="R49" s="316"/>
      <c r="S49" s="316"/>
      <c r="T49" s="316"/>
      <c r="U49" s="316"/>
      <c r="V49" s="316"/>
    </row>
    <row r="50" spans="1:22" ht="84" customHeight="1" x14ac:dyDescent="0.3">
      <c r="A50" s="321">
        <v>40</v>
      </c>
      <c r="B50" s="411" t="s">
        <v>461</v>
      </c>
      <c r="C50" s="414"/>
      <c r="D50" s="415"/>
      <c r="E50" s="322"/>
      <c r="F50" s="322"/>
      <c r="G50" s="323" t="s">
        <v>397</v>
      </c>
      <c r="H50" s="409" t="s">
        <v>398</v>
      </c>
      <c r="I50" s="410"/>
      <c r="J50" s="324" t="s">
        <v>399</v>
      </c>
      <c r="K50" s="314"/>
      <c r="L50" s="316"/>
      <c r="M50" s="316"/>
      <c r="N50" s="316"/>
      <c r="O50" s="316"/>
      <c r="P50" s="316"/>
      <c r="Q50" s="316"/>
      <c r="R50" s="316"/>
      <c r="S50" s="316"/>
      <c r="T50" s="316"/>
      <c r="U50" s="316"/>
      <c r="V50" s="316"/>
    </row>
    <row r="51" spans="1:22" ht="50.1" customHeight="1" x14ac:dyDescent="0.3">
      <c r="A51" s="321">
        <v>41</v>
      </c>
      <c r="B51" s="411" t="s">
        <v>462</v>
      </c>
      <c r="C51" s="414"/>
      <c r="D51" s="415"/>
      <c r="E51" s="322"/>
      <c r="F51" s="322"/>
      <c r="G51" s="323" t="s">
        <v>397</v>
      </c>
      <c r="H51" s="409" t="s">
        <v>398</v>
      </c>
      <c r="I51" s="410"/>
      <c r="J51" s="324" t="s">
        <v>399</v>
      </c>
      <c r="K51" s="314"/>
      <c r="L51" s="316"/>
      <c r="M51" s="316"/>
      <c r="N51" s="316"/>
      <c r="O51" s="316"/>
      <c r="P51" s="316"/>
      <c r="Q51" s="316"/>
      <c r="R51" s="316"/>
      <c r="S51" s="316"/>
      <c r="T51" s="316"/>
      <c r="U51" s="316"/>
      <c r="V51" s="316"/>
    </row>
    <row r="52" spans="1:22" ht="50.1" customHeight="1" x14ac:dyDescent="0.3">
      <c r="A52" s="321">
        <v>42</v>
      </c>
      <c r="B52" s="411" t="s">
        <v>463</v>
      </c>
      <c r="C52" s="414"/>
      <c r="D52" s="415"/>
      <c r="E52" s="322"/>
      <c r="F52" s="322"/>
      <c r="G52" s="323" t="s">
        <v>397</v>
      </c>
      <c r="H52" s="409" t="s">
        <v>398</v>
      </c>
      <c r="I52" s="410"/>
      <c r="J52" s="324" t="s">
        <v>399</v>
      </c>
      <c r="K52" s="314"/>
      <c r="L52" s="316"/>
      <c r="M52" s="316"/>
      <c r="N52" s="316"/>
      <c r="O52" s="316"/>
      <c r="P52" s="316"/>
      <c r="Q52" s="316"/>
      <c r="R52" s="316"/>
      <c r="S52" s="316"/>
      <c r="T52" s="316"/>
      <c r="U52" s="316"/>
      <c r="V52" s="316"/>
    </row>
    <row r="53" spans="1:22" ht="50.1" customHeight="1" x14ac:dyDescent="0.3">
      <c r="A53" s="321">
        <v>43</v>
      </c>
      <c r="B53" s="411" t="s">
        <v>464</v>
      </c>
      <c r="C53" s="460"/>
      <c r="D53" s="461"/>
      <c r="E53" s="322"/>
      <c r="F53" s="322"/>
      <c r="G53" s="323" t="s">
        <v>397</v>
      </c>
      <c r="H53" s="409" t="s">
        <v>398</v>
      </c>
      <c r="I53" s="410"/>
      <c r="J53" s="324" t="s">
        <v>399</v>
      </c>
      <c r="K53" s="314"/>
      <c r="L53" s="316"/>
      <c r="M53" s="316"/>
      <c r="N53" s="316"/>
      <c r="O53" s="316"/>
      <c r="P53" s="316"/>
      <c r="Q53" s="316"/>
      <c r="R53" s="316"/>
      <c r="S53" s="316"/>
      <c r="T53" s="316"/>
      <c r="U53" s="316"/>
      <c r="V53" s="316"/>
    </row>
    <row r="54" spans="1:22" ht="50.1" customHeight="1" x14ac:dyDescent="0.3">
      <c r="A54" s="321">
        <v>44</v>
      </c>
      <c r="B54" s="411" t="s">
        <v>465</v>
      </c>
      <c r="C54" s="414"/>
      <c r="D54" s="415"/>
      <c r="E54" s="322"/>
      <c r="F54" s="322"/>
      <c r="G54" s="323" t="s">
        <v>397</v>
      </c>
      <c r="H54" s="409" t="s">
        <v>398</v>
      </c>
      <c r="I54" s="410"/>
      <c r="J54" s="324" t="s">
        <v>399</v>
      </c>
      <c r="K54" s="314"/>
      <c r="L54" s="316"/>
      <c r="M54" s="316"/>
      <c r="N54" s="316"/>
      <c r="O54" s="316"/>
      <c r="P54" s="316"/>
      <c r="Q54" s="316"/>
      <c r="R54" s="316"/>
      <c r="S54" s="316"/>
      <c r="T54" s="316"/>
      <c r="U54" s="316"/>
      <c r="V54" s="316"/>
    </row>
    <row r="55" spans="1:22" ht="50.1" customHeight="1" x14ac:dyDescent="0.3">
      <c r="A55" s="321">
        <v>45</v>
      </c>
      <c r="B55" s="411" t="s">
        <v>466</v>
      </c>
      <c r="C55" s="414"/>
      <c r="D55" s="415"/>
      <c r="E55" s="322"/>
      <c r="F55" s="322"/>
      <c r="G55" s="323" t="s">
        <v>397</v>
      </c>
      <c r="H55" s="409" t="s">
        <v>398</v>
      </c>
      <c r="I55" s="410"/>
      <c r="J55" s="324" t="s">
        <v>399</v>
      </c>
      <c r="K55" s="314"/>
      <c r="L55" s="316"/>
      <c r="M55" s="316"/>
      <c r="N55" s="316"/>
      <c r="O55" s="316"/>
      <c r="P55" s="316"/>
      <c r="Q55" s="316"/>
      <c r="R55" s="316"/>
      <c r="S55" s="316"/>
      <c r="T55" s="316"/>
      <c r="U55" s="316"/>
      <c r="V55" s="316"/>
    </row>
    <row r="56" spans="1:22" ht="50.1" customHeight="1" x14ac:dyDescent="0.3">
      <c r="A56" s="321">
        <v>46</v>
      </c>
      <c r="B56" s="411" t="s">
        <v>467</v>
      </c>
      <c r="C56" s="414"/>
      <c r="D56" s="415"/>
      <c r="E56" s="322"/>
      <c r="F56" s="322"/>
      <c r="G56" s="323" t="s">
        <v>397</v>
      </c>
      <c r="H56" s="409" t="s">
        <v>398</v>
      </c>
      <c r="I56" s="410"/>
      <c r="J56" s="324" t="s">
        <v>399</v>
      </c>
      <c r="K56" s="314"/>
      <c r="L56" s="316"/>
      <c r="M56" s="316"/>
      <c r="N56" s="316"/>
      <c r="O56" s="316"/>
      <c r="P56" s="316"/>
      <c r="Q56" s="316"/>
      <c r="R56" s="316"/>
      <c r="S56" s="316"/>
      <c r="T56" s="316"/>
      <c r="U56" s="316"/>
      <c r="V56" s="316"/>
    </row>
    <row r="57" spans="1:22" ht="50.1" customHeight="1" x14ac:dyDescent="0.3">
      <c r="A57" s="321">
        <v>47</v>
      </c>
      <c r="B57" s="411" t="s">
        <v>468</v>
      </c>
      <c r="C57" s="414"/>
      <c r="D57" s="415"/>
      <c r="E57" s="322"/>
      <c r="F57" s="322"/>
      <c r="G57" s="323" t="s">
        <v>397</v>
      </c>
      <c r="H57" s="409" t="s">
        <v>398</v>
      </c>
      <c r="I57" s="410"/>
      <c r="J57" s="324" t="s">
        <v>399</v>
      </c>
      <c r="K57" s="314"/>
      <c r="L57" s="316"/>
      <c r="M57" s="316"/>
      <c r="N57" s="316"/>
      <c r="O57" s="316"/>
      <c r="P57" s="316"/>
      <c r="Q57" s="316"/>
      <c r="R57" s="316"/>
      <c r="S57" s="316"/>
      <c r="T57" s="316"/>
      <c r="U57" s="316"/>
      <c r="V57" s="316"/>
    </row>
    <row r="58" spans="1:22" ht="50.1" customHeight="1" x14ac:dyDescent="0.3">
      <c r="A58" s="321">
        <v>48</v>
      </c>
      <c r="B58" s="411" t="s">
        <v>469</v>
      </c>
      <c r="C58" s="414"/>
      <c r="D58" s="415"/>
      <c r="E58" s="322"/>
      <c r="F58" s="322"/>
      <c r="G58" s="323" t="s">
        <v>397</v>
      </c>
      <c r="H58" s="409" t="s">
        <v>398</v>
      </c>
      <c r="I58" s="410"/>
      <c r="J58" s="324" t="s">
        <v>399</v>
      </c>
      <c r="K58" s="325">
        <v>1000</v>
      </c>
      <c r="L58" s="314">
        <f>K58*21</f>
        <v>21000</v>
      </c>
      <c r="M58" s="316"/>
      <c r="N58" s="316"/>
      <c r="O58" s="316"/>
      <c r="P58" s="316"/>
      <c r="Q58" s="316"/>
      <c r="R58" s="316"/>
      <c r="S58" s="316"/>
      <c r="T58" s="316"/>
      <c r="U58" s="316"/>
      <c r="V58" s="316"/>
    </row>
    <row r="59" spans="1:22" ht="50.1" customHeight="1" x14ac:dyDescent="0.3">
      <c r="A59" s="321">
        <v>49</v>
      </c>
      <c r="B59" s="411" t="s">
        <v>470</v>
      </c>
      <c r="C59" s="414"/>
      <c r="D59" s="415"/>
      <c r="E59" s="322"/>
      <c r="F59" s="322"/>
      <c r="G59" s="323" t="s">
        <v>397</v>
      </c>
      <c r="H59" s="409" t="s">
        <v>398</v>
      </c>
      <c r="I59" s="410"/>
      <c r="J59" s="324" t="s">
        <v>399</v>
      </c>
      <c r="K59" s="314"/>
      <c r="L59" s="316"/>
      <c r="M59" s="316"/>
      <c r="N59" s="316"/>
      <c r="O59" s="316"/>
      <c r="P59" s="316"/>
      <c r="Q59" s="316"/>
      <c r="R59" s="316"/>
      <c r="S59" s="316"/>
      <c r="T59" s="316"/>
      <c r="U59" s="316"/>
      <c r="V59" s="316"/>
    </row>
    <row r="60" spans="1:22" ht="176.25" customHeight="1" x14ac:dyDescent="0.3">
      <c r="A60" s="321">
        <v>50</v>
      </c>
      <c r="B60" s="411" t="s">
        <v>471</v>
      </c>
      <c r="C60" s="414"/>
      <c r="D60" s="415"/>
      <c r="E60" s="322"/>
      <c r="F60" s="322"/>
      <c r="G60" s="323" t="s">
        <v>397</v>
      </c>
      <c r="H60" s="462" t="s">
        <v>472</v>
      </c>
      <c r="I60" s="417"/>
      <c r="J60" s="324" t="s">
        <v>399</v>
      </c>
      <c r="K60" s="325">
        <v>65000</v>
      </c>
      <c r="L60" s="314">
        <f>K60*21</f>
        <v>1365000</v>
      </c>
      <c r="M60" s="316"/>
      <c r="N60" s="316"/>
      <c r="O60" s="316"/>
      <c r="P60" s="316"/>
      <c r="Q60" s="316"/>
      <c r="R60" s="316"/>
      <c r="S60" s="316"/>
      <c r="T60" s="316"/>
      <c r="U60" s="316"/>
      <c r="V60" s="316"/>
    </row>
    <row r="61" spans="1:22" ht="50.1" customHeight="1" x14ac:dyDescent="0.3">
      <c r="A61" s="321">
        <v>51</v>
      </c>
      <c r="B61" s="411" t="s">
        <v>473</v>
      </c>
      <c r="C61" s="412"/>
      <c r="D61" s="413"/>
      <c r="E61" s="322"/>
      <c r="F61" s="322"/>
      <c r="G61" s="323" t="s">
        <v>397</v>
      </c>
      <c r="H61" s="409" t="s">
        <v>398</v>
      </c>
      <c r="I61" s="410"/>
      <c r="J61" s="324" t="s">
        <v>399</v>
      </c>
      <c r="K61" s="314"/>
      <c r="L61" s="316"/>
      <c r="M61" s="316"/>
      <c r="N61" s="316"/>
      <c r="O61" s="316"/>
      <c r="P61" s="316"/>
      <c r="Q61" s="316"/>
      <c r="R61" s="316"/>
      <c r="S61" s="316"/>
      <c r="T61" s="316"/>
      <c r="U61" s="316"/>
      <c r="V61" s="316"/>
    </row>
    <row r="62" spans="1:22" ht="50.1" customHeight="1" x14ac:dyDescent="0.3">
      <c r="A62" s="321">
        <v>52</v>
      </c>
      <c r="B62" s="411" t="s">
        <v>474</v>
      </c>
      <c r="C62" s="414"/>
      <c r="D62" s="415"/>
      <c r="E62" s="322"/>
      <c r="F62" s="322"/>
      <c r="G62" s="323" t="s">
        <v>397</v>
      </c>
      <c r="H62" s="409" t="s">
        <v>398</v>
      </c>
      <c r="I62" s="410"/>
      <c r="J62" s="324" t="s">
        <v>399</v>
      </c>
      <c r="K62" s="314"/>
      <c r="L62" s="316"/>
      <c r="M62" s="316"/>
      <c r="N62" s="316"/>
      <c r="O62" s="316"/>
      <c r="P62" s="316"/>
      <c r="Q62" s="316"/>
      <c r="R62" s="316"/>
      <c r="S62" s="316"/>
      <c r="T62" s="316"/>
      <c r="U62" s="316"/>
      <c r="V62" s="316"/>
    </row>
    <row r="63" spans="1:22" ht="50.1" customHeight="1" x14ac:dyDescent="0.3">
      <c r="A63" s="321">
        <v>53</v>
      </c>
      <c r="B63" s="411" t="s">
        <v>475</v>
      </c>
      <c r="C63" s="414"/>
      <c r="D63" s="415"/>
      <c r="E63" s="322"/>
      <c r="F63" s="322"/>
      <c r="G63" s="323" t="s">
        <v>397</v>
      </c>
      <c r="H63" s="409" t="s">
        <v>398</v>
      </c>
      <c r="I63" s="410"/>
      <c r="J63" s="324" t="s">
        <v>399</v>
      </c>
      <c r="K63" s="314"/>
      <c r="L63" s="316"/>
      <c r="M63" s="316"/>
      <c r="N63" s="316"/>
      <c r="O63" s="316"/>
      <c r="P63" s="316"/>
      <c r="Q63" s="316"/>
      <c r="R63" s="316"/>
      <c r="S63" s="316"/>
      <c r="T63" s="316"/>
      <c r="U63" s="316"/>
      <c r="V63" s="316"/>
    </row>
    <row r="64" spans="1:22" ht="50.1" customHeight="1" x14ac:dyDescent="0.3">
      <c r="A64" s="321">
        <v>54</v>
      </c>
      <c r="B64" s="406" t="s">
        <v>476</v>
      </c>
      <c r="C64" s="407"/>
      <c r="D64" s="408"/>
      <c r="E64" s="322"/>
      <c r="F64" s="322"/>
      <c r="G64" s="323" t="s">
        <v>397</v>
      </c>
      <c r="H64" s="409" t="s">
        <v>398</v>
      </c>
      <c r="I64" s="410"/>
      <c r="J64" s="324" t="s">
        <v>399</v>
      </c>
      <c r="K64" s="314"/>
      <c r="L64" s="316"/>
      <c r="M64" s="316"/>
      <c r="N64" s="316"/>
      <c r="O64" s="316"/>
      <c r="P64" s="316"/>
      <c r="Q64" s="316"/>
      <c r="R64" s="316"/>
      <c r="S64" s="316"/>
      <c r="T64" s="316"/>
      <c r="U64" s="316"/>
      <c r="V64" s="316"/>
    </row>
    <row r="65" spans="1:22" ht="50.1" customHeight="1" x14ac:dyDescent="0.3">
      <c r="A65" s="321">
        <v>55</v>
      </c>
      <c r="B65" s="411" t="s">
        <v>477</v>
      </c>
      <c r="C65" s="414"/>
      <c r="D65" s="415"/>
      <c r="E65" s="322"/>
      <c r="F65" s="322"/>
      <c r="G65" s="323" t="s">
        <v>397</v>
      </c>
      <c r="H65" s="409" t="s">
        <v>398</v>
      </c>
      <c r="I65" s="410"/>
      <c r="J65" s="324" t="s">
        <v>399</v>
      </c>
      <c r="K65" s="314"/>
      <c r="L65" s="316"/>
      <c r="M65" s="316"/>
      <c r="N65" s="316"/>
      <c r="O65" s="316"/>
      <c r="P65" s="316"/>
      <c r="Q65" s="316"/>
      <c r="R65" s="316"/>
      <c r="S65" s="316"/>
      <c r="T65" s="316"/>
      <c r="U65" s="316"/>
      <c r="V65" s="316"/>
    </row>
    <row r="66" spans="1:22" ht="50.1" customHeight="1" x14ac:dyDescent="0.3">
      <c r="A66" s="321">
        <v>56</v>
      </c>
      <c r="B66" s="411" t="s">
        <v>478</v>
      </c>
      <c r="C66" s="460"/>
      <c r="D66" s="461"/>
      <c r="E66" s="322"/>
      <c r="F66" s="326" t="s">
        <v>479</v>
      </c>
      <c r="G66" s="323" t="s">
        <v>397</v>
      </c>
      <c r="H66" s="416" t="s">
        <v>480</v>
      </c>
      <c r="I66" s="417"/>
      <c r="J66" s="324" t="s">
        <v>399</v>
      </c>
      <c r="K66" s="314"/>
      <c r="L66" s="316"/>
      <c r="M66" s="316"/>
      <c r="N66" s="316"/>
      <c r="O66" s="316"/>
      <c r="P66" s="316"/>
      <c r="Q66" s="316"/>
      <c r="R66" s="316"/>
      <c r="S66" s="316"/>
      <c r="T66" s="316"/>
      <c r="U66" s="316"/>
      <c r="V66" s="316"/>
    </row>
    <row r="67" spans="1:22" ht="169.5" customHeight="1" x14ac:dyDescent="0.3">
      <c r="A67" s="321">
        <v>57</v>
      </c>
      <c r="B67" s="411" t="s">
        <v>481</v>
      </c>
      <c r="C67" s="414"/>
      <c r="D67" s="415"/>
      <c r="E67" s="322"/>
      <c r="F67" s="326" t="s">
        <v>479</v>
      </c>
      <c r="G67" s="323" t="s">
        <v>397</v>
      </c>
      <c r="H67" s="416" t="s">
        <v>482</v>
      </c>
      <c r="I67" s="417"/>
      <c r="J67" s="324" t="s">
        <v>399</v>
      </c>
      <c r="K67" s="325">
        <v>50000</v>
      </c>
      <c r="L67" s="314">
        <f>K67*21</f>
        <v>1050000</v>
      </c>
      <c r="M67" s="316"/>
      <c r="N67" s="316"/>
      <c r="O67" s="316"/>
      <c r="P67" s="316"/>
      <c r="Q67" s="316"/>
      <c r="R67" s="316"/>
      <c r="S67" s="316"/>
      <c r="T67" s="316"/>
      <c r="U67" s="316"/>
      <c r="V67" s="316"/>
    </row>
    <row r="68" spans="1:22" ht="50.1" customHeight="1" x14ac:dyDescent="0.3">
      <c r="A68" s="321">
        <v>58</v>
      </c>
      <c r="B68" s="411" t="s">
        <v>483</v>
      </c>
      <c r="C68" s="414"/>
      <c r="D68" s="415"/>
      <c r="E68" s="322"/>
      <c r="F68" s="326" t="s">
        <v>479</v>
      </c>
      <c r="G68" s="323" t="s">
        <v>397</v>
      </c>
      <c r="H68" s="416" t="s">
        <v>484</v>
      </c>
      <c r="I68" s="417"/>
      <c r="J68" s="324" t="s">
        <v>399</v>
      </c>
      <c r="K68" s="325">
        <v>3000</v>
      </c>
      <c r="L68" s="314">
        <f>K68*21</f>
        <v>63000</v>
      </c>
      <c r="M68" s="316"/>
      <c r="N68" s="316"/>
      <c r="O68" s="316"/>
      <c r="P68" s="316"/>
      <c r="Q68" s="316"/>
      <c r="R68" s="316"/>
      <c r="S68" s="316"/>
      <c r="T68" s="316"/>
      <c r="U68" s="316"/>
      <c r="V68" s="316"/>
    </row>
    <row r="69" spans="1:22" ht="50.1" customHeight="1" x14ac:dyDescent="0.3">
      <c r="A69" s="321">
        <v>59</v>
      </c>
      <c r="B69" s="411" t="s">
        <v>485</v>
      </c>
      <c r="C69" s="414"/>
      <c r="D69" s="415"/>
      <c r="E69" s="322"/>
      <c r="F69" s="322"/>
      <c r="G69" s="323" t="s">
        <v>397</v>
      </c>
      <c r="H69" s="409" t="s">
        <v>398</v>
      </c>
      <c r="I69" s="410"/>
      <c r="J69" s="324" t="s">
        <v>399</v>
      </c>
      <c r="K69" s="327"/>
      <c r="L69" s="316"/>
      <c r="M69" s="316"/>
      <c r="N69" s="316"/>
      <c r="O69" s="316"/>
      <c r="P69" s="316"/>
      <c r="Q69" s="316"/>
      <c r="R69" s="316"/>
      <c r="S69" s="316"/>
      <c r="T69" s="316"/>
      <c r="U69" s="316"/>
      <c r="V69" s="316"/>
    </row>
    <row r="70" spans="1:22" ht="50.1" customHeight="1" x14ac:dyDescent="0.3">
      <c r="A70" s="321">
        <v>60</v>
      </c>
      <c r="B70" s="411" t="s">
        <v>486</v>
      </c>
      <c r="C70" s="412"/>
      <c r="D70" s="413"/>
      <c r="E70" s="322"/>
      <c r="F70" s="322"/>
      <c r="G70" s="323" t="s">
        <v>397</v>
      </c>
      <c r="H70" s="409" t="s">
        <v>398</v>
      </c>
      <c r="I70" s="410"/>
      <c r="J70" s="324" t="s">
        <v>399</v>
      </c>
      <c r="K70" s="314"/>
      <c r="L70" s="316"/>
      <c r="M70" s="316"/>
      <c r="N70" s="316"/>
      <c r="O70" s="316"/>
      <c r="P70" s="316"/>
      <c r="Q70" s="316"/>
      <c r="R70" s="316"/>
      <c r="S70" s="316"/>
      <c r="T70" s="316"/>
      <c r="U70" s="316"/>
      <c r="V70" s="316"/>
    </row>
    <row r="71" spans="1:22" ht="50.1" customHeight="1" x14ac:dyDescent="0.3">
      <c r="A71" s="321">
        <v>61</v>
      </c>
      <c r="B71" s="411" t="s">
        <v>487</v>
      </c>
      <c r="C71" s="414"/>
      <c r="D71" s="415"/>
      <c r="E71" s="322"/>
      <c r="F71" s="322"/>
      <c r="G71" s="323" t="s">
        <v>397</v>
      </c>
      <c r="H71" s="416" t="s">
        <v>488</v>
      </c>
      <c r="I71" s="417"/>
      <c r="J71" s="324" t="s">
        <v>399</v>
      </c>
      <c r="K71" s="325">
        <v>3000</v>
      </c>
      <c r="L71" s="314">
        <f>K71*21</f>
        <v>63000</v>
      </c>
      <c r="M71" s="316"/>
      <c r="N71" s="316"/>
      <c r="O71" s="316"/>
      <c r="P71" s="316"/>
      <c r="Q71" s="316"/>
      <c r="R71" s="316"/>
      <c r="S71" s="316"/>
      <c r="T71" s="316"/>
      <c r="U71" s="316"/>
      <c r="V71" s="316"/>
    </row>
    <row r="72" spans="1:22" ht="50.1" customHeight="1" x14ac:dyDescent="0.3">
      <c r="A72" s="321">
        <v>62</v>
      </c>
      <c r="B72" s="411" t="s">
        <v>489</v>
      </c>
      <c r="C72" s="414"/>
      <c r="D72" s="415"/>
      <c r="E72" s="322"/>
      <c r="F72" s="322"/>
      <c r="G72" s="323" t="s">
        <v>397</v>
      </c>
      <c r="H72" s="409" t="s">
        <v>398</v>
      </c>
      <c r="I72" s="410"/>
      <c r="J72" s="324" t="s">
        <v>399</v>
      </c>
      <c r="K72" s="314"/>
      <c r="L72" s="316"/>
      <c r="M72" s="316"/>
      <c r="N72" s="316"/>
      <c r="O72" s="316"/>
      <c r="P72" s="316"/>
      <c r="Q72" s="316"/>
      <c r="R72" s="316"/>
      <c r="S72" s="316"/>
      <c r="T72" s="316"/>
      <c r="U72" s="316"/>
      <c r="V72" s="316"/>
    </row>
    <row r="73" spans="1:22" ht="190.5" customHeight="1" x14ac:dyDescent="0.3">
      <c r="A73" s="321">
        <v>63</v>
      </c>
      <c r="B73" s="411" t="s">
        <v>490</v>
      </c>
      <c r="C73" s="414"/>
      <c r="D73" s="415"/>
      <c r="E73" s="322"/>
      <c r="F73" s="322"/>
      <c r="G73" s="323" t="s">
        <v>397</v>
      </c>
      <c r="H73" s="416" t="s">
        <v>491</v>
      </c>
      <c r="I73" s="417"/>
      <c r="J73" s="324" t="s">
        <v>399</v>
      </c>
      <c r="K73" s="325">
        <v>20000</v>
      </c>
      <c r="L73" s="314">
        <f>K73*21</f>
        <v>420000</v>
      </c>
      <c r="M73" s="316"/>
      <c r="N73" s="316"/>
      <c r="O73" s="316"/>
      <c r="P73" s="316"/>
      <c r="Q73" s="316"/>
      <c r="R73" s="316"/>
      <c r="S73" s="316"/>
      <c r="T73" s="316"/>
      <c r="U73" s="316"/>
      <c r="V73" s="316"/>
    </row>
    <row r="74" spans="1:22" ht="50.1" customHeight="1" x14ac:dyDescent="0.3">
      <c r="A74" s="321">
        <v>64</v>
      </c>
      <c r="B74" s="406" t="s">
        <v>492</v>
      </c>
      <c r="C74" s="407"/>
      <c r="D74" s="408"/>
      <c r="E74" s="322"/>
      <c r="F74" s="322"/>
      <c r="G74" s="323" t="s">
        <v>397</v>
      </c>
      <c r="H74" s="409" t="s">
        <v>398</v>
      </c>
      <c r="I74" s="410"/>
      <c r="J74" s="324" t="s">
        <v>399</v>
      </c>
      <c r="K74" s="314"/>
      <c r="L74" s="316"/>
      <c r="M74" s="316"/>
      <c r="N74" s="316"/>
      <c r="O74" s="316"/>
      <c r="P74" s="316"/>
      <c r="Q74" s="316"/>
      <c r="R74" s="316"/>
      <c r="S74" s="316"/>
      <c r="T74" s="316"/>
      <c r="U74" s="316"/>
      <c r="V74" s="316"/>
    </row>
    <row r="75" spans="1:22" ht="50.1" customHeight="1" x14ac:dyDescent="0.3">
      <c r="A75" s="321">
        <v>65</v>
      </c>
      <c r="B75" s="411" t="s">
        <v>493</v>
      </c>
      <c r="C75" s="414"/>
      <c r="D75" s="415"/>
      <c r="E75" s="322"/>
      <c r="F75" s="322"/>
      <c r="G75" s="323" t="s">
        <v>397</v>
      </c>
      <c r="H75" s="416" t="s">
        <v>494</v>
      </c>
      <c r="I75" s="417"/>
      <c r="J75" s="324" t="s">
        <v>399</v>
      </c>
      <c r="K75" s="314">
        <v>9000</v>
      </c>
      <c r="L75" s="314">
        <f>K75*21</f>
        <v>189000</v>
      </c>
      <c r="M75" s="316"/>
      <c r="N75" s="316"/>
      <c r="O75" s="316"/>
      <c r="P75" s="316"/>
      <c r="Q75" s="316"/>
      <c r="R75" s="316"/>
      <c r="S75" s="316"/>
      <c r="T75" s="316"/>
      <c r="U75" s="316"/>
      <c r="V75" s="316"/>
    </row>
    <row r="76" spans="1:22" ht="50.1" customHeight="1" x14ac:dyDescent="0.3">
      <c r="A76" s="321">
        <v>66</v>
      </c>
      <c r="B76" s="411" t="s">
        <v>495</v>
      </c>
      <c r="C76" s="460"/>
      <c r="D76" s="461"/>
      <c r="E76" s="322"/>
      <c r="F76" s="322"/>
      <c r="G76" s="323" t="s">
        <v>397</v>
      </c>
      <c r="H76" s="409" t="s">
        <v>398</v>
      </c>
      <c r="I76" s="410"/>
      <c r="J76" s="324" t="s">
        <v>399</v>
      </c>
      <c r="K76" s="325"/>
      <c r="L76" s="316"/>
      <c r="M76" s="316"/>
      <c r="N76" s="316"/>
      <c r="O76" s="316"/>
      <c r="P76" s="316"/>
      <c r="Q76" s="316"/>
      <c r="R76" s="316"/>
      <c r="S76" s="316"/>
      <c r="T76" s="316"/>
      <c r="U76" s="316"/>
      <c r="V76" s="316"/>
    </row>
    <row r="77" spans="1:22" ht="50.1" customHeight="1" x14ac:dyDescent="0.3">
      <c r="A77" s="321">
        <v>67</v>
      </c>
      <c r="B77" s="423" t="s">
        <v>496</v>
      </c>
      <c r="C77" s="424"/>
      <c r="D77" s="410"/>
      <c r="E77" s="322"/>
      <c r="F77" s="322"/>
      <c r="G77" s="322"/>
      <c r="H77" s="425"/>
      <c r="I77" s="426"/>
      <c r="J77" s="322"/>
      <c r="K77" s="314"/>
      <c r="L77" s="316"/>
      <c r="M77" s="316"/>
      <c r="N77" s="316"/>
      <c r="O77" s="316"/>
      <c r="P77" s="316"/>
      <c r="Q77" s="316"/>
      <c r="R77" s="316"/>
      <c r="S77" s="316"/>
      <c r="T77" s="316"/>
      <c r="U77" s="316"/>
      <c r="V77" s="316"/>
    </row>
    <row r="78" spans="1:22" ht="50.1" customHeight="1" x14ac:dyDescent="0.3">
      <c r="A78" s="321">
        <v>68</v>
      </c>
      <c r="B78" s="411" t="s">
        <v>497</v>
      </c>
      <c r="C78" s="414"/>
      <c r="D78" s="415"/>
      <c r="E78" s="322"/>
      <c r="F78" s="322"/>
      <c r="G78" s="323" t="s">
        <v>397</v>
      </c>
      <c r="H78" s="409" t="s">
        <v>398</v>
      </c>
      <c r="I78" s="410"/>
      <c r="J78" s="324" t="s">
        <v>399</v>
      </c>
      <c r="K78" s="314"/>
      <c r="L78" s="316"/>
      <c r="M78" s="316"/>
      <c r="N78" s="316"/>
      <c r="O78" s="316"/>
      <c r="P78" s="316"/>
      <c r="Q78" s="316"/>
      <c r="R78" s="316"/>
      <c r="S78" s="316"/>
      <c r="T78" s="316"/>
      <c r="U78" s="316"/>
      <c r="V78" s="316"/>
    </row>
    <row r="79" spans="1:22" ht="50.1" customHeight="1" x14ac:dyDescent="0.3">
      <c r="A79" s="321">
        <v>69</v>
      </c>
      <c r="B79" s="411" t="s">
        <v>498</v>
      </c>
      <c r="C79" s="414"/>
      <c r="D79" s="415"/>
      <c r="E79" s="322"/>
      <c r="F79" s="322"/>
      <c r="G79" s="323" t="s">
        <v>397</v>
      </c>
      <c r="H79" s="409" t="s">
        <v>398</v>
      </c>
      <c r="I79" s="410"/>
      <c r="J79" s="324" t="s">
        <v>399</v>
      </c>
      <c r="K79" s="314"/>
      <c r="L79" s="316"/>
      <c r="M79" s="316"/>
      <c r="N79" s="316"/>
      <c r="O79" s="316"/>
      <c r="P79" s="316"/>
      <c r="Q79" s="316"/>
      <c r="R79" s="316"/>
      <c r="S79" s="316"/>
      <c r="T79" s="316"/>
      <c r="U79" s="316"/>
      <c r="V79" s="316"/>
    </row>
    <row r="80" spans="1:22" ht="50.1" customHeight="1" x14ac:dyDescent="0.3">
      <c r="A80" s="321">
        <v>70</v>
      </c>
      <c r="B80" s="406" t="s">
        <v>499</v>
      </c>
      <c r="C80" s="407"/>
      <c r="D80" s="408"/>
      <c r="E80" s="322"/>
      <c r="F80" s="322"/>
      <c r="G80" s="323" t="s">
        <v>397</v>
      </c>
      <c r="H80" s="409" t="s">
        <v>398</v>
      </c>
      <c r="I80" s="410"/>
      <c r="J80" s="324" t="s">
        <v>399</v>
      </c>
      <c r="K80" s="325"/>
      <c r="L80" s="316"/>
      <c r="M80" s="316"/>
      <c r="N80" s="316"/>
      <c r="O80" s="316"/>
      <c r="P80" s="316"/>
      <c r="Q80" s="316"/>
      <c r="R80" s="316"/>
      <c r="S80" s="316"/>
      <c r="T80" s="316"/>
      <c r="U80" s="316"/>
      <c r="V80" s="316"/>
    </row>
    <row r="81" spans="1:22" ht="50.1" customHeight="1" x14ac:dyDescent="0.3">
      <c r="A81" s="321">
        <v>71</v>
      </c>
      <c r="B81" s="423" t="s">
        <v>500</v>
      </c>
      <c r="C81" s="424"/>
      <c r="D81" s="410"/>
      <c r="E81" s="322"/>
      <c r="F81" s="322"/>
      <c r="G81" s="322"/>
      <c r="H81" s="425"/>
      <c r="I81" s="426"/>
      <c r="J81" s="322"/>
      <c r="K81" s="314"/>
      <c r="L81" s="316"/>
      <c r="M81" s="316"/>
      <c r="N81" s="316"/>
      <c r="O81" s="316"/>
      <c r="P81" s="316"/>
      <c r="Q81" s="316"/>
      <c r="R81" s="316"/>
      <c r="S81" s="316"/>
      <c r="T81" s="316"/>
      <c r="U81" s="316"/>
      <c r="V81" s="316"/>
    </row>
    <row r="82" spans="1:22" ht="50.1" customHeight="1" x14ac:dyDescent="0.3">
      <c r="A82" s="321">
        <v>72</v>
      </c>
      <c r="B82" s="406" t="s">
        <v>501</v>
      </c>
      <c r="C82" s="407"/>
      <c r="D82" s="408"/>
      <c r="E82" s="322"/>
      <c r="F82" s="322"/>
      <c r="G82" s="323" t="s">
        <v>397</v>
      </c>
      <c r="H82" s="416" t="s">
        <v>502</v>
      </c>
      <c r="I82" s="417"/>
      <c r="J82" s="324" t="s">
        <v>399</v>
      </c>
      <c r="K82" s="314">
        <v>1250</v>
      </c>
      <c r="L82" s="314">
        <f>K82*21</f>
        <v>26250</v>
      </c>
      <c r="M82" s="316"/>
      <c r="N82" s="316"/>
      <c r="O82" s="316"/>
      <c r="P82" s="316"/>
      <c r="Q82" s="316"/>
      <c r="R82" s="316"/>
      <c r="S82" s="316"/>
      <c r="T82" s="316"/>
      <c r="U82" s="316"/>
      <c r="V82" s="316"/>
    </row>
    <row r="83" spans="1:22" ht="50.1" customHeight="1" x14ac:dyDescent="0.3">
      <c r="A83" s="321">
        <v>73</v>
      </c>
      <c r="B83" s="406" t="s">
        <v>503</v>
      </c>
      <c r="C83" s="407"/>
      <c r="D83" s="408"/>
      <c r="E83" s="322"/>
      <c r="F83" s="322"/>
      <c r="G83" s="323" t="s">
        <v>397</v>
      </c>
      <c r="H83" s="416" t="s">
        <v>504</v>
      </c>
      <c r="I83" s="417"/>
      <c r="J83" s="324" t="s">
        <v>399</v>
      </c>
      <c r="K83" s="314">
        <v>145</v>
      </c>
      <c r="L83" s="314">
        <f>K83*168</f>
        <v>24360</v>
      </c>
      <c r="M83" s="316"/>
      <c r="N83" s="316"/>
      <c r="O83" s="316"/>
      <c r="P83" s="316"/>
      <c r="Q83" s="316"/>
      <c r="R83" s="316"/>
      <c r="S83" s="316"/>
      <c r="T83" s="316"/>
      <c r="U83" s="316"/>
      <c r="V83" s="316"/>
    </row>
    <row r="84" spans="1:22" ht="50.1" customHeight="1" x14ac:dyDescent="0.3">
      <c r="A84" s="321">
        <v>74</v>
      </c>
      <c r="B84" s="411" t="s">
        <v>505</v>
      </c>
      <c r="C84" s="414"/>
      <c r="D84" s="415"/>
      <c r="E84" s="322"/>
      <c r="F84" s="322"/>
      <c r="G84" s="323" t="s">
        <v>397</v>
      </c>
      <c r="H84" s="409" t="s">
        <v>398</v>
      </c>
      <c r="I84" s="410"/>
      <c r="J84" s="324" t="s">
        <v>399</v>
      </c>
      <c r="K84" s="314">
        <v>500</v>
      </c>
      <c r="L84" s="314">
        <f>K84*21</f>
        <v>10500</v>
      </c>
      <c r="M84" s="316"/>
      <c r="N84" s="316"/>
      <c r="O84" s="316"/>
      <c r="P84" s="316"/>
      <c r="Q84" s="316"/>
      <c r="R84" s="316"/>
      <c r="S84" s="316"/>
      <c r="T84" s="316"/>
      <c r="U84" s="316"/>
      <c r="V84" s="316"/>
    </row>
    <row r="85" spans="1:22" ht="50.1" customHeight="1" x14ac:dyDescent="0.3">
      <c r="A85" s="321">
        <v>75</v>
      </c>
      <c r="B85" s="411" t="s">
        <v>506</v>
      </c>
      <c r="C85" s="414"/>
      <c r="D85" s="415"/>
      <c r="E85" s="322"/>
      <c r="F85" s="322"/>
      <c r="G85" s="323" t="s">
        <v>397</v>
      </c>
      <c r="H85" s="416" t="s">
        <v>507</v>
      </c>
      <c r="I85" s="417"/>
      <c r="J85" s="324" t="s">
        <v>399</v>
      </c>
      <c r="K85" s="314">
        <v>1503</v>
      </c>
      <c r="L85" s="314">
        <f>K85*42</f>
        <v>63126</v>
      </c>
      <c r="M85" s="316"/>
      <c r="N85" s="316"/>
      <c r="O85" s="316"/>
      <c r="P85" s="316"/>
      <c r="Q85" s="316"/>
      <c r="R85" s="316"/>
      <c r="S85" s="316"/>
      <c r="T85" s="316"/>
      <c r="U85" s="316"/>
      <c r="V85" s="316"/>
    </row>
    <row r="86" spans="1:22" ht="50.1" customHeight="1" x14ac:dyDescent="0.3">
      <c r="A86" s="321">
        <v>76</v>
      </c>
      <c r="B86" s="411" t="s">
        <v>508</v>
      </c>
      <c r="C86" s="414"/>
      <c r="D86" s="415"/>
      <c r="E86" s="322"/>
      <c r="F86" s="322"/>
      <c r="G86" s="323" t="s">
        <v>397</v>
      </c>
      <c r="H86" s="416" t="s">
        <v>509</v>
      </c>
      <c r="I86" s="417"/>
      <c r="J86" s="324" t="s">
        <v>399</v>
      </c>
      <c r="K86" s="314">
        <v>2299</v>
      </c>
      <c r="L86" s="314">
        <f>K86*21</f>
        <v>48279</v>
      </c>
      <c r="M86" s="316"/>
      <c r="N86" s="316"/>
      <c r="O86" s="316"/>
      <c r="P86" s="316"/>
      <c r="Q86" s="316"/>
      <c r="R86" s="316"/>
      <c r="S86" s="316"/>
      <c r="T86" s="316"/>
      <c r="U86" s="316"/>
      <c r="V86" s="316"/>
    </row>
    <row r="87" spans="1:22" ht="50.1" customHeight="1" x14ac:dyDescent="0.3">
      <c r="A87" s="321">
        <v>77</v>
      </c>
      <c r="B87" s="411" t="s">
        <v>510</v>
      </c>
      <c r="C87" s="414"/>
      <c r="D87" s="415"/>
      <c r="E87" s="322"/>
      <c r="F87" s="322"/>
      <c r="G87" s="323" t="s">
        <v>397</v>
      </c>
      <c r="H87" s="409" t="s">
        <v>398</v>
      </c>
      <c r="I87" s="410"/>
      <c r="J87" s="324" t="s">
        <v>399</v>
      </c>
      <c r="K87" s="314"/>
      <c r="L87" s="316"/>
      <c r="M87" s="316"/>
      <c r="N87" s="316"/>
      <c r="O87" s="316"/>
      <c r="P87" s="316"/>
      <c r="Q87" s="316"/>
      <c r="R87" s="316"/>
      <c r="S87" s="316"/>
      <c r="T87" s="316"/>
      <c r="U87" s="316"/>
      <c r="V87" s="316"/>
    </row>
    <row r="88" spans="1:22" ht="50.1" customHeight="1" x14ac:dyDescent="0.3">
      <c r="A88" s="321">
        <v>78</v>
      </c>
      <c r="B88" s="411" t="s">
        <v>511</v>
      </c>
      <c r="C88" s="414"/>
      <c r="D88" s="415"/>
      <c r="E88" s="322"/>
      <c r="F88" s="322"/>
      <c r="G88" s="323" t="s">
        <v>397</v>
      </c>
      <c r="H88" s="409" t="s">
        <v>398</v>
      </c>
      <c r="I88" s="410"/>
      <c r="J88" s="324" t="s">
        <v>399</v>
      </c>
      <c r="K88" s="325">
        <v>1000</v>
      </c>
      <c r="L88" s="314">
        <f>K88*21</f>
        <v>21000</v>
      </c>
      <c r="M88" s="316"/>
      <c r="N88" s="316"/>
      <c r="O88" s="316"/>
      <c r="P88" s="316"/>
      <c r="Q88" s="316"/>
      <c r="R88" s="316"/>
      <c r="S88" s="316"/>
      <c r="T88" s="316"/>
      <c r="U88" s="316"/>
      <c r="V88" s="316"/>
    </row>
    <row r="89" spans="1:22" ht="50.1" customHeight="1" x14ac:dyDescent="0.3">
      <c r="A89" s="321">
        <v>79</v>
      </c>
      <c r="B89" s="423" t="s">
        <v>512</v>
      </c>
      <c r="C89" s="424"/>
      <c r="D89" s="410"/>
      <c r="E89" s="322"/>
      <c r="F89" s="322"/>
      <c r="G89" s="322"/>
      <c r="H89" s="425"/>
      <c r="I89" s="426"/>
      <c r="J89" s="322"/>
      <c r="K89" s="314"/>
      <c r="L89" s="314"/>
      <c r="M89" s="316"/>
      <c r="N89" s="316"/>
      <c r="O89" s="316"/>
      <c r="P89" s="316"/>
      <c r="Q89" s="316"/>
      <c r="R89" s="316"/>
      <c r="S89" s="316"/>
      <c r="T89" s="316"/>
      <c r="U89" s="316"/>
      <c r="V89" s="316"/>
    </row>
    <row r="90" spans="1:22" ht="50.1" customHeight="1" x14ac:dyDescent="0.3">
      <c r="A90" s="321">
        <v>80</v>
      </c>
      <c r="B90" s="411" t="s">
        <v>513</v>
      </c>
      <c r="C90" s="414"/>
      <c r="D90" s="415"/>
      <c r="E90" s="322"/>
      <c r="F90" s="322"/>
      <c r="G90" s="323" t="s">
        <v>397</v>
      </c>
      <c r="H90" s="409" t="s">
        <v>398</v>
      </c>
      <c r="I90" s="410"/>
      <c r="J90" s="324" t="s">
        <v>399</v>
      </c>
      <c r="K90" s="325">
        <v>40000</v>
      </c>
      <c r="L90" s="314">
        <f t="shared" ref="L90:L92" si="0">K90*21</f>
        <v>840000</v>
      </c>
      <c r="M90" s="316" t="s">
        <v>514</v>
      </c>
      <c r="N90" s="316"/>
      <c r="O90" s="316"/>
      <c r="P90" s="316"/>
      <c r="Q90" s="316"/>
      <c r="R90" s="316"/>
      <c r="S90" s="316"/>
      <c r="T90" s="316"/>
      <c r="U90" s="316"/>
      <c r="V90" s="316"/>
    </row>
    <row r="91" spans="1:22" ht="50.1" customHeight="1" x14ac:dyDescent="0.3">
      <c r="A91" s="321">
        <v>81</v>
      </c>
      <c r="B91" s="423" t="s">
        <v>515</v>
      </c>
      <c r="C91" s="424"/>
      <c r="D91" s="410"/>
      <c r="E91" s="322"/>
      <c r="F91" s="322"/>
      <c r="G91" s="322"/>
      <c r="H91" s="425"/>
      <c r="I91" s="426"/>
      <c r="J91" s="322"/>
      <c r="K91" s="325">
        <v>15000</v>
      </c>
      <c r="L91" s="314">
        <f t="shared" si="0"/>
        <v>315000</v>
      </c>
      <c r="M91" s="316" t="s">
        <v>516</v>
      </c>
      <c r="N91" s="316"/>
      <c r="O91" s="316"/>
      <c r="P91" s="316"/>
      <c r="Q91" s="316"/>
      <c r="R91" s="316"/>
      <c r="S91" s="316"/>
      <c r="T91" s="316"/>
      <c r="U91" s="316"/>
      <c r="V91" s="316"/>
    </row>
    <row r="92" spans="1:22" ht="158.25" customHeight="1" x14ac:dyDescent="0.3">
      <c r="A92" s="321">
        <v>82</v>
      </c>
      <c r="B92" s="411" t="s">
        <v>517</v>
      </c>
      <c r="C92" s="414"/>
      <c r="D92" s="415"/>
      <c r="E92" s="322"/>
      <c r="F92" s="322"/>
      <c r="G92" s="323" t="s">
        <v>397</v>
      </c>
      <c r="H92" s="409" t="s">
        <v>398</v>
      </c>
      <c r="I92" s="410"/>
      <c r="J92" s="324" t="s">
        <v>399</v>
      </c>
      <c r="K92" s="314">
        <v>1000</v>
      </c>
      <c r="L92" s="314">
        <f t="shared" si="0"/>
        <v>21000</v>
      </c>
      <c r="M92" s="316" t="s">
        <v>518</v>
      </c>
      <c r="N92" s="316"/>
      <c r="O92" s="316"/>
      <c r="P92" s="316"/>
      <c r="Q92" s="316"/>
      <c r="R92" s="316"/>
      <c r="S92" s="316"/>
      <c r="T92" s="316"/>
      <c r="U92" s="316"/>
      <c r="V92" s="316"/>
    </row>
    <row r="93" spans="1:22" ht="50.1" customHeight="1" x14ac:dyDescent="0.3">
      <c r="A93" s="321">
        <v>83</v>
      </c>
      <c r="B93" s="423" t="s">
        <v>519</v>
      </c>
      <c r="C93" s="424"/>
      <c r="D93" s="410"/>
      <c r="E93" s="322"/>
      <c r="F93" s="322"/>
      <c r="G93" s="322"/>
      <c r="H93" s="425"/>
      <c r="I93" s="426"/>
      <c r="J93" s="322"/>
      <c r="K93" s="314"/>
      <c r="L93" s="328"/>
      <c r="M93" s="328"/>
      <c r="N93" s="328"/>
      <c r="O93" s="328"/>
      <c r="P93" s="328"/>
      <c r="Q93" s="328"/>
      <c r="R93" s="328"/>
      <c r="S93" s="328"/>
      <c r="T93" s="328"/>
      <c r="U93" s="328"/>
      <c r="V93" s="328"/>
    </row>
    <row r="94" spans="1:22" ht="50.1" customHeight="1" x14ac:dyDescent="0.3">
      <c r="A94" s="321">
        <v>84</v>
      </c>
      <c r="B94" s="411" t="s">
        <v>520</v>
      </c>
      <c r="C94" s="414"/>
      <c r="D94" s="415"/>
      <c r="E94" s="322"/>
      <c r="F94" s="322"/>
      <c r="G94" s="323" t="s">
        <v>397</v>
      </c>
      <c r="H94" s="409" t="s">
        <v>398</v>
      </c>
      <c r="I94" s="410"/>
      <c r="J94" s="324" t="s">
        <v>399</v>
      </c>
      <c r="K94" s="314"/>
      <c r="L94" s="316"/>
      <c r="M94" s="316"/>
      <c r="N94" s="316"/>
      <c r="O94" s="316"/>
      <c r="P94" s="316"/>
      <c r="Q94" s="316"/>
      <c r="R94" s="316"/>
      <c r="S94" s="316"/>
      <c r="T94" s="316"/>
      <c r="U94" s="316"/>
      <c r="V94" s="316"/>
    </row>
    <row r="95" spans="1:22" ht="50.1" customHeight="1" x14ac:dyDescent="0.3">
      <c r="A95" s="321">
        <v>85</v>
      </c>
      <c r="B95" s="411" t="s">
        <v>521</v>
      </c>
      <c r="C95" s="414"/>
      <c r="D95" s="415"/>
      <c r="E95" s="322"/>
      <c r="F95" s="322"/>
      <c r="G95" s="323" t="s">
        <v>397</v>
      </c>
      <c r="H95" s="409" t="s">
        <v>398</v>
      </c>
      <c r="I95" s="410"/>
      <c r="J95" s="324" t="s">
        <v>399</v>
      </c>
      <c r="K95" s="314"/>
      <c r="L95" s="316"/>
      <c r="M95" s="316"/>
      <c r="N95" s="316"/>
      <c r="O95" s="316"/>
      <c r="P95" s="316"/>
      <c r="Q95" s="316"/>
      <c r="R95" s="316"/>
      <c r="S95" s="316"/>
      <c r="T95" s="316"/>
      <c r="U95" s="316"/>
      <c r="V95" s="316"/>
    </row>
    <row r="96" spans="1:22" ht="50.1" customHeight="1" x14ac:dyDescent="0.3">
      <c r="A96" s="321">
        <v>86</v>
      </c>
      <c r="B96" s="406" t="s">
        <v>522</v>
      </c>
      <c r="C96" s="407"/>
      <c r="D96" s="408"/>
      <c r="E96" s="322"/>
      <c r="F96" s="322"/>
      <c r="G96" s="323" t="s">
        <v>397</v>
      </c>
      <c r="H96" s="409" t="s">
        <v>398</v>
      </c>
      <c r="I96" s="410"/>
      <c r="J96" s="324" t="s">
        <v>399</v>
      </c>
      <c r="K96" s="314"/>
      <c r="L96" s="316"/>
      <c r="M96" s="316"/>
      <c r="N96" s="316"/>
      <c r="O96" s="316"/>
      <c r="P96" s="316"/>
      <c r="Q96" s="316"/>
      <c r="R96" s="316"/>
      <c r="S96" s="316"/>
      <c r="T96" s="316"/>
      <c r="U96" s="316"/>
      <c r="V96" s="316"/>
    </row>
    <row r="97" spans="1:22" ht="50.1" customHeight="1" x14ac:dyDescent="0.3">
      <c r="A97" s="321">
        <v>87</v>
      </c>
      <c r="B97" s="411" t="s">
        <v>523</v>
      </c>
      <c r="C97" s="414"/>
      <c r="D97" s="415"/>
      <c r="E97" s="322"/>
      <c r="F97" s="322"/>
      <c r="G97" s="323" t="s">
        <v>397</v>
      </c>
      <c r="H97" s="416" t="s">
        <v>524</v>
      </c>
      <c r="I97" s="417"/>
      <c r="J97" s="324" t="s">
        <v>399</v>
      </c>
      <c r="K97" s="314"/>
      <c r="L97" s="316"/>
      <c r="M97" s="316"/>
      <c r="N97" s="316"/>
      <c r="O97" s="316"/>
      <c r="P97" s="316"/>
      <c r="Q97" s="316"/>
      <c r="R97" s="316"/>
      <c r="S97" s="316"/>
      <c r="T97" s="316"/>
      <c r="U97" s="316"/>
      <c r="V97" s="316"/>
    </row>
    <row r="98" spans="1:22" ht="50.1" customHeight="1" x14ac:dyDescent="0.3">
      <c r="A98" s="321">
        <v>88</v>
      </c>
      <c r="B98" s="406" t="s">
        <v>525</v>
      </c>
      <c r="C98" s="407"/>
      <c r="D98" s="408"/>
      <c r="E98" s="322"/>
      <c r="F98" s="322"/>
      <c r="G98" s="323" t="s">
        <v>397</v>
      </c>
      <c r="H98" s="409" t="s">
        <v>398</v>
      </c>
      <c r="I98" s="410"/>
      <c r="J98" s="324" t="s">
        <v>399</v>
      </c>
      <c r="K98" s="314"/>
      <c r="L98" s="316"/>
      <c r="M98" s="316"/>
      <c r="N98" s="316"/>
      <c r="O98" s="316"/>
      <c r="P98" s="316"/>
      <c r="Q98" s="316"/>
      <c r="R98" s="316"/>
      <c r="S98" s="316"/>
      <c r="T98" s="316"/>
      <c r="U98" s="316"/>
      <c r="V98" s="316"/>
    </row>
    <row r="99" spans="1:22" ht="50.1" customHeight="1" x14ac:dyDescent="0.3">
      <c r="A99" s="321">
        <v>89</v>
      </c>
      <c r="B99" s="406" t="s">
        <v>526</v>
      </c>
      <c r="C99" s="407"/>
      <c r="D99" s="408"/>
      <c r="E99" s="322"/>
      <c r="F99" s="322"/>
      <c r="G99" s="323" t="s">
        <v>397</v>
      </c>
      <c r="H99" s="409" t="s">
        <v>398</v>
      </c>
      <c r="I99" s="410"/>
      <c r="J99" s="324" t="s">
        <v>399</v>
      </c>
      <c r="K99" s="314"/>
      <c r="L99" s="316"/>
      <c r="M99" s="316"/>
      <c r="N99" s="316"/>
      <c r="O99" s="316"/>
      <c r="P99" s="316"/>
      <c r="Q99" s="316"/>
      <c r="R99" s="316"/>
      <c r="S99" s="316"/>
      <c r="T99" s="316"/>
      <c r="U99" s="316"/>
      <c r="V99" s="316"/>
    </row>
    <row r="100" spans="1:22" ht="50.1" customHeight="1" x14ac:dyDescent="0.3">
      <c r="A100" s="321">
        <v>90</v>
      </c>
      <c r="B100" s="406" t="s">
        <v>527</v>
      </c>
      <c r="C100" s="407"/>
      <c r="D100" s="408"/>
      <c r="E100" s="322"/>
      <c r="F100" s="322"/>
      <c r="G100" s="323" t="s">
        <v>397</v>
      </c>
      <c r="H100" s="409" t="s">
        <v>398</v>
      </c>
      <c r="I100" s="410"/>
      <c r="J100" s="324" t="s">
        <v>399</v>
      </c>
      <c r="K100" s="314"/>
      <c r="L100" s="316"/>
      <c r="M100" s="316"/>
      <c r="N100" s="316"/>
      <c r="O100" s="316"/>
      <c r="P100" s="316"/>
      <c r="Q100" s="316"/>
      <c r="R100" s="316"/>
      <c r="S100" s="316"/>
      <c r="T100" s="316"/>
      <c r="U100" s="316"/>
      <c r="V100" s="316"/>
    </row>
    <row r="101" spans="1:22" ht="50.1" customHeight="1" x14ac:dyDescent="0.3">
      <c r="A101" s="321">
        <v>91</v>
      </c>
      <c r="B101" s="411" t="s">
        <v>528</v>
      </c>
      <c r="C101" s="414"/>
      <c r="D101" s="415"/>
      <c r="E101" s="322"/>
      <c r="F101" s="322"/>
      <c r="G101" s="323" t="s">
        <v>397</v>
      </c>
      <c r="H101" s="409" t="s">
        <v>398</v>
      </c>
      <c r="I101" s="410"/>
      <c r="J101" s="324" t="s">
        <v>399</v>
      </c>
      <c r="K101" s="314"/>
      <c r="L101" s="316"/>
      <c r="M101" s="316"/>
      <c r="N101" s="316"/>
      <c r="O101" s="316"/>
      <c r="P101" s="316"/>
      <c r="Q101" s="316"/>
      <c r="R101" s="316"/>
      <c r="S101" s="316"/>
      <c r="T101" s="316"/>
      <c r="U101" s="316"/>
      <c r="V101" s="316"/>
    </row>
    <row r="102" spans="1:22" ht="50.1" customHeight="1" x14ac:dyDescent="0.3">
      <c r="A102" s="321">
        <v>92</v>
      </c>
      <c r="B102" s="411" t="s">
        <v>529</v>
      </c>
      <c r="C102" s="414"/>
      <c r="D102" s="415"/>
      <c r="E102" s="322"/>
      <c r="F102" s="322"/>
      <c r="G102" s="323" t="s">
        <v>397</v>
      </c>
      <c r="H102" s="409" t="s">
        <v>398</v>
      </c>
      <c r="I102" s="410"/>
      <c r="J102" s="324" t="s">
        <v>399</v>
      </c>
      <c r="K102" s="314"/>
      <c r="L102" s="316"/>
      <c r="M102" s="316"/>
      <c r="N102" s="316"/>
      <c r="O102" s="316"/>
      <c r="P102" s="316"/>
      <c r="Q102" s="316"/>
      <c r="R102" s="316"/>
      <c r="S102" s="316"/>
      <c r="T102" s="316"/>
      <c r="U102" s="316"/>
      <c r="V102" s="316"/>
    </row>
    <row r="103" spans="1:22" ht="50.1" customHeight="1" x14ac:dyDescent="0.3">
      <c r="A103" s="321">
        <v>93</v>
      </c>
      <c r="B103" s="411" t="s">
        <v>530</v>
      </c>
      <c r="C103" s="414"/>
      <c r="D103" s="415"/>
      <c r="E103" s="322"/>
      <c r="F103" s="322"/>
      <c r="G103" s="323" t="s">
        <v>397</v>
      </c>
      <c r="H103" s="409" t="s">
        <v>398</v>
      </c>
      <c r="I103" s="410"/>
      <c r="J103" s="324" t="s">
        <v>399</v>
      </c>
      <c r="K103" s="314">
        <v>2100</v>
      </c>
      <c r="L103" s="314">
        <f>K103*21</f>
        <v>44100</v>
      </c>
      <c r="M103" s="316"/>
      <c r="N103" s="316" t="s">
        <v>531</v>
      </c>
      <c r="O103" s="316"/>
      <c r="P103" s="316"/>
      <c r="Q103" s="316"/>
      <c r="R103" s="316"/>
      <c r="S103" s="316"/>
      <c r="T103" s="316"/>
      <c r="U103" s="316"/>
      <c r="V103" s="316"/>
    </row>
    <row r="104" spans="1:22" ht="50.1" customHeight="1" x14ac:dyDescent="0.3">
      <c r="A104" s="321">
        <v>94</v>
      </c>
      <c r="B104" s="423" t="s">
        <v>532</v>
      </c>
      <c r="C104" s="424"/>
      <c r="D104" s="410"/>
      <c r="E104" s="322"/>
      <c r="F104" s="322"/>
      <c r="G104" s="322"/>
      <c r="H104" s="425"/>
      <c r="I104" s="426"/>
      <c r="J104" s="322"/>
      <c r="K104" s="314"/>
      <c r="L104" s="328"/>
      <c r="M104" s="328"/>
      <c r="N104" s="328"/>
      <c r="O104" s="328"/>
      <c r="P104" s="328"/>
      <c r="Q104" s="328"/>
      <c r="R104" s="328"/>
      <c r="S104" s="328"/>
      <c r="T104" s="328"/>
      <c r="U104" s="328"/>
      <c r="V104" s="328"/>
    </row>
    <row r="105" spans="1:22" ht="50.1" customHeight="1" x14ac:dyDescent="0.3">
      <c r="A105" s="321">
        <v>95</v>
      </c>
      <c r="B105" s="423" t="s">
        <v>533</v>
      </c>
      <c r="C105" s="424"/>
      <c r="D105" s="410"/>
      <c r="E105" s="322"/>
      <c r="F105" s="322"/>
      <c r="G105" s="322"/>
      <c r="H105" s="425"/>
      <c r="I105" s="426"/>
      <c r="J105" s="322"/>
      <c r="K105" s="314"/>
      <c r="L105" s="316"/>
      <c r="M105" s="316"/>
      <c r="N105" s="316"/>
      <c r="O105" s="316"/>
      <c r="P105" s="316"/>
      <c r="Q105" s="316"/>
      <c r="R105" s="316"/>
      <c r="S105" s="316"/>
      <c r="T105" s="316"/>
      <c r="U105" s="316"/>
      <c r="V105" s="316"/>
    </row>
    <row r="106" spans="1:22" ht="50.1" customHeight="1" x14ac:dyDescent="0.3">
      <c r="A106" s="321">
        <v>96</v>
      </c>
      <c r="B106" s="411" t="s">
        <v>534</v>
      </c>
      <c r="C106" s="414"/>
      <c r="D106" s="415"/>
      <c r="E106" s="329">
        <v>3</v>
      </c>
      <c r="F106" s="330" t="s">
        <v>535</v>
      </c>
      <c r="G106" s="331" t="s">
        <v>397</v>
      </c>
      <c r="H106" s="409" t="s">
        <v>398</v>
      </c>
      <c r="I106" s="410"/>
      <c r="J106" s="324" t="s">
        <v>399</v>
      </c>
      <c r="K106" s="314">
        <v>57</v>
      </c>
      <c r="L106" s="314">
        <f>K106*21</f>
        <v>1197</v>
      </c>
      <c r="M106" s="316"/>
      <c r="N106" s="316"/>
      <c r="O106" s="316"/>
      <c r="P106" s="316"/>
      <c r="Q106" s="316"/>
      <c r="R106" s="316"/>
      <c r="S106" s="316"/>
      <c r="T106" s="316"/>
      <c r="U106" s="316"/>
      <c r="V106" s="316"/>
    </row>
    <row r="107" spans="1:22" ht="50.1" customHeight="1" x14ac:dyDescent="0.3">
      <c r="A107" s="427">
        <v>97</v>
      </c>
      <c r="B107" s="449" t="s">
        <v>536</v>
      </c>
      <c r="C107" s="450"/>
      <c r="D107" s="451"/>
      <c r="E107" s="452">
        <v>2</v>
      </c>
      <c r="F107" s="432" t="s">
        <v>537</v>
      </c>
      <c r="G107" s="454" t="s">
        <v>397</v>
      </c>
      <c r="H107" s="456" t="s">
        <v>538</v>
      </c>
      <c r="I107" s="457"/>
      <c r="J107" s="418" t="s">
        <v>399</v>
      </c>
      <c r="K107" s="314">
        <v>17881.36</v>
      </c>
      <c r="L107" s="314">
        <f>K107*21</f>
        <v>375508.56</v>
      </c>
      <c r="M107" s="316"/>
      <c r="N107" s="316"/>
      <c r="O107" s="316"/>
      <c r="P107" s="316"/>
      <c r="Q107" s="316"/>
      <c r="R107" s="316"/>
      <c r="S107" s="316"/>
      <c r="T107" s="316"/>
      <c r="U107" s="316"/>
      <c r="V107" s="316"/>
    </row>
    <row r="108" spans="1:22" ht="50.1" customHeight="1" x14ac:dyDescent="0.3">
      <c r="A108" s="428"/>
      <c r="B108" s="420" t="s">
        <v>539</v>
      </c>
      <c r="C108" s="421"/>
      <c r="D108" s="422"/>
      <c r="E108" s="453"/>
      <c r="F108" s="433"/>
      <c r="G108" s="455"/>
      <c r="H108" s="458"/>
      <c r="I108" s="459"/>
      <c r="J108" s="419"/>
      <c r="K108" s="314"/>
      <c r="L108" s="316"/>
      <c r="M108" s="316"/>
      <c r="N108" s="316"/>
      <c r="O108" s="316"/>
      <c r="P108" s="316"/>
      <c r="Q108" s="316"/>
      <c r="R108" s="316"/>
      <c r="S108" s="316"/>
      <c r="T108" s="316"/>
      <c r="U108" s="316"/>
      <c r="V108" s="316"/>
    </row>
    <row r="109" spans="1:22" ht="50.1" customHeight="1" x14ac:dyDescent="0.3">
      <c r="A109" s="321">
        <v>98</v>
      </c>
      <c r="B109" s="411" t="s">
        <v>540</v>
      </c>
      <c r="C109" s="414"/>
      <c r="D109" s="415"/>
      <c r="E109" s="329">
        <v>1</v>
      </c>
      <c r="F109" s="330" t="s">
        <v>541</v>
      </c>
      <c r="G109" s="331" t="s">
        <v>397</v>
      </c>
      <c r="H109" s="440" t="s">
        <v>542</v>
      </c>
      <c r="I109" s="441"/>
      <c r="J109" s="324" t="s">
        <v>399</v>
      </c>
      <c r="K109" s="314">
        <v>2460</v>
      </c>
      <c r="L109" s="314">
        <f t="shared" ref="L109:L115" si="1">K109*21</f>
        <v>51660</v>
      </c>
      <c r="M109" s="316"/>
      <c r="N109" s="316"/>
      <c r="O109" s="316"/>
      <c r="P109" s="316"/>
      <c r="Q109" s="316"/>
      <c r="R109" s="316"/>
      <c r="S109" s="316"/>
      <c r="T109" s="316"/>
      <c r="U109" s="316"/>
      <c r="V109" s="316"/>
    </row>
    <row r="110" spans="1:22" ht="50.1" customHeight="1" x14ac:dyDescent="0.3">
      <c r="A110" s="321">
        <v>99</v>
      </c>
      <c r="B110" s="411" t="s">
        <v>543</v>
      </c>
      <c r="C110" s="414"/>
      <c r="D110" s="415"/>
      <c r="E110" s="329">
        <v>1</v>
      </c>
      <c r="F110" s="330" t="s">
        <v>544</v>
      </c>
      <c r="G110" s="331" t="s">
        <v>397</v>
      </c>
      <c r="H110" s="440" t="s">
        <v>545</v>
      </c>
      <c r="I110" s="441"/>
      <c r="J110" s="324" t="s">
        <v>399</v>
      </c>
      <c r="K110" s="314">
        <v>240</v>
      </c>
      <c r="L110" s="314">
        <f t="shared" si="1"/>
        <v>5040</v>
      </c>
      <c r="M110" s="316"/>
      <c r="N110" s="316"/>
      <c r="O110" s="316"/>
      <c r="P110" s="316"/>
      <c r="Q110" s="316"/>
      <c r="R110" s="316"/>
      <c r="S110" s="316"/>
      <c r="T110" s="316"/>
      <c r="U110" s="316"/>
      <c r="V110" s="316"/>
    </row>
    <row r="111" spans="1:22" ht="50.1" customHeight="1" x14ac:dyDescent="0.3">
      <c r="A111" s="321">
        <v>100</v>
      </c>
      <c r="B111" s="411" t="s">
        <v>546</v>
      </c>
      <c r="C111" s="414"/>
      <c r="D111" s="415"/>
      <c r="E111" s="329">
        <v>2</v>
      </c>
      <c r="F111" s="330" t="s">
        <v>547</v>
      </c>
      <c r="G111" s="331" t="s">
        <v>397</v>
      </c>
      <c r="H111" s="440" t="s">
        <v>548</v>
      </c>
      <c r="I111" s="441"/>
      <c r="J111" s="324" t="s">
        <v>399</v>
      </c>
      <c r="K111" s="314">
        <v>31.8</v>
      </c>
      <c r="L111" s="314">
        <f t="shared" si="1"/>
        <v>667.80000000000007</v>
      </c>
      <c r="M111" s="316"/>
      <c r="N111" s="316"/>
      <c r="O111" s="316"/>
      <c r="P111" s="316"/>
      <c r="Q111" s="316"/>
      <c r="R111" s="316"/>
      <c r="S111" s="316"/>
      <c r="T111" s="316"/>
      <c r="U111" s="316"/>
      <c r="V111" s="316"/>
    </row>
    <row r="112" spans="1:22" ht="50.1" customHeight="1" x14ac:dyDescent="0.3">
      <c r="A112" s="321">
        <v>101</v>
      </c>
      <c r="B112" s="411" t="s">
        <v>549</v>
      </c>
      <c r="C112" s="414"/>
      <c r="D112" s="415"/>
      <c r="E112" s="329">
        <v>2</v>
      </c>
      <c r="F112" s="330" t="s">
        <v>550</v>
      </c>
      <c r="G112" s="323" t="s">
        <v>397</v>
      </c>
      <c r="H112" s="440" t="s">
        <v>551</v>
      </c>
      <c r="I112" s="441"/>
      <c r="J112" s="324" t="s">
        <v>399</v>
      </c>
      <c r="K112" s="314">
        <v>624</v>
      </c>
      <c r="L112" s="314">
        <f t="shared" si="1"/>
        <v>13104</v>
      </c>
      <c r="M112" s="316"/>
      <c r="N112" s="316"/>
      <c r="O112" s="316"/>
      <c r="P112" s="316"/>
      <c r="Q112" s="316"/>
      <c r="R112" s="316"/>
      <c r="S112" s="316"/>
      <c r="T112" s="316"/>
      <c r="U112" s="316"/>
      <c r="V112" s="316"/>
    </row>
    <row r="113" spans="1:22" ht="50.1" customHeight="1" x14ac:dyDescent="0.3">
      <c r="A113" s="321">
        <v>102</v>
      </c>
      <c r="B113" s="411" t="s">
        <v>552</v>
      </c>
      <c r="C113" s="414"/>
      <c r="D113" s="415"/>
      <c r="E113" s="329">
        <v>2</v>
      </c>
      <c r="F113" s="330" t="s">
        <v>553</v>
      </c>
      <c r="G113" s="323" t="s">
        <v>397</v>
      </c>
      <c r="H113" s="440" t="s">
        <v>554</v>
      </c>
      <c r="I113" s="441"/>
      <c r="J113" s="324" t="s">
        <v>399</v>
      </c>
      <c r="K113" s="314">
        <v>130</v>
      </c>
      <c r="L113" s="314">
        <f t="shared" si="1"/>
        <v>2730</v>
      </c>
      <c r="M113" s="316"/>
      <c r="N113" s="316"/>
      <c r="O113" s="316"/>
      <c r="P113" s="316"/>
      <c r="Q113" s="316"/>
      <c r="R113" s="316"/>
      <c r="S113" s="316"/>
      <c r="T113" s="316"/>
      <c r="U113" s="316"/>
      <c r="V113" s="316"/>
    </row>
    <row r="114" spans="1:22" ht="50.1" customHeight="1" x14ac:dyDescent="0.3">
      <c r="A114" s="321">
        <v>103</v>
      </c>
      <c r="B114" s="411" t="s">
        <v>555</v>
      </c>
      <c r="C114" s="414"/>
      <c r="D114" s="415"/>
      <c r="E114" s="329">
        <v>2</v>
      </c>
      <c r="F114" s="330" t="s">
        <v>556</v>
      </c>
      <c r="G114" s="323" t="s">
        <v>397</v>
      </c>
      <c r="H114" s="440" t="s">
        <v>557</v>
      </c>
      <c r="I114" s="441"/>
      <c r="J114" s="324" t="s">
        <v>399</v>
      </c>
      <c r="K114" s="314">
        <v>1388.24</v>
      </c>
      <c r="L114" s="314">
        <f t="shared" si="1"/>
        <v>29153.040000000001</v>
      </c>
      <c r="M114" s="316"/>
      <c r="N114" s="316"/>
      <c r="O114" s="316"/>
      <c r="P114" s="316"/>
      <c r="Q114" s="316"/>
      <c r="R114" s="316"/>
      <c r="S114" s="316"/>
      <c r="T114" s="316"/>
      <c r="U114" s="316"/>
      <c r="V114" s="316"/>
    </row>
    <row r="115" spans="1:22" ht="50.1" customHeight="1" x14ac:dyDescent="0.3">
      <c r="A115" s="321">
        <v>104</v>
      </c>
      <c r="B115" s="411" t="s">
        <v>558</v>
      </c>
      <c r="C115" s="414"/>
      <c r="D115" s="415"/>
      <c r="E115" s="329">
        <v>2</v>
      </c>
      <c r="F115" s="330" t="s">
        <v>559</v>
      </c>
      <c r="G115" s="323" t="s">
        <v>397</v>
      </c>
      <c r="H115" s="440" t="s">
        <v>560</v>
      </c>
      <c r="I115" s="441"/>
      <c r="J115" s="324" t="s">
        <v>399</v>
      </c>
      <c r="K115" s="314">
        <v>660</v>
      </c>
      <c r="L115" s="314">
        <f t="shared" si="1"/>
        <v>13860</v>
      </c>
      <c r="M115" s="316"/>
      <c r="N115" s="316"/>
      <c r="O115" s="316"/>
      <c r="P115" s="316"/>
      <c r="Q115" s="316"/>
      <c r="R115" s="316"/>
      <c r="S115" s="316"/>
      <c r="T115" s="316"/>
      <c r="U115" s="316"/>
      <c r="V115" s="316"/>
    </row>
    <row r="116" spans="1:22" ht="50.1" customHeight="1" x14ac:dyDescent="0.3">
      <c r="A116" s="321">
        <v>105</v>
      </c>
      <c r="B116" s="423" t="s">
        <v>561</v>
      </c>
      <c r="C116" s="424"/>
      <c r="D116" s="410"/>
      <c r="E116" s="322"/>
      <c r="F116" s="322"/>
      <c r="G116" s="322"/>
      <c r="H116" s="425"/>
      <c r="I116" s="426"/>
      <c r="J116" s="322"/>
      <c r="K116" s="314"/>
      <c r="L116" s="314"/>
      <c r="M116" s="316"/>
      <c r="N116" s="316"/>
      <c r="O116" s="316"/>
      <c r="P116" s="316"/>
      <c r="Q116" s="316"/>
      <c r="R116" s="316"/>
      <c r="S116" s="316"/>
      <c r="T116" s="316"/>
      <c r="U116" s="316"/>
      <c r="V116" s="316"/>
    </row>
    <row r="117" spans="1:22" ht="50.1" customHeight="1" x14ac:dyDescent="0.3">
      <c r="A117" s="321">
        <v>106</v>
      </c>
      <c r="B117" s="446" t="s">
        <v>562</v>
      </c>
      <c r="C117" s="447"/>
      <c r="D117" s="448"/>
      <c r="E117" s="329">
        <v>1</v>
      </c>
      <c r="F117" s="330" t="s">
        <v>563</v>
      </c>
      <c r="G117" s="323" t="s">
        <v>397</v>
      </c>
      <c r="H117" s="416" t="s">
        <v>564</v>
      </c>
      <c r="I117" s="417"/>
      <c r="J117" s="324" t="s">
        <v>399</v>
      </c>
      <c r="K117" s="314">
        <v>1360</v>
      </c>
      <c r="L117" s="314">
        <f t="shared" ref="L117:L152" si="2">K117*21</f>
        <v>28560</v>
      </c>
      <c r="M117" s="316"/>
      <c r="N117" s="316"/>
      <c r="O117" s="316"/>
      <c r="P117" s="316"/>
      <c r="Q117" s="316"/>
      <c r="R117" s="316"/>
      <c r="S117" s="316"/>
      <c r="T117" s="316"/>
      <c r="U117" s="316"/>
      <c r="V117" s="316"/>
    </row>
    <row r="118" spans="1:22" ht="50.1" customHeight="1" x14ac:dyDescent="0.3">
      <c r="A118" s="321">
        <v>107</v>
      </c>
      <c r="B118" s="446" t="s">
        <v>565</v>
      </c>
      <c r="C118" s="447"/>
      <c r="D118" s="448"/>
      <c r="E118" s="329">
        <v>2</v>
      </c>
      <c r="F118" s="330" t="s">
        <v>566</v>
      </c>
      <c r="G118" s="323" t="s">
        <v>397</v>
      </c>
      <c r="H118" s="440" t="s">
        <v>567</v>
      </c>
      <c r="I118" s="441"/>
      <c r="J118" s="324" t="s">
        <v>399</v>
      </c>
      <c r="K118" s="314">
        <v>340</v>
      </c>
      <c r="L118" s="314">
        <f t="shared" si="2"/>
        <v>7140</v>
      </c>
      <c r="M118" s="316"/>
      <c r="N118" s="316"/>
      <c r="O118" s="316"/>
      <c r="P118" s="316"/>
      <c r="Q118" s="316"/>
      <c r="R118" s="316"/>
      <c r="S118" s="316"/>
      <c r="T118" s="316"/>
      <c r="U118" s="316"/>
      <c r="V118" s="316"/>
    </row>
    <row r="119" spans="1:22" ht="50.1" customHeight="1" x14ac:dyDescent="0.3">
      <c r="A119" s="321">
        <v>108</v>
      </c>
      <c r="B119" s="446" t="s">
        <v>568</v>
      </c>
      <c r="C119" s="447"/>
      <c r="D119" s="448"/>
      <c r="E119" s="329">
        <v>1</v>
      </c>
      <c r="F119" s="330" t="s">
        <v>569</v>
      </c>
      <c r="G119" s="323" t="s">
        <v>397</v>
      </c>
      <c r="H119" s="440" t="s">
        <v>570</v>
      </c>
      <c r="I119" s="441"/>
      <c r="J119" s="324" t="s">
        <v>399</v>
      </c>
      <c r="K119" s="314">
        <v>225</v>
      </c>
      <c r="L119" s="314">
        <f t="shared" si="2"/>
        <v>4725</v>
      </c>
      <c r="M119" s="316"/>
      <c r="N119" s="316"/>
      <c r="O119" s="316"/>
      <c r="P119" s="316"/>
      <c r="Q119" s="316"/>
      <c r="R119" s="316"/>
      <c r="S119" s="316"/>
      <c r="T119" s="316"/>
      <c r="U119" s="316"/>
      <c r="V119" s="316"/>
    </row>
    <row r="120" spans="1:22" ht="50.1" customHeight="1" x14ac:dyDescent="0.3">
      <c r="A120" s="321">
        <v>109</v>
      </c>
      <c r="B120" s="446" t="s">
        <v>571</v>
      </c>
      <c r="C120" s="447"/>
      <c r="D120" s="448"/>
      <c r="E120" s="329">
        <v>2</v>
      </c>
      <c r="F120" s="322"/>
      <c r="G120" s="323" t="s">
        <v>397</v>
      </c>
      <c r="H120" s="440" t="s">
        <v>572</v>
      </c>
      <c r="I120" s="441"/>
      <c r="J120" s="324" t="s">
        <v>399</v>
      </c>
      <c r="K120" s="314">
        <v>1834</v>
      </c>
      <c r="L120" s="314">
        <f t="shared" si="2"/>
        <v>38514</v>
      </c>
      <c r="M120" s="316"/>
      <c r="N120" s="316"/>
      <c r="O120" s="316"/>
      <c r="P120" s="316"/>
      <c r="Q120" s="316"/>
      <c r="R120" s="316"/>
      <c r="S120" s="316"/>
      <c r="T120" s="316"/>
      <c r="U120" s="316"/>
      <c r="V120" s="316"/>
    </row>
    <row r="121" spans="1:22" ht="50.1" customHeight="1" x14ac:dyDescent="0.3">
      <c r="A121" s="321">
        <v>110</v>
      </c>
      <c r="B121" s="446" t="s">
        <v>573</v>
      </c>
      <c r="C121" s="447"/>
      <c r="D121" s="448"/>
      <c r="E121" s="329">
        <v>2</v>
      </c>
      <c r="F121" s="322"/>
      <c r="G121" s="323" t="s">
        <v>397</v>
      </c>
      <c r="H121" s="440" t="s">
        <v>574</v>
      </c>
      <c r="I121" s="441"/>
      <c r="J121" s="324" t="s">
        <v>399</v>
      </c>
      <c r="K121" s="314">
        <v>1452</v>
      </c>
      <c r="L121" s="314">
        <f t="shared" si="2"/>
        <v>30492</v>
      </c>
      <c r="M121" s="316"/>
      <c r="N121" s="316"/>
      <c r="O121" s="316"/>
      <c r="P121" s="316"/>
      <c r="Q121" s="316"/>
      <c r="R121" s="316"/>
      <c r="S121" s="316"/>
      <c r="T121" s="316"/>
      <c r="U121" s="316"/>
      <c r="V121" s="316"/>
    </row>
    <row r="122" spans="1:22" ht="50.1" customHeight="1" x14ac:dyDescent="0.3">
      <c r="A122" s="321">
        <v>111</v>
      </c>
      <c r="B122" s="446" t="s">
        <v>575</v>
      </c>
      <c r="C122" s="447"/>
      <c r="D122" s="448"/>
      <c r="E122" s="329">
        <v>6</v>
      </c>
      <c r="F122" s="330" t="s">
        <v>576</v>
      </c>
      <c r="G122" s="323" t="s">
        <v>397</v>
      </c>
      <c r="H122" s="409" t="s">
        <v>398</v>
      </c>
      <c r="I122" s="410"/>
      <c r="J122" s="324" t="s">
        <v>399</v>
      </c>
      <c r="K122" s="327">
        <v>3000</v>
      </c>
      <c r="L122" s="327">
        <f t="shared" si="2"/>
        <v>63000</v>
      </c>
      <c r="M122" s="316"/>
      <c r="N122" s="316"/>
      <c r="O122" s="316"/>
      <c r="P122" s="316"/>
      <c r="Q122" s="316"/>
      <c r="R122" s="316"/>
      <c r="S122" s="316"/>
      <c r="T122" s="316"/>
      <c r="U122" s="316"/>
      <c r="V122" s="316"/>
    </row>
    <row r="123" spans="1:22" ht="50.1" customHeight="1" x14ac:dyDescent="0.3">
      <c r="A123" s="321">
        <v>112</v>
      </c>
      <c r="B123" s="423" t="s">
        <v>577</v>
      </c>
      <c r="C123" s="424"/>
      <c r="D123" s="410"/>
      <c r="E123" s="322"/>
      <c r="F123" s="322"/>
      <c r="G123" s="322"/>
      <c r="H123" s="425"/>
      <c r="I123" s="426"/>
      <c r="J123" s="322"/>
      <c r="K123" s="314"/>
      <c r="L123" s="327"/>
      <c r="M123" s="316"/>
      <c r="N123" s="316"/>
      <c r="O123" s="316"/>
      <c r="P123" s="316"/>
      <c r="Q123" s="316"/>
      <c r="R123" s="316"/>
      <c r="S123" s="316"/>
      <c r="T123" s="316"/>
      <c r="U123" s="316"/>
      <c r="V123" s="316"/>
    </row>
    <row r="124" spans="1:22" ht="50.1" customHeight="1" x14ac:dyDescent="0.3">
      <c r="A124" s="321">
        <v>113</v>
      </c>
      <c r="B124" s="411" t="s">
        <v>578</v>
      </c>
      <c r="C124" s="414"/>
      <c r="D124" s="415"/>
      <c r="E124" s="326">
        <v>1</v>
      </c>
      <c r="F124" s="332" t="s">
        <v>579</v>
      </c>
      <c r="G124" s="323" t="s">
        <v>397</v>
      </c>
      <c r="H124" s="442" t="s">
        <v>580</v>
      </c>
      <c r="I124" s="443"/>
      <c r="J124" s="324" t="s">
        <v>399</v>
      </c>
      <c r="K124" s="314">
        <v>502.5</v>
      </c>
      <c r="L124" s="327">
        <f t="shared" si="2"/>
        <v>10552.5</v>
      </c>
      <c r="M124" s="316"/>
      <c r="N124" s="316"/>
      <c r="O124" s="316"/>
      <c r="P124" s="316"/>
      <c r="Q124" s="316"/>
      <c r="R124" s="316"/>
      <c r="S124" s="316"/>
      <c r="T124" s="316"/>
      <c r="U124" s="316"/>
      <c r="V124" s="316"/>
    </row>
    <row r="125" spans="1:22" ht="50.1" customHeight="1" x14ac:dyDescent="0.3">
      <c r="A125" s="321">
        <v>114</v>
      </c>
      <c r="B125" s="411" t="s">
        <v>581</v>
      </c>
      <c r="C125" s="414"/>
      <c r="D125" s="415"/>
      <c r="E125" s="326">
        <v>5</v>
      </c>
      <c r="F125" s="332" t="s">
        <v>579</v>
      </c>
      <c r="G125" s="323" t="s">
        <v>397</v>
      </c>
      <c r="H125" s="442" t="s">
        <v>580</v>
      </c>
      <c r="I125" s="443"/>
      <c r="J125" s="324" t="s">
        <v>399</v>
      </c>
      <c r="K125" s="314">
        <v>3262.5</v>
      </c>
      <c r="L125" s="327">
        <f t="shared" si="2"/>
        <v>68512.5</v>
      </c>
      <c r="M125" s="316"/>
      <c r="N125" s="316"/>
      <c r="O125" s="316"/>
      <c r="P125" s="316"/>
      <c r="Q125" s="316"/>
      <c r="R125" s="316"/>
      <c r="S125" s="316"/>
      <c r="T125" s="316"/>
      <c r="U125" s="316"/>
      <c r="V125" s="316"/>
    </row>
    <row r="126" spans="1:22" ht="50.1" customHeight="1" x14ac:dyDescent="0.3">
      <c r="A126" s="321">
        <v>115</v>
      </c>
      <c r="B126" s="411" t="s">
        <v>582</v>
      </c>
      <c r="C126" s="414"/>
      <c r="D126" s="415"/>
      <c r="E126" s="326">
        <v>7</v>
      </c>
      <c r="F126" s="332" t="s">
        <v>579</v>
      </c>
      <c r="G126" s="323" t="s">
        <v>397</v>
      </c>
      <c r="H126" s="442" t="s">
        <v>580</v>
      </c>
      <c r="I126" s="443"/>
      <c r="J126" s="324" t="s">
        <v>399</v>
      </c>
      <c r="K126" s="314">
        <v>2730</v>
      </c>
      <c r="L126" s="327">
        <f t="shared" si="2"/>
        <v>57330</v>
      </c>
      <c r="M126" s="316"/>
      <c r="N126" s="316"/>
      <c r="O126" s="316"/>
      <c r="P126" s="316"/>
      <c r="Q126" s="316"/>
      <c r="R126" s="316"/>
      <c r="S126" s="316"/>
      <c r="T126" s="316"/>
      <c r="U126" s="316"/>
      <c r="V126" s="316"/>
    </row>
    <row r="127" spans="1:22" ht="50.1" customHeight="1" x14ac:dyDescent="0.3">
      <c r="A127" s="321">
        <v>116</v>
      </c>
      <c r="B127" s="411" t="s">
        <v>583</v>
      </c>
      <c r="C127" s="414"/>
      <c r="D127" s="415"/>
      <c r="E127" s="326">
        <v>5</v>
      </c>
      <c r="F127" s="332" t="s">
        <v>579</v>
      </c>
      <c r="G127" s="323" t="s">
        <v>397</v>
      </c>
      <c r="H127" s="442" t="s">
        <v>580</v>
      </c>
      <c r="I127" s="443"/>
      <c r="J127" s="324" t="s">
        <v>399</v>
      </c>
      <c r="K127" s="314">
        <v>1462.5</v>
      </c>
      <c r="L127" s="327">
        <f t="shared" si="2"/>
        <v>30712.5</v>
      </c>
      <c r="M127" s="316"/>
      <c r="N127" s="316"/>
      <c r="O127" s="316"/>
      <c r="P127" s="316"/>
      <c r="Q127" s="316"/>
      <c r="R127" s="316"/>
      <c r="S127" s="316"/>
      <c r="T127" s="316"/>
      <c r="U127" s="316"/>
      <c r="V127" s="316"/>
    </row>
    <row r="128" spans="1:22" ht="50.1" customHeight="1" x14ac:dyDescent="0.3">
      <c r="A128" s="321">
        <v>117</v>
      </c>
      <c r="B128" s="411" t="s">
        <v>584</v>
      </c>
      <c r="C128" s="414"/>
      <c r="D128" s="415"/>
      <c r="E128" s="326">
        <v>4</v>
      </c>
      <c r="F128" s="332" t="s">
        <v>585</v>
      </c>
      <c r="G128" s="323" t="s">
        <v>397</v>
      </c>
      <c r="H128" s="444" t="s">
        <v>586</v>
      </c>
      <c r="I128" s="445"/>
      <c r="J128" s="324" t="s">
        <v>399</v>
      </c>
      <c r="K128" s="314">
        <v>3960</v>
      </c>
      <c r="L128" s="327">
        <f t="shared" si="2"/>
        <v>83160</v>
      </c>
      <c r="M128" s="316"/>
      <c r="N128" s="316"/>
      <c r="O128" s="316"/>
      <c r="P128" s="316"/>
      <c r="Q128" s="316"/>
      <c r="R128" s="316"/>
      <c r="S128" s="316"/>
      <c r="T128" s="316"/>
      <c r="U128" s="316"/>
      <c r="V128" s="316"/>
    </row>
    <row r="129" spans="1:22" ht="50.1" customHeight="1" x14ac:dyDescent="0.3">
      <c r="A129" s="321">
        <v>118</v>
      </c>
      <c r="B129" s="411" t="s">
        <v>587</v>
      </c>
      <c r="C129" s="414"/>
      <c r="D129" s="415"/>
      <c r="E129" s="326">
        <v>1</v>
      </c>
      <c r="F129" s="332" t="s">
        <v>588</v>
      </c>
      <c r="G129" s="323" t="s">
        <v>397</v>
      </c>
      <c r="H129" s="442" t="s">
        <v>589</v>
      </c>
      <c r="I129" s="443"/>
      <c r="J129" s="324" t="s">
        <v>399</v>
      </c>
      <c r="K129" s="314">
        <v>892.5</v>
      </c>
      <c r="L129" s="327">
        <f t="shared" si="2"/>
        <v>18742.5</v>
      </c>
      <c r="M129" s="316"/>
      <c r="N129" s="316"/>
      <c r="O129" s="316"/>
      <c r="P129" s="316"/>
      <c r="Q129" s="316"/>
      <c r="R129" s="316"/>
      <c r="S129" s="316"/>
      <c r="T129" s="316"/>
      <c r="U129" s="316"/>
      <c r="V129" s="316"/>
    </row>
    <row r="130" spans="1:22" ht="50.1" customHeight="1" x14ac:dyDescent="0.3">
      <c r="A130" s="321">
        <v>119</v>
      </c>
      <c r="B130" s="411" t="s">
        <v>590</v>
      </c>
      <c r="C130" s="414"/>
      <c r="D130" s="415"/>
      <c r="E130" s="326">
        <v>1</v>
      </c>
      <c r="F130" s="332" t="s">
        <v>591</v>
      </c>
      <c r="G130" s="323" t="s">
        <v>397</v>
      </c>
      <c r="H130" s="442" t="s">
        <v>592</v>
      </c>
      <c r="I130" s="443"/>
      <c r="J130" s="324" t="s">
        <v>399</v>
      </c>
      <c r="K130" s="314">
        <v>2690</v>
      </c>
      <c r="L130" s="327">
        <f t="shared" si="2"/>
        <v>56490</v>
      </c>
      <c r="M130" s="316"/>
      <c r="N130" s="316"/>
      <c r="O130" s="316"/>
      <c r="P130" s="316"/>
      <c r="Q130" s="316"/>
      <c r="R130" s="316"/>
      <c r="S130" s="316"/>
      <c r="T130" s="316"/>
      <c r="U130" s="316"/>
      <c r="V130" s="316"/>
    </row>
    <row r="131" spans="1:22" ht="50.1" customHeight="1" x14ac:dyDescent="0.3">
      <c r="A131" s="321">
        <v>120</v>
      </c>
      <c r="B131" s="411" t="s">
        <v>593</v>
      </c>
      <c r="C131" s="414"/>
      <c r="D131" s="415"/>
      <c r="E131" s="326">
        <v>1</v>
      </c>
      <c r="F131" s="332" t="s">
        <v>594</v>
      </c>
      <c r="G131" s="323" t="s">
        <v>397</v>
      </c>
      <c r="H131" s="409" t="s">
        <v>398</v>
      </c>
      <c r="I131" s="410"/>
      <c r="J131" s="324" t="s">
        <v>399</v>
      </c>
      <c r="K131" s="314">
        <v>800</v>
      </c>
      <c r="L131" s="327">
        <f t="shared" si="2"/>
        <v>16800</v>
      </c>
      <c r="M131" s="316"/>
      <c r="N131" s="316"/>
      <c r="O131" s="316"/>
      <c r="P131" s="316"/>
      <c r="Q131" s="316"/>
      <c r="R131" s="316"/>
      <c r="S131" s="316"/>
      <c r="T131" s="316"/>
      <c r="U131" s="316"/>
      <c r="V131" s="316"/>
    </row>
    <row r="132" spans="1:22" ht="50.1" customHeight="1" x14ac:dyDescent="0.3">
      <c r="A132" s="321">
        <v>121</v>
      </c>
      <c r="B132" s="411" t="s">
        <v>595</v>
      </c>
      <c r="C132" s="414"/>
      <c r="D132" s="415"/>
      <c r="E132" s="326">
        <v>1</v>
      </c>
      <c r="F132" s="332">
        <v>3223</v>
      </c>
      <c r="G132" s="323" t="s">
        <v>397</v>
      </c>
      <c r="H132" s="409" t="s">
        <v>398</v>
      </c>
      <c r="I132" s="410"/>
      <c r="J132" s="324" t="s">
        <v>399</v>
      </c>
      <c r="K132" s="314">
        <v>115</v>
      </c>
      <c r="L132" s="327">
        <f t="shared" si="2"/>
        <v>2415</v>
      </c>
      <c r="M132" s="316"/>
      <c r="N132" s="316"/>
      <c r="O132" s="316"/>
      <c r="P132" s="316"/>
      <c r="Q132" s="316"/>
      <c r="R132" s="316"/>
      <c r="S132" s="316"/>
      <c r="T132" s="316"/>
      <c r="U132" s="316"/>
      <c r="V132" s="316"/>
    </row>
    <row r="133" spans="1:22" ht="50.1" customHeight="1" x14ac:dyDescent="0.3">
      <c r="A133" s="321">
        <v>122</v>
      </c>
      <c r="B133" s="411" t="s">
        <v>596</v>
      </c>
      <c r="C133" s="414"/>
      <c r="D133" s="415"/>
      <c r="E133" s="326">
        <v>1</v>
      </c>
      <c r="F133" s="332">
        <v>3223</v>
      </c>
      <c r="G133" s="323" t="s">
        <v>397</v>
      </c>
      <c r="H133" s="409" t="s">
        <v>398</v>
      </c>
      <c r="I133" s="410"/>
      <c r="J133" s="324" t="s">
        <v>399</v>
      </c>
      <c r="K133" s="314">
        <v>80</v>
      </c>
      <c r="L133" s="327">
        <f t="shared" si="2"/>
        <v>1680</v>
      </c>
      <c r="M133" s="316"/>
      <c r="N133" s="316"/>
      <c r="O133" s="316"/>
      <c r="P133" s="316"/>
      <c r="Q133" s="316"/>
      <c r="R133" s="316"/>
      <c r="S133" s="316"/>
      <c r="T133" s="316"/>
      <c r="U133" s="316"/>
      <c r="V133" s="316"/>
    </row>
    <row r="134" spans="1:22" ht="50.1" customHeight="1" x14ac:dyDescent="0.3">
      <c r="A134" s="321">
        <v>123</v>
      </c>
      <c r="B134" s="411" t="s">
        <v>597</v>
      </c>
      <c r="C134" s="414"/>
      <c r="D134" s="415"/>
      <c r="E134" s="326">
        <v>1</v>
      </c>
      <c r="F134" s="332" t="s">
        <v>598</v>
      </c>
      <c r="G134" s="323" t="s">
        <v>397</v>
      </c>
      <c r="H134" s="409" t="s">
        <v>398</v>
      </c>
      <c r="I134" s="410"/>
      <c r="J134" s="324" t="s">
        <v>399</v>
      </c>
      <c r="K134" s="314">
        <v>825</v>
      </c>
      <c r="L134" s="327">
        <f t="shared" si="2"/>
        <v>17325</v>
      </c>
      <c r="M134" s="316"/>
      <c r="N134" s="316"/>
      <c r="O134" s="316"/>
      <c r="P134" s="316"/>
      <c r="Q134" s="316"/>
      <c r="R134" s="316"/>
      <c r="S134" s="316"/>
      <c r="T134" s="316"/>
      <c r="U134" s="316"/>
      <c r="V134" s="316"/>
    </row>
    <row r="135" spans="1:22" ht="50.1" customHeight="1" x14ac:dyDescent="0.3">
      <c r="A135" s="321">
        <v>124</v>
      </c>
      <c r="B135" s="411" t="s">
        <v>599</v>
      </c>
      <c r="C135" s="414"/>
      <c r="D135" s="415"/>
      <c r="E135" s="326">
        <v>2</v>
      </c>
      <c r="F135" s="332" t="s">
        <v>600</v>
      </c>
      <c r="G135" s="323" t="s">
        <v>397</v>
      </c>
      <c r="H135" s="409" t="s">
        <v>398</v>
      </c>
      <c r="I135" s="410"/>
      <c r="J135" s="324" t="s">
        <v>399</v>
      </c>
      <c r="K135" s="314">
        <v>2025</v>
      </c>
      <c r="L135" s="327">
        <f t="shared" si="2"/>
        <v>42525</v>
      </c>
      <c r="M135" s="316"/>
      <c r="N135" s="316"/>
      <c r="O135" s="316"/>
      <c r="P135" s="316"/>
      <c r="Q135" s="316"/>
      <c r="R135" s="316"/>
      <c r="S135" s="316"/>
      <c r="T135" s="316"/>
      <c r="U135" s="316"/>
      <c r="V135" s="316"/>
    </row>
    <row r="136" spans="1:22" ht="50.1" customHeight="1" x14ac:dyDescent="0.3">
      <c r="A136" s="321">
        <v>125</v>
      </c>
      <c r="B136" s="411" t="s">
        <v>601</v>
      </c>
      <c r="C136" s="414"/>
      <c r="D136" s="415"/>
      <c r="E136" s="326">
        <v>1</v>
      </c>
      <c r="F136" s="332" t="s">
        <v>602</v>
      </c>
      <c r="G136" s="323" t="s">
        <v>397</v>
      </c>
      <c r="H136" s="409" t="s">
        <v>398</v>
      </c>
      <c r="I136" s="410"/>
      <c r="J136" s="324" t="s">
        <v>399</v>
      </c>
      <c r="K136" s="314">
        <v>2437.5</v>
      </c>
      <c r="L136" s="327">
        <f t="shared" si="2"/>
        <v>51187.5</v>
      </c>
      <c r="M136" s="316"/>
      <c r="N136" s="316"/>
      <c r="O136" s="316"/>
      <c r="P136" s="316"/>
      <c r="Q136" s="316"/>
      <c r="R136" s="316"/>
      <c r="S136" s="316"/>
      <c r="T136" s="316"/>
      <c r="U136" s="316"/>
      <c r="V136" s="316"/>
    </row>
    <row r="137" spans="1:22" ht="50.1" customHeight="1" x14ac:dyDescent="0.3">
      <c r="A137" s="321">
        <v>126</v>
      </c>
      <c r="B137" s="411" t="s">
        <v>603</v>
      </c>
      <c r="C137" s="414"/>
      <c r="D137" s="415"/>
      <c r="E137" s="326">
        <v>1</v>
      </c>
      <c r="F137" s="332" t="s">
        <v>604</v>
      </c>
      <c r="G137" s="323" t="s">
        <v>397</v>
      </c>
      <c r="H137" s="409" t="s">
        <v>398</v>
      </c>
      <c r="I137" s="410"/>
      <c r="J137" s="324" t="s">
        <v>399</v>
      </c>
      <c r="K137" s="314">
        <v>160</v>
      </c>
      <c r="L137" s="327">
        <f t="shared" si="2"/>
        <v>3360</v>
      </c>
      <c r="M137" s="316"/>
      <c r="N137" s="316"/>
      <c r="O137" s="316"/>
      <c r="P137" s="316"/>
      <c r="Q137" s="316"/>
      <c r="R137" s="316"/>
      <c r="S137" s="316"/>
      <c r="T137" s="316"/>
      <c r="U137" s="316"/>
      <c r="V137" s="316"/>
    </row>
    <row r="138" spans="1:22" ht="50.1" customHeight="1" x14ac:dyDescent="0.3">
      <c r="A138" s="321">
        <v>127</v>
      </c>
      <c r="B138" s="411" t="s">
        <v>605</v>
      </c>
      <c r="C138" s="414"/>
      <c r="D138" s="415"/>
      <c r="E138" s="326">
        <v>2</v>
      </c>
      <c r="F138" s="332" t="s">
        <v>606</v>
      </c>
      <c r="G138" s="323" t="s">
        <v>397</v>
      </c>
      <c r="H138" s="409" t="s">
        <v>398</v>
      </c>
      <c r="I138" s="410"/>
      <c r="J138" s="324" t="s">
        <v>399</v>
      </c>
      <c r="K138" s="314">
        <v>170</v>
      </c>
      <c r="L138" s="327">
        <f t="shared" si="2"/>
        <v>3570</v>
      </c>
      <c r="M138" s="316"/>
      <c r="N138" s="316"/>
      <c r="O138" s="316"/>
      <c r="P138" s="316"/>
      <c r="Q138" s="316"/>
      <c r="R138" s="316"/>
      <c r="S138" s="316"/>
      <c r="T138" s="316"/>
      <c r="U138" s="316"/>
      <c r="V138" s="316"/>
    </row>
    <row r="139" spans="1:22" ht="50.1" customHeight="1" x14ac:dyDescent="0.3">
      <c r="A139" s="321">
        <v>128</v>
      </c>
      <c r="B139" s="411" t="s">
        <v>607</v>
      </c>
      <c r="C139" s="414"/>
      <c r="D139" s="415"/>
      <c r="E139" s="326">
        <v>1</v>
      </c>
      <c r="F139" s="332" t="s">
        <v>608</v>
      </c>
      <c r="G139" s="323" t="s">
        <v>397</v>
      </c>
      <c r="H139" s="442" t="s">
        <v>609</v>
      </c>
      <c r="I139" s="443"/>
      <c r="J139" s="324" t="s">
        <v>399</v>
      </c>
      <c r="K139" s="314">
        <v>235</v>
      </c>
      <c r="L139" s="327">
        <f t="shared" si="2"/>
        <v>4935</v>
      </c>
      <c r="M139" s="316"/>
      <c r="N139" s="316"/>
      <c r="O139" s="316"/>
      <c r="P139" s="316"/>
      <c r="Q139" s="316"/>
      <c r="R139" s="316"/>
      <c r="S139" s="316"/>
      <c r="T139" s="316"/>
      <c r="U139" s="316"/>
      <c r="V139" s="316"/>
    </row>
    <row r="140" spans="1:22" ht="50.1" customHeight="1" x14ac:dyDescent="0.3">
      <c r="A140" s="321">
        <v>129</v>
      </c>
      <c r="B140" s="411" t="s">
        <v>610</v>
      </c>
      <c r="C140" s="414"/>
      <c r="D140" s="415"/>
      <c r="E140" s="326">
        <v>2</v>
      </c>
      <c r="F140" s="332" t="s">
        <v>608</v>
      </c>
      <c r="G140" s="323" t="s">
        <v>397</v>
      </c>
      <c r="H140" s="442" t="s">
        <v>611</v>
      </c>
      <c r="I140" s="443"/>
      <c r="J140" s="324" t="s">
        <v>399</v>
      </c>
      <c r="K140" s="314">
        <v>4452</v>
      </c>
      <c r="L140" s="327">
        <f t="shared" si="2"/>
        <v>93492</v>
      </c>
      <c r="M140" s="316"/>
      <c r="N140" s="316"/>
      <c r="O140" s="316"/>
      <c r="P140" s="316"/>
      <c r="Q140" s="316"/>
      <c r="R140" s="316"/>
      <c r="S140" s="316"/>
      <c r="T140" s="316"/>
      <c r="U140" s="316"/>
      <c r="V140" s="316"/>
    </row>
    <row r="141" spans="1:22" ht="50.1" customHeight="1" x14ac:dyDescent="0.3">
      <c r="A141" s="321">
        <v>130</v>
      </c>
      <c r="B141" s="411" t="s">
        <v>612</v>
      </c>
      <c r="C141" s="414"/>
      <c r="D141" s="415"/>
      <c r="E141" s="326">
        <v>1</v>
      </c>
      <c r="F141" s="332" t="s">
        <v>613</v>
      </c>
      <c r="G141" s="323" t="s">
        <v>397</v>
      </c>
      <c r="H141" s="409" t="s">
        <v>398</v>
      </c>
      <c r="I141" s="410"/>
      <c r="J141" s="324" t="s">
        <v>399</v>
      </c>
      <c r="K141" s="314">
        <v>432</v>
      </c>
      <c r="L141" s="327">
        <f t="shared" si="2"/>
        <v>9072</v>
      </c>
      <c r="M141" s="316"/>
      <c r="N141" s="316"/>
      <c r="O141" s="316"/>
      <c r="P141" s="316"/>
      <c r="Q141" s="316"/>
      <c r="R141" s="316"/>
      <c r="S141" s="316"/>
      <c r="T141" s="316"/>
      <c r="U141" s="316"/>
      <c r="V141" s="316"/>
    </row>
    <row r="142" spans="1:22" ht="50.1" customHeight="1" x14ac:dyDescent="0.3">
      <c r="A142" s="321">
        <v>131</v>
      </c>
      <c r="B142" s="411" t="s">
        <v>614</v>
      </c>
      <c r="C142" s="414"/>
      <c r="D142" s="415"/>
      <c r="E142" s="326">
        <v>2</v>
      </c>
      <c r="F142" s="332" t="s">
        <v>608</v>
      </c>
      <c r="G142" s="323" t="s">
        <v>397</v>
      </c>
      <c r="H142" s="442" t="s">
        <v>615</v>
      </c>
      <c r="I142" s="443"/>
      <c r="J142" s="324" t="s">
        <v>399</v>
      </c>
      <c r="K142" s="314">
        <v>4452</v>
      </c>
      <c r="L142" s="327">
        <f t="shared" si="2"/>
        <v>93492</v>
      </c>
      <c r="M142" s="316"/>
      <c r="N142" s="316"/>
      <c r="O142" s="316"/>
      <c r="P142" s="316"/>
      <c r="Q142" s="316"/>
      <c r="R142" s="316"/>
      <c r="S142" s="316"/>
      <c r="T142" s="316"/>
      <c r="U142" s="316"/>
      <c r="V142" s="316"/>
    </row>
    <row r="143" spans="1:22" ht="50.1" customHeight="1" x14ac:dyDescent="0.3">
      <c r="A143" s="321">
        <v>132</v>
      </c>
      <c r="B143" s="411" t="s">
        <v>616</v>
      </c>
      <c r="C143" s="414"/>
      <c r="D143" s="415"/>
      <c r="E143" s="326">
        <v>3</v>
      </c>
      <c r="F143" s="332" t="s">
        <v>617</v>
      </c>
      <c r="G143" s="323" t="s">
        <v>397</v>
      </c>
      <c r="H143" s="442" t="s">
        <v>618</v>
      </c>
      <c r="I143" s="443"/>
      <c r="J143" s="324" t="s">
        <v>399</v>
      </c>
      <c r="K143" s="314">
        <v>360</v>
      </c>
      <c r="L143" s="327">
        <f t="shared" si="2"/>
        <v>7560</v>
      </c>
      <c r="M143" s="316"/>
      <c r="N143" s="316"/>
      <c r="O143" s="316"/>
      <c r="P143" s="316"/>
      <c r="Q143" s="316"/>
      <c r="R143" s="316"/>
      <c r="S143" s="316"/>
      <c r="T143" s="316"/>
      <c r="U143" s="316"/>
      <c r="V143" s="316"/>
    </row>
    <row r="144" spans="1:22" ht="50.1" customHeight="1" x14ac:dyDescent="0.3">
      <c r="A144" s="321">
        <v>133</v>
      </c>
      <c r="B144" s="411" t="s">
        <v>619</v>
      </c>
      <c r="C144" s="414"/>
      <c r="D144" s="415"/>
      <c r="E144" s="326">
        <v>1</v>
      </c>
      <c r="F144" s="332" t="s">
        <v>620</v>
      </c>
      <c r="G144" s="323" t="s">
        <v>397</v>
      </c>
      <c r="H144" s="409" t="s">
        <v>398</v>
      </c>
      <c r="I144" s="410"/>
      <c r="J144" s="324" t="s">
        <v>399</v>
      </c>
      <c r="K144" s="314">
        <v>142</v>
      </c>
      <c r="L144" s="327">
        <f t="shared" si="2"/>
        <v>2982</v>
      </c>
      <c r="M144" s="316"/>
      <c r="N144" s="316"/>
      <c r="O144" s="316"/>
      <c r="P144" s="316"/>
      <c r="Q144" s="316"/>
      <c r="R144" s="316"/>
      <c r="S144" s="316"/>
      <c r="T144" s="316"/>
      <c r="U144" s="316"/>
      <c r="V144" s="316"/>
    </row>
    <row r="145" spans="1:22" ht="50.1" customHeight="1" x14ac:dyDescent="0.3">
      <c r="A145" s="321">
        <v>134</v>
      </c>
      <c r="B145" s="411" t="s">
        <v>621</v>
      </c>
      <c r="C145" s="414"/>
      <c r="D145" s="415"/>
      <c r="E145" s="326">
        <v>2</v>
      </c>
      <c r="F145" s="322"/>
      <c r="G145" s="323" t="s">
        <v>397</v>
      </c>
      <c r="H145" s="409" t="s">
        <v>398</v>
      </c>
      <c r="I145" s="410"/>
      <c r="J145" s="324" t="s">
        <v>399</v>
      </c>
      <c r="K145" s="314">
        <v>23</v>
      </c>
      <c r="L145" s="327">
        <f t="shared" si="2"/>
        <v>483</v>
      </c>
      <c r="M145" s="316"/>
      <c r="N145" s="316"/>
      <c r="O145" s="316"/>
      <c r="P145" s="316"/>
      <c r="Q145" s="316"/>
      <c r="R145" s="316"/>
      <c r="S145" s="316"/>
      <c r="T145" s="316"/>
      <c r="U145" s="316"/>
      <c r="V145" s="316"/>
    </row>
    <row r="146" spans="1:22" ht="50.1" customHeight="1" x14ac:dyDescent="0.3">
      <c r="A146" s="321">
        <v>135</v>
      </c>
      <c r="B146" s="411" t="s">
        <v>622</v>
      </c>
      <c r="C146" s="414"/>
      <c r="D146" s="415"/>
      <c r="E146" s="326">
        <v>4</v>
      </c>
      <c r="F146" s="332" t="s">
        <v>623</v>
      </c>
      <c r="G146" s="323" t="s">
        <v>397</v>
      </c>
      <c r="H146" s="409" t="s">
        <v>398</v>
      </c>
      <c r="I146" s="410"/>
      <c r="J146" s="324" t="s">
        <v>399</v>
      </c>
      <c r="K146" s="314">
        <v>224</v>
      </c>
      <c r="L146" s="327">
        <f t="shared" si="2"/>
        <v>4704</v>
      </c>
      <c r="M146" s="316"/>
      <c r="N146" s="316"/>
      <c r="O146" s="316"/>
      <c r="P146" s="316"/>
      <c r="Q146" s="316"/>
      <c r="R146" s="316"/>
      <c r="S146" s="316"/>
      <c r="T146" s="316"/>
      <c r="U146" s="316"/>
      <c r="V146" s="316"/>
    </row>
    <row r="147" spans="1:22" ht="50.1" customHeight="1" x14ac:dyDescent="0.3">
      <c r="A147" s="321">
        <v>136</v>
      </c>
      <c r="B147" s="411" t="s">
        <v>624</v>
      </c>
      <c r="C147" s="414"/>
      <c r="D147" s="415"/>
      <c r="E147" s="326">
        <v>3</v>
      </c>
      <c r="F147" s="332" t="s">
        <v>625</v>
      </c>
      <c r="G147" s="323" t="s">
        <v>397</v>
      </c>
      <c r="H147" s="409" t="s">
        <v>398</v>
      </c>
      <c r="I147" s="410"/>
      <c r="J147" s="324" t="s">
        <v>399</v>
      </c>
      <c r="K147" s="314">
        <v>186</v>
      </c>
      <c r="L147" s="327">
        <f t="shared" si="2"/>
        <v>3906</v>
      </c>
      <c r="M147" s="316"/>
      <c r="N147" s="316"/>
      <c r="O147" s="316"/>
      <c r="P147" s="316"/>
      <c r="Q147" s="316"/>
      <c r="R147" s="316"/>
      <c r="S147" s="316"/>
      <c r="T147" s="316"/>
      <c r="U147" s="316"/>
      <c r="V147" s="316"/>
    </row>
    <row r="148" spans="1:22" ht="50.1" customHeight="1" x14ac:dyDescent="0.3">
      <c r="A148" s="321">
        <v>137</v>
      </c>
      <c r="B148" s="411" t="s">
        <v>626</v>
      </c>
      <c r="C148" s="414"/>
      <c r="D148" s="415"/>
      <c r="E148" s="326">
        <v>2</v>
      </c>
      <c r="F148" s="332" t="s">
        <v>627</v>
      </c>
      <c r="G148" s="323" t="s">
        <v>397</v>
      </c>
      <c r="H148" s="409" t="s">
        <v>398</v>
      </c>
      <c r="I148" s="410"/>
      <c r="J148" s="324" t="s">
        <v>399</v>
      </c>
      <c r="K148" s="314">
        <v>810</v>
      </c>
      <c r="L148" s="327">
        <f t="shared" si="2"/>
        <v>17010</v>
      </c>
      <c r="M148" s="316"/>
      <c r="N148" s="316"/>
      <c r="O148" s="316"/>
      <c r="P148" s="316"/>
      <c r="Q148" s="316"/>
      <c r="R148" s="316"/>
      <c r="S148" s="316"/>
      <c r="T148" s="316"/>
      <c r="U148" s="316"/>
      <c r="V148" s="316"/>
    </row>
    <row r="149" spans="1:22" ht="50.1" customHeight="1" x14ac:dyDescent="0.3">
      <c r="A149" s="321">
        <v>138</v>
      </c>
      <c r="B149" s="411" t="s">
        <v>628</v>
      </c>
      <c r="C149" s="414"/>
      <c r="D149" s="415"/>
      <c r="E149" s="326">
        <v>3</v>
      </c>
      <c r="F149" s="332" t="s">
        <v>629</v>
      </c>
      <c r="G149" s="323" t="s">
        <v>397</v>
      </c>
      <c r="H149" s="409" t="s">
        <v>398</v>
      </c>
      <c r="I149" s="410"/>
      <c r="J149" s="324" t="s">
        <v>399</v>
      </c>
      <c r="K149" s="314">
        <v>1533</v>
      </c>
      <c r="L149" s="327">
        <f t="shared" si="2"/>
        <v>32193</v>
      </c>
      <c r="M149" s="316"/>
      <c r="N149" s="316"/>
      <c r="O149" s="316"/>
      <c r="P149" s="316"/>
      <c r="Q149" s="316"/>
      <c r="R149" s="316"/>
      <c r="S149" s="316"/>
      <c r="T149" s="316"/>
      <c r="U149" s="316"/>
      <c r="V149" s="316"/>
    </row>
    <row r="150" spans="1:22" ht="50.1" customHeight="1" x14ac:dyDescent="0.3">
      <c r="A150" s="321">
        <v>139</v>
      </c>
      <c r="B150" s="411" t="s">
        <v>630</v>
      </c>
      <c r="C150" s="414"/>
      <c r="D150" s="415"/>
      <c r="E150" s="326">
        <v>1</v>
      </c>
      <c r="F150" s="332" t="s">
        <v>631</v>
      </c>
      <c r="G150" s="323" t="s">
        <v>397</v>
      </c>
      <c r="H150" s="409" t="s">
        <v>398</v>
      </c>
      <c r="I150" s="410"/>
      <c r="J150" s="324" t="s">
        <v>399</v>
      </c>
      <c r="K150" s="314">
        <v>1406.5</v>
      </c>
      <c r="L150" s="327">
        <f t="shared" si="2"/>
        <v>29536.5</v>
      </c>
      <c r="M150" s="316"/>
      <c r="N150" s="316"/>
      <c r="O150" s="316"/>
      <c r="P150" s="316"/>
      <c r="Q150" s="316"/>
      <c r="R150" s="316"/>
      <c r="S150" s="316"/>
      <c r="T150" s="316"/>
      <c r="U150" s="316"/>
      <c r="V150" s="316"/>
    </row>
    <row r="151" spans="1:22" ht="50.1" customHeight="1" x14ac:dyDescent="0.3">
      <c r="A151" s="321">
        <v>140</v>
      </c>
      <c r="B151" s="411" t="s">
        <v>632</v>
      </c>
      <c r="C151" s="414"/>
      <c r="D151" s="415"/>
      <c r="E151" s="326">
        <v>1</v>
      </c>
      <c r="F151" s="332" t="s">
        <v>633</v>
      </c>
      <c r="G151" s="323" t="s">
        <v>397</v>
      </c>
      <c r="H151" s="409" t="s">
        <v>398</v>
      </c>
      <c r="I151" s="410"/>
      <c r="J151" s="324" t="s">
        <v>399</v>
      </c>
      <c r="K151" s="314">
        <v>885</v>
      </c>
      <c r="L151" s="327">
        <f t="shared" si="2"/>
        <v>18585</v>
      </c>
      <c r="M151" s="316"/>
      <c r="N151" s="316"/>
      <c r="O151" s="316"/>
      <c r="P151" s="316"/>
      <c r="Q151" s="316"/>
      <c r="R151" s="316"/>
      <c r="S151" s="316"/>
      <c r="T151" s="316"/>
      <c r="U151" s="316"/>
      <c r="V151" s="316"/>
    </row>
    <row r="152" spans="1:22" ht="50.1" customHeight="1" x14ac:dyDescent="0.3">
      <c r="A152" s="321">
        <v>141</v>
      </c>
      <c r="B152" s="411" t="s">
        <v>634</v>
      </c>
      <c r="C152" s="414"/>
      <c r="D152" s="415"/>
      <c r="E152" s="326">
        <v>1</v>
      </c>
      <c r="F152" s="332" t="s">
        <v>635</v>
      </c>
      <c r="G152" s="323" t="s">
        <v>397</v>
      </c>
      <c r="H152" s="409" t="s">
        <v>398</v>
      </c>
      <c r="I152" s="410"/>
      <c r="J152" s="324" t="s">
        <v>399</v>
      </c>
      <c r="K152" s="314">
        <v>53</v>
      </c>
      <c r="L152" s="327">
        <f t="shared" si="2"/>
        <v>1113</v>
      </c>
      <c r="M152" s="316"/>
      <c r="N152" s="316"/>
      <c r="O152" s="316"/>
      <c r="P152" s="316"/>
      <c r="Q152" s="316"/>
      <c r="R152" s="316"/>
      <c r="S152" s="316"/>
      <c r="T152" s="316"/>
      <c r="U152" s="316"/>
      <c r="V152" s="316"/>
    </row>
    <row r="153" spans="1:22" ht="50.1" customHeight="1" x14ac:dyDescent="0.3">
      <c r="A153" s="321">
        <v>142</v>
      </c>
      <c r="B153" s="423" t="s">
        <v>636</v>
      </c>
      <c r="C153" s="424"/>
      <c r="D153" s="410"/>
      <c r="E153" s="322"/>
      <c r="F153" s="322"/>
      <c r="G153" s="322"/>
      <c r="H153" s="425"/>
      <c r="I153" s="426"/>
      <c r="J153" s="322"/>
      <c r="K153" s="314"/>
      <c r="L153" s="316"/>
      <c r="M153" s="316"/>
      <c r="N153" s="316"/>
      <c r="O153" s="316"/>
      <c r="P153" s="316"/>
      <c r="Q153" s="316"/>
      <c r="R153" s="316"/>
      <c r="S153" s="316"/>
      <c r="T153" s="316"/>
      <c r="U153" s="316"/>
      <c r="V153" s="316"/>
    </row>
    <row r="154" spans="1:22" ht="50.1" customHeight="1" x14ac:dyDescent="0.3">
      <c r="A154" s="321">
        <v>143</v>
      </c>
      <c r="B154" s="411" t="s">
        <v>637</v>
      </c>
      <c r="C154" s="414"/>
      <c r="D154" s="415"/>
      <c r="E154" s="326">
        <v>1</v>
      </c>
      <c r="F154" s="332" t="s">
        <v>638</v>
      </c>
      <c r="G154" s="323" t="s">
        <v>397</v>
      </c>
      <c r="H154" s="409" t="s">
        <v>398</v>
      </c>
      <c r="I154" s="410"/>
      <c r="J154" s="324" t="s">
        <v>399</v>
      </c>
      <c r="K154" s="325">
        <v>11868</v>
      </c>
      <c r="L154" s="314">
        <f>K154*21</f>
        <v>249228</v>
      </c>
      <c r="M154" s="316"/>
      <c r="N154" s="316"/>
      <c r="O154" s="316"/>
      <c r="P154" s="316"/>
      <c r="Q154" s="316"/>
      <c r="R154" s="316"/>
      <c r="S154" s="316"/>
      <c r="T154" s="316"/>
      <c r="U154" s="316"/>
      <c r="V154" s="316"/>
    </row>
    <row r="155" spans="1:22" ht="50.1" customHeight="1" x14ac:dyDescent="0.3">
      <c r="A155" s="321">
        <v>144</v>
      </c>
      <c r="B155" s="411" t="s">
        <v>639</v>
      </c>
      <c r="C155" s="414"/>
      <c r="D155" s="415"/>
      <c r="E155" s="326">
        <v>1</v>
      </c>
      <c r="F155" s="332" t="s">
        <v>638</v>
      </c>
      <c r="G155" s="323" t="s">
        <v>397</v>
      </c>
      <c r="H155" s="409" t="s">
        <v>398</v>
      </c>
      <c r="I155" s="410"/>
      <c r="J155" s="324" t="s">
        <v>399</v>
      </c>
      <c r="K155" s="314">
        <v>2350</v>
      </c>
      <c r="L155" s="327">
        <f>K155*21</f>
        <v>49350</v>
      </c>
      <c r="M155" s="316"/>
      <c r="N155" s="316"/>
      <c r="O155" s="316"/>
      <c r="P155" s="316"/>
      <c r="Q155" s="316"/>
      <c r="R155" s="316"/>
      <c r="S155" s="316"/>
      <c r="T155" s="316"/>
      <c r="U155" s="316"/>
      <c r="V155" s="316"/>
    </row>
    <row r="156" spans="1:22" ht="50.1" customHeight="1" x14ac:dyDescent="0.3">
      <c r="A156" s="321">
        <v>145</v>
      </c>
      <c r="B156" s="411" t="s">
        <v>640</v>
      </c>
      <c r="C156" s="414"/>
      <c r="D156" s="415"/>
      <c r="E156" s="326">
        <v>4</v>
      </c>
      <c r="F156" s="332" t="s">
        <v>641</v>
      </c>
      <c r="G156" s="323" t="s">
        <v>397</v>
      </c>
      <c r="H156" s="409" t="s">
        <v>398</v>
      </c>
      <c r="I156" s="410"/>
      <c r="J156" s="324" t="s">
        <v>399</v>
      </c>
      <c r="K156" s="314">
        <v>932</v>
      </c>
      <c r="L156" s="327">
        <f>K156*21</f>
        <v>19572</v>
      </c>
      <c r="M156" s="316"/>
      <c r="N156" s="316"/>
      <c r="O156" s="316"/>
      <c r="P156" s="316"/>
      <c r="Q156" s="316"/>
      <c r="R156" s="316"/>
      <c r="S156" s="316"/>
      <c r="T156" s="316"/>
      <c r="U156" s="316"/>
      <c r="V156" s="316"/>
    </row>
    <row r="157" spans="1:22" ht="50.1" customHeight="1" x14ac:dyDescent="0.3">
      <c r="A157" s="321">
        <v>146</v>
      </c>
      <c r="B157" s="411" t="s">
        <v>642</v>
      </c>
      <c r="C157" s="414"/>
      <c r="D157" s="415"/>
      <c r="E157" s="326">
        <v>4</v>
      </c>
      <c r="F157" s="332" t="s">
        <v>643</v>
      </c>
      <c r="G157" s="323" t="s">
        <v>397</v>
      </c>
      <c r="H157" s="409" t="s">
        <v>398</v>
      </c>
      <c r="I157" s="410"/>
      <c r="J157" s="324" t="s">
        <v>399</v>
      </c>
      <c r="K157" s="314">
        <v>180</v>
      </c>
      <c r="L157" s="327">
        <f>K157*21</f>
        <v>3780</v>
      </c>
      <c r="M157" s="316"/>
      <c r="N157" s="316"/>
      <c r="O157" s="316"/>
      <c r="P157" s="316"/>
      <c r="Q157" s="316"/>
      <c r="R157" s="316"/>
      <c r="S157" s="316"/>
      <c r="T157" s="316"/>
      <c r="U157" s="316"/>
      <c r="V157" s="316"/>
    </row>
    <row r="158" spans="1:22" ht="50.1" customHeight="1" x14ac:dyDescent="0.3">
      <c r="A158" s="321">
        <v>147</v>
      </c>
      <c r="B158" s="423" t="s">
        <v>644</v>
      </c>
      <c r="C158" s="424"/>
      <c r="D158" s="410"/>
      <c r="E158" s="322"/>
      <c r="F158" s="322"/>
      <c r="G158" s="322"/>
      <c r="H158" s="425"/>
      <c r="I158" s="426"/>
      <c r="J158" s="322"/>
      <c r="K158" s="314"/>
      <c r="L158" s="316"/>
      <c r="M158" s="316"/>
      <c r="N158" s="316"/>
      <c r="O158" s="316"/>
      <c r="P158" s="316"/>
      <c r="Q158" s="316"/>
      <c r="R158" s="316"/>
      <c r="S158" s="316"/>
      <c r="T158" s="316"/>
      <c r="U158" s="316"/>
      <c r="V158" s="316"/>
    </row>
    <row r="159" spans="1:22" ht="50.1" customHeight="1" x14ac:dyDescent="0.3">
      <c r="A159" s="321">
        <v>148</v>
      </c>
      <c r="B159" s="411" t="s">
        <v>645</v>
      </c>
      <c r="C159" s="414"/>
      <c r="D159" s="415"/>
      <c r="E159" s="326">
        <v>1</v>
      </c>
      <c r="F159" s="332" t="s">
        <v>646</v>
      </c>
      <c r="G159" s="323" t="s">
        <v>397</v>
      </c>
      <c r="H159" s="409" t="s">
        <v>398</v>
      </c>
      <c r="I159" s="410"/>
      <c r="J159" s="324" t="s">
        <v>399</v>
      </c>
      <c r="K159" s="314">
        <v>703</v>
      </c>
      <c r="L159" s="314">
        <f>K159*21</f>
        <v>14763</v>
      </c>
      <c r="M159" s="316"/>
      <c r="N159" s="316"/>
      <c r="O159" s="316"/>
      <c r="P159" s="316"/>
      <c r="Q159" s="316"/>
      <c r="R159" s="316"/>
      <c r="S159" s="316"/>
      <c r="T159" s="316"/>
      <c r="U159" s="316"/>
      <c r="V159" s="316"/>
    </row>
    <row r="160" spans="1:22" ht="50.1" customHeight="1" x14ac:dyDescent="0.3">
      <c r="A160" s="321">
        <v>149</v>
      </c>
      <c r="B160" s="411" t="s">
        <v>647</v>
      </c>
      <c r="C160" s="414"/>
      <c r="D160" s="415"/>
      <c r="E160" s="326">
        <v>1</v>
      </c>
      <c r="F160" s="332" t="s">
        <v>648</v>
      </c>
      <c r="G160" s="323" t="s">
        <v>397</v>
      </c>
      <c r="H160" s="409" t="s">
        <v>398</v>
      </c>
      <c r="I160" s="410"/>
      <c r="J160" s="324" t="s">
        <v>399</v>
      </c>
      <c r="K160" s="314">
        <v>1280</v>
      </c>
      <c r="L160" s="314">
        <f t="shared" ref="L160:L161" si="3">K160*21</f>
        <v>26880</v>
      </c>
      <c r="M160" s="316"/>
      <c r="N160" s="316"/>
      <c r="O160" s="316"/>
      <c r="P160" s="316"/>
      <c r="Q160" s="316"/>
      <c r="R160" s="316"/>
      <c r="S160" s="316"/>
      <c r="T160" s="316"/>
      <c r="U160" s="316"/>
      <c r="V160" s="316"/>
    </row>
    <row r="161" spans="1:22" ht="50.1" customHeight="1" x14ac:dyDescent="0.3">
      <c r="A161" s="321">
        <v>150</v>
      </c>
      <c r="B161" s="411" t="s">
        <v>649</v>
      </c>
      <c r="C161" s="414"/>
      <c r="D161" s="415"/>
      <c r="E161" s="326">
        <v>1</v>
      </c>
      <c r="F161" s="332" t="s">
        <v>650</v>
      </c>
      <c r="G161" s="323" t="s">
        <v>397</v>
      </c>
      <c r="H161" s="409" t="s">
        <v>398</v>
      </c>
      <c r="I161" s="410"/>
      <c r="J161" s="324" t="s">
        <v>399</v>
      </c>
      <c r="K161" s="314">
        <v>375</v>
      </c>
      <c r="L161" s="314">
        <f t="shared" si="3"/>
        <v>7875</v>
      </c>
      <c r="M161" s="316"/>
      <c r="N161" s="316"/>
      <c r="O161" s="316"/>
      <c r="P161" s="316"/>
      <c r="Q161" s="316"/>
      <c r="R161" s="316"/>
      <c r="S161" s="316"/>
      <c r="T161" s="316"/>
      <c r="U161" s="316"/>
      <c r="V161" s="316"/>
    </row>
    <row r="162" spans="1:22" ht="50.1" customHeight="1" x14ac:dyDescent="0.3">
      <c r="A162" s="321">
        <v>151</v>
      </c>
      <c r="B162" s="423" t="s">
        <v>651</v>
      </c>
      <c r="C162" s="424"/>
      <c r="D162" s="410"/>
      <c r="E162" s="322"/>
      <c r="F162" s="322"/>
      <c r="G162" s="322"/>
      <c r="H162" s="425"/>
      <c r="I162" s="426"/>
      <c r="J162" s="322"/>
      <c r="K162" s="314"/>
      <c r="L162" s="316"/>
      <c r="M162" s="316"/>
      <c r="N162" s="316"/>
      <c r="O162" s="316"/>
      <c r="P162" s="316"/>
      <c r="Q162" s="316"/>
      <c r="R162" s="316"/>
      <c r="S162" s="316"/>
      <c r="T162" s="316"/>
      <c r="U162" s="316"/>
      <c r="V162" s="316"/>
    </row>
    <row r="163" spans="1:22" ht="50.1" customHeight="1" x14ac:dyDescent="0.3">
      <c r="A163" s="321">
        <v>152</v>
      </c>
      <c r="B163" s="411" t="s">
        <v>652</v>
      </c>
      <c r="C163" s="414"/>
      <c r="D163" s="415"/>
      <c r="E163" s="326">
        <v>2</v>
      </c>
      <c r="F163" s="332" t="s">
        <v>653</v>
      </c>
      <c r="G163" s="323" t="s">
        <v>397</v>
      </c>
      <c r="H163" s="409" t="s">
        <v>398</v>
      </c>
      <c r="I163" s="410"/>
      <c r="J163" s="324" t="s">
        <v>399</v>
      </c>
      <c r="K163" s="325">
        <v>10000</v>
      </c>
      <c r="L163" s="314">
        <f>K163*21</f>
        <v>210000</v>
      </c>
      <c r="M163" s="316"/>
      <c r="N163" s="333" t="s">
        <v>654</v>
      </c>
      <c r="O163" s="316"/>
      <c r="P163" s="316"/>
      <c r="Q163" s="316"/>
      <c r="R163" s="316"/>
      <c r="S163" s="316"/>
      <c r="T163" s="316"/>
      <c r="U163" s="316"/>
      <c r="V163" s="316"/>
    </row>
    <row r="164" spans="1:22" ht="50.1" customHeight="1" x14ac:dyDescent="0.3">
      <c r="A164" s="321">
        <v>153</v>
      </c>
      <c r="B164" s="411" t="s">
        <v>655</v>
      </c>
      <c r="C164" s="414"/>
      <c r="D164" s="415"/>
      <c r="E164" s="326">
        <v>2</v>
      </c>
      <c r="F164" s="322"/>
      <c r="G164" s="323" t="s">
        <v>397</v>
      </c>
      <c r="H164" s="409" t="s">
        <v>398</v>
      </c>
      <c r="I164" s="410"/>
      <c r="J164" s="324" t="s">
        <v>399</v>
      </c>
      <c r="K164" s="325">
        <v>1360</v>
      </c>
      <c r="L164" s="314">
        <f>K164*21</f>
        <v>28560</v>
      </c>
      <c r="M164" s="316"/>
      <c r="N164" s="333" t="s">
        <v>656</v>
      </c>
      <c r="O164" s="316" t="s">
        <v>657</v>
      </c>
      <c r="P164" s="333" t="s">
        <v>658</v>
      </c>
      <c r="Q164" s="316" t="s">
        <v>659</v>
      </c>
      <c r="R164" s="316"/>
      <c r="S164" s="316"/>
      <c r="T164" s="316"/>
      <c r="U164" s="316"/>
      <c r="V164" s="316"/>
    </row>
    <row r="165" spans="1:22" ht="50.1" customHeight="1" x14ac:dyDescent="0.3">
      <c r="A165" s="321">
        <v>154</v>
      </c>
      <c r="B165" s="411" t="s">
        <v>660</v>
      </c>
      <c r="C165" s="414"/>
      <c r="D165" s="415"/>
      <c r="E165" s="326">
        <v>2</v>
      </c>
      <c r="F165" s="322"/>
      <c r="G165" s="323" t="s">
        <v>397</v>
      </c>
      <c r="H165" s="409" t="s">
        <v>398</v>
      </c>
      <c r="I165" s="410"/>
      <c r="J165" s="324" t="s">
        <v>399</v>
      </c>
      <c r="K165" s="314">
        <v>365</v>
      </c>
      <c r="L165" s="314">
        <f t="shared" ref="L165:L171" si="4">K165*21</f>
        <v>7665</v>
      </c>
      <c r="M165" s="316"/>
      <c r="N165" s="316"/>
      <c r="O165" s="316"/>
      <c r="P165" s="316"/>
      <c r="Q165" s="316"/>
      <c r="R165" s="316"/>
      <c r="S165" s="316"/>
      <c r="T165" s="316"/>
      <c r="U165" s="316"/>
      <c r="V165" s="316"/>
    </row>
    <row r="166" spans="1:22" ht="50.1" customHeight="1" x14ac:dyDescent="0.3">
      <c r="A166" s="321">
        <v>155</v>
      </c>
      <c r="B166" s="411" t="s">
        <v>661</v>
      </c>
      <c r="C166" s="414"/>
      <c r="D166" s="415"/>
      <c r="E166" s="326">
        <v>2</v>
      </c>
      <c r="F166" s="322"/>
      <c r="G166" s="323" t="s">
        <v>397</v>
      </c>
      <c r="H166" s="409" t="s">
        <v>398</v>
      </c>
      <c r="I166" s="410"/>
      <c r="J166" s="324" t="s">
        <v>399</v>
      </c>
      <c r="K166" s="314">
        <v>80</v>
      </c>
      <c r="L166" s="314">
        <f t="shared" si="4"/>
        <v>1680</v>
      </c>
      <c r="M166" s="316"/>
      <c r="N166" s="316"/>
      <c r="O166" s="316"/>
      <c r="P166" s="316"/>
      <c r="Q166" s="316"/>
      <c r="R166" s="316"/>
      <c r="S166" s="316"/>
      <c r="T166" s="316"/>
      <c r="U166" s="316"/>
      <c r="V166" s="316"/>
    </row>
    <row r="167" spans="1:22" ht="50.1" customHeight="1" x14ac:dyDescent="0.3">
      <c r="A167" s="321">
        <v>156</v>
      </c>
      <c r="B167" s="411" t="s">
        <v>662</v>
      </c>
      <c r="C167" s="414"/>
      <c r="D167" s="415"/>
      <c r="E167" s="326">
        <v>6</v>
      </c>
      <c r="F167" s="322"/>
      <c r="G167" s="323" t="s">
        <v>397</v>
      </c>
      <c r="H167" s="409" t="s">
        <v>398</v>
      </c>
      <c r="I167" s="410"/>
      <c r="J167" s="324" t="s">
        <v>399</v>
      </c>
      <c r="K167" s="314">
        <v>484.2</v>
      </c>
      <c r="L167" s="314">
        <f t="shared" si="4"/>
        <v>10168.199999999999</v>
      </c>
      <c r="M167" s="316"/>
      <c r="N167" s="316"/>
      <c r="O167" s="316"/>
      <c r="P167" s="316"/>
      <c r="Q167" s="316"/>
      <c r="R167" s="316"/>
      <c r="S167" s="316"/>
      <c r="T167" s="316"/>
      <c r="U167" s="316"/>
      <c r="V167" s="316"/>
    </row>
    <row r="168" spans="1:22" ht="50.1" customHeight="1" x14ac:dyDescent="0.3">
      <c r="A168" s="321">
        <v>157</v>
      </c>
      <c r="B168" s="411" t="s">
        <v>663</v>
      </c>
      <c r="C168" s="414"/>
      <c r="D168" s="415"/>
      <c r="E168" s="326">
        <v>1</v>
      </c>
      <c r="F168" s="322"/>
      <c r="G168" s="323" t="s">
        <v>397</v>
      </c>
      <c r="H168" s="409" t="s">
        <v>398</v>
      </c>
      <c r="I168" s="410"/>
      <c r="J168" s="324" t="s">
        <v>399</v>
      </c>
      <c r="K168" s="314">
        <v>65</v>
      </c>
      <c r="L168" s="314">
        <f t="shared" si="4"/>
        <v>1365</v>
      </c>
      <c r="M168" s="316"/>
      <c r="N168" s="316"/>
      <c r="O168" s="316"/>
      <c r="P168" s="316"/>
      <c r="Q168" s="316"/>
      <c r="R168" s="316"/>
      <c r="S168" s="316"/>
      <c r="T168" s="316"/>
      <c r="U168" s="316"/>
      <c r="V168" s="316"/>
    </row>
    <row r="169" spans="1:22" ht="50.1" customHeight="1" x14ac:dyDescent="0.3">
      <c r="A169" s="321">
        <v>158</v>
      </c>
      <c r="B169" s="411" t="s">
        <v>664</v>
      </c>
      <c r="C169" s="414"/>
      <c r="D169" s="415"/>
      <c r="E169" s="326">
        <v>2</v>
      </c>
      <c r="F169" s="322"/>
      <c r="G169" s="323" t="s">
        <v>397</v>
      </c>
      <c r="H169" s="409" t="s">
        <v>398</v>
      </c>
      <c r="I169" s="410"/>
      <c r="J169" s="324" t="s">
        <v>399</v>
      </c>
      <c r="K169" s="325">
        <v>2832</v>
      </c>
      <c r="L169" s="314">
        <f t="shared" si="4"/>
        <v>59472</v>
      </c>
      <c r="M169" s="316"/>
      <c r="N169" s="316"/>
      <c r="O169" s="316"/>
      <c r="P169" s="316"/>
      <c r="Q169" s="316"/>
      <c r="R169" s="316"/>
      <c r="S169" s="316"/>
      <c r="T169" s="316"/>
      <c r="U169" s="316"/>
      <c r="V169" s="316"/>
    </row>
    <row r="170" spans="1:22" ht="50.1" customHeight="1" x14ac:dyDescent="0.3">
      <c r="A170" s="321">
        <v>159</v>
      </c>
      <c r="B170" s="411" t="s">
        <v>665</v>
      </c>
      <c r="C170" s="414"/>
      <c r="D170" s="415"/>
      <c r="E170" s="326">
        <v>2</v>
      </c>
      <c r="F170" s="322"/>
      <c r="G170" s="323" t="s">
        <v>397</v>
      </c>
      <c r="H170" s="409" t="s">
        <v>398</v>
      </c>
      <c r="I170" s="410"/>
      <c r="J170" s="324" t="s">
        <v>399</v>
      </c>
      <c r="K170" s="314">
        <v>1670</v>
      </c>
      <c r="L170" s="314">
        <f t="shared" si="4"/>
        <v>35070</v>
      </c>
      <c r="M170" s="316"/>
      <c r="N170" s="316"/>
      <c r="O170" s="316"/>
      <c r="P170" s="316"/>
      <c r="Q170" s="316"/>
      <c r="R170" s="316"/>
      <c r="S170" s="316"/>
      <c r="T170" s="316"/>
      <c r="U170" s="316"/>
      <c r="V170" s="316"/>
    </row>
    <row r="171" spans="1:22" ht="50.1" customHeight="1" x14ac:dyDescent="0.3">
      <c r="A171" s="321">
        <v>160</v>
      </c>
      <c r="B171" s="411" t="s">
        <v>666</v>
      </c>
      <c r="C171" s="414"/>
      <c r="D171" s="415"/>
      <c r="E171" s="326">
        <v>2</v>
      </c>
      <c r="F171" s="332" t="s">
        <v>667</v>
      </c>
      <c r="G171" s="323" t="s">
        <v>397</v>
      </c>
      <c r="H171" s="409" t="s">
        <v>398</v>
      </c>
      <c r="I171" s="410"/>
      <c r="J171" s="324" t="s">
        <v>399</v>
      </c>
      <c r="K171" s="334">
        <v>5700</v>
      </c>
      <c r="L171" s="314">
        <f t="shared" si="4"/>
        <v>119700</v>
      </c>
      <c r="M171" s="316"/>
      <c r="N171" s="333" t="s">
        <v>668</v>
      </c>
      <c r="O171" s="316" t="s">
        <v>669</v>
      </c>
      <c r="P171" s="335" t="s">
        <v>670</v>
      </c>
      <c r="Q171" s="316"/>
      <c r="R171" s="333" t="s">
        <v>671</v>
      </c>
      <c r="S171" s="316"/>
      <c r="T171" s="316"/>
      <c r="U171" s="316"/>
      <c r="V171" s="316"/>
    </row>
    <row r="172" spans="1:22" ht="50.1" customHeight="1" x14ac:dyDescent="0.3">
      <c r="A172" s="321">
        <v>161</v>
      </c>
      <c r="B172" s="423" t="s">
        <v>672</v>
      </c>
      <c r="C172" s="424"/>
      <c r="D172" s="410"/>
      <c r="E172" s="336"/>
      <c r="F172" s="322"/>
      <c r="G172" s="322"/>
      <c r="H172" s="425"/>
      <c r="I172" s="426"/>
      <c r="J172" s="322"/>
      <c r="K172" s="314"/>
      <c r="L172" s="316"/>
      <c r="M172" s="316"/>
      <c r="N172" s="316"/>
      <c r="O172" s="316"/>
      <c r="P172" s="316"/>
      <c r="Q172" s="316"/>
      <c r="R172" s="316"/>
      <c r="S172" s="316"/>
      <c r="T172" s="316"/>
      <c r="U172" s="316"/>
      <c r="V172" s="316"/>
    </row>
    <row r="173" spans="1:22" ht="50.1" customHeight="1" x14ac:dyDescent="0.3">
      <c r="A173" s="321">
        <v>162</v>
      </c>
      <c r="B173" s="411" t="s">
        <v>673</v>
      </c>
      <c r="C173" s="414"/>
      <c r="D173" s="415"/>
      <c r="E173" s="326">
        <v>1</v>
      </c>
      <c r="F173" s="332" t="s">
        <v>674</v>
      </c>
      <c r="G173" s="323" t="s">
        <v>397</v>
      </c>
      <c r="H173" s="440" t="s">
        <v>675</v>
      </c>
      <c r="I173" s="441"/>
      <c r="J173" s="324" t="s">
        <v>399</v>
      </c>
      <c r="K173" s="314">
        <v>23364</v>
      </c>
      <c r="L173" s="314">
        <f>K173*21</f>
        <v>490644</v>
      </c>
      <c r="M173" s="316"/>
      <c r="N173" s="316"/>
      <c r="O173" s="316"/>
      <c r="P173" s="316"/>
      <c r="Q173" s="316"/>
      <c r="R173" s="316"/>
      <c r="S173" s="316"/>
      <c r="T173" s="316"/>
      <c r="U173" s="316"/>
      <c r="V173" s="316"/>
    </row>
    <row r="174" spans="1:22" ht="50.1" customHeight="1" x14ac:dyDescent="0.3">
      <c r="A174" s="321">
        <v>163</v>
      </c>
      <c r="B174" s="411" t="s">
        <v>676</v>
      </c>
      <c r="C174" s="414"/>
      <c r="D174" s="415"/>
      <c r="E174" s="326">
        <v>3</v>
      </c>
      <c r="F174" s="332" t="s">
        <v>677</v>
      </c>
      <c r="G174" s="323" t="s">
        <v>397</v>
      </c>
      <c r="H174" s="409" t="s">
        <v>398</v>
      </c>
      <c r="I174" s="410"/>
      <c r="J174" s="324" t="s">
        <v>399</v>
      </c>
      <c r="K174" s="334">
        <v>240</v>
      </c>
      <c r="L174" s="314">
        <f t="shared" ref="L174:L182" si="5">K174*21</f>
        <v>5040</v>
      </c>
      <c r="M174" s="316"/>
      <c r="N174" s="316"/>
      <c r="O174" s="316"/>
      <c r="P174" s="316"/>
      <c r="Q174" s="316"/>
      <c r="R174" s="316"/>
      <c r="S174" s="316"/>
      <c r="T174" s="316"/>
      <c r="U174" s="316"/>
      <c r="V174" s="316"/>
    </row>
    <row r="175" spans="1:22" ht="50.1" customHeight="1" x14ac:dyDescent="0.3">
      <c r="A175" s="321">
        <v>164</v>
      </c>
      <c r="B175" s="411" t="s">
        <v>678</v>
      </c>
      <c r="C175" s="414"/>
      <c r="D175" s="415"/>
      <c r="E175" s="326">
        <v>1</v>
      </c>
      <c r="F175" s="322"/>
      <c r="G175" s="323" t="s">
        <v>397</v>
      </c>
      <c r="H175" s="440" t="s">
        <v>679</v>
      </c>
      <c r="I175" s="441"/>
      <c r="J175" s="324" t="s">
        <v>399</v>
      </c>
      <c r="K175" s="314">
        <v>11999.3</v>
      </c>
      <c r="L175" s="314">
        <f t="shared" si="5"/>
        <v>251985.3</v>
      </c>
      <c r="M175" s="316"/>
      <c r="N175" s="316"/>
      <c r="O175" s="316"/>
      <c r="P175" s="316"/>
      <c r="Q175" s="316"/>
      <c r="R175" s="316"/>
      <c r="S175" s="316"/>
      <c r="T175" s="316"/>
      <c r="U175" s="316"/>
      <c r="V175" s="316"/>
    </row>
    <row r="176" spans="1:22" ht="50.1" customHeight="1" x14ac:dyDescent="0.3">
      <c r="A176" s="321">
        <v>165</v>
      </c>
      <c r="B176" s="411" t="s">
        <v>680</v>
      </c>
      <c r="C176" s="414"/>
      <c r="D176" s="415"/>
      <c r="E176" s="326">
        <v>4</v>
      </c>
      <c r="F176" s="332" t="s">
        <v>681</v>
      </c>
      <c r="G176" s="323" t="s">
        <v>397</v>
      </c>
      <c r="H176" s="409" t="s">
        <v>398</v>
      </c>
      <c r="I176" s="410"/>
      <c r="J176" s="324" t="s">
        <v>399</v>
      </c>
      <c r="K176" s="325">
        <v>20</v>
      </c>
      <c r="L176" s="314">
        <f t="shared" si="5"/>
        <v>420</v>
      </c>
      <c r="M176" s="316"/>
      <c r="N176" s="316"/>
      <c r="O176" s="316"/>
      <c r="P176" s="316"/>
      <c r="Q176" s="316"/>
      <c r="R176" s="316"/>
      <c r="S176" s="316"/>
      <c r="T176" s="316"/>
      <c r="U176" s="316"/>
      <c r="V176" s="316"/>
    </row>
    <row r="177" spans="1:22" ht="50.1" customHeight="1" x14ac:dyDescent="0.3">
      <c r="A177" s="321">
        <v>166</v>
      </c>
      <c r="B177" s="411" t="s">
        <v>682</v>
      </c>
      <c r="C177" s="414"/>
      <c r="D177" s="415"/>
      <c r="E177" s="326">
        <v>1</v>
      </c>
      <c r="F177" s="332" t="s">
        <v>683</v>
      </c>
      <c r="G177" s="323" t="s">
        <v>397</v>
      </c>
      <c r="H177" s="440" t="s">
        <v>684</v>
      </c>
      <c r="I177" s="441"/>
      <c r="J177" s="324" t="s">
        <v>399</v>
      </c>
      <c r="K177" s="314">
        <v>2800</v>
      </c>
      <c r="L177" s="314">
        <f t="shared" si="5"/>
        <v>58800</v>
      </c>
      <c r="M177" s="316"/>
      <c r="N177" s="316"/>
      <c r="O177" s="316"/>
      <c r="P177" s="316"/>
      <c r="Q177" s="316"/>
      <c r="R177" s="316"/>
      <c r="S177" s="316"/>
      <c r="T177" s="316"/>
      <c r="U177" s="316"/>
      <c r="V177" s="316"/>
    </row>
    <row r="178" spans="1:22" ht="50.1" customHeight="1" x14ac:dyDescent="0.3">
      <c r="A178" s="321">
        <v>167</v>
      </c>
      <c r="B178" s="411" t="s">
        <v>685</v>
      </c>
      <c r="C178" s="414"/>
      <c r="D178" s="415"/>
      <c r="E178" s="326">
        <v>1</v>
      </c>
      <c r="F178" s="322"/>
      <c r="G178" s="323" t="s">
        <v>397</v>
      </c>
      <c r="H178" s="409" t="s">
        <v>398</v>
      </c>
      <c r="I178" s="410"/>
      <c r="J178" s="324" t="s">
        <v>399</v>
      </c>
      <c r="K178" s="314">
        <v>104</v>
      </c>
      <c r="L178" s="314">
        <f t="shared" si="5"/>
        <v>2184</v>
      </c>
      <c r="M178" s="316"/>
      <c r="N178" s="316"/>
      <c r="O178" s="316"/>
      <c r="P178" s="316"/>
      <c r="Q178" s="316"/>
      <c r="R178" s="316"/>
      <c r="S178" s="316"/>
      <c r="T178" s="316"/>
      <c r="U178" s="316"/>
      <c r="V178" s="316"/>
    </row>
    <row r="179" spans="1:22" ht="50.1" customHeight="1" x14ac:dyDescent="0.3">
      <c r="A179" s="321">
        <v>168</v>
      </c>
      <c r="B179" s="411" t="s">
        <v>686</v>
      </c>
      <c r="C179" s="414"/>
      <c r="D179" s="415"/>
      <c r="E179" s="326">
        <v>2</v>
      </c>
      <c r="F179" s="322"/>
      <c r="G179" s="323" t="s">
        <v>397</v>
      </c>
      <c r="H179" s="409" t="s">
        <v>398</v>
      </c>
      <c r="I179" s="410"/>
      <c r="J179" s="324" t="s">
        <v>399</v>
      </c>
      <c r="K179" s="314">
        <v>74</v>
      </c>
      <c r="L179" s="314">
        <f t="shared" si="5"/>
        <v>1554</v>
      </c>
      <c r="M179" s="316"/>
      <c r="N179" s="316"/>
      <c r="O179" s="316"/>
      <c r="P179" s="316"/>
      <c r="Q179" s="316"/>
      <c r="R179" s="316"/>
      <c r="S179" s="316"/>
      <c r="T179" s="316"/>
      <c r="U179" s="316"/>
      <c r="V179" s="316"/>
    </row>
    <row r="180" spans="1:22" ht="50.1" customHeight="1" x14ac:dyDescent="0.3">
      <c r="A180" s="321">
        <v>169</v>
      </c>
      <c r="B180" s="411" t="s">
        <v>687</v>
      </c>
      <c r="C180" s="414"/>
      <c r="D180" s="415"/>
      <c r="E180" s="326">
        <v>1</v>
      </c>
      <c r="F180" s="322"/>
      <c r="G180" s="323" t="s">
        <v>397</v>
      </c>
      <c r="H180" s="409" t="s">
        <v>398</v>
      </c>
      <c r="I180" s="410"/>
      <c r="J180" s="324" t="s">
        <v>399</v>
      </c>
      <c r="K180" s="314">
        <v>1500</v>
      </c>
      <c r="L180" s="314">
        <f t="shared" si="5"/>
        <v>31500</v>
      </c>
      <c r="M180" s="316"/>
      <c r="N180" s="316"/>
      <c r="O180" s="316"/>
      <c r="P180" s="316"/>
      <c r="Q180" s="316"/>
      <c r="R180" s="316"/>
      <c r="S180" s="316"/>
      <c r="T180" s="316"/>
      <c r="U180" s="316"/>
      <c r="V180" s="316"/>
    </row>
    <row r="181" spans="1:22" ht="50.1" customHeight="1" x14ac:dyDescent="0.3">
      <c r="A181" s="321">
        <v>170</v>
      </c>
      <c r="B181" s="411" t="s">
        <v>688</v>
      </c>
      <c r="C181" s="414"/>
      <c r="D181" s="415"/>
      <c r="E181" s="326">
        <v>1</v>
      </c>
      <c r="F181" s="332" t="s">
        <v>689</v>
      </c>
      <c r="G181" s="323" t="s">
        <v>397</v>
      </c>
      <c r="H181" s="416" t="s">
        <v>690</v>
      </c>
      <c r="I181" s="417"/>
      <c r="J181" s="324" t="s">
        <v>399</v>
      </c>
      <c r="K181" s="314">
        <v>600</v>
      </c>
      <c r="L181" s="314">
        <f t="shared" si="5"/>
        <v>12600</v>
      </c>
      <c r="M181" s="316"/>
      <c r="N181" s="316"/>
      <c r="O181" s="316"/>
      <c r="P181" s="316"/>
      <c r="Q181" s="316"/>
      <c r="R181" s="316"/>
      <c r="S181" s="316"/>
      <c r="T181" s="316"/>
      <c r="U181" s="316"/>
      <c r="V181" s="316"/>
    </row>
    <row r="182" spans="1:22" ht="50.1" customHeight="1" x14ac:dyDescent="0.3">
      <c r="A182" s="321">
        <v>171</v>
      </c>
      <c r="B182" s="411" t="s">
        <v>691</v>
      </c>
      <c r="C182" s="414"/>
      <c r="D182" s="415"/>
      <c r="E182" s="326">
        <v>1</v>
      </c>
      <c r="F182" s="322"/>
      <c r="G182" s="323" t="s">
        <v>397</v>
      </c>
      <c r="H182" s="416" t="s">
        <v>692</v>
      </c>
      <c r="I182" s="417"/>
      <c r="J182" s="324" t="s">
        <v>399</v>
      </c>
      <c r="K182" s="325">
        <v>14600</v>
      </c>
      <c r="L182" s="314">
        <f t="shared" si="5"/>
        <v>306600</v>
      </c>
      <c r="M182" s="316"/>
      <c r="N182" s="316"/>
      <c r="O182" s="316"/>
      <c r="P182" s="316"/>
      <c r="Q182" s="316"/>
      <c r="R182" s="316"/>
      <c r="S182" s="316"/>
      <c r="T182" s="316"/>
      <c r="U182" s="316"/>
      <c r="V182" s="316"/>
    </row>
    <row r="183" spans="1:22" ht="50.1" customHeight="1" x14ac:dyDescent="0.3">
      <c r="A183" s="321">
        <v>172</v>
      </c>
      <c r="B183" s="423" t="s">
        <v>693</v>
      </c>
      <c r="C183" s="424"/>
      <c r="D183" s="410"/>
      <c r="E183" s="336"/>
      <c r="F183" s="322"/>
      <c r="G183" s="322"/>
      <c r="H183" s="425"/>
      <c r="I183" s="426"/>
      <c r="J183" s="322"/>
      <c r="K183" s="314"/>
      <c r="L183" s="316"/>
      <c r="M183" s="316"/>
      <c r="N183" s="316"/>
      <c r="O183" s="316"/>
      <c r="P183" s="316"/>
      <c r="Q183" s="316"/>
      <c r="R183" s="316"/>
      <c r="S183" s="316"/>
      <c r="T183" s="316"/>
      <c r="U183" s="316"/>
      <c r="V183" s="316"/>
    </row>
    <row r="184" spans="1:22" ht="50.1" customHeight="1" x14ac:dyDescent="0.3">
      <c r="A184" s="321">
        <v>173</v>
      </c>
      <c r="B184" s="411" t="s">
        <v>694</v>
      </c>
      <c r="C184" s="414"/>
      <c r="D184" s="415"/>
      <c r="E184" s="326">
        <v>1</v>
      </c>
      <c r="F184" s="332" t="s">
        <v>695</v>
      </c>
      <c r="G184" s="323" t="s">
        <v>397</v>
      </c>
      <c r="H184" s="409" t="s">
        <v>398</v>
      </c>
      <c r="I184" s="410"/>
      <c r="J184" s="324" t="s">
        <v>399</v>
      </c>
      <c r="K184" s="314">
        <v>129</v>
      </c>
      <c r="L184" s="314">
        <f>K184*21</f>
        <v>2709</v>
      </c>
      <c r="M184" s="316"/>
      <c r="N184" s="316"/>
      <c r="O184" s="316"/>
      <c r="P184" s="316"/>
      <c r="Q184" s="316"/>
      <c r="R184" s="316"/>
      <c r="S184" s="316"/>
      <c r="T184" s="316"/>
      <c r="U184" s="316"/>
      <c r="V184" s="316"/>
    </row>
    <row r="185" spans="1:22" ht="50.1" customHeight="1" x14ac:dyDescent="0.3">
      <c r="A185" s="321">
        <v>174</v>
      </c>
      <c r="B185" s="411" t="s">
        <v>696</v>
      </c>
      <c r="C185" s="414"/>
      <c r="D185" s="415"/>
      <c r="E185" s="326">
        <v>2</v>
      </c>
      <c r="F185" s="332" t="s">
        <v>697</v>
      </c>
      <c r="G185" s="323" t="s">
        <v>397</v>
      </c>
      <c r="H185" s="409" t="s">
        <v>398</v>
      </c>
      <c r="I185" s="410"/>
      <c r="J185" s="324" t="s">
        <v>399</v>
      </c>
      <c r="K185" s="314">
        <v>500</v>
      </c>
      <c r="L185" s="314">
        <f t="shared" ref="L185:L195" si="6">K185*21</f>
        <v>10500</v>
      </c>
      <c r="M185" s="316"/>
      <c r="N185" s="316"/>
      <c r="O185" s="316"/>
      <c r="P185" s="316"/>
      <c r="Q185" s="316"/>
      <c r="R185" s="316"/>
      <c r="S185" s="316"/>
      <c r="T185" s="316"/>
      <c r="U185" s="316"/>
      <c r="V185" s="316"/>
    </row>
    <row r="186" spans="1:22" ht="50.1" customHeight="1" x14ac:dyDescent="0.3">
      <c r="A186" s="321">
        <v>175</v>
      </c>
      <c r="B186" s="411" t="s">
        <v>698</v>
      </c>
      <c r="C186" s="414"/>
      <c r="D186" s="415"/>
      <c r="E186" s="326">
        <v>1</v>
      </c>
      <c r="F186" s="332" t="s">
        <v>699</v>
      </c>
      <c r="G186" s="323" t="s">
        <v>397</v>
      </c>
      <c r="H186" s="409" t="s">
        <v>398</v>
      </c>
      <c r="I186" s="410"/>
      <c r="J186" s="324" t="s">
        <v>399</v>
      </c>
      <c r="K186" s="314">
        <v>80</v>
      </c>
      <c r="L186" s="314">
        <f t="shared" si="6"/>
        <v>1680</v>
      </c>
      <c r="M186" s="316"/>
      <c r="N186" s="316"/>
      <c r="O186" s="316"/>
      <c r="P186" s="316"/>
      <c r="Q186" s="316"/>
      <c r="R186" s="316"/>
      <c r="S186" s="316"/>
      <c r="T186" s="316"/>
      <c r="U186" s="316"/>
      <c r="V186" s="316"/>
    </row>
    <row r="187" spans="1:22" ht="50.1" customHeight="1" x14ac:dyDescent="0.3">
      <c r="A187" s="321">
        <v>176</v>
      </c>
      <c r="B187" s="411" t="s">
        <v>700</v>
      </c>
      <c r="C187" s="414"/>
      <c r="D187" s="415"/>
      <c r="E187" s="326">
        <v>1</v>
      </c>
      <c r="F187" s="332" t="s">
        <v>701</v>
      </c>
      <c r="G187" s="323" t="s">
        <v>397</v>
      </c>
      <c r="H187" s="409" t="s">
        <v>398</v>
      </c>
      <c r="I187" s="410"/>
      <c r="J187" s="324" t="s">
        <v>399</v>
      </c>
      <c r="K187" s="314">
        <v>129</v>
      </c>
      <c r="L187" s="314">
        <f t="shared" si="6"/>
        <v>2709</v>
      </c>
      <c r="M187" s="316"/>
      <c r="N187" s="316"/>
      <c r="O187" s="316"/>
      <c r="P187" s="316"/>
      <c r="Q187" s="316"/>
      <c r="R187" s="316"/>
      <c r="S187" s="316"/>
      <c r="T187" s="316"/>
      <c r="U187" s="316"/>
      <c r="V187" s="316"/>
    </row>
    <row r="188" spans="1:22" ht="50.1" customHeight="1" x14ac:dyDescent="0.3">
      <c r="A188" s="321">
        <v>177</v>
      </c>
      <c r="B188" s="411" t="s">
        <v>702</v>
      </c>
      <c r="C188" s="414"/>
      <c r="D188" s="415"/>
      <c r="E188" s="326">
        <v>1</v>
      </c>
      <c r="F188" s="332" t="s">
        <v>703</v>
      </c>
      <c r="G188" s="323" t="s">
        <v>397</v>
      </c>
      <c r="H188" s="409" t="s">
        <v>398</v>
      </c>
      <c r="I188" s="410"/>
      <c r="J188" s="324" t="s">
        <v>399</v>
      </c>
      <c r="K188" s="314">
        <v>110</v>
      </c>
      <c r="L188" s="314">
        <f t="shared" si="6"/>
        <v>2310</v>
      </c>
      <c r="M188" s="316"/>
      <c r="N188" s="316"/>
      <c r="O188" s="316"/>
      <c r="P188" s="316"/>
      <c r="Q188" s="316"/>
      <c r="R188" s="316"/>
      <c r="S188" s="316"/>
      <c r="T188" s="316"/>
      <c r="U188" s="316"/>
      <c r="V188" s="316"/>
    </row>
    <row r="189" spans="1:22" ht="50.1" customHeight="1" x14ac:dyDescent="0.3">
      <c r="A189" s="321">
        <v>178</v>
      </c>
      <c r="B189" s="411" t="s">
        <v>704</v>
      </c>
      <c r="C189" s="414"/>
      <c r="D189" s="415"/>
      <c r="E189" s="326">
        <v>1</v>
      </c>
      <c r="F189" s="332" t="s">
        <v>705</v>
      </c>
      <c r="G189" s="323" t="s">
        <v>397</v>
      </c>
      <c r="H189" s="409" t="s">
        <v>398</v>
      </c>
      <c r="I189" s="410"/>
      <c r="J189" s="324" t="s">
        <v>399</v>
      </c>
      <c r="K189" s="314">
        <v>100</v>
      </c>
      <c r="L189" s="314">
        <f t="shared" si="6"/>
        <v>2100</v>
      </c>
      <c r="M189" s="316"/>
      <c r="N189" s="316"/>
      <c r="O189" s="316"/>
      <c r="P189" s="316"/>
      <c r="Q189" s="316"/>
      <c r="R189" s="316"/>
      <c r="S189" s="316"/>
      <c r="T189" s="316"/>
      <c r="U189" s="316"/>
      <c r="V189" s="316"/>
    </row>
    <row r="190" spans="1:22" ht="50.1" customHeight="1" x14ac:dyDescent="0.3">
      <c r="A190" s="321">
        <v>179</v>
      </c>
      <c r="B190" s="411" t="s">
        <v>706</v>
      </c>
      <c r="C190" s="414"/>
      <c r="D190" s="415"/>
      <c r="E190" s="326">
        <v>1</v>
      </c>
      <c r="F190" s="322"/>
      <c r="G190" s="323" t="s">
        <v>397</v>
      </c>
      <c r="H190" s="409" t="s">
        <v>398</v>
      </c>
      <c r="I190" s="410"/>
      <c r="J190" s="324" t="s">
        <v>399</v>
      </c>
      <c r="K190" s="314">
        <v>100</v>
      </c>
      <c r="L190" s="314">
        <f t="shared" si="6"/>
        <v>2100</v>
      </c>
      <c r="M190" s="316"/>
      <c r="N190" s="316"/>
      <c r="O190" s="316"/>
      <c r="P190" s="316"/>
      <c r="Q190" s="316"/>
      <c r="R190" s="316"/>
      <c r="S190" s="316"/>
      <c r="T190" s="316"/>
      <c r="U190" s="316"/>
      <c r="V190" s="316"/>
    </row>
    <row r="191" spans="1:22" ht="50.1" customHeight="1" x14ac:dyDescent="0.3">
      <c r="A191" s="321">
        <v>180</v>
      </c>
      <c r="B191" s="411" t="s">
        <v>707</v>
      </c>
      <c r="C191" s="414"/>
      <c r="D191" s="415"/>
      <c r="E191" s="326">
        <v>2</v>
      </c>
      <c r="F191" s="322"/>
      <c r="G191" s="323" t="s">
        <v>397</v>
      </c>
      <c r="H191" s="409" t="s">
        <v>398</v>
      </c>
      <c r="I191" s="410"/>
      <c r="J191" s="324" t="s">
        <v>399</v>
      </c>
      <c r="K191" s="314">
        <v>200</v>
      </c>
      <c r="L191" s="314">
        <f t="shared" si="6"/>
        <v>4200</v>
      </c>
      <c r="M191" s="316"/>
      <c r="N191" s="316"/>
      <c r="O191" s="316"/>
      <c r="P191" s="316"/>
      <c r="Q191" s="316"/>
      <c r="R191" s="316"/>
      <c r="S191" s="316"/>
      <c r="T191" s="316"/>
      <c r="U191" s="316"/>
      <c r="V191" s="316"/>
    </row>
    <row r="192" spans="1:22" ht="50.1" customHeight="1" x14ac:dyDescent="0.3">
      <c r="A192" s="321">
        <v>181</v>
      </c>
      <c r="B192" s="411" t="s">
        <v>708</v>
      </c>
      <c r="C192" s="414"/>
      <c r="D192" s="415"/>
      <c r="E192" s="326">
        <v>1</v>
      </c>
      <c r="F192" s="332" t="s">
        <v>709</v>
      </c>
      <c r="G192" s="323" t="s">
        <v>397</v>
      </c>
      <c r="H192" s="409" t="s">
        <v>398</v>
      </c>
      <c r="I192" s="410"/>
      <c r="J192" s="324" t="s">
        <v>399</v>
      </c>
      <c r="K192" s="314">
        <v>185</v>
      </c>
      <c r="L192" s="314">
        <f t="shared" si="6"/>
        <v>3885</v>
      </c>
      <c r="M192" s="316"/>
      <c r="N192" s="316"/>
      <c r="O192" s="316"/>
      <c r="P192" s="316"/>
      <c r="Q192" s="316"/>
      <c r="R192" s="316"/>
      <c r="S192" s="316"/>
      <c r="T192" s="316"/>
      <c r="U192" s="316"/>
      <c r="V192" s="316"/>
    </row>
    <row r="193" spans="1:22" ht="50.1" customHeight="1" x14ac:dyDescent="0.3">
      <c r="A193" s="321">
        <v>182</v>
      </c>
      <c r="B193" s="411" t="s">
        <v>710</v>
      </c>
      <c r="C193" s="414"/>
      <c r="D193" s="415"/>
      <c r="E193" s="326">
        <v>1</v>
      </c>
      <c r="F193" s="322"/>
      <c r="G193" s="323" t="s">
        <v>397</v>
      </c>
      <c r="H193" s="409" t="s">
        <v>398</v>
      </c>
      <c r="I193" s="410"/>
      <c r="J193" s="324" t="s">
        <v>399</v>
      </c>
      <c r="K193" s="314">
        <v>50</v>
      </c>
      <c r="L193" s="314">
        <f t="shared" si="6"/>
        <v>1050</v>
      </c>
      <c r="M193" s="316"/>
      <c r="N193" s="316"/>
      <c r="O193" s="316"/>
      <c r="P193" s="316"/>
      <c r="Q193" s="316"/>
      <c r="R193" s="316"/>
      <c r="S193" s="316"/>
      <c r="T193" s="316"/>
      <c r="U193" s="316"/>
      <c r="V193" s="316"/>
    </row>
    <row r="194" spans="1:22" ht="50.1" customHeight="1" x14ac:dyDescent="0.3">
      <c r="A194" s="321">
        <v>183</v>
      </c>
      <c r="B194" s="411" t="s">
        <v>711</v>
      </c>
      <c r="C194" s="414"/>
      <c r="D194" s="415"/>
      <c r="E194" s="326">
        <v>1</v>
      </c>
      <c r="F194" s="322"/>
      <c r="G194" s="323" t="s">
        <v>397</v>
      </c>
      <c r="H194" s="409" t="s">
        <v>398</v>
      </c>
      <c r="I194" s="410"/>
      <c r="J194" s="324" t="s">
        <v>399</v>
      </c>
      <c r="K194" s="314">
        <v>700</v>
      </c>
      <c r="L194" s="314">
        <f t="shared" si="6"/>
        <v>14700</v>
      </c>
      <c r="M194" s="316"/>
      <c r="N194" s="316"/>
      <c r="O194" s="316"/>
      <c r="P194" s="316"/>
      <c r="Q194" s="316"/>
      <c r="R194" s="316"/>
      <c r="S194" s="316"/>
      <c r="T194" s="316"/>
      <c r="U194" s="316"/>
      <c r="V194" s="316"/>
    </row>
    <row r="195" spans="1:22" ht="50.1" customHeight="1" x14ac:dyDescent="0.3">
      <c r="A195" s="427">
        <v>184</v>
      </c>
      <c r="B195" s="429" t="s">
        <v>712</v>
      </c>
      <c r="C195" s="430"/>
      <c r="D195" s="431"/>
      <c r="E195" s="432">
        <v>2</v>
      </c>
      <c r="F195" s="432" t="s">
        <v>713</v>
      </c>
      <c r="G195" s="434" t="s">
        <v>397</v>
      </c>
      <c r="H195" s="436" t="s">
        <v>714</v>
      </c>
      <c r="I195" s="437"/>
      <c r="J195" s="418" t="s">
        <v>399</v>
      </c>
      <c r="K195" s="314">
        <v>23541.279999999999</v>
      </c>
      <c r="L195" s="314">
        <f t="shared" si="6"/>
        <v>494366.88</v>
      </c>
      <c r="M195" s="316"/>
      <c r="N195" s="316"/>
      <c r="O195" s="316"/>
      <c r="P195" s="316"/>
      <c r="Q195" s="316"/>
      <c r="R195" s="316"/>
      <c r="S195" s="316"/>
      <c r="T195" s="316"/>
      <c r="U195" s="316"/>
      <c r="V195" s="316"/>
    </row>
    <row r="196" spans="1:22" ht="50.1" customHeight="1" x14ac:dyDescent="0.3">
      <c r="A196" s="428"/>
      <c r="B196" s="420" t="s">
        <v>715</v>
      </c>
      <c r="C196" s="421"/>
      <c r="D196" s="422"/>
      <c r="E196" s="433"/>
      <c r="F196" s="433"/>
      <c r="G196" s="435"/>
      <c r="H196" s="438"/>
      <c r="I196" s="439"/>
      <c r="J196" s="419"/>
      <c r="K196" s="314"/>
      <c r="L196" s="316"/>
      <c r="M196" s="316"/>
      <c r="N196" s="316"/>
      <c r="O196" s="316"/>
      <c r="P196" s="316"/>
      <c r="Q196" s="316"/>
      <c r="R196" s="316"/>
      <c r="S196" s="316"/>
      <c r="T196" s="316"/>
      <c r="U196" s="316"/>
      <c r="V196" s="316"/>
    </row>
    <row r="197" spans="1:22" ht="50.1" customHeight="1" x14ac:dyDescent="0.3">
      <c r="A197" s="321">
        <v>185</v>
      </c>
      <c r="B197" s="423" t="s">
        <v>716</v>
      </c>
      <c r="C197" s="424"/>
      <c r="D197" s="410"/>
      <c r="E197" s="336"/>
      <c r="F197" s="322"/>
      <c r="G197" s="322"/>
      <c r="H197" s="425"/>
      <c r="I197" s="426"/>
      <c r="J197" s="322"/>
      <c r="K197" s="314"/>
      <c r="L197" s="316"/>
      <c r="M197" s="316"/>
      <c r="N197" s="316"/>
      <c r="O197" s="316"/>
      <c r="P197" s="316"/>
      <c r="Q197" s="316"/>
      <c r="R197" s="316"/>
      <c r="S197" s="316"/>
      <c r="T197" s="316"/>
      <c r="U197" s="316"/>
      <c r="V197" s="316"/>
    </row>
    <row r="198" spans="1:22" ht="50.1" customHeight="1" x14ac:dyDescent="0.3">
      <c r="A198" s="321">
        <v>186</v>
      </c>
      <c r="B198" s="411" t="s">
        <v>717</v>
      </c>
      <c r="C198" s="414"/>
      <c r="D198" s="415"/>
      <c r="E198" s="326">
        <v>2</v>
      </c>
      <c r="F198" s="322"/>
      <c r="G198" s="323" t="s">
        <v>397</v>
      </c>
      <c r="H198" s="409" t="s">
        <v>398</v>
      </c>
      <c r="I198" s="410"/>
      <c r="J198" s="324" t="s">
        <v>399</v>
      </c>
      <c r="K198" s="314">
        <v>500</v>
      </c>
      <c r="L198" s="314">
        <f>K198*21</f>
        <v>10500</v>
      </c>
      <c r="M198" s="316"/>
      <c r="N198" s="316"/>
      <c r="O198" s="316"/>
      <c r="P198" s="316"/>
      <c r="Q198" s="316"/>
      <c r="R198" s="316"/>
      <c r="S198" s="316"/>
      <c r="T198" s="316"/>
      <c r="U198" s="316"/>
      <c r="V198" s="316"/>
    </row>
    <row r="199" spans="1:22" ht="50.1" customHeight="1" x14ac:dyDescent="0.3">
      <c r="A199" s="321">
        <v>187</v>
      </c>
      <c r="B199" s="411" t="s">
        <v>718</v>
      </c>
      <c r="C199" s="414"/>
      <c r="D199" s="415"/>
      <c r="E199" s="326">
        <v>2</v>
      </c>
      <c r="F199" s="322"/>
      <c r="G199" s="323" t="s">
        <v>397</v>
      </c>
      <c r="H199" s="409" t="s">
        <v>398</v>
      </c>
      <c r="I199" s="410"/>
      <c r="J199" s="324" t="s">
        <v>399</v>
      </c>
      <c r="K199" s="314">
        <v>400</v>
      </c>
      <c r="L199" s="314">
        <f t="shared" ref="L199:L202" si="7">K199*21</f>
        <v>8400</v>
      </c>
      <c r="M199" s="316"/>
      <c r="N199" s="316"/>
      <c r="O199" s="316"/>
      <c r="P199" s="316"/>
      <c r="Q199" s="316"/>
      <c r="R199" s="316"/>
      <c r="S199" s="316"/>
      <c r="T199" s="316"/>
      <c r="U199" s="316"/>
      <c r="V199" s="316"/>
    </row>
    <row r="200" spans="1:22" ht="50.1" customHeight="1" x14ac:dyDescent="0.3">
      <c r="A200" s="321">
        <v>188</v>
      </c>
      <c r="B200" s="411" t="s">
        <v>719</v>
      </c>
      <c r="C200" s="414"/>
      <c r="D200" s="415"/>
      <c r="E200" s="326">
        <v>1</v>
      </c>
      <c r="F200" s="322"/>
      <c r="G200" s="323" t="s">
        <v>397</v>
      </c>
      <c r="H200" s="409" t="s">
        <v>398</v>
      </c>
      <c r="I200" s="410"/>
      <c r="J200" s="324" t="s">
        <v>399</v>
      </c>
      <c r="K200" s="314">
        <v>350</v>
      </c>
      <c r="L200" s="314">
        <f t="shared" si="7"/>
        <v>7350</v>
      </c>
      <c r="M200" s="316"/>
      <c r="N200" s="316"/>
      <c r="O200" s="316"/>
      <c r="P200" s="316"/>
      <c r="Q200" s="316"/>
      <c r="R200" s="316"/>
      <c r="S200" s="316"/>
      <c r="T200" s="316"/>
      <c r="U200" s="316"/>
      <c r="V200" s="316"/>
    </row>
    <row r="201" spans="1:22" ht="50.1" customHeight="1" x14ac:dyDescent="0.3">
      <c r="A201" s="321">
        <v>189</v>
      </c>
      <c r="B201" s="411" t="s">
        <v>720</v>
      </c>
      <c r="C201" s="414"/>
      <c r="D201" s="415"/>
      <c r="E201" s="326">
        <v>1</v>
      </c>
      <c r="F201" s="322"/>
      <c r="G201" s="323" t="s">
        <v>397</v>
      </c>
      <c r="H201" s="409" t="s">
        <v>398</v>
      </c>
      <c r="I201" s="410"/>
      <c r="J201" s="324" t="s">
        <v>399</v>
      </c>
      <c r="K201" s="314">
        <v>200</v>
      </c>
      <c r="L201" s="314">
        <f t="shared" si="7"/>
        <v>4200</v>
      </c>
      <c r="M201" s="316"/>
      <c r="N201" s="316"/>
      <c r="O201" s="316"/>
      <c r="P201" s="316"/>
      <c r="Q201" s="316"/>
      <c r="R201" s="316"/>
      <c r="S201" s="316"/>
      <c r="T201" s="316"/>
      <c r="U201" s="316"/>
      <c r="V201" s="316"/>
    </row>
    <row r="202" spans="1:22" ht="50.1" customHeight="1" x14ac:dyDescent="0.3">
      <c r="A202" s="321">
        <v>190</v>
      </c>
      <c r="B202" s="411" t="s">
        <v>721</v>
      </c>
      <c r="C202" s="414"/>
      <c r="D202" s="415"/>
      <c r="E202" s="326">
        <v>1</v>
      </c>
      <c r="F202" s="322"/>
      <c r="G202" s="323" t="s">
        <v>397</v>
      </c>
      <c r="H202" s="409" t="s">
        <v>398</v>
      </c>
      <c r="I202" s="410"/>
      <c r="J202" s="324" t="s">
        <v>399</v>
      </c>
      <c r="K202" s="314">
        <v>150</v>
      </c>
      <c r="L202" s="314">
        <f t="shared" si="7"/>
        <v>3150</v>
      </c>
      <c r="M202" s="316"/>
      <c r="N202" s="316"/>
      <c r="O202" s="316"/>
      <c r="P202" s="316"/>
      <c r="Q202" s="316"/>
      <c r="R202" s="316"/>
      <c r="S202" s="316"/>
      <c r="T202" s="316"/>
      <c r="U202" s="316"/>
      <c r="V202" s="316"/>
    </row>
    <row r="203" spans="1:22" ht="50.1" customHeight="1" x14ac:dyDescent="0.3">
      <c r="A203" s="321">
        <v>191</v>
      </c>
      <c r="B203" s="411" t="s">
        <v>722</v>
      </c>
      <c r="C203" s="414"/>
      <c r="D203" s="415"/>
      <c r="E203" s="326"/>
      <c r="F203" s="322"/>
      <c r="G203" s="323" t="s">
        <v>397</v>
      </c>
      <c r="H203" s="416" t="s">
        <v>723</v>
      </c>
      <c r="I203" s="417"/>
      <c r="J203" s="324" t="s">
        <v>399</v>
      </c>
      <c r="K203" s="314"/>
      <c r="L203" s="316"/>
      <c r="M203" s="316"/>
      <c r="N203" s="316"/>
      <c r="O203" s="316"/>
      <c r="P203" s="316"/>
      <c r="Q203" s="316"/>
      <c r="R203" s="316"/>
      <c r="S203" s="316"/>
      <c r="T203" s="316"/>
      <c r="U203" s="316"/>
      <c r="V203" s="316"/>
    </row>
    <row r="204" spans="1:22" ht="95.25" customHeight="1" x14ac:dyDescent="0.3">
      <c r="A204" s="321">
        <v>192</v>
      </c>
      <c r="B204" s="411" t="s">
        <v>724</v>
      </c>
      <c r="C204" s="414"/>
      <c r="D204" s="415"/>
      <c r="E204" s="326"/>
      <c r="F204" s="322"/>
      <c r="G204" s="323" t="s">
        <v>397</v>
      </c>
      <c r="H204" s="409" t="s">
        <v>398</v>
      </c>
      <c r="I204" s="410"/>
      <c r="J204" s="324" t="s">
        <v>399</v>
      </c>
      <c r="K204" s="314"/>
      <c r="L204" s="316"/>
      <c r="M204" s="316"/>
      <c r="N204" s="316"/>
      <c r="O204" s="316"/>
      <c r="P204" s="316"/>
      <c r="Q204" s="316"/>
      <c r="R204" s="316"/>
      <c r="S204" s="316"/>
      <c r="T204" s="316"/>
      <c r="U204" s="316"/>
      <c r="V204" s="316"/>
    </row>
    <row r="205" spans="1:22" ht="77.25" customHeight="1" x14ac:dyDescent="0.3">
      <c r="A205" s="321">
        <v>193</v>
      </c>
      <c r="B205" s="411" t="s">
        <v>725</v>
      </c>
      <c r="C205" s="412"/>
      <c r="D205" s="413"/>
      <c r="E205" s="326"/>
      <c r="F205" s="322"/>
      <c r="G205" s="323" t="s">
        <v>397</v>
      </c>
      <c r="H205" s="409" t="s">
        <v>398</v>
      </c>
      <c r="I205" s="410"/>
      <c r="J205" s="324" t="s">
        <v>399</v>
      </c>
      <c r="K205" s="314">
        <v>1000</v>
      </c>
      <c r="L205" s="314">
        <f>K205*21</f>
        <v>21000</v>
      </c>
      <c r="M205" s="316"/>
      <c r="N205" s="316"/>
      <c r="O205" s="316"/>
      <c r="P205" s="316"/>
      <c r="Q205" s="316"/>
      <c r="R205" s="316"/>
      <c r="S205" s="316"/>
      <c r="T205" s="316"/>
      <c r="U205" s="316"/>
      <c r="V205" s="316"/>
    </row>
    <row r="206" spans="1:22" ht="50.1" customHeight="1" x14ac:dyDescent="0.3">
      <c r="A206" s="321">
        <v>194</v>
      </c>
      <c r="B206" s="411" t="s">
        <v>726</v>
      </c>
      <c r="C206" s="412"/>
      <c r="D206" s="413"/>
      <c r="E206" s="326"/>
      <c r="F206" s="322"/>
      <c r="G206" s="323" t="s">
        <v>397</v>
      </c>
      <c r="H206" s="409" t="s">
        <v>398</v>
      </c>
      <c r="I206" s="410"/>
      <c r="J206" s="324" t="s">
        <v>399</v>
      </c>
      <c r="K206" s="314"/>
      <c r="L206" s="316"/>
      <c r="M206" s="316"/>
      <c r="N206" s="316"/>
      <c r="O206" s="316"/>
      <c r="P206" s="316"/>
      <c r="Q206" s="316"/>
      <c r="R206" s="316"/>
      <c r="S206" s="316"/>
      <c r="T206" s="316"/>
      <c r="U206" s="316"/>
      <c r="V206" s="316"/>
    </row>
    <row r="207" spans="1:22" ht="50.1" customHeight="1" x14ac:dyDescent="0.3">
      <c r="A207" s="321">
        <v>195</v>
      </c>
      <c r="B207" s="411" t="s">
        <v>727</v>
      </c>
      <c r="C207" s="414"/>
      <c r="D207" s="415"/>
      <c r="E207" s="326"/>
      <c r="F207" s="322"/>
      <c r="G207" s="323" t="s">
        <v>397</v>
      </c>
      <c r="H207" s="409" t="s">
        <v>398</v>
      </c>
      <c r="I207" s="410"/>
      <c r="J207" s="324" t="s">
        <v>399</v>
      </c>
      <c r="K207" s="314"/>
      <c r="L207" s="316"/>
      <c r="M207" s="316"/>
      <c r="N207" s="316"/>
      <c r="O207" s="316"/>
      <c r="P207" s="316"/>
      <c r="Q207" s="316"/>
      <c r="R207" s="316"/>
      <c r="S207" s="316"/>
      <c r="T207" s="316"/>
      <c r="U207" s="316"/>
      <c r="V207" s="316"/>
    </row>
    <row r="208" spans="1:22" ht="50.1" customHeight="1" x14ac:dyDescent="0.3">
      <c r="A208" s="321">
        <v>196</v>
      </c>
      <c r="B208" s="406" t="s">
        <v>728</v>
      </c>
      <c r="C208" s="407"/>
      <c r="D208" s="408"/>
      <c r="E208" s="326"/>
      <c r="F208" s="322"/>
      <c r="G208" s="323" t="s">
        <v>397</v>
      </c>
      <c r="H208" s="409" t="s">
        <v>398</v>
      </c>
      <c r="I208" s="410"/>
      <c r="J208" s="324" t="s">
        <v>399</v>
      </c>
      <c r="K208" s="314"/>
      <c r="L208" s="316"/>
      <c r="M208" s="316"/>
      <c r="N208" s="316"/>
      <c r="O208" s="316"/>
      <c r="P208" s="316"/>
      <c r="Q208" s="316"/>
      <c r="R208" s="316"/>
      <c r="S208" s="316"/>
      <c r="T208" s="316"/>
      <c r="U208" s="316"/>
      <c r="V208" s="316"/>
    </row>
    <row r="209" spans="1:22" ht="50.1" customHeight="1" x14ac:dyDescent="0.3">
      <c r="A209" s="321">
        <v>197</v>
      </c>
      <c r="B209" s="406" t="s">
        <v>729</v>
      </c>
      <c r="C209" s="407"/>
      <c r="D209" s="408"/>
      <c r="E209" s="326" t="s">
        <v>730</v>
      </c>
      <c r="F209" s="322"/>
      <c r="G209" s="323" t="s">
        <v>397</v>
      </c>
      <c r="H209" s="409" t="s">
        <v>398</v>
      </c>
      <c r="I209" s="410"/>
      <c r="J209" s="324" t="s">
        <v>399</v>
      </c>
      <c r="K209" s="314"/>
      <c r="L209" s="316"/>
      <c r="M209" s="316"/>
      <c r="N209" s="316"/>
      <c r="O209" s="316"/>
      <c r="P209" s="316"/>
      <c r="Q209" s="316"/>
      <c r="R209" s="316"/>
      <c r="S209" s="316"/>
      <c r="T209" s="316"/>
      <c r="U209" s="316"/>
      <c r="V209" s="316"/>
    </row>
    <row r="210" spans="1:22" ht="50.1" customHeight="1" x14ac:dyDescent="0.3">
      <c r="A210" s="337"/>
      <c r="B210" s="338"/>
      <c r="C210" s="338"/>
      <c r="D210" s="338"/>
      <c r="E210" s="315"/>
      <c r="F210" s="338"/>
      <c r="G210" s="339"/>
      <c r="H210" s="340"/>
      <c r="I210" s="340"/>
      <c r="J210" s="340"/>
      <c r="K210" s="314"/>
      <c r="L210" s="341"/>
      <c r="M210" s="341"/>
      <c r="N210" s="341"/>
      <c r="O210" s="341"/>
      <c r="P210" s="341"/>
      <c r="Q210" s="341"/>
      <c r="R210" s="341"/>
      <c r="S210" s="341"/>
      <c r="T210" s="341"/>
      <c r="U210" s="341"/>
      <c r="V210" s="341"/>
    </row>
    <row r="211" spans="1:22" ht="50.1" customHeight="1" x14ac:dyDescent="0.3">
      <c r="A211" s="315"/>
      <c r="B211" s="316"/>
      <c r="C211" s="316"/>
      <c r="D211" s="316"/>
      <c r="E211" s="315"/>
      <c r="F211" s="316"/>
      <c r="G211" s="316"/>
      <c r="H211" s="316"/>
      <c r="I211" s="316"/>
      <c r="J211" s="316"/>
      <c r="K211" s="314"/>
      <c r="L211" s="341"/>
      <c r="M211" s="341"/>
      <c r="N211" s="341"/>
      <c r="O211" s="341"/>
      <c r="P211" s="341"/>
      <c r="Q211" s="341"/>
      <c r="R211" s="341"/>
      <c r="S211" s="341"/>
      <c r="T211" s="341"/>
      <c r="U211" s="341"/>
      <c r="V211" s="341"/>
    </row>
    <row r="212" spans="1:22" ht="50.1" customHeight="1" x14ac:dyDescent="0.3">
      <c r="A212" s="315"/>
      <c r="B212" s="316"/>
      <c r="C212" s="316"/>
      <c r="D212" s="316"/>
      <c r="E212" s="315"/>
      <c r="F212" s="316"/>
      <c r="G212" s="316"/>
      <c r="H212" s="316"/>
      <c r="I212" s="316"/>
      <c r="J212" s="316"/>
      <c r="K212" s="314"/>
      <c r="L212" s="341"/>
      <c r="M212" s="341"/>
      <c r="N212" s="341"/>
      <c r="O212" s="341"/>
      <c r="P212" s="341"/>
      <c r="Q212" s="341"/>
      <c r="R212" s="341"/>
      <c r="S212" s="341"/>
      <c r="T212" s="341"/>
      <c r="U212" s="341"/>
      <c r="V212" s="341"/>
    </row>
    <row r="213" spans="1:22" ht="50.1" customHeight="1" x14ac:dyDescent="0.3">
      <c r="A213" s="315"/>
      <c r="B213" s="316"/>
      <c r="C213" s="316"/>
      <c r="D213" s="316"/>
      <c r="E213" s="315"/>
      <c r="F213" s="316"/>
      <c r="G213" s="316"/>
      <c r="H213" s="316"/>
      <c r="I213" s="316"/>
      <c r="J213" s="316" t="s">
        <v>65</v>
      </c>
      <c r="K213" s="314">
        <f>SUM(K2:K209)</f>
        <v>1158756.18</v>
      </c>
      <c r="L213" s="314">
        <f>SUM(L2:L209)</f>
        <v>24386757.779999997</v>
      </c>
      <c r="M213" s="341"/>
      <c r="N213" s="341"/>
      <c r="O213" s="341"/>
      <c r="P213" s="341"/>
      <c r="Q213" s="341"/>
      <c r="R213" s="341"/>
      <c r="S213" s="341"/>
      <c r="T213" s="341"/>
      <c r="U213" s="341"/>
      <c r="V213" s="341"/>
    </row>
    <row r="214" spans="1:22" ht="50.1" customHeight="1" x14ac:dyDescent="0.3"/>
    <row r="215" spans="1:22" ht="50.1" customHeight="1" x14ac:dyDescent="0.3"/>
  </sheetData>
  <mergeCells count="426">
    <mergeCell ref="A1:B1"/>
    <mergeCell ref="D1:H2"/>
    <mergeCell ref="I1:J1"/>
    <mergeCell ref="A2:B2"/>
    <mergeCell ref="I2:J2"/>
    <mergeCell ref="A3:C4"/>
    <mergeCell ref="D3:H4"/>
    <mergeCell ref="I3:J3"/>
    <mergeCell ref="I4:J4"/>
    <mergeCell ref="A8:C8"/>
    <mergeCell ref="D8:J8"/>
    <mergeCell ref="A9:D10"/>
    <mergeCell ref="G9:J9"/>
    <mergeCell ref="H10:I10"/>
    <mergeCell ref="B11:D11"/>
    <mergeCell ref="H11:I11"/>
    <mergeCell ref="A5:C5"/>
    <mergeCell ref="D5:J5"/>
    <mergeCell ref="A6:C6"/>
    <mergeCell ref="D6:J6"/>
    <mergeCell ref="A7:C7"/>
    <mergeCell ref="D7:J7"/>
    <mergeCell ref="B15:D15"/>
    <mergeCell ref="H15:I15"/>
    <mergeCell ref="B16:D16"/>
    <mergeCell ref="H16:I16"/>
    <mergeCell ref="B17:D17"/>
    <mergeCell ref="H17:I17"/>
    <mergeCell ref="B12:D12"/>
    <mergeCell ref="H12:I12"/>
    <mergeCell ref="B13:D13"/>
    <mergeCell ref="H13:I13"/>
    <mergeCell ref="B14:D14"/>
    <mergeCell ref="H14:I14"/>
    <mergeCell ref="B21:D21"/>
    <mergeCell ref="H21:I21"/>
    <mergeCell ref="B22:D22"/>
    <mergeCell ref="H22:I22"/>
    <mergeCell ref="B23:D23"/>
    <mergeCell ref="H23:I23"/>
    <mergeCell ref="B18:D18"/>
    <mergeCell ref="H18:I18"/>
    <mergeCell ref="B19:D19"/>
    <mergeCell ref="H19:I19"/>
    <mergeCell ref="B20:D20"/>
    <mergeCell ref="H20:I20"/>
    <mergeCell ref="B27:D27"/>
    <mergeCell ref="H27:I27"/>
    <mergeCell ref="B28:D28"/>
    <mergeCell ref="H28:I28"/>
    <mergeCell ref="B29:D29"/>
    <mergeCell ref="H29:I29"/>
    <mergeCell ref="B24:D24"/>
    <mergeCell ref="H24:I24"/>
    <mergeCell ref="B25:D25"/>
    <mergeCell ref="H25:I25"/>
    <mergeCell ref="B26:D26"/>
    <mergeCell ref="H26:I26"/>
    <mergeCell ref="B33:D33"/>
    <mergeCell ref="H33:I33"/>
    <mergeCell ref="B34:D34"/>
    <mergeCell ref="H34:I34"/>
    <mergeCell ref="B35:D35"/>
    <mergeCell ref="H35:I35"/>
    <mergeCell ref="B30:D30"/>
    <mergeCell ref="H30:I30"/>
    <mergeCell ref="B31:D31"/>
    <mergeCell ref="H31:I31"/>
    <mergeCell ref="B32:D32"/>
    <mergeCell ref="H32:I32"/>
    <mergeCell ref="B39:D39"/>
    <mergeCell ref="H39:I39"/>
    <mergeCell ref="B40:D40"/>
    <mergeCell ref="H40:I40"/>
    <mergeCell ref="B41:D41"/>
    <mergeCell ref="H41:I41"/>
    <mergeCell ref="B36:D36"/>
    <mergeCell ref="H36:I36"/>
    <mergeCell ref="B37:D37"/>
    <mergeCell ref="H37:I37"/>
    <mergeCell ref="B38:D38"/>
    <mergeCell ref="H38:I38"/>
    <mergeCell ref="B45:D45"/>
    <mergeCell ref="H45:I45"/>
    <mergeCell ref="B46:D46"/>
    <mergeCell ref="H46:I46"/>
    <mergeCell ref="B47:D47"/>
    <mergeCell ref="H47:I47"/>
    <mergeCell ref="B42:D42"/>
    <mergeCell ref="H42:I42"/>
    <mergeCell ref="B43:D43"/>
    <mergeCell ref="H43:I43"/>
    <mergeCell ref="B44:D44"/>
    <mergeCell ref="H44:I44"/>
    <mergeCell ref="B51:D51"/>
    <mergeCell ref="H51:I51"/>
    <mergeCell ref="B52:D52"/>
    <mergeCell ref="H52:I52"/>
    <mergeCell ref="B53:D53"/>
    <mergeCell ref="H53:I53"/>
    <mergeCell ref="B48:D48"/>
    <mergeCell ref="H48:I48"/>
    <mergeCell ref="B49:D49"/>
    <mergeCell ref="H49:I49"/>
    <mergeCell ref="B50:D50"/>
    <mergeCell ref="H50:I50"/>
    <mergeCell ref="B57:D57"/>
    <mergeCell ref="H57:I57"/>
    <mergeCell ref="B58:D58"/>
    <mergeCell ref="H58:I58"/>
    <mergeCell ref="B59:D59"/>
    <mergeCell ref="H59:I59"/>
    <mergeCell ref="B54:D54"/>
    <mergeCell ref="H54:I54"/>
    <mergeCell ref="B55:D55"/>
    <mergeCell ref="H55:I55"/>
    <mergeCell ref="B56:D56"/>
    <mergeCell ref="H56:I56"/>
    <mergeCell ref="B63:D63"/>
    <mergeCell ref="H63:I63"/>
    <mergeCell ref="B64:D64"/>
    <mergeCell ref="H64:I64"/>
    <mergeCell ref="B65:D65"/>
    <mergeCell ref="H65:I65"/>
    <mergeCell ref="B60:D60"/>
    <mergeCell ref="H60:I60"/>
    <mergeCell ref="B61:D61"/>
    <mergeCell ref="H61:I61"/>
    <mergeCell ref="B62:D62"/>
    <mergeCell ref="H62:I62"/>
    <mergeCell ref="B69:D69"/>
    <mergeCell ref="H69:I69"/>
    <mergeCell ref="B70:D70"/>
    <mergeCell ref="H70:I70"/>
    <mergeCell ref="B71:D71"/>
    <mergeCell ref="H71:I71"/>
    <mergeCell ref="B66:D66"/>
    <mergeCell ref="H66:I66"/>
    <mergeCell ref="B67:D67"/>
    <mergeCell ref="H67:I67"/>
    <mergeCell ref="B68:D68"/>
    <mergeCell ref="H68:I68"/>
    <mergeCell ref="B75:D75"/>
    <mergeCell ref="H75:I75"/>
    <mergeCell ref="B76:D76"/>
    <mergeCell ref="H76:I76"/>
    <mergeCell ref="B77:D77"/>
    <mergeCell ref="H77:I77"/>
    <mergeCell ref="B72:D72"/>
    <mergeCell ref="H72:I72"/>
    <mergeCell ref="B73:D73"/>
    <mergeCell ref="H73:I73"/>
    <mergeCell ref="B74:D74"/>
    <mergeCell ref="H74:I74"/>
    <mergeCell ref="B81:D81"/>
    <mergeCell ref="H81:I81"/>
    <mergeCell ref="B82:D82"/>
    <mergeCell ref="H82:I82"/>
    <mergeCell ref="B83:D83"/>
    <mergeCell ref="H83:I83"/>
    <mergeCell ref="B78:D78"/>
    <mergeCell ref="H78:I78"/>
    <mergeCell ref="B79:D79"/>
    <mergeCell ref="H79:I79"/>
    <mergeCell ref="B80:D80"/>
    <mergeCell ref="H80:I80"/>
    <mergeCell ref="B87:D87"/>
    <mergeCell ref="H87:I87"/>
    <mergeCell ref="B88:D88"/>
    <mergeCell ref="H88:I88"/>
    <mergeCell ref="B89:D89"/>
    <mergeCell ref="H89:I89"/>
    <mergeCell ref="B84:D84"/>
    <mergeCell ref="H84:I84"/>
    <mergeCell ref="B85:D85"/>
    <mergeCell ref="H85:I85"/>
    <mergeCell ref="B86:D86"/>
    <mergeCell ref="H86:I86"/>
    <mergeCell ref="B93:D93"/>
    <mergeCell ref="H93:I93"/>
    <mergeCell ref="B94:D94"/>
    <mergeCell ref="H94:I94"/>
    <mergeCell ref="B95:D95"/>
    <mergeCell ref="H95:I95"/>
    <mergeCell ref="B90:D90"/>
    <mergeCell ref="H90:I90"/>
    <mergeCell ref="B91:D91"/>
    <mergeCell ref="H91:I91"/>
    <mergeCell ref="B92:D92"/>
    <mergeCell ref="H92:I92"/>
    <mergeCell ref="B99:D99"/>
    <mergeCell ref="H99:I99"/>
    <mergeCell ref="B100:D100"/>
    <mergeCell ref="H100:I100"/>
    <mergeCell ref="B101:D101"/>
    <mergeCell ref="H101:I101"/>
    <mergeCell ref="B96:D96"/>
    <mergeCell ref="H96:I96"/>
    <mergeCell ref="B97:D97"/>
    <mergeCell ref="H97:I97"/>
    <mergeCell ref="B98:D98"/>
    <mergeCell ref="H98:I98"/>
    <mergeCell ref="A107:A108"/>
    <mergeCell ref="B107:D107"/>
    <mergeCell ref="E107:E108"/>
    <mergeCell ref="F107:F108"/>
    <mergeCell ref="G107:G108"/>
    <mergeCell ref="H107:I108"/>
    <mergeCell ref="B102:D102"/>
    <mergeCell ref="H102:I102"/>
    <mergeCell ref="B103:D103"/>
    <mergeCell ref="H103:I103"/>
    <mergeCell ref="B104:D104"/>
    <mergeCell ref="H104:I104"/>
    <mergeCell ref="J107:J108"/>
    <mergeCell ref="B108:D108"/>
    <mergeCell ref="B109:D109"/>
    <mergeCell ref="H109:I109"/>
    <mergeCell ref="B110:D110"/>
    <mergeCell ref="H110:I110"/>
    <mergeCell ref="B105:D105"/>
    <mergeCell ref="H105:I105"/>
    <mergeCell ref="B106:D106"/>
    <mergeCell ref="H106:I106"/>
    <mergeCell ref="B114:D114"/>
    <mergeCell ref="H114:I114"/>
    <mergeCell ref="B115:D115"/>
    <mergeCell ref="H115:I115"/>
    <mergeCell ref="B116:D116"/>
    <mergeCell ref="H116:I116"/>
    <mergeCell ref="B111:D111"/>
    <mergeCell ref="H111:I111"/>
    <mergeCell ref="B112:D112"/>
    <mergeCell ref="H112:I112"/>
    <mergeCell ref="B113:D113"/>
    <mergeCell ref="H113:I113"/>
    <mergeCell ref="B120:D120"/>
    <mergeCell ref="H120:I120"/>
    <mergeCell ref="B121:D121"/>
    <mergeCell ref="H121:I121"/>
    <mergeCell ref="B122:D122"/>
    <mergeCell ref="H122:I122"/>
    <mergeCell ref="B117:D117"/>
    <mergeCell ref="H117:I117"/>
    <mergeCell ref="B118:D118"/>
    <mergeCell ref="H118:I118"/>
    <mergeCell ref="B119:D119"/>
    <mergeCell ref="H119:I119"/>
    <mergeCell ref="B126:D126"/>
    <mergeCell ref="H126:I126"/>
    <mergeCell ref="B127:D127"/>
    <mergeCell ref="H127:I127"/>
    <mergeCell ref="B128:D128"/>
    <mergeCell ref="H128:I128"/>
    <mergeCell ref="B123:D123"/>
    <mergeCell ref="H123:I123"/>
    <mergeCell ref="B124:D124"/>
    <mergeCell ref="H124:I124"/>
    <mergeCell ref="B125:D125"/>
    <mergeCell ref="H125:I125"/>
    <mergeCell ref="B132:D132"/>
    <mergeCell ref="H132:I132"/>
    <mergeCell ref="B133:D133"/>
    <mergeCell ref="H133:I133"/>
    <mergeCell ref="B134:D134"/>
    <mergeCell ref="H134:I134"/>
    <mergeCell ref="B129:D129"/>
    <mergeCell ref="H129:I129"/>
    <mergeCell ref="B130:D130"/>
    <mergeCell ref="H130:I130"/>
    <mergeCell ref="B131:D131"/>
    <mergeCell ref="H131:I131"/>
    <mergeCell ref="B138:D138"/>
    <mergeCell ref="H138:I138"/>
    <mergeCell ref="B139:D139"/>
    <mergeCell ref="H139:I139"/>
    <mergeCell ref="B140:D140"/>
    <mergeCell ref="H140:I140"/>
    <mergeCell ref="B135:D135"/>
    <mergeCell ref="H135:I135"/>
    <mergeCell ref="B136:D136"/>
    <mergeCell ref="H136:I136"/>
    <mergeCell ref="B137:D137"/>
    <mergeCell ref="H137:I137"/>
    <mergeCell ref="B144:D144"/>
    <mergeCell ref="H144:I144"/>
    <mergeCell ref="B145:D145"/>
    <mergeCell ref="H145:I145"/>
    <mergeCell ref="B146:D146"/>
    <mergeCell ref="H146:I146"/>
    <mergeCell ref="B141:D141"/>
    <mergeCell ref="H141:I141"/>
    <mergeCell ref="B142:D142"/>
    <mergeCell ref="H142:I142"/>
    <mergeCell ref="B143:D143"/>
    <mergeCell ref="H143:I143"/>
    <mergeCell ref="B150:D150"/>
    <mergeCell ref="H150:I150"/>
    <mergeCell ref="B151:D151"/>
    <mergeCell ref="H151:I151"/>
    <mergeCell ref="B152:D152"/>
    <mergeCell ref="H152:I152"/>
    <mergeCell ref="B147:D147"/>
    <mergeCell ref="H147:I147"/>
    <mergeCell ref="B148:D148"/>
    <mergeCell ref="H148:I148"/>
    <mergeCell ref="B149:D149"/>
    <mergeCell ref="H149:I149"/>
    <mergeCell ref="B156:D156"/>
    <mergeCell ref="H156:I156"/>
    <mergeCell ref="B157:D157"/>
    <mergeCell ref="H157:I157"/>
    <mergeCell ref="B158:D158"/>
    <mergeCell ref="H158:I158"/>
    <mergeCell ref="B153:D153"/>
    <mergeCell ref="H153:I153"/>
    <mergeCell ref="B154:D154"/>
    <mergeCell ref="H154:I154"/>
    <mergeCell ref="B155:D155"/>
    <mergeCell ref="H155:I155"/>
    <mergeCell ref="B162:D162"/>
    <mergeCell ref="H162:I162"/>
    <mergeCell ref="B163:D163"/>
    <mergeCell ref="H163:I163"/>
    <mergeCell ref="B164:D164"/>
    <mergeCell ref="H164:I164"/>
    <mergeCell ref="B159:D159"/>
    <mergeCell ref="H159:I159"/>
    <mergeCell ref="B160:D160"/>
    <mergeCell ref="H160:I160"/>
    <mergeCell ref="B161:D161"/>
    <mergeCell ref="H161:I161"/>
    <mergeCell ref="B168:D168"/>
    <mergeCell ref="H168:I168"/>
    <mergeCell ref="B169:D169"/>
    <mergeCell ref="H169:I169"/>
    <mergeCell ref="B170:D170"/>
    <mergeCell ref="H170:I170"/>
    <mergeCell ref="B165:D165"/>
    <mergeCell ref="H165:I165"/>
    <mergeCell ref="B166:D166"/>
    <mergeCell ref="H166:I166"/>
    <mergeCell ref="B167:D167"/>
    <mergeCell ref="H167:I167"/>
    <mergeCell ref="B174:D174"/>
    <mergeCell ref="H174:I174"/>
    <mergeCell ref="B175:D175"/>
    <mergeCell ref="H175:I175"/>
    <mergeCell ref="B176:D176"/>
    <mergeCell ref="H176:I176"/>
    <mergeCell ref="B171:D171"/>
    <mergeCell ref="H171:I171"/>
    <mergeCell ref="B172:D172"/>
    <mergeCell ref="H172:I172"/>
    <mergeCell ref="B173:D173"/>
    <mergeCell ref="H173:I173"/>
    <mergeCell ref="B180:D180"/>
    <mergeCell ref="H180:I180"/>
    <mergeCell ref="B181:D181"/>
    <mergeCell ref="H181:I181"/>
    <mergeCell ref="B182:D182"/>
    <mergeCell ref="H182:I182"/>
    <mergeCell ref="B177:D177"/>
    <mergeCell ref="H177:I177"/>
    <mergeCell ref="B178:D178"/>
    <mergeCell ref="H178:I178"/>
    <mergeCell ref="B179:D179"/>
    <mergeCell ref="H179:I179"/>
    <mergeCell ref="B186:D186"/>
    <mergeCell ref="H186:I186"/>
    <mergeCell ref="B187:D187"/>
    <mergeCell ref="H187:I187"/>
    <mergeCell ref="B188:D188"/>
    <mergeCell ref="H188:I188"/>
    <mergeCell ref="B183:D183"/>
    <mergeCell ref="H183:I183"/>
    <mergeCell ref="B184:D184"/>
    <mergeCell ref="H184:I184"/>
    <mergeCell ref="B185:D185"/>
    <mergeCell ref="H185:I185"/>
    <mergeCell ref="B192:D192"/>
    <mergeCell ref="H192:I192"/>
    <mergeCell ref="B193:D193"/>
    <mergeCell ref="H193:I193"/>
    <mergeCell ref="B194:D194"/>
    <mergeCell ref="H194:I194"/>
    <mergeCell ref="B189:D189"/>
    <mergeCell ref="H189:I189"/>
    <mergeCell ref="B190:D190"/>
    <mergeCell ref="H190:I190"/>
    <mergeCell ref="B191:D191"/>
    <mergeCell ref="H191:I191"/>
    <mergeCell ref="J195:J196"/>
    <mergeCell ref="B196:D196"/>
    <mergeCell ref="B197:D197"/>
    <mergeCell ref="H197:I197"/>
    <mergeCell ref="B198:D198"/>
    <mergeCell ref="H198:I198"/>
    <mergeCell ref="A195:A196"/>
    <mergeCell ref="B195:D195"/>
    <mergeCell ref="E195:E196"/>
    <mergeCell ref="F195:F196"/>
    <mergeCell ref="G195:G196"/>
    <mergeCell ref="H195:I196"/>
    <mergeCell ref="B202:D202"/>
    <mergeCell ref="H202:I202"/>
    <mergeCell ref="B203:D203"/>
    <mergeCell ref="H203:I203"/>
    <mergeCell ref="B204:D204"/>
    <mergeCell ref="H204:I204"/>
    <mergeCell ref="B199:D199"/>
    <mergeCell ref="H199:I199"/>
    <mergeCell ref="B200:D200"/>
    <mergeCell ref="H200:I200"/>
    <mergeCell ref="B201:D201"/>
    <mergeCell ref="H201:I201"/>
    <mergeCell ref="B208:D208"/>
    <mergeCell ref="H208:I208"/>
    <mergeCell ref="B209:D209"/>
    <mergeCell ref="H209:I209"/>
    <mergeCell ref="B205:D205"/>
    <mergeCell ref="H205:I205"/>
    <mergeCell ref="B206:D206"/>
    <mergeCell ref="H206:I206"/>
    <mergeCell ref="B207:D207"/>
    <mergeCell ref="H207:I207"/>
  </mergeCells>
  <hyperlinks>
    <hyperlink ref="N171" r:id="rId1" xr:uid="{2F839FCB-9D36-4B89-8612-B5E30AD28FB6}"/>
    <hyperlink ref="P171" r:id="rId2" xr:uid="{06B32185-E352-4DD8-B6B9-E2C1A30824FD}"/>
    <hyperlink ref="R171" r:id="rId3" xr:uid="{610758F2-07D6-4338-BC10-495051A93D7D}"/>
    <hyperlink ref="N164" r:id="rId4" xr:uid="{B6C99818-153D-46EA-B08B-8ECEAE369F39}"/>
    <hyperlink ref="P164" r:id="rId5" xr:uid="{B04A0B89-7CE8-4513-BBD0-E66BBFD24BEC}"/>
    <hyperlink ref="N163" r:id="rId6" xr:uid="{D5F1BF67-DFA1-4E66-BF07-9E68835D92E7}"/>
  </hyperlinks>
  <pageMargins left="0.7" right="0.7" top="0.75" bottom="0.75" header="0.3" footer="0.3"/>
  <pageSetup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DFCA-6947-452A-9DB5-DD330513C658}">
  <sheetPr>
    <pageSetUpPr fitToPage="1"/>
  </sheetPr>
  <dimension ref="B4:Y56"/>
  <sheetViews>
    <sheetView topLeftCell="K21" zoomScaleNormal="100" workbookViewId="0">
      <selection activeCell="V28" sqref="V28"/>
    </sheetView>
  </sheetViews>
  <sheetFormatPr defaultRowHeight="14.4" x14ac:dyDescent="0.3"/>
  <cols>
    <col min="3" max="3" width="4.6640625" customWidth="1"/>
    <col min="4" max="4" width="21.6640625" bestFit="1" customWidth="1"/>
    <col min="5" max="5" width="15.88671875" bestFit="1" customWidth="1"/>
    <col min="6" max="6" width="17.33203125" customWidth="1"/>
    <col min="7" max="7" width="18.109375" customWidth="1"/>
    <col min="8" max="8" width="17.6640625" bestFit="1" customWidth="1"/>
    <col min="9" max="9" width="20.6640625" customWidth="1"/>
    <col min="10" max="10" width="18.44140625" bestFit="1" customWidth="1"/>
    <col min="11" max="11" width="18.6640625" customWidth="1"/>
    <col min="12" max="12" width="17.5546875" customWidth="1"/>
    <col min="13" max="13" width="16.88671875" bestFit="1" customWidth="1"/>
    <col min="14" max="14" width="18.44140625" bestFit="1" customWidth="1"/>
    <col min="15" max="16" width="16.88671875" bestFit="1" customWidth="1"/>
    <col min="17" max="17" width="17.6640625" customWidth="1"/>
    <col min="18" max="19" width="18" bestFit="1" customWidth="1"/>
    <col min="20" max="20" width="16.6640625" bestFit="1" customWidth="1"/>
    <col min="21" max="22" width="15.88671875" bestFit="1" customWidth="1"/>
    <col min="23" max="23" width="16.88671875" bestFit="1" customWidth="1"/>
    <col min="24" max="25" width="16.6640625" bestFit="1" customWidth="1"/>
  </cols>
  <sheetData>
    <row r="4" spans="4:11" x14ac:dyDescent="0.3">
      <c r="E4" s="355"/>
      <c r="F4" s="355"/>
      <c r="G4" s="355"/>
      <c r="H4" s="355"/>
    </row>
    <row r="5" spans="4:11" x14ac:dyDescent="0.3">
      <c r="E5" s="533" t="s">
        <v>847</v>
      </c>
      <c r="F5" s="533"/>
      <c r="G5" s="533"/>
      <c r="H5" s="533"/>
    </row>
    <row r="6" spans="4:11" x14ac:dyDescent="0.3">
      <c r="D6" s="356">
        <v>0.1</v>
      </c>
      <c r="E6" s="357" t="s">
        <v>848</v>
      </c>
      <c r="F6" s="358">
        <v>0.22500000000000001</v>
      </c>
      <c r="G6" s="359">
        <v>0.22500000000000001</v>
      </c>
      <c r="H6" s="359">
        <v>0.22500000000000001</v>
      </c>
      <c r="K6" s="360">
        <v>43535</v>
      </c>
    </row>
    <row r="7" spans="4:11" x14ac:dyDescent="0.3">
      <c r="E7" s="357" t="s">
        <v>849</v>
      </c>
      <c r="F7" s="357" t="s">
        <v>850</v>
      </c>
      <c r="G7" s="357" t="s">
        <v>851</v>
      </c>
      <c r="H7" s="357" t="s">
        <v>852</v>
      </c>
      <c r="K7" s="360">
        <f>+K6+4</f>
        <v>43539</v>
      </c>
    </row>
    <row r="8" spans="4:11" x14ac:dyDescent="0.3">
      <c r="D8" s="534">
        <f>+([1]REKAPITULACIJA!$E$13*2)*0.4</f>
        <v>6197718.1320000002</v>
      </c>
      <c r="E8" s="536"/>
      <c r="F8" s="536"/>
      <c r="G8" s="536"/>
      <c r="H8" s="536">
        <f>+([1]REKAPITULACIJA!$E$13*2)*0.6</f>
        <v>9296577.1979999989</v>
      </c>
      <c r="K8" s="360">
        <f>+K7+21</f>
        <v>43560</v>
      </c>
    </row>
    <row r="9" spans="4:11" x14ac:dyDescent="0.3">
      <c r="D9" s="535"/>
      <c r="E9" s="537"/>
      <c r="F9" s="537"/>
      <c r="G9" s="537"/>
      <c r="H9" s="537"/>
    </row>
    <row r="10" spans="4:11" x14ac:dyDescent="0.3">
      <c r="D10" s="534">
        <f>+[1]REKAPITULACIJA!E13</f>
        <v>7747147.665</v>
      </c>
      <c r="E10" s="355"/>
      <c r="F10" s="355"/>
      <c r="G10" s="355"/>
      <c r="H10" s="355"/>
    </row>
    <row r="11" spans="4:11" x14ac:dyDescent="0.3">
      <c r="D11" s="535"/>
      <c r="E11" s="533" t="s">
        <v>853</v>
      </c>
      <c r="F11" s="533"/>
      <c r="G11" s="533"/>
      <c r="H11" s="533"/>
    </row>
    <row r="12" spans="4:11" x14ac:dyDescent="0.3">
      <c r="E12" s="361">
        <v>0.1</v>
      </c>
      <c r="F12" s="361">
        <v>0.3</v>
      </c>
      <c r="G12" s="361">
        <v>0.3</v>
      </c>
      <c r="H12" s="361">
        <v>0.3</v>
      </c>
    </row>
    <row r="13" spans="4:11" x14ac:dyDescent="0.3">
      <c r="E13" s="357" t="s">
        <v>854</v>
      </c>
      <c r="F13" s="357" t="s">
        <v>855</v>
      </c>
      <c r="G13" s="357" t="s">
        <v>856</v>
      </c>
      <c r="H13" s="357" t="s">
        <v>857</v>
      </c>
    </row>
    <row r="14" spans="4:11" x14ac:dyDescent="0.3">
      <c r="E14" s="538"/>
      <c r="F14" s="538"/>
      <c r="G14" s="538"/>
      <c r="H14" s="538"/>
    </row>
    <row r="15" spans="4:11" x14ac:dyDescent="0.3">
      <c r="E15" s="538"/>
      <c r="F15" s="538"/>
      <c r="G15" s="538"/>
      <c r="H15" s="538"/>
    </row>
    <row r="18" spans="2:25" x14ac:dyDescent="0.3">
      <c r="E18" s="540" t="s">
        <v>876</v>
      </c>
      <c r="F18" s="540"/>
      <c r="G18" s="540"/>
      <c r="H18" s="540"/>
      <c r="J18" s="540" t="s">
        <v>877</v>
      </c>
      <c r="K18" s="540"/>
      <c r="L18" s="540"/>
      <c r="M18" s="540"/>
      <c r="O18" s="540" t="s">
        <v>880</v>
      </c>
      <c r="P18" s="540"/>
      <c r="Q18" s="540"/>
      <c r="R18" s="540"/>
    </row>
    <row r="19" spans="2:25" x14ac:dyDescent="0.3">
      <c r="E19" s="540" t="s">
        <v>858</v>
      </c>
      <c r="F19" s="540"/>
      <c r="G19" s="541">
        <f>(MATERIJAL!C5+MATERIJAL!C6+MATERIJAL!C7+MATERIJAL!C8+MATERIJAL!C9+MATERIJAL!C10)*10</f>
        <v>3646559.5785714285</v>
      </c>
      <c r="H19" s="541"/>
      <c r="J19" s="540" t="s">
        <v>858</v>
      </c>
      <c r="K19" s="540"/>
      <c r="L19" s="541">
        <f>(MATERIJAL!C5+MATERIJAL!C6+MATERIJAL!C7+MATERIJAL!C8+MATERIJAL!C9+MATERIJAL!C10)*4</f>
        <v>1458623.8314285714</v>
      </c>
      <c r="M19" s="541"/>
      <c r="O19" s="540" t="s">
        <v>858</v>
      </c>
      <c r="P19" s="540"/>
      <c r="Q19" s="541">
        <f>(MATERIJAL!C4+MATERIJAL!C5+MATERIJAL!C6+MATERIJAL!C7+MATERIJAL!C8+MATERIJAL!C9+MATERIJAL!C10+MATERIJAL!C13)*7</f>
        <v>2630291.7050000001</v>
      </c>
      <c r="R19" s="541"/>
    </row>
    <row r="20" spans="2:25" x14ac:dyDescent="0.3">
      <c r="E20" s="540" t="s">
        <v>872</v>
      </c>
      <c r="F20" s="540"/>
      <c r="G20" s="541">
        <f>SUM(F31:P31)</f>
        <v>2393587.5</v>
      </c>
      <c r="H20" s="541"/>
      <c r="J20" s="540" t="s">
        <v>878</v>
      </c>
      <c r="K20" s="540"/>
      <c r="L20" s="541">
        <f>SUM(P31:R31)</f>
        <v>674250</v>
      </c>
      <c r="M20" s="541"/>
      <c r="O20" s="540" t="s">
        <v>881</v>
      </c>
      <c r="P20" s="540"/>
      <c r="Q20" s="541">
        <f>SUM(T31:W31)</f>
        <v>899000</v>
      </c>
      <c r="R20" s="541"/>
    </row>
    <row r="21" spans="2:25" ht="15" thickBot="1" x14ac:dyDescent="0.35">
      <c r="E21" s="542" t="s">
        <v>873</v>
      </c>
      <c r="F21" s="542"/>
      <c r="G21" s="543">
        <f>SUM(F32:P33)</f>
        <v>575500</v>
      </c>
      <c r="H21" s="543"/>
      <c r="J21" s="542" t="s">
        <v>879</v>
      </c>
      <c r="K21" s="542"/>
      <c r="L21" s="543">
        <f>SUM(P32:R33)</f>
        <v>148500</v>
      </c>
      <c r="M21" s="543"/>
      <c r="O21" s="542" t="s">
        <v>882</v>
      </c>
      <c r="P21" s="542"/>
      <c r="Q21" s="543">
        <f>SUM(T32:W34)</f>
        <v>298000</v>
      </c>
      <c r="R21" s="543"/>
    </row>
    <row r="22" spans="2:25" ht="15" thickTop="1" x14ac:dyDescent="0.3">
      <c r="E22" s="587" t="s">
        <v>859</v>
      </c>
      <c r="F22" s="587"/>
      <c r="G22" s="539">
        <f>SUM(G19:G21)</f>
        <v>6615647.0785714285</v>
      </c>
      <c r="H22" s="539"/>
      <c r="J22" s="587" t="s">
        <v>859</v>
      </c>
      <c r="K22" s="587"/>
      <c r="L22" s="539">
        <f>SUM(L19:L21)</f>
        <v>2281373.8314285716</v>
      </c>
      <c r="M22" s="539"/>
      <c r="O22" s="587" t="s">
        <v>859</v>
      </c>
      <c r="P22" s="587"/>
      <c r="Q22" s="539">
        <f>SUM(Q19:Q21)</f>
        <v>3827291.7050000001</v>
      </c>
      <c r="R22" s="539"/>
    </row>
    <row r="23" spans="2:25" x14ac:dyDescent="0.3">
      <c r="K23" s="363"/>
      <c r="L23" s="363"/>
    </row>
    <row r="26" spans="2:25" x14ac:dyDescent="0.3">
      <c r="B26" s="557"/>
      <c r="C26" s="558"/>
      <c r="D26" s="559"/>
      <c r="E26" s="589" t="s">
        <v>870</v>
      </c>
      <c r="F26" s="590"/>
      <c r="G26" s="590"/>
      <c r="H26" s="590"/>
      <c r="I26" s="590"/>
      <c r="J26" s="590"/>
      <c r="K26" s="590"/>
      <c r="L26" s="590"/>
      <c r="M26" s="590"/>
      <c r="N26" s="590"/>
      <c r="O26" s="590"/>
      <c r="P26" s="590"/>
      <c r="Q26" s="590"/>
      <c r="R26" s="590"/>
      <c r="S26" s="590"/>
      <c r="T26" s="590"/>
      <c r="U26" s="590"/>
      <c r="V26" s="590"/>
      <c r="W26" s="590"/>
    </row>
    <row r="27" spans="2:25" x14ac:dyDescent="0.3">
      <c r="B27" s="560"/>
      <c r="C27" s="561"/>
      <c r="D27" s="562"/>
      <c r="E27" s="365">
        <v>43870</v>
      </c>
      <c r="F27" s="365">
        <v>43900</v>
      </c>
      <c r="G27" s="365">
        <v>43932</v>
      </c>
      <c r="H27" s="365">
        <v>43963</v>
      </c>
      <c r="I27" s="365">
        <v>43995</v>
      </c>
      <c r="J27" s="365">
        <v>44026</v>
      </c>
      <c r="K27" s="365">
        <v>44058</v>
      </c>
      <c r="L27" s="365">
        <v>44090</v>
      </c>
      <c r="M27" s="365">
        <v>44121</v>
      </c>
      <c r="N27" s="365">
        <v>44153</v>
      </c>
      <c r="O27" s="365">
        <v>44184</v>
      </c>
      <c r="P27" s="388">
        <v>44216</v>
      </c>
      <c r="Q27" s="388">
        <v>44248</v>
      </c>
      <c r="R27" s="388">
        <v>44277</v>
      </c>
      <c r="S27" s="388">
        <v>44309</v>
      </c>
      <c r="T27" s="396">
        <v>44339</v>
      </c>
      <c r="U27" s="396">
        <v>44371</v>
      </c>
      <c r="V27" s="396">
        <v>44402</v>
      </c>
      <c r="W27" s="396">
        <v>44434</v>
      </c>
      <c r="X27" s="365">
        <v>44466</v>
      </c>
      <c r="Y27" s="365">
        <v>44497</v>
      </c>
    </row>
    <row r="28" spans="2:25" x14ac:dyDescent="0.3">
      <c r="B28" s="563" t="s">
        <v>871</v>
      </c>
      <c r="C28" s="563"/>
      <c r="D28" s="563"/>
      <c r="E28" s="366">
        <v>55000</v>
      </c>
      <c r="F28" s="367">
        <f>(Raščlamba!D14+Raščlamba!E14+Raščlamba!D15+Raščlamba!E15+(Raščlamba!E34*0.5)+(Raščlamba!F41*0.5))*10+(Raščlamba!D18*0.5+Raščlamba!D19*0.5+Raščlamba!F62+Raščlamba!D21)*10</f>
        <v>1017000</v>
      </c>
      <c r="G28" s="367">
        <v>1350000</v>
      </c>
      <c r="H28" s="367">
        <v>1437000</v>
      </c>
      <c r="I28" s="367">
        <f>550000+1455600</f>
        <v>2005600</v>
      </c>
      <c r="J28" s="367">
        <v>480000</v>
      </c>
      <c r="K28" s="367">
        <v>395000</v>
      </c>
      <c r="L28" s="367">
        <v>295000</v>
      </c>
      <c r="M28" s="367"/>
      <c r="N28" s="367"/>
      <c r="O28" s="367"/>
      <c r="P28" s="389">
        <f>+MATERIJAL!C4*10+L19*0.5</f>
        <v>729311.91571428569</v>
      </c>
      <c r="Q28" s="389">
        <f>+L19*0.5</f>
        <v>729311.91571428569</v>
      </c>
      <c r="R28" s="389">
        <f>+Q19*0.15</f>
        <v>394543.75575000001</v>
      </c>
      <c r="S28" s="389">
        <f>+MATERIJAL!C4*4+Q19*0.45</f>
        <v>1183631.26725</v>
      </c>
      <c r="T28" s="397">
        <f>+Q19*0.15</f>
        <v>394543.75575000001</v>
      </c>
      <c r="U28" s="397">
        <f>+Q19*0.25</f>
        <v>657572.92625000002</v>
      </c>
      <c r="V28" s="397">
        <f>+MATERIJAL!I4*10+R19*0.5</f>
        <v>0</v>
      </c>
      <c r="W28" s="397">
        <f>+MATERIJAL!C4*7</f>
        <v>0</v>
      </c>
      <c r="X28" s="393"/>
      <c r="Y28" s="393">
        <f>+MATERIJAL!I4*4</f>
        <v>0</v>
      </c>
    </row>
    <row r="29" spans="2:25" x14ac:dyDescent="0.3">
      <c r="B29" s="563" t="s">
        <v>860</v>
      </c>
      <c r="C29" s="563"/>
      <c r="D29" s="563"/>
      <c r="E29" s="366"/>
      <c r="F29" s="367"/>
      <c r="G29" s="367">
        <v>25000</v>
      </c>
      <c r="H29" s="367">
        <v>75000</v>
      </c>
      <c r="I29" s="367">
        <v>50000</v>
      </c>
      <c r="J29" s="367">
        <v>50000</v>
      </c>
      <c r="K29" s="367"/>
      <c r="L29" s="367"/>
      <c r="M29" s="367"/>
      <c r="N29" s="367"/>
      <c r="O29" s="368"/>
      <c r="P29" s="390"/>
      <c r="Q29" s="389"/>
      <c r="R29" s="390"/>
      <c r="S29" s="390"/>
      <c r="T29" s="397"/>
      <c r="U29" s="398"/>
      <c r="V29" s="398"/>
      <c r="W29" s="397"/>
      <c r="X29" s="368"/>
      <c r="Y29" s="368"/>
    </row>
    <row r="30" spans="2:25" x14ac:dyDescent="0.3">
      <c r="B30" s="563" t="s">
        <v>14</v>
      </c>
      <c r="C30" s="563"/>
      <c r="D30" s="563"/>
      <c r="E30" s="369"/>
      <c r="F30" s="369"/>
      <c r="G30" s="369"/>
      <c r="H30" s="369"/>
      <c r="I30" s="369"/>
      <c r="J30" s="369"/>
      <c r="K30" s="369"/>
      <c r="L30" s="369"/>
      <c r="M30" s="369"/>
      <c r="N30" s="369"/>
      <c r="O30" s="369"/>
      <c r="P30" s="391"/>
      <c r="Q30" s="391"/>
      <c r="R30" s="391"/>
      <c r="S30" s="391"/>
      <c r="T30" s="399"/>
      <c r="U30" s="399"/>
      <c r="V30" s="399"/>
      <c r="W30" s="399"/>
      <c r="X30" s="394"/>
      <c r="Y30" s="394"/>
    </row>
    <row r="31" spans="2:25" x14ac:dyDescent="0.3">
      <c r="B31" s="563" t="s">
        <v>861</v>
      </c>
      <c r="C31" s="563"/>
      <c r="D31" s="563"/>
      <c r="E31" s="366">
        <v>25000</v>
      </c>
      <c r="F31" s="367">
        <f>+[1]REKAPITULACIJA!$H$57*0.85</f>
        <v>191037.5</v>
      </c>
      <c r="G31" s="367">
        <f>+[1]REKAPITULACIJA!$H$57*0.9</f>
        <v>202275</v>
      </c>
      <c r="H31" s="367">
        <f>+[1]REKAPITULACIJA!$H$57*0.9</f>
        <v>202275</v>
      </c>
      <c r="I31" s="367">
        <f>+[1]REKAPITULACIJA!$H$57</f>
        <v>224750</v>
      </c>
      <c r="J31" s="367">
        <f>+[1]REKAPITULACIJA!$H$57</f>
        <v>224750</v>
      </c>
      <c r="K31" s="367">
        <f>+[1]REKAPITULACIJA!$H$57</f>
        <v>224750</v>
      </c>
      <c r="L31" s="367">
        <f>+[1]REKAPITULACIJA!$H$57</f>
        <v>224750</v>
      </c>
      <c r="M31" s="367">
        <f>+[1]REKAPITULACIJA!$H$57</f>
        <v>224750</v>
      </c>
      <c r="N31" s="367">
        <f>+[1]REKAPITULACIJA!$H$57</f>
        <v>224750</v>
      </c>
      <c r="O31" s="367">
        <f>+[1]REKAPITULACIJA!$H$57</f>
        <v>224750</v>
      </c>
      <c r="P31" s="389">
        <f>+[1]REKAPITULACIJA!$H$57</f>
        <v>224750</v>
      </c>
      <c r="Q31" s="389">
        <f>+[1]REKAPITULACIJA!$H$57</f>
        <v>224750</v>
      </c>
      <c r="R31" s="389">
        <f>+[1]REKAPITULACIJA!$H$57</f>
        <v>224750</v>
      </c>
      <c r="S31" s="389">
        <f>+[1]REKAPITULACIJA!$H$57</f>
        <v>224750</v>
      </c>
      <c r="T31" s="397">
        <f>+[1]REKAPITULACIJA!$H$57</f>
        <v>224750</v>
      </c>
      <c r="U31" s="397">
        <f>+[1]REKAPITULACIJA!$H$57</f>
        <v>224750</v>
      </c>
      <c r="V31" s="397">
        <f>+[1]REKAPITULACIJA!$H$57</f>
        <v>224750</v>
      </c>
      <c r="W31" s="397">
        <f>+[1]REKAPITULACIJA!$H$57</f>
        <v>224750</v>
      </c>
      <c r="X31" s="393">
        <f>+[1]REKAPITULACIJA!$H$57</f>
        <v>224750</v>
      </c>
      <c r="Y31" s="393">
        <f>+[1]REKAPITULACIJA!$H$57</f>
        <v>224750</v>
      </c>
    </row>
    <row r="32" spans="2:25" x14ac:dyDescent="0.3">
      <c r="B32" s="566" t="s">
        <v>862</v>
      </c>
      <c r="C32" s="566"/>
      <c r="D32" s="566"/>
      <c r="E32" s="366">
        <v>35000</v>
      </c>
      <c r="F32" s="367">
        <f t="shared" ref="F32:Y32" si="0">15000+5000+5000+5000+5000</f>
        <v>35000</v>
      </c>
      <c r="G32" s="367">
        <f t="shared" si="0"/>
        <v>35000</v>
      </c>
      <c r="H32" s="367">
        <f t="shared" si="0"/>
        <v>35000</v>
      </c>
      <c r="I32" s="367">
        <f t="shared" si="0"/>
        <v>35000</v>
      </c>
      <c r="J32" s="367">
        <f t="shared" si="0"/>
        <v>35000</v>
      </c>
      <c r="K32" s="367">
        <f t="shared" si="0"/>
        <v>35000</v>
      </c>
      <c r="L32" s="367">
        <f t="shared" si="0"/>
        <v>35000</v>
      </c>
      <c r="M32" s="367">
        <f t="shared" si="0"/>
        <v>35000</v>
      </c>
      <c r="N32" s="367">
        <f t="shared" si="0"/>
        <v>35000</v>
      </c>
      <c r="O32" s="367">
        <f t="shared" si="0"/>
        <v>35000</v>
      </c>
      <c r="P32" s="389">
        <f t="shared" si="0"/>
        <v>35000</v>
      </c>
      <c r="Q32" s="389">
        <f t="shared" si="0"/>
        <v>35000</v>
      </c>
      <c r="R32" s="389">
        <f t="shared" si="0"/>
        <v>35000</v>
      </c>
      <c r="S32" s="389">
        <f t="shared" si="0"/>
        <v>35000</v>
      </c>
      <c r="T32" s="397">
        <f t="shared" si="0"/>
        <v>35000</v>
      </c>
      <c r="U32" s="397">
        <f t="shared" si="0"/>
        <v>35000</v>
      </c>
      <c r="V32" s="397">
        <f t="shared" si="0"/>
        <v>35000</v>
      </c>
      <c r="W32" s="397">
        <f t="shared" si="0"/>
        <v>35000</v>
      </c>
      <c r="X32" s="393">
        <f t="shared" si="0"/>
        <v>35000</v>
      </c>
      <c r="Y32" s="393">
        <f t="shared" si="0"/>
        <v>35000</v>
      </c>
    </row>
    <row r="33" spans="2:25" x14ac:dyDescent="0.3">
      <c r="B33" s="566" t="s">
        <v>863</v>
      </c>
      <c r="C33" s="566"/>
      <c r="D33" s="566"/>
      <c r="E33" s="366"/>
      <c r="F33" s="367">
        <f>14500+30000</f>
        <v>44500</v>
      </c>
      <c r="G33" s="367">
        <v>14500</v>
      </c>
      <c r="H33" s="367">
        <v>14500</v>
      </c>
      <c r="I33" s="367">
        <v>15000</v>
      </c>
      <c r="J33" s="367">
        <v>14000</v>
      </c>
      <c r="K33" s="367">
        <v>14500</v>
      </c>
      <c r="L33" s="367">
        <v>16000</v>
      </c>
      <c r="M33" s="367">
        <v>14000</v>
      </c>
      <c r="N33" s="367">
        <v>14500</v>
      </c>
      <c r="O33" s="367">
        <v>14500</v>
      </c>
      <c r="P33" s="389">
        <v>14500</v>
      </c>
      <c r="Q33" s="389">
        <v>14500</v>
      </c>
      <c r="R33" s="389">
        <v>14500</v>
      </c>
      <c r="S33" s="389">
        <v>14500</v>
      </c>
      <c r="T33" s="397">
        <v>14500</v>
      </c>
      <c r="U33" s="397">
        <v>14500</v>
      </c>
      <c r="V33" s="397">
        <v>14500</v>
      </c>
      <c r="W33" s="397">
        <v>14500</v>
      </c>
      <c r="X33" s="393">
        <v>14500</v>
      </c>
      <c r="Y33" s="393">
        <v>14500</v>
      </c>
    </row>
    <row r="34" spans="2:25" x14ac:dyDescent="0.3">
      <c r="B34" s="566" t="s">
        <v>875</v>
      </c>
      <c r="C34" s="566"/>
      <c r="D34" s="566"/>
      <c r="E34" s="366">
        <v>10000</v>
      </c>
      <c r="F34" s="367">
        <f>25000+55000</f>
        <v>80000</v>
      </c>
      <c r="G34" s="367">
        <f>25000+215000</f>
        <v>240000</v>
      </c>
      <c r="H34" s="367">
        <f>25000+145000</f>
        <v>170000</v>
      </c>
      <c r="I34" s="367">
        <v>35000</v>
      </c>
      <c r="J34" s="367">
        <v>25000</v>
      </c>
      <c r="K34" s="367">
        <v>25000</v>
      </c>
      <c r="L34" s="367">
        <v>25000</v>
      </c>
      <c r="M34" s="367">
        <v>25000</v>
      </c>
      <c r="N34" s="367">
        <v>25000</v>
      </c>
      <c r="O34" s="367">
        <v>25000</v>
      </c>
      <c r="P34" s="389">
        <v>25000</v>
      </c>
      <c r="Q34" s="389">
        <v>25000</v>
      </c>
      <c r="R34" s="389">
        <v>25000</v>
      </c>
      <c r="S34" s="389">
        <v>25000</v>
      </c>
      <c r="T34" s="397">
        <v>25000</v>
      </c>
      <c r="U34" s="397">
        <v>25000</v>
      </c>
      <c r="V34" s="397">
        <v>25000</v>
      </c>
      <c r="W34" s="397">
        <v>25000</v>
      </c>
      <c r="X34" s="393">
        <v>25000</v>
      </c>
      <c r="Y34" s="393">
        <v>25000</v>
      </c>
    </row>
    <row r="35" spans="2:25" ht="15" thickBot="1" x14ac:dyDescent="0.35">
      <c r="B35" s="566" t="s">
        <v>864</v>
      </c>
      <c r="C35" s="566"/>
      <c r="D35" s="566"/>
      <c r="E35" s="370"/>
      <c r="F35" s="371"/>
      <c r="G35" s="372"/>
      <c r="H35" s="371"/>
      <c r="I35" s="371"/>
      <c r="J35" s="371"/>
      <c r="K35" s="371"/>
      <c r="L35" s="371"/>
      <c r="M35" s="371"/>
      <c r="N35" s="371"/>
      <c r="O35" s="371"/>
      <c r="P35" s="392"/>
      <c r="Q35" s="392"/>
      <c r="R35" s="392"/>
      <c r="S35" s="392"/>
      <c r="T35" s="400"/>
      <c r="U35" s="400"/>
      <c r="V35" s="400"/>
      <c r="W35" s="400"/>
      <c r="X35" s="395"/>
      <c r="Y35" s="395"/>
    </row>
    <row r="36" spans="2:25" ht="15" thickTop="1" x14ac:dyDescent="0.3">
      <c r="B36" s="570" t="s">
        <v>865</v>
      </c>
      <c r="C36" s="571"/>
      <c r="D36" s="572"/>
      <c r="E36" s="373">
        <f t="shared" ref="E36:Y36" si="1">SUM(E28:E34)</f>
        <v>125000</v>
      </c>
      <c r="F36" s="373">
        <f t="shared" si="1"/>
        <v>1367537.5</v>
      </c>
      <c r="G36" s="373">
        <f t="shared" si="1"/>
        <v>1866775</v>
      </c>
      <c r="H36" s="373">
        <f>SUM(H28:H34)</f>
        <v>1933775</v>
      </c>
      <c r="I36" s="373">
        <f t="shared" si="1"/>
        <v>2365350</v>
      </c>
      <c r="J36" s="373">
        <f t="shared" si="1"/>
        <v>828750</v>
      </c>
      <c r="K36" s="373">
        <f t="shared" si="1"/>
        <v>694250</v>
      </c>
      <c r="L36" s="373">
        <f t="shared" si="1"/>
        <v>595750</v>
      </c>
      <c r="M36" s="373">
        <f t="shared" si="1"/>
        <v>298750</v>
      </c>
      <c r="N36" s="373">
        <f t="shared" si="1"/>
        <v>299250</v>
      </c>
      <c r="O36" s="373">
        <f t="shared" si="1"/>
        <v>299250</v>
      </c>
      <c r="P36" s="373">
        <f t="shared" si="1"/>
        <v>1028561.9157142857</v>
      </c>
      <c r="Q36" s="373">
        <f t="shared" si="1"/>
        <v>1028561.9157142857</v>
      </c>
      <c r="R36" s="373">
        <f t="shared" si="1"/>
        <v>693793.75575000001</v>
      </c>
      <c r="S36" s="373">
        <f t="shared" si="1"/>
        <v>1482881.26725</v>
      </c>
      <c r="T36" s="373">
        <f t="shared" si="1"/>
        <v>693793.75575000001</v>
      </c>
      <c r="U36" s="373">
        <f t="shared" si="1"/>
        <v>956822.92625000002</v>
      </c>
      <c r="V36" s="373">
        <f t="shared" si="1"/>
        <v>299250</v>
      </c>
      <c r="W36" s="373">
        <f t="shared" si="1"/>
        <v>299250</v>
      </c>
      <c r="X36" s="373">
        <f t="shared" si="1"/>
        <v>299250</v>
      </c>
      <c r="Y36" s="373">
        <f t="shared" si="1"/>
        <v>299250</v>
      </c>
    </row>
    <row r="37" spans="2:25" x14ac:dyDescent="0.3">
      <c r="B37" s="573"/>
      <c r="C37" s="574"/>
      <c r="D37" s="575"/>
    </row>
    <row r="38" spans="2:25" x14ac:dyDescent="0.3">
      <c r="D38" s="374"/>
      <c r="E38" s="585" t="s">
        <v>883</v>
      </c>
      <c r="F38" s="586"/>
      <c r="G38" s="586"/>
      <c r="H38" s="586"/>
      <c r="I38" s="586"/>
      <c r="J38" s="586"/>
      <c r="K38" s="586"/>
      <c r="L38" s="586"/>
      <c r="M38" s="586"/>
      <c r="N38" s="586"/>
      <c r="O38" s="586"/>
      <c r="P38" s="556">
        <v>2021</v>
      </c>
      <c r="Q38" s="556"/>
      <c r="R38" s="556"/>
      <c r="S38" s="556"/>
      <c r="T38" s="556"/>
      <c r="U38" s="556"/>
      <c r="V38" s="556"/>
      <c r="W38" s="556"/>
      <c r="X38" s="556"/>
      <c r="Y38" s="556"/>
    </row>
    <row r="39" spans="2:25" ht="15" customHeight="1" x14ac:dyDescent="0.3">
      <c r="B39" s="576" t="s">
        <v>874</v>
      </c>
      <c r="C39" s="577"/>
      <c r="D39" s="578"/>
      <c r="E39" s="365">
        <v>43870</v>
      </c>
      <c r="F39" s="365">
        <v>43900</v>
      </c>
      <c r="G39" s="365">
        <v>43932</v>
      </c>
      <c r="H39" s="365">
        <v>43963</v>
      </c>
      <c r="I39" s="365">
        <v>43995</v>
      </c>
      <c r="J39" s="365">
        <v>44026</v>
      </c>
      <c r="K39" s="365">
        <v>44058</v>
      </c>
      <c r="L39" s="365">
        <v>44090</v>
      </c>
      <c r="M39" s="365">
        <v>44121</v>
      </c>
      <c r="N39" s="365">
        <v>44153</v>
      </c>
      <c r="O39" s="365">
        <v>44184</v>
      </c>
      <c r="P39" s="388">
        <v>44216</v>
      </c>
      <c r="Q39" s="388">
        <v>44248</v>
      </c>
      <c r="R39" s="388">
        <v>44277</v>
      </c>
      <c r="S39" s="388">
        <v>44309</v>
      </c>
      <c r="T39" s="396">
        <v>44339</v>
      </c>
      <c r="U39" s="396">
        <v>44371</v>
      </c>
      <c r="V39" s="396">
        <v>44402</v>
      </c>
      <c r="W39" s="396">
        <v>44434</v>
      </c>
      <c r="X39" s="365">
        <v>44466</v>
      </c>
      <c r="Y39" s="365">
        <v>44497</v>
      </c>
    </row>
    <row r="40" spans="2:25" x14ac:dyDescent="0.3">
      <c r="B40" s="579"/>
      <c r="C40" s="580"/>
      <c r="D40" s="581"/>
      <c r="E40" s="375">
        <v>769000</v>
      </c>
      <c r="F40" s="375"/>
      <c r="G40" s="375"/>
      <c r="H40" s="375">
        <v>1045000</v>
      </c>
      <c r="I40" s="375">
        <f>3066500-H40</f>
        <v>2021500</v>
      </c>
      <c r="J40" s="375">
        <f>1999980-520000</f>
        <v>1479980</v>
      </c>
      <c r="K40" s="375"/>
      <c r="L40" s="375"/>
      <c r="M40" s="375"/>
      <c r="N40" s="376"/>
      <c r="O40" s="376"/>
      <c r="P40" s="376">
        <f>+REKAPITULACIJA!D8*10</f>
        <v>8097712.848121427</v>
      </c>
      <c r="Q40" s="376"/>
      <c r="R40" s="376"/>
      <c r="S40" s="376">
        <f>+REKAPITULACIJA!D8*4</f>
        <v>3239085.1392485709</v>
      </c>
      <c r="T40" s="376"/>
      <c r="U40" s="376"/>
      <c r="V40" s="376">
        <f>+REKAPITULACIJA!J8*10</f>
        <v>0</v>
      </c>
      <c r="W40" s="376">
        <f>+REKAPITULACIJA!D8*7</f>
        <v>5668398.9936849987</v>
      </c>
      <c r="X40" s="376"/>
      <c r="Y40" s="376">
        <f>+REKAPITULACIJA!J8*4</f>
        <v>0</v>
      </c>
    </row>
    <row r="41" spans="2:25" x14ac:dyDescent="0.3">
      <c r="B41" s="582"/>
      <c r="C41" s="583"/>
      <c r="D41" s="584"/>
      <c r="E41" s="377"/>
      <c r="F41" s="377"/>
      <c r="G41" s="377">
        <f t="shared" ref="G41" si="2">+G40*0.25</f>
        <v>0</v>
      </c>
      <c r="H41" s="377"/>
      <c r="I41" s="377"/>
      <c r="J41" s="377"/>
      <c r="K41" s="377"/>
      <c r="L41" s="377"/>
      <c r="M41" s="377"/>
      <c r="N41" s="377"/>
      <c r="O41" s="377"/>
      <c r="P41" s="377"/>
      <c r="Q41" s="377"/>
      <c r="R41" s="377"/>
      <c r="S41" s="377"/>
      <c r="T41" s="377"/>
      <c r="U41" s="377"/>
      <c r="V41" s="377"/>
      <c r="W41" s="377"/>
      <c r="X41" s="377"/>
      <c r="Y41" s="377"/>
    </row>
    <row r="43" spans="2:25" x14ac:dyDescent="0.3">
      <c r="B43" s="544" t="s">
        <v>866</v>
      </c>
      <c r="C43" s="545"/>
      <c r="D43" s="546"/>
      <c r="E43" s="553" t="s">
        <v>867</v>
      </c>
      <c r="F43" s="554"/>
      <c r="G43" s="554"/>
      <c r="H43" s="554"/>
      <c r="I43" s="554"/>
      <c r="J43" s="554"/>
      <c r="K43" s="554"/>
      <c r="L43" s="554"/>
      <c r="M43" s="555"/>
      <c r="N43" s="565">
        <v>2020</v>
      </c>
      <c r="O43" s="556"/>
      <c r="P43" s="556">
        <v>2021</v>
      </c>
      <c r="Q43" s="556"/>
      <c r="R43" s="556"/>
      <c r="S43" s="556"/>
      <c r="T43" s="556"/>
      <c r="U43" s="556"/>
      <c r="V43" s="556"/>
      <c r="W43" s="556"/>
      <c r="X43" s="556"/>
      <c r="Y43" s="556"/>
    </row>
    <row r="44" spans="2:25" x14ac:dyDescent="0.3">
      <c r="B44" s="547"/>
      <c r="C44" s="548"/>
      <c r="D44" s="549"/>
      <c r="E44" s="365">
        <v>43870</v>
      </c>
      <c r="F44" s="365">
        <v>43900</v>
      </c>
      <c r="G44" s="365">
        <v>43932</v>
      </c>
      <c r="H44" s="365">
        <v>43963</v>
      </c>
      <c r="I44" s="365">
        <v>43995</v>
      </c>
      <c r="J44" s="365">
        <v>44026</v>
      </c>
      <c r="K44" s="365">
        <v>44058</v>
      </c>
      <c r="L44" s="365">
        <v>44090</v>
      </c>
      <c r="M44" s="365">
        <v>44121</v>
      </c>
      <c r="N44" s="365">
        <v>44153</v>
      </c>
      <c r="O44" s="365">
        <v>44184</v>
      </c>
      <c r="P44" s="388">
        <v>44216</v>
      </c>
      <c r="Q44" s="388">
        <v>44248</v>
      </c>
      <c r="R44" s="388">
        <v>44277</v>
      </c>
      <c r="S44" s="388">
        <v>44309</v>
      </c>
      <c r="T44" s="396">
        <v>44339</v>
      </c>
      <c r="U44" s="396">
        <v>44371</v>
      </c>
      <c r="V44" s="396">
        <v>44402</v>
      </c>
      <c r="W44" s="396">
        <v>44434</v>
      </c>
      <c r="X44" s="365">
        <v>44466</v>
      </c>
      <c r="Y44" s="365">
        <v>44497</v>
      </c>
    </row>
    <row r="45" spans="2:25" x14ac:dyDescent="0.3">
      <c r="B45" s="550"/>
      <c r="C45" s="551"/>
      <c r="D45" s="552"/>
      <c r="E45" s="378"/>
      <c r="F45" s="379">
        <v>1250000</v>
      </c>
      <c r="G45" s="379">
        <v>1850000</v>
      </c>
      <c r="H45" s="379">
        <v>1350000</v>
      </c>
      <c r="I45" s="379"/>
      <c r="J45" s="379"/>
      <c r="K45" s="379"/>
      <c r="L45" s="379">
        <v>850000</v>
      </c>
      <c r="M45" s="380"/>
      <c r="N45" s="380"/>
      <c r="O45" s="380"/>
      <c r="P45" s="380">
        <v>-5395000</v>
      </c>
      <c r="Q45" s="380"/>
      <c r="R45" s="380"/>
      <c r="S45" s="380"/>
      <c r="T45" s="379">
        <v>1500000</v>
      </c>
      <c r="U45" s="379">
        <v>500000</v>
      </c>
      <c r="V45" s="380"/>
      <c r="W45" s="380">
        <v>-2100000</v>
      </c>
      <c r="X45" s="380"/>
      <c r="Y45" s="380"/>
    </row>
    <row r="47" spans="2:25" x14ac:dyDescent="0.3">
      <c r="B47" s="564" t="s">
        <v>885</v>
      </c>
      <c r="C47" s="564"/>
      <c r="D47" s="564"/>
      <c r="E47" s="553" t="s">
        <v>869</v>
      </c>
      <c r="F47" s="554"/>
      <c r="G47" s="554"/>
      <c r="H47" s="554"/>
      <c r="I47" s="554"/>
      <c r="J47" s="554"/>
      <c r="K47" s="554"/>
      <c r="L47" s="554"/>
      <c r="M47" s="555"/>
      <c r="N47" s="565">
        <v>2020</v>
      </c>
      <c r="O47" s="556"/>
      <c r="P47" s="556">
        <v>2021</v>
      </c>
      <c r="Q47" s="556"/>
      <c r="R47" s="556"/>
      <c r="S47" s="556"/>
      <c r="T47" s="556"/>
      <c r="U47" s="556"/>
      <c r="V47" s="556"/>
      <c r="W47" s="556"/>
      <c r="X47" s="556"/>
      <c r="Y47" s="556"/>
    </row>
    <row r="48" spans="2:25" x14ac:dyDescent="0.3">
      <c r="B48" s="564"/>
      <c r="C48" s="564"/>
      <c r="D48" s="564"/>
      <c r="E48" s="365">
        <v>43870</v>
      </c>
      <c r="F48" s="365">
        <v>43900</v>
      </c>
      <c r="G48" s="365">
        <v>43932</v>
      </c>
      <c r="H48" s="365">
        <v>43963</v>
      </c>
      <c r="I48" s="365">
        <v>43995</v>
      </c>
      <c r="J48" s="365">
        <v>44026</v>
      </c>
      <c r="K48" s="365">
        <v>44058</v>
      </c>
      <c r="L48" s="365">
        <v>44090</v>
      </c>
      <c r="M48" s="365">
        <v>44121</v>
      </c>
      <c r="N48" s="365">
        <v>44153</v>
      </c>
      <c r="O48" s="365">
        <v>44184</v>
      </c>
      <c r="P48" s="388">
        <v>44216</v>
      </c>
      <c r="Q48" s="388">
        <v>44248</v>
      </c>
      <c r="R48" s="388">
        <v>44277</v>
      </c>
      <c r="S48" s="388">
        <v>44309</v>
      </c>
      <c r="T48" s="396">
        <v>44339</v>
      </c>
      <c r="U48" s="396">
        <v>44371</v>
      </c>
      <c r="V48" s="396">
        <v>44402</v>
      </c>
      <c r="W48" s="396">
        <v>44434</v>
      </c>
      <c r="X48" s="365">
        <v>44466</v>
      </c>
      <c r="Y48" s="365">
        <v>44497</v>
      </c>
    </row>
    <row r="49" spans="2:25" ht="15" hidden="1" customHeight="1" x14ac:dyDescent="0.3">
      <c r="B49" s="564"/>
      <c r="C49" s="564"/>
      <c r="D49" s="564"/>
      <c r="E49" s="381">
        <f>(E45+E41+E40)-E36</f>
        <v>644000</v>
      </c>
      <c r="F49" s="381">
        <f>(+E49+F45+F41+F40)-F36</f>
        <v>526462.5</v>
      </c>
      <c r="G49" s="381">
        <f>(+F49+G45+G41+G40)-G36</f>
        <v>509687.5</v>
      </c>
      <c r="H49" s="381" t="e">
        <f>(+G49+H45+#REF!+#REF!)-H36</f>
        <v>#REF!</v>
      </c>
      <c r="I49" s="381" t="e">
        <f t="shared" ref="I49:O49" si="3">(+H49+I45+H41+H40)-I36</f>
        <v>#REF!</v>
      </c>
      <c r="J49" s="381" t="e">
        <f t="shared" si="3"/>
        <v>#REF!</v>
      </c>
      <c r="K49" s="381" t="e">
        <f t="shared" si="3"/>
        <v>#REF!</v>
      </c>
      <c r="L49" s="381" t="e">
        <f t="shared" si="3"/>
        <v>#REF!</v>
      </c>
      <c r="M49" s="381" t="e">
        <f t="shared" si="3"/>
        <v>#REF!</v>
      </c>
      <c r="N49" s="381" t="e">
        <f t="shared" si="3"/>
        <v>#REF!</v>
      </c>
      <c r="O49" s="381" t="e">
        <f t="shared" si="3"/>
        <v>#REF!</v>
      </c>
      <c r="P49" s="381" t="e">
        <f t="shared" ref="P49" si="4">(+O49+P45+P41+P40)-P36</f>
        <v>#REF!</v>
      </c>
      <c r="Q49" s="381" t="e">
        <f t="shared" ref="Q49:R49" si="5">(+P49+Q45+P41+P40)-Q36</f>
        <v>#REF!</v>
      </c>
      <c r="R49" s="381" t="e">
        <f t="shared" si="5"/>
        <v>#REF!</v>
      </c>
      <c r="S49" s="381" t="e">
        <f t="shared" ref="S49" si="6">(+R49+S45+S41+S40)-S36</f>
        <v>#REF!</v>
      </c>
      <c r="T49" s="381" t="e">
        <f t="shared" ref="T49:U49" si="7">(+S49+T45+S41+S40)-T36</f>
        <v>#REF!</v>
      </c>
      <c r="U49" s="381" t="e">
        <f t="shared" si="7"/>
        <v>#REF!</v>
      </c>
      <c r="V49" s="381" t="e">
        <f t="shared" ref="V49" si="8">(+U49+V45+V41+V40)-V36</f>
        <v>#REF!</v>
      </c>
      <c r="W49" s="381" t="e">
        <f t="shared" ref="W49:X49" si="9">(+V49+W45+V41+V40)-W36</f>
        <v>#REF!</v>
      </c>
      <c r="X49" s="381" t="e">
        <f t="shared" si="9"/>
        <v>#REF!</v>
      </c>
      <c r="Y49" s="381" t="e">
        <f t="shared" ref="Y49" si="10">(+X49+Y45+Y41+Y40)-Y36</f>
        <v>#REF!</v>
      </c>
    </row>
    <row r="50" spans="2:25" x14ac:dyDescent="0.3">
      <c r="B50" s="564"/>
      <c r="C50" s="564"/>
      <c r="D50" s="564"/>
      <c r="E50" s="382">
        <f>(+E45+E41+E40)-(E36)-E35</f>
        <v>644000</v>
      </c>
      <c r="F50" s="382">
        <f>(+E50+F45+F41+F40)-(F36)-F35</f>
        <v>526462.5</v>
      </c>
      <c r="G50" s="382">
        <f>(+F50+G45+G41+G40)-(G36)-G35</f>
        <v>509687.5</v>
      </c>
      <c r="H50" s="382">
        <f t="shared" ref="H50:Y50" si="11">(+G50+H45+H41+H40)-(H36)-H35</f>
        <v>970912.5</v>
      </c>
      <c r="I50" s="382">
        <f t="shared" si="11"/>
        <v>627062.5</v>
      </c>
      <c r="J50" s="382">
        <f t="shared" si="11"/>
        <v>1278292.5</v>
      </c>
      <c r="K50" s="382">
        <f t="shared" si="11"/>
        <v>584042.5</v>
      </c>
      <c r="L50" s="382">
        <f t="shared" si="11"/>
        <v>838292.5</v>
      </c>
      <c r="M50" s="382">
        <f t="shared" si="11"/>
        <v>539542.5</v>
      </c>
      <c r="N50" s="382">
        <f t="shared" si="11"/>
        <v>240292.5</v>
      </c>
      <c r="O50" s="401">
        <f t="shared" si="11"/>
        <v>-58957.5</v>
      </c>
      <c r="P50" s="382">
        <f t="shared" si="11"/>
        <v>1615193.4324071412</v>
      </c>
      <c r="Q50" s="382">
        <f t="shared" si="11"/>
        <v>586631.51669285551</v>
      </c>
      <c r="R50" s="382">
        <f t="shared" si="11"/>
        <v>-107162.2390571445</v>
      </c>
      <c r="S50" s="382">
        <f t="shared" si="11"/>
        <v>1649041.6329414262</v>
      </c>
      <c r="T50" s="382">
        <f t="shared" si="11"/>
        <v>2455247.8771914262</v>
      </c>
      <c r="U50" s="382">
        <f t="shared" si="11"/>
        <v>1998424.9509414262</v>
      </c>
      <c r="V50" s="382">
        <f t="shared" si="11"/>
        <v>1699174.9509414262</v>
      </c>
      <c r="W50" s="382">
        <f t="shared" si="11"/>
        <v>4968323.9446264245</v>
      </c>
      <c r="X50" s="382">
        <f t="shared" si="11"/>
        <v>4669073.9446264245</v>
      </c>
      <c r="Y50" s="382">
        <f t="shared" si="11"/>
        <v>4369823.9446264245</v>
      </c>
    </row>
    <row r="51" spans="2:25" x14ac:dyDescent="0.3">
      <c r="M51" s="363"/>
      <c r="O51" s="362"/>
      <c r="P51" s="362"/>
    </row>
    <row r="52" spans="2:25" x14ac:dyDescent="0.3">
      <c r="O52" s="362"/>
      <c r="P52" s="362"/>
    </row>
    <row r="53" spans="2:25" x14ac:dyDescent="0.3">
      <c r="E53" s="362"/>
      <c r="G53" s="362"/>
      <c r="K53" s="362"/>
      <c r="M53" s="362"/>
      <c r="O53" s="362"/>
      <c r="P53" s="362"/>
    </row>
    <row r="54" spans="2:25" x14ac:dyDescent="0.3">
      <c r="G54" s="362"/>
      <c r="M54" s="363"/>
      <c r="O54" s="362"/>
      <c r="P54" s="362"/>
    </row>
    <row r="55" spans="2:25" x14ac:dyDescent="0.3">
      <c r="G55" s="362"/>
      <c r="K55" s="363"/>
      <c r="L55" s="362"/>
      <c r="M55" s="363"/>
    </row>
    <row r="56" spans="2:25" x14ac:dyDescent="0.3">
      <c r="G56" s="362"/>
    </row>
  </sheetData>
  <mergeCells count="61">
    <mergeCell ref="B47:D50"/>
    <mergeCell ref="E47:M47"/>
    <mergeCell ref="N47:O47"/>
    <mergeCell ref="P47:Y47"/>
    <mergeCell ref="P38:Y38"/>
    <mergeCell ref="B39:D41"/>
    <mergeCell ref="B43:D45"/>
    <mergeCell ref="E43:M43"/>
    <mergeCell ref="N43:O43"/>
    <mergeCell ref="P43:Y43"/>
    <mergeCell ref="E38:O38"/>
    <mergeCell ref="B32:D32"/>
    <mergeCell ref="B33:D33"/>
    <mergeCell ref="B34:D34"/>
    <mergeCell ref="B35:D35"/>
    <mergeCell ref="B36:D37"/>
    <mergeCell ref="B31:D31"/>
    <mergeCell ref="E22:F22"/>
    <mergeCell ref="G22:H22"/>
    <mergeCell ref="J22:K22"/>
    <mergeCell ref="L22:M22"/>
    <mergeCell ref="B26:D27"/>
    <mergeCell ref="E26:W26"/>
    <mergeCell ref="B28:D28"/>
    <mergeCell ref="B29:D29"/>
    <mergeCell ref="B30:D30"/>
    <mergeCell ref="O22:P22"/>
    <mergeCell ref="Q22:R22"/>
    <mergeCell ref="E21:F21"/>
    <mergeCell ref="G21:H21"/>
    <mergeCell ref="J21:K21"/>
    <mergeCell ref="L21:M21"/>
    <mergeCell ref="O21:P21"/>
    <mergeCell ref="Q21:R21"/>
    <mergeCell ref="Q20:R20"/>
    <mergeCell ref="E18:H18"/>
    <mergeCell ref="J18:M18"/>
    <mergeCell ref="O18:R18"/>
    <mergeCell ref="E19:F19"/>
    <mergeCell ref="G19:H19"/>
    <mergeCell ref="J19:K19"/>
    <mergeCell ref="L19:M19"/>
    <mergeCell ref="O19:P19"/>
    <mergeCell ref="Q19:R19"/>
    <mergeCell ref="E20:F20"/>
    <mergeCell ref="G20:H20"/>
    <mergeCell ref="J20:K20"/>
    <mergeCell ref="L20:M20"/>
    <mergeCell ref="O20:P20"/>
    <mergeCell ref="D10:D11"/>
    <mergeCell ref="E11:H11"/>
    <mergeCell ref="E14:E15"/>
    <mergeCell ref="F14:F15"/>
    <mergeCell ref="G14:G15"/>
    <mergeCell ref="H14:H15"/>
    <mergeCell ref="E5:H5"/>
    <mergeCell ref="D8:D9"/>
    <mergeCell ref="E8:E9"/>
    <mergeCell ref="F8:F9"/>
    <mergeCell ref="G8:G9"/>
    <mergeCell ref="H8:H9"/>
  </mergeCells>
  <pageMargins left="0.70866141732283472" right="0.70866141732283472" top="0.74803149606299213" bottom="0.74803149606299213" header="0.31496062992125984" footer="0.31496062992125984"/>
  <pageSetup paperSize="8" scale="75"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439FA-44B9-4699-B6D2-7CCAA6A038C5}">
  <sheetPr>
    <pageSetUpPr fitToPage="1"/>
  </sheetPr>
  <dimension ref="B4:Y58"/>
  <sheetViews>
    <sheetView topLeftCell="A20" zoomScale="85" zoomScaleNormal="85" workbookViewId="0">
      <selection activeCell="E33" sqref="E33"/>
    </sheetView>
  </sheetViews>
  <sheetFormatPr defaultRowHeight="14.4" x14ac:dyDescent="0.3"/>
  <cols>
    <col min="3" max="3" width="4.6640625" customWidth="1"/>
    <col min="4" max="4" width="21.6640625" bestFit="1" customWidth="1"/>
    <col min="5" max="5" width="15.88671875" bestFit="1" customWidth="1"/>
    <col min="6" max="6" width="17.33203125" customWidth="1"/>
    <col min="7" max="7" width="18.109375" customWidth="1"/>
    <col min="8" max="8" width="17.6640625" bestFit="1" customWidth="1"/>
    <col min="9" max="9" width="20.6640625" customWidth="1"/>
    <col min="10" max="10" width="18.44140625" bestFit="1" customWidth="1"/>
    <col min="11" max="11" width="18.6640625" customWidth="1"/>
    <col min="12" max="12" width="17.5546875" customWidth="1"/>
    <col min="13" max="13" width="16.88671875" bestFit="1" customWidth="1"/>
    <col min="14" max="14" width="18.44140625" bestFit="1" customWidth="1"/>
    <col min="15" max="16" width="16.88671875" bestFit="1" customWidth="1"/>
    <col min="17" max="17" width="17.6640625" customWidth="1"/>
    <col min="18" max="19" width="18" bestFit="1" customWidth="1"/>
    <col min="20" max="20" width="16.6640625" bestFit="1" customWidth="1"/>
    <col min="21" max="21" width="15.88671875" bestFit="1" customWidth="1"/>
    <col min="22" max="22" width="17" bestFit="1" customWidth="1"/>
    <col min="23" max="23" width="16.88671875" bestFit="1" customWidth="1"/>
    <col min="24" max="25" width="16.6640625" bestFit="1" customWidth="1"/>
  </cols>
  <sheetData>
    <row r="4" spans="4:11" x14ac:dyDescent="0.3">
      <c r="E4" s="355"/>
      <c r="F4" s="355"/>
      <c r="G4" s="355"/>
      <c r="H4" s="355"/>
    </row>
    <row r="5" spans="4:11" x14ac:dyDescent="0.3">
      <c r="E5" s="533" t="s">
        <v>847</v>
      </c>
      <c r="F5" s="533"/>
      <c r="G5" s="533"/>
      <c r="H5" s="533"/>
    </row>
    <row r="6" spans="4:11" x14ac:dyDescent="0.3">
      <c r="D6" s="356">
        <v>0.1</v>
      </c>
      <c r="E6" s="357" t="s">
        <v>848</v>
      </c>
      <c r="F6" s="358">
        <v>0.22500000000000001</v>
      </c>
      <c r="G6" s="359">
        <v>0.22500000000000001</v>
      </c>
      <c r="H6" s="359">
        <v>0.22500000000000001</v>
      </c>
      <c r="K6" s="360">
        <v>43535</v>
      </c>
    </row>
    <row r="7" spans="4:11" x14ac:dyDescent="0.3">
      <c r="E7" s="357" t="s">
        <v>849</v>
      </c>
      <c r="F7" s="357" t="s">
        <v>850</v>
      </c>
      <c r="G7" s="357" t="s">
        <v>851</v>
      </c>
      <c r="H7" s="357" t="s">
        <v>852</v>
      </c>
      <c r="K7" s="360">
        <f>+K6+4</f>
        <v>43539</v>
      </c>
    </row>
    <row r="8" spans="4:11" x14ac:dyDescent="0.3">
      <c r="D8" s="534">
        <f>+([1]REKAPITULACIJA!$E$13*2)*0.4</f>
        <v>6197718.1320000002</v>
      </c>
      <c r="E8" s="536"/>
      <c r="F8" s="536"/>
      <c r="G8" s="536"/>
      <c r="H8" s="536">
        <f>+([1]REKAPITULACIJA!$E$13*2)*0.6</f>
        <v>9296577.1979999989</v>
      </c>
      <c r="K8" s="360">
        <f>+K7+21</f>
        <v>43560</v>
      </c>
    </row>
    <row r="9" spans="4:11" x14ac:dyDescent="0.3">
      <c r="D9" s="535"/>
      <c r="E9" s="537"/>
      <c r="F9" s="537"/>
      <c r="G9" s="537"/>
      <c r="H9" s="537"/>
    </row>
    <row r="10" spans="4:11" x14ac:dyDescent="0.3">
      <c r="D10" s="534">
        <f>+[1]REKAPITULACIJA!E13</f>
        <v>7747147.665</v>
      </c>
      <c r="E10" s="355"/>
      <c r="F10" s="355"/>
      <c r="G10" s="355"/>
      <c r="H10" s="355"/>
    </row>
    <row r="11" spans="4:11" x14ac:dyDescent="0.3">
      <c r="D11" s="535"/>
      <c r="E11" s="533" t="s">
        <v>853</v>
      </c>
      <c r="F11" s="533"/>
      <c r="G11" s="533"/>
      <c r="H11" s="533"/>
    </row>
    <row r="12" spans="4:11" x14ac:dyDescent="0.3">
      <c r="E12" s="361">
        <v>0.1</v>
      </c>
      <c r="F12" s="361">
        <v>0.3</v>
      </c>
      <c r="G12" s="361">
        <v>0.3</v>
      </c>
      <c r="H12" s="361">
        <v>0.3</v>
      </c>
    </row>
    <row r="13" spans="4:11" x14ac:dyDescent="0.3">
      <c r="E13" s="357" t="s">
        <v>854</v>
      </c>
      <c r="F13" s="357" t="s">
        <v>855</v>
      </c>
      <c r="G13" s="357" t="s">
        <v>856</v>
      </c>
      <c r="H13" s="357" t="s">
        <v>857</v>
      </c>
    </row>
    <row r="14" spans="4:11" x14ac:dyDescent="0.3">
      <c r="E14" s="538"/>
      <c r="F14" s="538"/>
      <c r="G14" s="538"/>
      <c r="H14" s="538"/>
    </row>
    <row r="15" spans="4:11" x14ac:dyDescent="0.3">
      <c r="E15" s="538"/>
      <c r="F15" s="538"/>
      <c r="G15" s="538"/>
      <c r="H15" s="538"/>
    </row>
    <row r="18" spans="2:25" x14ac:dyDescent="0.3">
      <c r="E18" s="540" t="s">
        <v>876</v>
      </c>
      <c r="F18" s="540"/>
      <c r="G18" s="540"/>
      <c r="H18" s="540"/>
      <c r="J18" s="540" t="s">
        <v>877</v>
      </c>
      <c r="K18" s="540"/>
      <c r="L18" s="540"/>
      <c r="M18" s="540"/>
      <c r="O18" s="540" t="s">
        <v>880</v>
      </c>
      <c r="P18" s="540"/>
      <c r="Q18" s="540"/>
      <c r="R18" s="540"/>
    </row>
    <row r="19" spans="2:25" x14ac:dyDescent="0.3">
      <c r="E19" s="540" t="s">
        <v>884</v>
      </c>
      <c r="F19" s="540"/>
      <c r="G19" s="541">
        <f>(MATERIJAL!C5+MATERIJAL!C6+MATERIJAL!C7+MATERIJAL!C8+MATERIJAL!C9+MATERIJAL!C10)*10</f>
        <v>3646559.5785714285</v>
      </c>
      <c r="H19" s="541"/>
      <c r="J19" s="540" t="s">
        <v>884</v>
      </c>
      <c r="K19" s="540"/>
      <c r="L19" s="541">
        <f>(MATERIJAL!C5+MATERIJAL!C6+MATERIJAL!C7+MATERIJAL!C8+MATERIJAL!C9+MATERIJAL!C10)*4</f>
        <v>1458623.8314285714</v>
      </c>
      <c r="M19" s="541"/>
      <c r="O19" s="540" t="s">
        <v>884</v>
      </c>
      <c r="P19" s="540"/>
      <c r="Q19" s="541">
        <f>(MATERIJAL!C4+MATERIJAL!C5+MATERIJAL!C6+MATERIJAL!C7+MATERIJAL!C8+MATERIJAL!C9+MATERIJAL!C10+MATERIJAL!C13)*7</f>
        <v>2630291.7050000001</v>
      </c>
      <c r="R19" s="541"/>
    </row>
    <row r="20" spans="2:25" x14ac:dyDescent="0.3">
      <c r="E20" s="540" t="s">
        <v>872</v>
      </c>
      <c r="F20" s="540"/>
      <c r="G20" s="541">
        <f>SUM(F31:P31)</f>
        <v>2393587.5</v>
      </c>
      <c r="H20" s="541"/>
      <c r="J20" s="540" t="s">
        <v>878</v>
      </c>
      <c r="K20" s="540"/>
      <c r="L20" s="541">
        <f>SUM(P31:R31)</f>
        <v>674250</v>
      </c>
      <c r="M20" s="541"/>
      <c r="O20" s="540" t="s">
        <v>881</v>
      </c>
      <c r="P20" s="540"/>
      <c r="Q20" s="541">
        <f>SUM(T31:W31)</f>
        <v>899000</v>
      </c>
      <c r="R20" s="541"/>
    </row>
    <row r="21" spans="2:25" ht="15" thickBot="1" x14ac:dyDescent="0.35">
      <c r="E21" s="542" t="s">
        <v>873</v>
      </c>
      <c r="F21" s="542"/>
      <c r="G21" s="543">
        <f>SUM(F32:P33)</f>
        <v>575500</v>
      </c>
      <c r="H21" s="543"/>
      <c r="J21" s="542" t="s">
        <v>879</v>
      </c>
      <c r="K21" s="542"/>
      <c r="L21" s="543">
        <f>SUM(P32:R33)</f>
        <v>148500</v>
      </c>
      <c r="M21" s="543"/>
      <c r="O21" s="542" t="s">
        <v>882</v>
      </c>
      <c r="P21" s="542"/>
      <c r="Q21" s="543">
        <f>SUM(T32:W34)</f>
        <v>298000</v>
      </c>
      <c r="R21" s="543"/>
    </row>
    <row r="22" spans="2:25" ht="15" thickTop="1" x14ac:dyDescent="0.3">
      <c r="E22" s="587" t="s">
        <v>859</v>
      </c>
      <c r="F22" s="587"/>
      <c r="G22" s="539">
        <f>SUM(G19:G21)</f>
        <v>6615647.0785714285</v>
      </c>
      <c r="H22" s="539"/>
      <c r="J22" s="587" t="s">
        <v>859</v>
      </c>
      <c r="K22" s="587"/>
      <c r="L22" s="539">
        <f>SUM(L19:L21)</f>
        <v>2281373.8314285716</v>
      </c>
      <c r="M22" s="539"/>
      <c r="O22" s="587" t="s">
        <v>859</v>
      </c>
      <c r="P22" s="587"/>
      <c r="Q22" s="539">
        <f>SUM(Q19:Q21)</f>
        <v>3827291.7050000001</v>
      </c>
      <c r="R22" s="539"/>
    </row>
    <row r="23" spans="2:25" x14ac:dyDescent="0.3">
      <c r="K23" s="363"/>
      <c r="L23" s="363"/>
    </row>
    <row r="26" spans="2:25" x14ac:dyDescent="0.3">
      <c r="B26" s="557"/>
      <c r="C26" s="558"/>
      <c r="D26" s="559"/>
      <c r="E26" s="589" t="s">
        <v>870</v>
      </c>
      <c r="F26" s="590"/>
      <c r="G26" s="590"/>
      <c r="H26" s="590"/>
      <c r="I26" s="590"/>
      <c r="J26" s="590"/>
      <c r="K26" s="590"/>
      <c r="L26" s="590"/>
      <c r="M26" s="590"/>
      <c r="N26" s="590"/>
      <c r="O26" s="590"/>
      <c r="P26" s="590"/>
      <c r="Q26" s="590"/>
      <c r="R26" s="590"/>
      <c r="S26" s="590"/>
      <c r="T26" s="590"/>
      <c r="U26" s="590"/>
      <c r="V26" s="590"/>
      <c r="W26" s="590"/>
    </row>
    <row r="27" spans="2:25" x14ac:dyDescent="0.3">
      <c r="B27" s="560"/>
      <c r="C27" s="561"/>
      <c r="D27" s="562"/>
      <c r="E27" s="365">
        <v>43870</v>
      </c>
      <c r="F27" s="365">
        <v>43900</v>
      </c>
      <c r="G27" s="365">
        <v>43932</v>
      </c>
      <c r="H27" s="365">
        <v>43963</v>
      </c>
      <c r="I27" s="365">
        <v>43995</v>
      </c>
      <c r="J27" s="365">
        <v>44026</v>
      </c>
      <c r="K27" s="365">
        <v>44058</v>
      </c>
      <c r="L27" s="365">
        <v>44090</v>
      </c>
      <c r="M27" s="365">
        <v>44121</v>
      </c>
      <c r="N27" s="365">
        <v>44153</v>
      </c>
      <c r="O27" s="365">
        <v>44184</v>
      </c>
      <c r="P27" s="388">
        <v>44216</v>
      </c>
      <c r="Q27" s="388">
        <v>44248</v>
      </c>
      <c r="R27" s="388">
        <v>44277</v>
      </c>
      <c r="S27" s="388">
        <v>44309</v>
      </c>
      <c r="T27" s="396">
        <v>44339</v>
      </c>
      <c r="U27" s="396">
        <v>44371</v>
      </c>
      <c r="V27" s="396">
        <v>44402</v>
      </c>
      <c r="W27" s="396">
        <v>44434</v>
      </c>
      <c r="X27" s="365">
        <v>44466</v>
      </c>
      <c r="Y27" s="365">
        <v>44497</v>
      </c>
    </row>
    <row r="28" spans="2:25" x14ac:dyDescent="0.3">
      <c r="B28" s="563" t="s">
        <v>871</v>
      </c>
      <c r="C28" s="563"/>
      <c r="D28" s="563"/>
      <c r="E28" s="366">
        <v>55000</v>
      </c>
      <c r="F28" s="367">
        <f>(Raščlamba!D14+Raščlamba!E14+Raščlamba!D15+Raščlamba!E15+(Raščlamba!E34*0.5)+(Raščlamba!F41*0.5))*10+(Raščlamba!D18*0.5+Raščlamba!D19*0.5+Raščlamba!F62+Raščlamba!D21)*10</f>
        <v>1017000</v>
      </c>
      <c r="G28" s="367">
        <v>1350000</v>
      </c>
      <c r="H28" s="367">
        <v>1437000</v>
      </c>
      <c r="I28" s="367">
        <f>550000+1455600</f>
        <v>2005600</v>
      </c>
      <c r="J28" s="367">
        <f>480000+520000</f>
        <v>1000000</v>
      </c>
      <c r="K28" s="367">
        <v>395000</v>
      </c>
      <c r="L28" s="367">
        <v>295000</v>
      </c>
      <c r="M28" s="367"/>
      <c r="N28" s="367"/>
      <c r="O28" s="367"/>
      <c r="P28" s="389">
        <f>+L19*0.5</f>
        <v>729311.91571428569</v>
      </c>
      <c r="Q28" s="389">
        <f>+L19*0.5</f>
        <v>729311.91571428569</v>
      </c>
      <c r="R28" s="389">
        <f>+Q19*0.15</f>
        <v>394543.75575000001</v>
      </c>
      <c r="S28" s="389">
        <f>+Q19*0.45</f>
        <v>1183631.26725</v>
      </c>
      <c r="T28" s="397">
        <f>+Q19*0.15</f>
        <v>394543.75575000001</v>
      </c>
      <c r="U28" s="397">
        <f>+Q19*0.25</f>
        <v>657572.92625000002</v>
      </c>
      <c r="V28" s="397">
        <f>+MATERIJAL!I4*10+R19*0.5</f>
        <v>0</v>
      </c>
      <c r="W28" s="397"/>
      <c r="X28" s="393"/>
      <c r="Y28" s="393">
        <f>+MATERIJAL!I4*4</f>
        <v>0</v>
      </c>
    </row>
    <row r="29" spans="2:25" x14ac:dyDescent="0.3">
      <c r="B29" s="563" t="s">
        <v>860</v>
      </c>
      <c r="C29" s="563"/>
      <c r="D29" s="563"/>
      <c r="E29" s="366"/>
      <c r="F29" s="367"/>
      <c r="G29" s="367">
        <v>25000</v>
      </c>
      <c r="H29" s="367">
        <v>75000</v>
      </c>
      <c r="I29" s="367">
        <v>50000</v>
      </c>
      <c r="J29" s="367">
        <v>50000</v>
      </c>
      <c r="K29" s="367"/>
      <c r="L29" s="367"/>
      <c r="M29" s="367"/>
      <c r="N29" s="367"/>
      <c r="O29" s="368"/>
      <c r="P29" s="390"/>
      <c r="Q29" s="389"/>
      <c r="R29" s="390"/>
      <c r="S29" s="390"/>
      <c r="T29" s="397"/>
      <c r="U29" s="398"/>
      <c r="V29" s="398"/>
      <c r="W29" s="397"/>
      <c r="X29" s="368"/>
      <c r="Y29" s="368"/>
    </row>
    <row r="30" spans="2:25" x14ac:dyDescent="0.3">
      <c r="B30" s="563" t="s">
        <v>14</v>
      </c>
      <c r="C30" s="563"/>
      <c r="D30" s="563"/>
      <c r="E30" s="369"/>
      <c r="F30" s="369"/>
      <c r="G30" s="369"/>
      <c r="H30" s="369"/>
      <c r="I30" s="369"/>
      <c r="J30" s="369"/>
      <c r="K30" s="369"/>
      <c r="L30" s="369"/>
      <c r="M30" s="369"/>
      <c r="N30" s="369"/>
      <c r="O30" s="369"/>
      <c r="P30" s="391"/>
      <c r="Q30" s="391"/>
      <c r="R30" s="391"/>
      <c r="S30" s="391"/>
      <c r="T30" s="399"/>
      <c r="U30" s="399"/>
      <c r="V30" s="399"/>
      <c r="W30" s="399"/>
      <c r="X30" s="394"/>
      <c r="Y30" s="394"/>
    </row>
    <row r="31" spans="2:25" x14ac:dyDescent="0.3">
      <c r="B31" s="563" t="s">
        <v>861</v>
      </c>
      <c r="C31" s="563"/>
      <c r="D31" s="563"/>
      <c r="E31" s="366">
        <v>25000</v>
      </c>
      <c r="F31" s="367">
        <f>+[1]REKAPITULACIJA!$H$57*0.85</f>
        <v>191037.5</v>
      </c>
      <c r="G31" s="367">
        <f>+[1]REKAPITULACIJA!$H$57*0.9</f>
        <v>202275</v>
      </c>
      <c r="H31" s="367">
        <f>+[1]REKAPITULACIJA!$H$57*0.9</f>
        <v>202275</v>
      </c>
      <c r="I31" s="367">
        <f>+[1]REKAPITULACIJA!$H$57</f>
        <v>224750</v>
      </c>
      <c r="J31" s="367">
        <f>+[1]REKAPITULACIJA!$H$57</f>
        <v>224750</v>
      </c>
      <c r="K31" s="367">
        <f>+[1]REKAPITULACIJA!$H$57</f>
        <v>224750</v>
      </c>
      <c r="L31" s="367">
        <f>+[1]REKAPITULACIJA!$H$57</f>
        <v>224750</v>
      </c>
      <c r="M31" s="367">
        <f>+[1]REKAPITULACIJA!$H$57</f>
        <v>224750</v>
      </c>
      <c r="N31" s="367">
        <f>+[1]REKAPITULACIJA!$H$57</f>
        <v>224750</v>
      </c>
      <c r="O31" s="367">
        <f>+[1]REKAPITULACIJA!$H$57</f>
        <v>224750</v>
      </c>
      <c r="P31" s="389">
        <f>+[1]REKAPITULACIJA!$H$57</f>
        <v>224750</v>
      </c>
      <c r="Q31" s="389">
        <f>+[1]REKAPITULACIJA!$H$57</f>
        <v>224750</v>
      </c>
      <c r="R31" s="389">
        <f>+[1]REKAPITULACIJA!$H$57</f>
        <v>224750</v>
      </c>
      <c r="S31" s="389">
        <f>+[1]REKAPITULACIJA!$H$57</f>
        <v>224750</v>
      </c>
      <c r="T31" s="397">
        <f>+[1]REKAPITULACIJA!$H$57</f>
        <v>224750</v>
      </c>
      <c r="U31" s="397">
        <f>+[1]REKAPITULACIJA!$H$57</f>
        <v>224750</v>
      </c>
      <c r="V31" s="397">
        <f>+[1]REKAPITULACIJA!$H$57</f>
        <v>224750</v>
      </c>
      <c r="W31" s="397">
        <f>+[1]REKAPITULACIJA!$H$57</f>
        <v>224750</v>
      </c>
      <c r="X31" s="393">
        <f>+[1]REKAPITULACIJA!$H$57</f>
        <v>224750</v>
      </c>
      <c r="Y31" s="393">
        <f>+[1]REKAPITULACIJA!$H$57</f>
        <v>224750</v>
      </c>
    </row>
    <row r="32" spans="2:25" x14ac:dyDescent="0.3">
      <c r="B32" s="566" t="s">
        <v>862</v>
      </c>
      <c r="C32" s="566"/>
      <c r="D32" s="566"/>
      <c r="E32" s="366">
        <v>39500</v>
      </c>
      <c r="F32" s="367">
        <f t="shared" ref="F32:Y32" si="0">15000+5000+5000+5000+5000</f>
        <v>35000</v>
      </c>
      <c r="G32" s="367">
        <f t="shared" si="0"/>
        <v>35000</v>
      </c>
      <c r="H32" s="367">
        <f t="shared" si="0"/>
        <v>35000</v>
      </c>
      <c r="I32" s="367">
        <f t="shared" si="0"/>
        <v>35000</v>
      </c>
      <c r="J32" s="367">
        <f t="shared" si="0"/>
        <v>35000</v>
      </c>
      <c r="K32" s="367">
        <f t="shared" si="0"/>
        <v>35000</v>
      </c>
      <c r="L32" s="367">
        <f t="shared" si="0"/>
        <v>35000</v>
      </c>
      <c r="M32" s="367">
        <f t="shared" si="0"/>
        <v>35000</v>
      </c>
      <c r="N32" s="367">
        <f t="shared" si="0"/>
        <v>35000</v>
      </c>
      <c r="O32" s="367">
        <f t="shared" si="0"/>
        <v>35000</v>
      </c>
      <c r="P32" s="389">
        <f t="shared" si="0"/>
        <v>35000</v>
      </c>
      <c r="Q32" s="389">
        <f t="shared" si="0"/>
        <v>35000</v>
      </c>
      <c r="R32" s="389">
        <f t="shared" si="0"/>
        <v>35000</v>
      </c>
      <c r="S32" s="389">
        <f t="shared" si="0"/>
        <v>35000</v>
      </c>
      <c r="T32" s="397">
        <f t="shared" si="0"/>
        <v>35000</v>
      </c>
      <c r="U32" s="397">
        <f t="shared" si="0"/>
        <v>35000</v>
      </c>
      <c r="V32" s="397">
        <f t="shared" si="0"/>
        <v>35000</v>
      </c>
      <c r="W32" s="397">
        <f t="shared" si="0"/>
        <v>35000</v>
      </c>
      <c r="X32" s="393">
        <f t="shared" si="0"/>
        <v>35000</v>
      </c>
      <c r="Y32" s="393">
        <f t="shared" si="0"/>
        <v>35000</v>
      </c>
    </row>
    <row r="33" spans="2:25" x14ac:dyDescent="0.3">
      <c r="B33" s="566" t="s">
        <v>863</v>
      </c>
      <c r="C33" s="566"/>
      <c r="D33" s="566"/>
      <c r="E33" s="366"/>
      <c r="F33" s="367">
        <f>14500+30000</f>
        <v>44500</v>
      </c>
      <c r="G33" s="367">
        <v>14500</v>
      </c>
      <c r="H33" s="367">
        <v>14500</v>
      </c>
      <c r="I33" s="367">
        <v>15000</v>
      </c>
      <c r="J33" s="367">
        <v>14000</v>
      </c>
      <c r="K33" s="367">
        <v>14500</v>
      </c>
      <c r="L33" s="367">
        <v>16000</v>
      </c>
      <c r="M33" s="367">
        <v>14000</v>
      </c>
      <c r="N33" s="367">
        <v>14500</v>
      </c>
      <c r="O33" s="367">
        <v>14500</v>
      </c>
      <c r="P33" s="389">
        <v>14500</v>
      </c>
      <c r="Q33" s="389">
        <v>14500</v>
      </c>
      <c r="R33" s="389">
        <v>14500</v>
      </c>
      <c r="S33" s="389">
        <v>14500</v>
      </c>
      <c r="T33" s="397">
        <v>14500</v>
      </c>
      <c r="U33" s="397">
        <v>14500</v>
      </c>
      <c r="V33" s="397">
        <v>14500</v>
      </c>
      <c r="W33" s="397">
        <v>14500</v>
      </c>
      <c r="X33" s="393">
        <v>14500</v>
      </c>
      <c r="Y33" s="393">
        <v>14500</v>
      </c>
    </row>
    <row r="34" spans="2:25" x14ac:dyDescent="0.3">
      <c r="B34" s="566" t="s">
        <v>875</v>
      </c>
      <c r="C34" s="566"/>
      <c r="D34" s="566"/>
      <c r="E34" s="366">
        <v>10000</v>
      </c>
      <c r="F34" s="367">
        <f>25000+55000</f>
        <v>80000</v>
      </c>
      <c r="G34" s="367">
        <f>25000+215000</f>
        <v>240000</v>
      </c>
      <c r="H34" s="367">
        <f>25000+145000</f>
        <v>170000</v>
      </c>
      <c r="I34" s="367">
        <v>35000</v>
      </c>
      <c r="J34" s="367">
        <v>25000</v>
      </c>
      <c r="K34" s="367">
        <v>25000</v>
      </c>
      <c r="L34" s="367">
        <v>25000</v>
      </c>
      <c r="M34" s="367">
        <v>25000</v>
      </c>
      <c r="N34" s="367">
        <v>25000</v>
      </c>
      <c r="O34" s="367">
        <v>25000</v>
      </c>
      <c r="P34" s="389">
        <v>25000</v>
      </c>
      <c r="Q34" s="389">
        <v>25000</v>
      </c>
      <c r="R34" s="389">
        <v>25000</v>
      </c>
      <c r="S34" s="389">
        <v>25000</v>
      </c>
      <c r="T34" s="397">
        <v>25000</v>
      </c>
      <c r="U34" s="397">
        <v>25000</v>
      </c>
      <c r="V34" s="397">
        <v>25000</v>
      </c>
      <c r="W34" s="397">
        <v>25000</v>
      </c>
      <c r="X34" s="393">
        <v>25000</v>
      </c>
      <c r="Y34" s="393">
        <v>25000</v>
      </c>
    </row>
    <row r="35" spans="2:25" ht="15" thickBot="1" x14ac:dyDescent="0.35">
      <c r="B35" s="566" t="s">
        <v>864</v>
      </c>
      <c r="C35" s="566"/>
      <c r="D35" s="566"/>
      <c r="E35" s="370"/>
      <c r="F35" s="371"/>
      <c r="G35" s="372"/>
      <c r="H35" s="371"/>
      <c r="I35" s="371"/>
      <c r="J35" s="371"/>
      <c r="K35" s="371"/>
      <c r="L35" s="371"/>
      <c r="M35" s="371"/>
      <c r="N35" s="371"/>
      <c r="O35" s="371"/>
      <c r="P35" s="392"/>
      <c r="Q35" s="392"/>
      <c r="R35" s="392"/>
      <c r="S35" s="392"/>
      <c r="T35" s="400"/>
      <c r="U35" s="400"/>
      <c r="V35" s="400"/>
      <c r="W35" s="400"/>
      <c r="X35" s="395"/>
      <c r="Y35" s="395"/>
    </row>
    <row r="36" spans="2:25" ht="15" thickTop="1" x14ac:dyDescent="0.3">
      <c r="B36" s="570" t="s">
        <v>865</v>
      </c>
      <c r="C36" s="571"/>
      <c r="D36" s="572"/>
      <c r="E36" s="373">
        <f t="shared" ref="E36:Y36" si="1">SUM(E28:E34)</f>
        <v>129500</v>
      </c>
      <c r="F36" s="373">
        <f t="shared" si="1"/>
        <v>1367537.5</v>
      </c>
      <c r="G36" s="373">
        <f t="shared" si="1"/>
        <v>1866775</v>
      </c>
      <c r="H36" s="373">
        <f>SUM(H28:H34)</f>
        <v>1933775</v>
      </c>
      <c r="I36" s="373">
        <f t="shared" si="1"/>
        <v>2365350</v>
      </c>
      <c r="J36" s="373">
        <f t="shared" si="1"/>
        <v>1348750</v>
      </c>
      <c r="K36" s="373">
        <f t="shared" si="1"/>
        <v>694250</v>
      </c>
      <c r="L36" s="373">
        <f t="shared" si="1"/>
        <v>595750</v>
      </c>
      <c r="M36" s="373">
        <f t="shared" si="1"/>
        <v>298750</v>
      </c>
      <c r="N36" s="373">
        <f t="shared" si="1"/>
        <v>299250</v>
      </c>
      <c r="O36" s="373">
        <f t="shared" si="1"/>
        <v>299250</v>
      </c>
      <c r="P36" s="373">
        <f t="shared" si="1"/>
        <v>1028561.9157142857</v>
      </c>
      <c r="Q36" s="373">
        <f t="shared" si="1"/>
        <v>1028561.9157142857</v>
      </c>
      <c r="R36" s="373">
        <f t="shared" si="1"/>
        <v>693793.75575000001</v>
      </c>
      <c r="S36" s="373">
        <f t="shared" si="1"/>
        <v>1482881.26725</v>
      </c>
      <c r="T36" s="373">
        <f t="shared" si="1"/>
        <v>693793.75575000001</v>
      </c>
      <c r="U36" s="373">
        <f t="shared" si="1"/>
        <v>956822.92625000002</v>
      </c>
      <c r="V36" s="373">
        <f t="shared" si="1"/>
        <v>299250</v>
      </c>
      <c r="W36" s="373">
        <f t="shared" si="1"/>
        <v>299250</v>
      </c>
      <c r="X36" s="373">
        <f t="shared" si="1"/>
        <v>299250</v>
      </c>
      <c r="Y36" s="373">
        <f t="shared" si="1"/>
        <v>299250</v>
      </c>
    </row>
    <row r="37" spans="2:25" x14ac:dyDescent="0.3">
      <c r="B37" s="573"/>
      <c r="C37" s="574"/>
      <c r="D37" s="575"/>
    </row>
    <row r="38" spans="2:25" x14ac:dyDescent="0.3">
      <c r="D38" s="374"/>
      <c r="E38" s="585" t="s">
        <v>883</v>
      </c>
      <c r="F38" s="586"/>
      <c r="G38" s="586"/>
      <c r="H38" s="586"/>
      <c r="I38" s="586"/>
      <c r="J38" s="586"/>
      <c r="K38" s="586"/>
      <c r="L38" s="586"/>
      <c r="M38" s="586"/>
      <c r="N38" s="586"/>
      <c r="O38" s="586"/>
      <c r="P38" s="556">
        <v>2021</v>
      </c>
      <c r="Q38" s="556"/>
      <c r="R38" s="556"/>
      <c r="S38" s="556"/>
      <c r="T38" s="556"/>
      <c r="U38" s="556"/>
      <c r="V38" s="556"/>
      <c r="W38" s="556"/>
      <c r="X38" s="556"/>
      <c r="Y38" s="556"/>
    </row>
    <row r="39" spans="2:25" ht="15" customHeight="1" x14ac:dyDescent="0.3">
      <c r="B39" s="576" t="s">
        <v>874</v>
      </c>
      <c r="C39" s="577"/>
      <c r="D39" s="578"/>
      <c r="E39" s="365">
        <v>43870</v>
      </c>
      <c r="F39" s="365">
        <v>43900</v>
      </c>
      <c r="G39" s="365">
        <v>43932</v>
      </c>
      <c r="H39" s="365">
        <v>43963</v>
      </c>
      <c r="I39" s="365">
        <v>43995</v>
      </c>
      <c r="J39" s="365">
        <v>44026</v>
      </c>
      <c r="K39" s="365">
        <v>44058</v>
      </c>
      <c r="L39" s="365">
        <v>44090</v>
      </c>
      <c r="M39" s="365">
        <v>44121</v>
      </c>
      <c r="N39" s="365">
        <v>44153</v>
      </c>
      <c r="O39" s="365">
        <v>44184</v>
      </c>
      <c r="P39" s="388">
        <v>44216</v>
      </c>
      <c r="Q39" s="388">
        <v>44248</v>
      </c>
      <c r="R39" s="388">
        <v>44277</v>
      </c>
      <c r="S39" s="388">
        <v>44309</v>
      </c>
      <c r="T39" s="396">
        <v>44339</v>
      </c>
      <c r="U39" s="396">
        <v>44371</v>
      </c>
      <c r="V39" s="396">
        <v>44402</v>
      </c>
      <c r="W39" s="396">
        <v>44434</v>
      </c>
      <c r="X39" s="365">
        <v>44466</v>
      </c>
      <c r="Y39" s="365">
        <v>44497</v>
      </c>
    </row>
    <row r="40" spans="2:25" x14ac:dyDescent="0.3">
      <c r="B40" s="579"/>
      <c r="C40" s="580"/>
      <c r="D40" s="581"/>
      <c r="E40" s="375">
        <v>769000</v>
      </c>
      <c r="F40" s="375"/>
      <c r="G40" s="375"/>
      <c r="H40" s="375">
        <v>1045000</v>
      </c>
      <c r="I40" s="375">
        <f>3066500-H40</f>
        <v>2021500</v>
      </c>
      <c r="J40" s="375">
        <f>1999980</f>
        <v>1999980</v>
      </c>
      <c r="K40" s="375"/>
      <c r="L40" s="375"/>
      <c r="M40" s="375"/>
      <c r="N40" s="376"/>
      <c r="O40" s="376"/>
      <c r="P40" s="376">
        <f>+REKAPITULACIJA!D8*10</f>
        <v>8097712.848121427</v>
      </c>
      <c r="Q40" s="376"/>
      <c r="R40" s="376"/>
      <c r="S40" s="376">
        <f>+REKAPITULACIJA!D8*4</f>
        <v>3239085.1392485709</v>
      </c>
      <c r="T40" s="376"/>
      <c r="U40" s="376"/>
      <c r="V40" s="376">
        <f>+REKAPITULACIJA!J8*10</f>
        <v>0</v>
      </c>
      <c r="W40" s="376">
        <f>+REKAPITULACIJA!D8*7</f>
        <v>5668398.9936849987</v>
      </c>
      <c r="X40" s="376"/>
      <c r="Y40" s="376">
        <f>+REKAPITULACIJA!J8*4</f>
        <v>0</v>
      </c>
    </row>
    <row r="41" spans="2:25" x14ac:dyDescent="0.3">
      <c r="B41" s="582"/>
      <c r="C41" s="583"/>
      <c r="D41" s="584"/>
      <c r="E41" s="377"/>
      <c r="F41" s="377"/>
      <c r="G41" s="377"/>
      <c r="H41" s="377"/>
      <c r="I41" s="377"/>
      <c r="J41" s="377"/>
      <c r="K41" s="377"/>
      <c r="L41" s="377"/>
      <c r="M41" s="377"/>
      <c r="N41" s="377"/>
      <c r="O41" s="377"/>
      <c r="P41" s="377"/>
      <c r="Q41" s="377"/>
      <c r="R41" s="377"/>
      <c r="S41" s="377"/>
      <c r="T41" s="377"/>
      <c r="U41" s="377"/>
      <c r="V41" s="377"/>
      <c r="W41" s="377"/>
      <c r="X41" s="377"/>
      <c r="Y41" s="377"/>
    </row>
    <row r="43" spans="2:25" x14ac:dyDescent="0.3">
      <c r="B43" s="544" t="s">
        <v>866</v>
      </c>
      <c r="C43" s="545"/>
      <c r="D43" s="546"/>
      <c r="E43" s="553" t="s">
        <v>867</v>
      </c>
      <c r="F43" s="554"/>
      <c r="G43" s="554"/>
      <c r="H43" s="554"/>
      <c r="I43" s="554"/>
      <c r="J43" s="554"/>
      <c r="K43" s="554"/>
      <c r="L43" s="554"/>
      <c r="M43" s="555"/>
      <c r="N43" s="565">
        <v>2020</v>
      </c>
      <c r="O43" s="556"/>
      <c r="P43" s="556">
        <v>2021</v>
      </c>
      <c r="Q43" s="556"/>
      <c r="R43" s="556"/>
      <c r="S43" s="556"/>
      <c r="T43" s="556"/>
      <c r="U43" s="556"/>
      <c r="V43" s="556"/>
      <c r="W43" s="556"/>
      <c r="X43" s="556"/>
      <c r="Y43" s="556"/>
    </row>
    <row r="44" spans="2:25" x14ac:dyDescent="0.3">
      <c r="B44" s="547"/>
      <c r="C44" s="548"/>
      <c r="D44" s="549"/>
      <c r="E44" s="365">
        <v>43870</v>
      </c>
      <c r="F44" s="365">
        <v>43900</v>
      </c>
      <c r="G44" s="365">
        <v>43932</v>
      </c>
      <c r="H44" s="365">
        <v>43963</v>
      </c>
      <c r="I44" s="365">
        <v>43995</v>
      </c>
      <c r="J44" s="365">
        <v>44026</v>
      </c>
      <c r="K44" s="365">
        <v>44058</v>
      </c>
      <c r="L44" s="365">
        <v>44090</v>
      </c>
      <c r="M44" s="365">
        <v>44121</v>
      </c>
      <c r="N44" s="365">
        <v>44153</v>
      </c>
      <c r="O44" s="365">
        <v>44184</v>
      </c>
      <c r="P44" s="388">
        <v>44216</v>
      </c>
      <c r="Q44" s="388">
        <v>44248</v>
      </c>
      <c r="R44" s="388">
        <v>44277</v>
      </c>
      <c r="S44" s="388">
        <v>44309</v>
      </c>
      <c r="T44" s="396">
        <v>44339</v>
      </c>
      <c r="U44" s="396">
        <v>44371</v>
      </c>
      <c r="V44" s="396">
        <v>44402</v>
      </c>
      <c r="W44" s="396">
        <v>44434</v>
      </c>
      <c r="X44" s="365">
        <v>44466</v>
      </c>
      <c r="Y44" s="365">
        <v>44497</v>
      </c>
    </row>
    <row r="45" spans="2:25" x14ac:dyDescent="0.3">
      <c r="B45" s="550"/>
      <c r="C45" s="551"/>
      <c r="D45" s="552"/>
      <c r="E45" s="378"/>
      <c r="F45" s="379">
        <v>1250000</v>
      </c>
      <c r="G45" s="379">
        <v>1850000</v>
      </c>
      <c r="H45" s="379">
        <v>1350000</v>
      </c>
      <c r="I45" s="379"/>
      <c r="J45" s="379"/>
      <c r="K45" s="379"/>
      <c r="L45" s="379">
        <v>850000</v>
      </c>
      <c r="M45" s="380"/>
      <c r="N45" s="380"/>
      <c r="O45" s="380"/>
      <c r="P45" s="380">
        <v>-5395000</v>
      </c>
      <c r="Q45" s="380"/>
      <c r="R45" s="380"/>
      <c r="S45" s="380"/>
      <c r="T45" s="379">
        <v>1500000</v>
      </c>
      <c r="U45" s="379">
        <v>500000</v>
      </c>
      <c r="V45" s="380"/>
      <c r="W45" s="380">
        <v>-2100000</v>
      </c>
      <c r="X45" s="380"/>
      <c r="Y45" s="380"/>
    </row>
    <row r="47" spans="2:25" x14ac:dyDescent="0.3">
      <c r="B47" s="564" t="s">
        <v>868</v>
      </c>
      <c r="C47" s="564"/>
      <c r="D47" s="564"/>
      <c r="E47" s="553" t="s">
        <v>869</v>
      </c>
      <c r="F47" s="554"/>
      <c r="G47" s="554"/>
      <c r="H47" s="554"/>
      <c r="I47" s="554"/>
      <c r="J47" s="554"/>
      <c r="K47" s="554"/>
      <c r="L47" s="554"/>
      <c r="M47" s="555"/>
      <c r="N47" s="565">
        <v>2020</v>
      </c>
      <c r="O47" s="556"/>
      <c r="P47" s="556">
        <v>2021</v>
      </c>
      <c r="Q47" s="556"/>
      <c r="R47" s="556"/>
      <c r="S47" s="556"/>
      <c r="T47" s="556"/>
      <c r="U47" s="556"/>
      <c r="V47" s="556"/>
      <c r="W47" s="556"/>
      <c r="X47" s="556"/>
      <c r="Y47" s="556"/>
    </row>
    <row r="48" spans="2:25" x14ac:dyDescent="0.3">
      <c r="B48" s="564"/>
      <c r="C48" s="564"/>
      <c r="D48" s="564"/>
      <c r="E48" s="365">
        <v>43870</v>
      </c>
      <c r="F48" s="365">
        <v>43900</v>
      </c>
      <c r="G48" s="365">
        <v>43932</v>
      </c>
      <c r="H48" s="365">
        <v>43963</v>
      </c>
      <c r="I48" s="365">
        <v>43995</v>
      </c>
      <c r="J48" s="365">
        <v>44026</v>
      </c>
      <c r="K48" s="365">
        <v>44058</v>
      </c>
      <c r="L48" s="365">
        <v>44090</v>
      </c>
      <c r="M48" s="365">
        <v>44121</v>
      </c>
      <c r="N48" s="365">
        <v>44153</v>
      </c>
      <c r="O48" s="365">
        <v>44184</v>
      </c>
      <c r="P48" s="388">
        <v>44216</v>
      </c>
      <c r="Q48" s="388">
        <v>44248</v>
      </c>
      <c r="R48" s="388">
        <v>44277</v>
      </c>
      <c r="S48" s="388">
        <v>44309</v>
      </c>
      <c r="T48" s="396">
        <v>44339</v>
      </c>
      <c r="U48" s="396">
        <v>44371</v>
      </c>
      <c r="V48" s="396">
        <v>44402</v>
      </c>
      <c r="W48" s="396">
        <v>44434</v>
      </c>
      <c r="X48" s="365">
        <v>44466</v>
      </c>
      <c r="Y48" s="365">
        <v>44497</v>
      </c>
    </row>
    <row r="49" spans="2:25" ht="15" hidden="1" customHeight="1" x14ac:dyDescent="0.3">
      <c r="B49" s="564"/>
      <c r="C49" s="564"/>
      <c r="D49" s="564"/>
      <c r="E49" s="381">
        <f>(E45+E41+E40)-E36</f>
        <v>639500</v>
      </c>
      <c r="F49" s="381">
        <f>(+E49+F45+F41+F40)-F36</f>
        <v>521962.5</v>
      </c>
      <c r="G49" s="381">
        <f>(+F49+G45+G41+G40)-G36</f>
        <v>505187.5</v>
      </c>
      <c r="H49" s="381" t="e">
        <f>(+G49+H45+#REF!+#REF!)-H36</f>
        <v>#REF!</v>
      </c>
      <c r="I49" s="381" t="e">
        <f t="shared" ref="I49:O49" si="2">(+H49+I45+H41+H40)-I36</f>
        <v>#REF!</v>
      </c>
      <c r="J49" s="381" t="e">
        <f t="shared" si="2"/>
        <v>#REF!</v>
      </c>
      <c r="K49" s="381" t="e">
        <f t="shared" si="2"/>
        <v>#REF!</v>
      </c>
      <c r="L49" s="381" t="e">
        <f t="shared" si="2"/>
        <v>#REF!</v>
      </c>
      <c r="M49" s="381" t="e">
        <f t="shared" si="2"/>
        <v>#REF!</v>
      </c>
      <c r="N49" s="381" t="e">
        <f t="shared" si="2"/>
        <v>#REF!</v>
      </c>
      <c r="O49" s="381" t="e">
        <f t="shared" si="2"/>
        <v>#REF!</v>
      </c>
      <c r="P49" s="381" t="e">
        <f t="shared" ref="P49" si="3">(+O49+P45+P41+P40)-P36</f>
        <v>#REF!</v>
      </c>
      <c r="Q49" s="381" t="e">
        <f t="shared" ref="Q49:R49" si="4">(+P49+Q45+P41+P40)-Q36</f>
        <v>#REF!</v>
      </c>
      <c r="R49" s="381" t="e">
        <f t="shared" si="4"/>
        <v>#REF!</v>
      </c>
      <c r="S49" s="381" t="e">
        <f t="shared" ref="S49" si="5">(+R49+S45+S41+S40)-S36</f>
        <v>#REF!</v>
      </c>
      <c r="T49" s="381" t="e">
        <f t="shared" ref="T49:U49" si="6">(+S49+T45+S41+S40)-T36</f>
        <v>#REF!</v>
      </c>
      <c r="U49" s="381" t="e">
        <f t="shared" si="6"/>
        <v>#REF!</v>
      </c>
      <c r="V49" s="381" t="e">
        <f t="shared" ref="V49" si="7">(+U49+V45+V41+V40)-V36</f>
        <v>#REF!</v>
      </c>
      <c r="W49" s="381" t="e">
        <f t="shared" ref="W49:X49" si="8">(+V49+W45+V41+V40)-W36</f>
        <v>#REF!</v>
      </c>
      <c r="X49" s="381" t="e">
        <f t="shared" si="8"/>
        <v>#REF!</v>
      </c>
      <c r="Y49" s="381" t="e">
        <f t="shared" ref="Y49" si="9">(+X49+Y45+Y41+Y40)-Y36</f>
        <v>#REF!</v>
      </c>
    </row>
    <row r="50" spans="2:25" x14ac:dyDescent="0.3">
      <c r="B50" s="564"/>
      <c r="C50" s="564"/>
      <c r="D50" s="564"/>
      <c r="E50" s="382">
        <f>(+E45+E41+E40)-(E36)-E35</f>
        <v>639500</v>
      </c>
      <c r="F50" s="382">
        <f>(+E50+F45+F41+F40)-(F36)-F35</f>
        <v>521962.5</v>
      </c>
      <c r="G50" s="382">
        <f>(+F50+G45+G41+G40)-(G36)-G35</f>
        <v>505187.5</v>
      </c>
      <c r="H50" s="382">
        <f t="shared" ref="H50:Y50" si="10">(+G50+H45+H41+H40)-(H36)-H35</f>
        <v>966412.5</v>
      </c>
      <c r="I50" s="382">
        <f t="shared" si="10"/>
        <v>622562.5</v>
      </c>
      <c r="J50" s="382">
        <f t="shared" si="10"/>
        <v>1273792.5</v>
      </c>
      <c r="K50" s="382">
        <f t="shared" si="10"/>
        <v>579542.5</v>
      </c>
      <c r="L50" s="382">
        <f t="shared" si="10"/>
        <v>833792.5</v>
      </c>
      <c r="M50" s="382">
        <f t="shared" si="10"/>
        <v>535042.5</v>
      </c>
      <c r="N50" s="382">
        <f t="shared" si="10"/>
        <v>235792.5</v>
      </c>
      <c r="O50" s="382">
        <f t="shared" si="10"/>
        <v>-63457.5</v>
      </c>
      <c r="P50" s="382">
        <f t="shared" si="10"/>
        <v>1610693.4324071412</v>
      </c>
      <c r="Q50" s="382">
        <f t="shared" si="10"/>
        <v>582131.51669285551</v>
      </c>
      <c r="R50" s="382">
        <f t="shared" si="10"/>
        <v>-111662.2390571445</v>
      </c>
      <c r="S50" s="382">
        <f t="shared" si="10"/>
        <v>1644541.6329414262</v>
      </c>
      <c r="T50" s="382">
        <f t="shared" si="10"/>
        <v>2450747.8771914262</v>
      </c>
      <c r="U50" s="382">
        <f t="shared" si="10"/>
        <v>1993924.9509414262</v>
      </c>
      <c r="V50" s="382">
        <f t="shared" si="10"/>
        <v>1694674.9509414262</v>
      </c>
      <c r="W50" s="382">
        <f t="shared" si="10"/>
        <v>4963823.9446264245</v>
      </c>
      <c r="X50" s="382">
        <f t="shared" si="10"/>
        <v>4664573.9446264245</v>
      </c>
      <c r="Y50" s="382">
        <f t="shared" si="10"/>
        <v>4365323.9446264245</v>
      </c>
    </row>
    <row r="51" spans="2:25" x14ac:dyDescent="0.3">
      <c r="M51" s="363"/>
      <c r="O51" s="362"/>
      <c r="P51" s="362"/>
    </row>
    <row r="52" spans="2:25" x14ac:dyDescent="0.3">
      <c r="O52" s="362"/>
      <c r="P52" s="362"/>
    </row>
    <row r="53" spans="2:25" x14ac:dyDescent="0.3">
      <c r="E53" s="362"/>
      <c r="G53" s="362"/>
      <c r="K53" s="362"/>
      <c r="M53" s="362"/>
      <c r="O53" s="362"/>
      <c r="P53" s="362"/>
    </row>
    <row r="54" spans="2:25" x14ac:dyDescent="0.3">
      <c r="G54" s="362"/>
      <c r="M54" s="363"/>
      <c r="O54" s="362"/>
      <c r="P54" s="362"/>
      <c r="T54">
        <f>+MATERIJAL!C4*21</f>
        <v>0</v>
      </c>
      <c r="U54" s="363">
        <f>SUM(Q19+L19+G19)</f>
        <v>7735475.1150000002</v>
      </c>
      <c r="V54" s="364">
        <f>SUM(E31:Y35)</f>
        <v>6436837.5</v>
      </c>
      <c r="W54" s="364">
        <f>SUM(E28:Y29)</f>
        <v>11843515.536428571</v>
      </c>
    </row>
    <row r="55" spans="2:25" x14ac:dyDescent="0.3">
      <c r="G55" s="362"/>
      <c r="K55" s="363"/>
      <c r="L55" s="362"/>
      <c r="M55" s="363"/>
      <c r="V55" s="362">
        <f>SUM(T54:V54)</f>
        <v>14172312.615</v>
      </c>
      <c r="W55" s="363">
        <f>+W54+Y50</f>
        <v>16208839.481054995</v>
      </c>
    </row>
    <row r="56" spans="2:25" x14ac:dyDescent="0.3">
      <c r="G56" s="362"/>
      <c r="V56" s="363">
        <f>+V55-W54+U54</f>
        <v>10064272.19357143</v>
      </c>
    </row>
    <row r="57" spans="2:25" x14ac:dyDescent="0.3">
      <c r="V57">
        <f>1522707*21</f>
        <v>31976847</v>
      </c>
    </row>
    <row r="58" spans="2:25" x14ac:dyDescent="0.3">
      <c r="V58" s="363">
        <f>+V57-V56</f>
        <v>21912574.80642857</v>
      </c>
    </row>
  </sheetData>
  <mergeCells count="61">
    <mergeCell ref="B47:D50"/>
    <mergeCell ref="E47:M47"/>
    <mergeCell ref="N47:O47"/>
    <mergeCell ref="P47:Y47"/>
    <mergeCell ref="P38:Y38"/>
    <mergeCell ref="B39:D41"/>
    <mergeCell ref="B43:D45"/>
    <mergeCell ref="E43:M43"/>
    <mergeCell ref="N43:O43"/>
    <mergeCell ref="P43:Y43"/>
    <mergeCell ref="E38:O38"/>
    <mergeCell ref="B32:D32"/>
    <mergeCell ref="B33:D33"/>
    <mergeCell ref="B34:D34"/>
    <mergeCell ref="B35:D35"/>
    <mergeCell ref="B36:D37"/>
    <mergeCell ref="B31:D31"/>
    <mergeCell ref="E22:F22"/>
    <mergeCell ref="G22:H22"/>
    <mergeCell ref="J22:K22"/>
    <mergeCell ref="L22:M22"/>
    <mergeCell ref="B26:D27"/>
    <mergeCell ref="E26:W26"/>
    <mergeCell ref="B28:D28"/>
    <mergeCell ref="B29:D29"/>
    <mergeCell ref="B30:D30"/>
    <mergeCell ref="O22:P22"/>
    <mergeCell ref="Q22:R22"/>
    <mergeCell ref="E21:F21"/>
    <mergeCell ref="G21:H21"/>
    <mergeCell ref="J21:K21"/>
    <mergeCell ref="L21:M21"/>
    <mergeCell ref="O21:P21"/>
    <mergeCell ref="Q21:R21"/>
    <mergeCell ref="Q20:R20"/>
    <mergeCell ref="E18:H18"/>
    <mergeCell ref="J18:M18"/>
    <mergeCell ref="O18:R18"/>
    <mergeCell ref="E19:F19"/>
    <mergeCell ref="G19:H19"/>
    <mergeCell ref="J19:K19"/>
    <mergeCell ref="L19:M19"/>
    <mergeCell ref="O19:P19"/>
    <mergeCell ref="Q19:R19"/>
    <mergeCell ref="E20:F20"/>
    <mergeCell ref="G20:H20"/>
    <mergeCell ref="J20:K20"/>
    <mergeCell ref="L20:M20"/>
    <mergeCell ref="O20:P20"/>
    <mergeCell ref="D10:D11"/>
    <mergeCell ref="E11:H11"/>
    <mergeCell ref="E14:E15"/>
    <mergeCell ref="F14:F15"/>
    <mergeCell ref="G14:G15"/>
    <mergeCell ref="H14:H15"/>
    <mergeCell ref="E5:H5"/>
    <mergeCell ref="D8:D9"/>
    <mergeCell ref="E8:E9"/>
    <mergeCell ref="F8:F9"/>
    <mergeCell ref="G8:G9"/>
    <mergeCell ref="H8:H9"/>
  </mergeCells>
  <pageMargins left="0.70866141732283472" right="0.70866141732283472" top="0.74803149606299213" bottom="0.74803149606299213" header="0.31496062992125984" footer="0.31496062992125984"/>
  <pageSetup paperSize="8" scale="7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99"/>
  <sheetViews>
    <sheetView topLeftCell="A6" zoomScaleNormal="100" workbookViewId="0">
      <pane ySplit="1" topLeftCell="A127" activePane="bottomLeft" state="frozen"/>
      <selection activeCell="A6" sqref="A6"/>
      <selection pane="bottomLeft" activeCell="F58" sqref="F58"/>
    </sheetView>
  </sheetViews>
  <sheetFormatPr defaultRowHeight="14.4" x14ac:dyDescent="0.3"/>
  <cols>
    <col min="1" max="1" width="5.33203125" style="239" customWidth="1"/>
    <col min="2" max="2" width="62.5546875" customWidth="1"/>
    <col min="3" max="3" width="14.33203125" style="291" customWidth="1"/>
    <col min="4" max="6" width="15.88671875" style="291" bestFit="1" customWidth="1"/>
    <col min="7" max="7" width="14.88671875" hidden="1" customWidth="1"/>
    <col min="8" max="8" width="34.88671875" customWidth="1"/>
    <col min="9" max="9" width="49.33203125" customWidth="1"/>
    <col min="10" max="10" width="35" customWidth="1"/>
    <col min="11" max="11" width="36.44140625" customWidth="1"/>
    <col min="12" max="12" width="42.44140625" customWidth="1"/>
    <col min="13" max="13" width="33.44140625" customWidth="1"/>
    <col min="14" max="14" width="42.5546875" customWidth="1"/>
  </cols>
  <sheetData>
    <row r="1" spans="1:9" hidden="1" x14ac:dyDescent="0.3">
      <c r="B1" s="288" t="s">
        <v>342</v>
      </c>
    </row>
    <row r="2" spans="1:9" hidden="1" x14ac:dyDescent="0.3">
      <c r="B2" t="s">
        <v>317</v>
      </c>
      <c r="C2" s="479" t="s">
        <v>105</v>
      </c>
      <c r="D2" s="479"/>
      <c r="E2" s="479"/>
    </row>
    <row r="3" spans="1:9" hidden="1" x14ac:dyDescent="0.3">
      <c r="B3" t="s">
        <v>316</v>
      </c>
      <c r="C3" s="479" t="s">
        <v>343</v>
      </c>
      <c r="D3" s="479"/>
      <c r="E3" s="479"/>
    </row>
    <row r="4" spans="1:9" hidden="1" x14ac:dyDescent="0.3"/>
    <row r="5" spans="1:9" hidden="1" x14ac:dyDescent="0.3"/>
    <row r="6" spans="1:9" x14ac:dyDescent="0.3">
      <c r="C6" s="291" t="s">
        <v>52</v>
      </c>
      <c r="D6" s="291" t="s">
        <v>744</v>
      </c>
      <c r="E6" s="291" t="s">
        <v>745</v>
      </c>
      <c r="F6" s="291" t="s">
        <v>746</v>
      </c>
      <c r="I6" s="291" t="s">
        <v>750</v>
      </c>
    </row>
    <row r="7" spans="1:9" ht="21" customHeight="1" x14ac:dyDescent="0.3">
      <c r="A7" s="286">
        <v>1</v>
      </c>
      <c r="B7" s="285" t="s">
        <v>31</v>
      </c>
      <c r="C7" s="292"/>
      <c r="D7" s="292"/>
      <c r="E7" s="292"/>
      <c r="F7" s="292"/>
      <c r="H7" s="351"/>
    </row>
    <row r="8" spans="1:9" x14ac:dyDescent="0.3">
      <c r="A8" s="239" t="s">
        <v>151</v>
      </c>
      <c r="B8" s="346" t="s">
        <v>152</v>
      </c>
      <c r="C8" s="293">
        <v>24</v>
      </c>
      <c r="D8" s="291">
        <v>300</v>
      </c>
    </row>
    <row r="9" spans="1:9" x14ac:dyDescent="0.3">
      <c r="A9" s="239" t="s">
        <v>153</v>
      </c>
      <c r="B9" s="346" t="s">
        <v>154</v>
      </c>
      <c r="C9" s="293">
        <v>24</v>
      </c>
      <c r="E9" s="343"/>
    </row>
    <row r="10" spans="1:9" x14ac:dyDescent="0.3">
      <c r="A10" s="239" t="s">
        <v>155</v>
      </c>
      <c r="B10" s="346" t="s">
        <v>156</v>
      </c>
      <c r="C10" s="291">
        <v>3</v>
      </c>
      <c r="E10" s="343"/>
    </row>
    <row r="11" spans="1:9" x14ac:dyDescent="0.3">
      <c r="A11" s="239" t="s">
        <v>315</v>
      </c>
      <c r="B11" s="346" t="s">
        <v>314</v>
      </c>
      <c r="C11" s="294">
        <v>4</v>
      </c>
      <c r="D11" s="294">
        <v>150</v>
      </c>
      <c r="E11" s="294"/>
      <c r="F11" s="294"/>
    </row>
    <row r="12" spans="1:9" x14ac:dyDescent="0.3">
      <c r="A12" s="239" t="s">
        <v>319</v>
      </c>
      <c r="B12" s="346" t="s">
        <v>320</v>
      </c>
      <c r="C12" s="291">
        <v>6</v>
      </c>
      <c r="D12" s="291">
        <v>300</v>
      </c>
      <c r="F12" s="291">
        <f>4*2500</f>
        <v>10000</v>
      </c>
    </row>
    <row r="13" spans="1:9" ht="21" customHeight="1" x14ac:dyDescent="0.3">
      <c r="A13" s="286">
        <v>2</v>
      </c>
      <c r="B13" s="285" t="s">
        <v>4</v>
      </c>
      <c r="C13" s="292"/>
      <c r="D13" s="292"/>
      <c r="E13" s="292"/>
      <c r="F13" s="292"/>
      <c r="H13" s="351">
        <f>SUM(D14:F32)</f>
        <v>123045.95785714286</v>
      </c>
    </row>
    <row r="14" spans="1:9" x14ac:dyDescent="0.3">
      <c r="A14" s="239" t="s">
        <v>157</v>
      </c>
      <c r="B14" s="346" t="s">
        <v>158</v>
      </c>
      <c r="C14" s="293">
        <v>56</v>
      </c>
      <c r="D14" s="291">
        <v>3800</v>
      </c>
      <c r="E14" s="291">
        <v>2300</v>
      </c>
    </row>
    <row r="15" spans="1:9" x14ac:dyDescent="0.3">
      <c r="B15" s="346" t="s">
        <v>321</v>
      </c>
      <c r="C15" s="293">
        <v>40</v>
      </c>
      <c r="D15" s="291">
        <v>1500</v>
      </c>
      <c r="E15" s="291">
        <v>5000</v>
      </c>
    </row>
    <row r="16" spans="1:9" x14ac:dyDescent="0.3">
      <c r="A16" s="239" t="s">
        <v>153</v>
      </c>
      <c r="B16" s="346" t="s">
        <v>159</v>
      </c>
      <c r="C16" s="291">
        <v>8</v>
      </c>
      <c r="D16" s="291">
        <v>400</v>
      </c>
    </row>
    <row r="17" spans="1:14" x14ac:dyDescent="0.3">
      <c r="A17" s="239" t="s">
        <v>155</v>
      </c>
      <c r="B17" s="346" t="s">
        <v>3</v>
      </c>
      <c r="C17" s="291">
        <v>10</v>
      </c>
      <c r="D17" s="291">
        <v>1000</v>
      </c>
    </row>
    <row r="18" spans="1:14" x14ac:dyDescent="0.3">
      <c r="A18" s="239" t="s">
        <v>160</v>
      </c>
      <c r="B18" s="346" t="s">
        <v>813</v>
      </c>
      <c r="C18" s="291">
        <v>130</v>
      </c>
      <c r="D18" s="347">
        <v>10000</v>
      </c>
      <c r="I18" s="346" t="s">
        <v>814</v>
      </c>
      <c r="J18" s="346" t="s">
        <v>815</v>
      </c>
      <c r="K18" s="346" t="s">
        <v>818</v>
      </c>
      <c r="L18" s="346" t="s">
        <v>816</v>
      </c>
      <c r="M18" s="346" t="s">
        <v>819</v>
      </c>
      <c r="N18" s="346" t="s">
        <v>822</v>
      </c>
    </row>
    <row r="19" spans="1:14" x14ac:dyDescent="0.3">
      <c r="A19" s="239" t="s">
        <v>161</v>
      </c>
      <c r="B19" s="346" t="s">
        <v>162</v>
      </c>
      <c r="C19" s="291">
        <v>32</v>
      </c>
      <c r="D19" s="342">
        <v>6200</v>
      </c>
      <c r="E19" s="291">
        <v>750</v>
      </c>
    </row>
    <row r="20" spans="1:14" x14ac:dyDescent="0.3">
      <c r="A20" s="239" t="s">
        <v>163</v>
      </c>
      <c r="B20" s="346" t="s">
        <v>313</v>
      </c>
      <c r="C20" s="291">
        <v>20</v>
      </c>
      <c r="D20" s="291">
        <v>300</v>
      </c>
      <c r="F20" s="291">
        <v>2000</v>
      </c>
    </row>
    <row r="21" spans="1:14" x14ac:dyDescent="0.3">
      <c r="A21" s="239" t="s">
        <v>164</v>
      </c>
      <c r="B21" s="346" t="s">
        <v>165</v>
      </c>
      <c r="C21" s="293">
        <v>154</v>
      </c>
      <c r="D21" s="347">
        <v>11000</v>
      </c>
      <c r="I21" s="346" t="s">
        <v>821</v>
      </c>
      <c r="J21" s="346" t="s">
        <v>820</v>
      </c>
      <c r="K21" s="346" t="s">
        <v>817</v>
      </c>
    </row>
    <row r="22" spans="1:14" x14ac:dyDescent="0.3">
      <c r="A22" s="239" t="s">
        <v>166</v>
      </c>
      <c r="B22" t="s">
        <v>358</v>
      </c>
      <c r="C22" s="294">
        <v>7</v>
      </c>
      <c r="D22" s="342">
        <v>15000</v>
      </c>
      <c r="E22" s="294"/>
      <c r="F22" s="294"/>
    </row>
    <row r="23" spans="1:14" x14ac:dyDescent="0.3">
      <c r="A23" s="239" t="s">
        <v>167</v>
      </c>
      <c r="B23" s="346" t="s">
        <v>359</v>
      </c>
      <c r="C23" s="291">
        <v>8</v>
      </c>
      <c r="D23" s="342">
        <v>500</v>
      </c>
      <c r="E23" s="347">
        <v>28000</v>
      </c>
      <c r="I23" t="s">
        <v>826</v>
      </c>
    </row>
    <row r="24" spans="1:14" x14ac:dyDescent="0.3">
      <c r="A24" s="239" t="s">
        <v>169</v>
      </c>
      <c r="B24" t="s">
        <v>168</v>
      </c>
      <c r="C24" s="291">
        <v>20</v>
      </c>
      <c r="D24" s="350">
        <v>1500</v>
      </c>
    </row>
    <row r="25" spans="1:14" x14ac:dyDescent="0.3">
      <c r="A25" s="239" t="s">
        <v>171</v>
      </c>
      <c r="B25" s="346" t="s">
        <v>170</v>
      </c>
      <c r="C25" s="291">
        <v>6</v>
      </c>
      <c r="D25" s="291">
        <v>1000</v>
      </c>
    </row>
    <row r="26" spans="1:14" x14ac:dyDescent="0.3">
      <c r="A26" s="239" t="s">
        <v>172</v>
      </c>
      <c r="B26" s="346" t="s">
        <v>356</v>
      </c>
      <c r="C26" s="293">
        <v>45</v>
      </c>
      <c r="D26" s="291">
        <v>400</v>
      </c>
      <c r="F26" s="347">
        <f>J26*7.5*1.1</f>
        <v>22895.957857142857</v>
      </c>
      <c r="I26" t="s">
        <v>736</v>
      </c>
      <c r="J26">
        <f>58280.62/21</f>
        <v>2775.2676190476191</v>
      </c>
    </row>
    <row r="27" spans="1:14" x14ac:dyDescent="0.3">
      <c r="A27" s="239" t="s">
        <v>174</v>
      </c>
      <c r="B27" s="346" t="s">
        <v>173</v>
      </c>
      <c r="C27" s="291">
        <v>24</v>
      </c>
      <c r="D27" s="291">
        <v>2000</v>
      </c>
      <c r="E27" s="291">
        <v>300</v>
      </c>
    </row>
    <row r="28" spans="1:14" x14ac:dyDescent="0.3">
      <c r="A28" s="239" t="s">
        <v>176</v>
      </c>
      <c r="B28" s="346" t="s">
        <v>175</v>
      </c>
      <c r="C28" s="291">
        <v>24</v>
      </c>
      <c r="D28" s="291">
        <v>2000</v>
      </c>
    </row>
    <row r="29" spans="1:14" x14ac:dyDescent="0.3">
      <c r="A29" s="239" t="s">
        <v>312</v>
      </c>
      <c r="B29" t="s">
        <v>311</v>
      </c>
      <c r="C29" s="291">
        <v>18</v>
      </c>
      <c r="D29" s="342">
        <v>1700</v>
      </c>
    </row>
    <row r="30" spans="1:14" x14ac:dyDescent="0.3">
      <c r="A30" s="239" t="s">
        <v>732</v>
      </c>
      <c r="B30" s="346" t="s">
        <v>733</v>
      </c>
      <c r="D30" s="342">
        <v>1500</v>
      </c>
    </row>
    <row r="31" spans="1:14" x14ac:dyDescent="0.3">
      <c r="A31" s="239" t="s">
        <v>734</v>
      </c>
      <c r="B31" s="346" t="s">
        <v>735</v>
      </c>
      <c r="D31" s="342">
        <v>2000</v>
      </c>
    </row>
    <row r="33" spans="1:14" ht="21" customHeight="1" x14ac:dyDescent="0.3">
      <c r="A33" s="286">
        <v>3</v>
      </c>
      <c r="B33" s="285" t="s">
        <v>32</v>
      </c>
      <c r="C33" s="292"/>
      <c r="D33" s="292"/>
      <c r="E33" s="292"/>
      <c r="F33" s="292"/>
      <c r="H33" s="351">
        <f>SUM(D34:F39)</f>
        <v>97600</v>
      </c>
    </row>
    <row r="34" spans="1:14" x14ac:dyDescent="0.3">
      <c r="A34" s="239" t="s">
        <v>177</v>
      </c>
      <c r="B34" s="346" t="s">
        <v>803</v>
      </c>
      <c r="C34" s="291">
        <v>4</v>
      </c>
      <c r="D34" s="291">
        <v>200</v>
      </c>
      <c r="E34" s="347">
        <v>85000</v>
      </c>
      <c r="I34" s="346" t="s">
        <v>844</v>
      </c>
      <c r="J34" s="346" t="s">
        <v>812</v>
      </c>
      <c r="K34" s="299" t="s">
        <v>825</v>
      </c>
      <c r="L34" s="299" t="s">
        <v>824</v>
      </c>
      <c r="M34" s="346" t="s">
        <v>846</v>
      </c>
      <c r="N34" s="299" t="s">
        <v>743</v>
      </c>
    </row>
    <row r="35" spans="1:14" x14ac:dyDescent="0.3">
      <c r="A35" s="239" t="s">
        <v>178</v>
      </c>
      <c r="B35" s="346" t="s">
        <v>308</v>
      </c>
      <c r="C35" s="291">
        <v>24</v>
      </c>
      <c r="D35" s="291">
        <v>2000</v>
      </c>
      <c r="E35" s="291">
        <v>200</v>
      </c>
    </row>
    <row r="36" spans="1:14" x14ac:dyDescent="0.3">
      <c r="A36" s="239" t="s">
        <v>179</v>
      </c>
      <c r="B36" s="346" t="s">
        <v>310</v>
      </c>
      <c r="C36" s="291">
        <v>24</v>
      </c>
      <c r="D36" s="291">
        <v>2000</v>
      </c>
      <c r="E36" s="291">
        <v>1200</v>
      </c>
    </row>
    <row r="37" spans="1:14" x14ac:dyDescent="0.3">
      <c r="A37" s="239" t="s">
        <v>180</v>
      </c>
      <c r="B37" s="346" t="s">
        <v>322</v>
      </c>
      <c r="C37" s="291">
        <v>8</v>
      </c>
      <c r="D37" s="291">
        <v>800</v>
      </c>
      <c r="F37" s="291">
        <v>4000</v>
      </c>
    </row>
    <row r="38" spans="1:14" x14ac:dyDescent="0.3">
      <c r="A38" s="239" t="s">
        <v>309</v>
      </c>
      <c r="B38" s="346" t="s">
        <v>308</v>
      </c>
      <c r="C38" s="291">
        <v>24</v>
      </c>
      <c r="D38" s="291">
        <v>2000</v>
      </c>
      <c r="E38" s="291">
        <v>200</v>
      </c>
    </row>
    <row r="40" spans="1:14" ht="21" customHeight="1" x14ac:dyDescent="0.3">
      <c r="A40" s="286">
        <v>4</v>
      </c>
      <c r="B40" s="285" t="s">
        <v>181</v>
      </c>
      <c r="C40" s="292"/>
      <c r="D40" s="292"/>
      <c r="E40" s="292"/>
      <c r="F40" s="292"/>
      <c r="H40" s="351">
        <f>SUM(D41:F62)</f>
        <v>111450</v>
      </c>
    </row>
    <row r="41" spans="1:14" x14ac:dyDescent="0.3">
      <c r="A41" s="239" t="s">
        <v>182</v>
      </c>
      <c r="B41" s="346" t="s">
        <v>360</v>
      </c>
      <c r="C41" s="291">
        <v>24</v>
      </c>
      <c r="D41" s="291">
        <v>800</v>
      </c>
      <c r="F41" s="342">
        <v>55000</v>
      </c>
      <c r="I41" t="s">
        <v>731</v>
      </c>
      <c r="J41" s="346" t="s">
        <v>811</v>
      </c>
    </row>
    <row r="42" spans="1:14" x14ac:dyDescent="0.3">
      <c r="A42" s="239" t="s">
        <v>183</v>
      </c>
      <c r="B42" s="346" t="s">
        <v>5</v>
      </c>
      <c r="C42" s="293">
        <v>6</v>
      </c>
      <c r="D42" s="293">
        <v>300</v>
      </c>
      <c r="E42" s="293"/>
      <c r="F42" s="291">
        <v>900</v>
      </c>
    </row>
    <row r="43" spans="1:14" x14ac:dyDescent="0.3">
      <c r="A43" s="239" t="s">
        <v>185</v>
      </c>
      <c r="B43" s="346" t="s">
        <v>184</v>
      </c>
      <c r="C43" s="293">
        <v>12</v>
      </c>
      <c r="D43" s="293">
        <v>600</v>
      </c>
      <c r="E43" s="293"/>
    </row>
    <row r="44" spans="1:14" x14ac:dyDescent="0.3">
      <c r="A44" s="239" t="s">
        <v>187</v>
      </c>
      <c r="B44" s="346" t="s">
        <v>186</v>
      </c>
      <c r="C44" s="293">
        <v>12</v>
      </c>
      <c r="D44" s="293">
        <v>1000</v>
      </c>
      <c r="E44" s="293"/>
    </row>
    <row r="45" spans="1:14" x14ac:dyDescent="0.3">
      <c r="A45" s="239" t="s">
        <v>189</v>
      </c>
      <c r="B45" s="346" t="s">
        <v>188</v>
      </c>
      <c r="C45" s="293">
        <v>24</v>
      </c>
      <c r="D45" s="293">
        <v>2500</v>
      </c>
      <c r="E45" s="293"/>
      <c r="F45" s="295"/>
    </row>
    <row r="46" spans="1:14" x14ac:dyDescent="0.3">
      <c r="A46" s="239" t="s">
        <v>190</v>
      </c>
      <c r="B46" s="346" t="s">
        <v>323</v>
      </c>
      <c r="C46" s="293">
        <v>22</v>
      </c>
      <c r="D46" s="293">
        <v>1800</v>
      </c>
      <c r="E46" s="293"/>
    </row>
    <row r="47" spans="1:14" x14ac:dyDescent="0.3">
      <c r="A47" s="239" t="s">
        <v>192</v>
      </c>
      <c r="B47" s="346" t="s">
        <v>191</v>
      </c>
      <c r="C47" s="291">
        <v>10</v>
      </c>
      <c r="D47" s="291">
        <v>800</v>
      </c>
      <c r="F47" s="291">
        <v>600</v>
      </c>
    </row>
    <row r="48" spans="1:14" x14ac:dyDescent="0.3">
      <c r="A48" s="284" t="s">
        <v>193</v>
      </c>
      <c r="B48" t="s">
        <v>324</v>
      </c>
      <c r="C48" s="291">
        <v>18</v>
      </c>
      <c r="D48" s="291">
        <v>1600</v>
      </c>
      <c r="F48" s="291">
        <v>850</v>
      </c>
    </row>
    <row r="49" spans="1:10" x14ac:dyDescent="0.3">
      <c r="A49" s="239" t="s">
        <v>194</v>
      </c>
      <c r="B49" s="346" t="s">
        <v>307</v>
      </c>
      <c r="C49" s="291">
        <v>14</v>
      </c>
      <c r="D49" s="291">
        <v>1200</v>
      </c>
      <c r="F49" s="291">
        <v>250</v>
      </c>
    </row>
    <row r="50" spans="1:10" x14ac:dyDescent="0.3">
      <c r="A50" s="239" t="s">
        <v>195</v>
      </c>
      <c r="B50" t="s">
        <v>306</v>
      </c>
      <c r="C50" s="294"/>
      <c r="D50" s="294"/>
      <c r="E50" s="294"/>
      <c r="F50" s="294"/>
    </row>
    <row r="51" spans="1:10" x14ac:dyDescent="0.3">
      <c r="A51" s="239" t="s">
        <v>197</v>
      </c>
      <c r="B51" t="s">
        <v>325</v>
      </c>
      <c r="C51" s="294"/>
      <c r="D51" s="294"/>
      <c r="E51" s="294"/>
      <c r="F51" s="294"/>
    </row>
    <row r="52" spans="1:10" x14ac:dyDescent="0.3">
      <c r="A52" s="239" t="s">
        <v>198</v>
      </c>
      <c r="B52" t="s">
        <v>305</v>
      </c>
      <c r="C52" s="294"/>
      <c r="D52" s="294"/>
      <c r="E52" s="294"/>
      <c r="F52" s="294"/>
    </row>
    <row r="53" spans="1:10" x14ac:dyDescent="0.3">
      <c r="A53" s="239" t="s">
        <v>199</v>
      </c>
      <c r="B53" t="s">
        <v>196</v>
      </c>
      <c r="C53" s="294"/>
      <c r="D53" s="294"/>
      <c r="E53" s="294"/>
      <c r="F53" s="294"/>
    </row>
    <row r="54" spans="1:10" x14ac:dyDescent="0.3">
      <c r="A54" s="239" t="s">
        <v>200</v>
      </c>
      <c r="B54" s="346" t="s">
        <v>304</v>
      </c>
      <c r="C54" s="294">
        <v>6</v>
      </c>
      <c r="D54" s="294">
        <v>300</v>
      </c>
      <c r="E54" s="294"/>
      <c r="F54" s="294"/>
    </row>
    <row r="55" spans="1:10" x14ac:dyDescent="0.3">
      <c r="A55" s="239" t="s">
        <v>201</v>
      </c>
      <c r="B55" s="346" t="s">
        <v>295</v>
      </c>
      <c r="C55" s="294">
        <v>5</v>
      </c>
      <c r="D55" s="294">
        <v>3500</v>
      </c>
      <c r="E55" s="294"/>
      <c r="F55" s="294"/>
    </row>
    <row r="56" spans="1:10" x14ac:dyDescent="0.3">
      <c r="A56" s="239" t="s">
        <v>202</v>
      </c>
      <c r="B56" t="s">
        <v>303</v>
      </c>
      <c r="C56" s="294"/>
      <c r="D56" s="294"/>
      <c r="E56" s="294"/>
      <c r="F56" s="291">
        <v>16500</v>
      </c>
    </row>
    <row r="57" spans="1:10" x14ac:dyDescent="0.3">
      <c r="A57" s="239" t="s">
        <v>302</v>
      </c>
      <c r="B57" s="346" t="s">
        <v>741</v>
      </c>
      <c r="C57" s="291">
        <v>4</v>
      </c>
      <c r="D57" s="291">
        <v>500</v>
      </c>
      <c r="F57" s="347">
        <v>16500</v>
      </c>
      <c r="I57" t="s">
        <v>738</v>
      </c>
      <c r="J57">
        <f>35111.4/21</f>
        <v>1671.9714285714285</v>
      </c>
    </row>
    <row r="58" spans="1:10" x14ac:dyDescent="0.3">
      <c r="B58" s="346" t="s">
        <v>740</v>
      </c>
      <c r="C58" s="291">
        <v>1</v>
      </c>
      <c r="F58" s="347">
        <v>2750</v>
      </c>
      <c r="I58" t="s">
        <v>739</v>
      </c>
    </row>
    <row r="59" spans="1:10" x14ac:dyDescent="0.3">
      <c r="A59" s="239" t="s">
        <v>301</v>
      </c>
      <c r="B59" s="346" t="s">
        <v>742</v>
      </c>
      <c r="C59" s="291">
        <v>8</v>
      </c>
      <c r="D59" s="291">
        <v>1600</v>
      </c>
    </row>
    <row r="60" spans="1:10" x14ac:dyDescent="0.3">
      <c r="A60" s="239" t="s">
        <v>300</v>
      </c>
      <c r="B60" s="346" t="s">
        <v>203</v>
      </c>
      <c r="C60" s="291">
        <v>12</v>
      </c>
      <c r="D60" s="291">
        <v>1000</v>
      </c>
      <c r="E60" s="291">
        <v>600</v>
      </c>
      <c r="F60" s="342"/>
    </row>
    <row r="61" spans="1:10" x14ac:dyDescent="0.3">
      <c r="B61" t="s">
        <v>370</v>
      </c>
    </row>
    <row r="62" spans="1:10" x14ac:dyDescent="0.3">
      <c r="B62" s="346" t="s">
        <v>737</v>
      </c>
      <c r="C62" s="342">
        <v>5</v>
      </c>
      <c r="F62" s="347"/>
      <c r="I62" t="s">
        <v>845</v>
      </c>
    </row>
    <row r="63" spans="1:10" ht="21" customHeight="1" x14ac:dyDescent="0.3">
      <c r="A63" s="286">
        <v>5</v>
      </c>
      <c r="B63" s="285" t="s">
        <v>204</v>
      </c>
      <c r="C63" s="292"/>
      <c r="D63" s="292"/>
      <c r="E63" s="292"/>
      <c r="F63" s="292"/>
      <c r="H63" s="351">
        <f>SUM(D64:F88)</f>
        <v>32560</v>
      </c>
    </row>
    <row r="64" spans="1:10" x14ac:dyDescent="0.3">
      <c r="A64" s="239" t="s">
        <v>205</v>
      </c>
      <c r="B64" t="s">
        <v>747</v>
      </c>
      <c r="C64" s="294"/>
      <c r="D64" s="294"/>
      <c r="E64" s="294"/>
      <c r="F64" s="294"/>
    </row>
    <row r="65" spans="1:9" x14ac:dyDescent="0.3">
      <c r="A65" s="284" t="s">
        <v>206</v>
      </c>
      <c r="B65" s="346" t="s">
        <v>326</v>
      </c>
      <c r="C65" s="294"/>
      <c r="D65" s="294"/>
      <c r="E65" s="294"/>
      <c r="F65" s="347">
        <v>1250</v>
      </c>
      <c r="I65" t="s">
        <v>749</v>
      </c>
    </row>
    <row r="66" spans="1:9" x14ac:dyDescent="0.3">
      <c r="A66" s="284"/>
      <c r="B66" t="s">
        <v>327</v>
      </c>
      <c r="C66" s="294"/>
      <c r="D66" s="294"/>
      <c r="E66" s="294"/>
      <c r="F66" s="294"/>
    </row>
    <row r="67" spans="1:9" x14ac:dyDescent="0.3">
      <c r="A67" s="284"/>
      <c r="B67" s="348" t="s">
        <v>328</v>
      </c>
      <c r="C67" s="294"/>
      <c r="D67" s="294"/>
      <c r="E67" s="294"/>
      <c r="F67" s="294"/>
    </row>
    <row r="68" spans="1:9" x14ac:dyDescent="0.3">
      <c r="A68" s="239" t="s">
        <v>207</v>
      </c>
      <c r="B68" s="346" t="s">
        <v>299</v>
      </c>
      <c r="C68" s="294">
        <v>6</v>
      </c>
      <c r="D68" s="294"/>
      <c r="E68" s="294"/>
      <c r="F68" s="347">
        <v>2300</v>
      </c>
      <c r="I68" t="s">
        <v>749</v>
      </c>
    </row>
    <row r="69" spans="1:9" x14ac:dyDescent="0.3">
      <c r="A69" s="239" t="s">
        <v>208</v>
      </c>
      <c r="B69" s="346" t="s">
        <v>329</v>
      </c>
      <c r="C69" s="294">
        <v>12</v>
      </c>
      <c r="D69" s="294">
        <v>200</v>
      </c>
      <c r="E69" s="294"/>
      <c r="F69" s="347">
        <v>1000</v>
      </c>
      <c r="I69" t="s">
        <v>749</v>
      </c>
    </row>
    <row r="70" spans="1:9" x14ac:dyDescent="0.3">
      <c r="A70" s="239" t="s">
        <v>209</v>
      </c>
      <c r="B70" s="346" t="s">
        <v>330</v>
      </c>
      <c r="C70" s="294">
        <v>8</v>
      </c>
      <c r="D70" s="294">
        <v>200</v>
      </c>
      <c r="E70" s="294"/>
      <c r="F70" s="347">
        <v>1000</v>
      </c>
      <c r="I70" t="s">
        <v>749</v>
      </c>
    </row>
    <row r="71" spans="1:9" x14ac:dyDescent="0.3">
      <c r="A71" s="239" t="s">
        <v>212</v>
      </c>
      <c r="B71" s="346" t="s">
        <v>210</v>
      </c>
      <c r="C71" s="294">
        <v>16</v>
      </c>
      <c r="D71" s="294">
        <v>300</v>
      </c>
      <c r="E71" s="294"/>
      <c r="F71" s="294"/>
    </row>
    <row r="72" spans="1:9" x14ac:dyDescent="0.3">
      <c r="A72" s="239" t="s">
        <v>214</v>
      </c>
      <c r="B72" t="s">
        <v>211</v>
      </c>
      <c r="C72" s="294"/>
      <c r="D72" s="294"/>
      <c r="E72" s="294"/>
      <c r="F72" s="294"/>
    </row>
    <row r="73" spans="1:9" x14ac:dyDescent="0.3">
      <c r="A73" s="239" t="s">
        <v>215</v>
      </c>
      <c r="B73" t="s">
        <v>298</v>
      </c>
      <c r="C73" s="294"/>
      <c r="D73" s="294"/>
      <c r="E73" s="294"/>
      <c r="F73" s="294"/>
    </row>
    <row r="74" spans="1:9" x14ac:dyDescent="0.3">
      <c r="A74" s="239" t="s">
        <v>216</v>
      </c>
      <c r="B74" s="348" t="s">
        <v>213</v>
      </c>
      <c r="C74" s="294"/>
      <c r="D74" s="294"/>
      <c r="E74" s="294"/>
      <c r="F74" s="294"/>
    </row>
    <row r="75" spans="1:9" x14ac:dyDescent="0.3">
      <c r="A75" s="239" t="s">
        <v>219</v>
      </c>
      <c r="B75" s="346" t="s">
        <v>748</v>
      </c>
      <c r="C75" s="294">
        <v>16</v>
      </c>
      <c r="D75" s="294">
        <v>400</v>
      </c>
      <c r="E75" s="294"/>
      <c r="F75" s="347">
        <v>1250</v>
      </c>
      <c r="I75" t="s">
        <v>749</v>
      </c>
    </row>
    <row r="76" spans="1:9" x14ac:dyDescent="0.3">
      <c r="A76" s="239" t="s">
        <v>220</v>
      </c>
      <c r="B76" s="346" t="s">
        <v>751</v>
      </c>
      <c r="C76" s="291">
        <v>30</v>
      </c>
      <c r="D76" s="291">
        <v>700</v>
      </c>
      <c r="F76" s="347">
        <v>1160</v>
      </c>
    </row>
    <row r="77" spans="1:9" x14ac:dyDescent="0.3">
      <c r="A77" s="239" t="s">
        <v>221</v>
      </c>
      <c r="B77" s="346" t="s">
        <v>217</v>
      </c>
      <c r="C77" s="294">
        <v>12</v>
      </c>
      <c r="D77" s="294">
        <v>400</v>
      </c>
      <c r="E77" s="294"/>
      <c r="F77" s="347">
        <v>1500</v>
      </c>
    </row>
    <row r="78" spans="1:9" x14ac:dyDescent="0.3">
      <c r="A78" s="239" t="s">
        <v>222</v>
      </c>
      <c r="B78" t="s">
        <v>331</v>
      </c>
      <c r="C78" s="294"/>
      <c r="D78" s="294"/>
      <c r="E78" s="294"/>
      <c r="F78" s="294"/>
    </row>
    <row r="79" spans="1:9" x14ac:dyDescent="0.3">
      <c r="A79" s="239" t="s">
        <v>297</v>
      </c>
      <c r="B79" s="346" t="s">
        <v>218</v>
      </c>
      <c r="C79" s="291">
        <v>12</v>
      </c>
      <c r="D79" s="342">
        <v>7000</v>
      </c>
    </row>
    <row r="80" spans="1:9" x14ac:dyDescent="0.3">
      <c r="A80" s="239" t="s">
        <v>296</v>
      </c>
      <c r="B80" s="346" t="s">
        <v>295</v>
      </c>
      <c r="C80" s="291">
        <v>16</v>
      </c>
      <c r="D80" s="291">
        <v>300</v>
      </c>
    </row>
    <row r="81" spans="1:9" x14ac:dyDescent="0.3">
      <c r="A81" s="239" t="s">
        <v>294</v>
      </c>
      <c r="B81" s="346" t="s">
        <v>332</v>
      </c>
      <c r="C81" s="291">
        <v>8</v>
      </c>
      <c r="D81" s="291">
        <v>500</v>
      </c>
    </row>
    <row r="82" spans="1:9" x14ac:dyDescent="0.3">
      <c r="A82" s="239" t="s">
        <v>293</v>
      </c>
      <c r="B82" t="s">
        <v>333</v>
      </c>
      <c r="C82" s="291">
        <v>2</v>
      </c>
      <c r="D82" s="291">
        <v>300</v>
      </c>
      <c r="F82" s="342">
        <v>2200</v>
      </c>
    </row>
    <row r="83" spans="1:9" x14ac:dyDescent="0.3">
      <c r="A83" s="239" t="s">
        <v>292</v>
      </c>
      <c r="B83" s="346" t="s">
        <v>291</v>
      </c>
      <c r="C83" s="294">
        <v>2</v>
      </c>
      <c r="D83" s="294">
        <v>200</v>
      </c>
      <c r="E83" s="294"/>
      <c r="F83" s="342">
        <v>400</v>
      </c>
    </row>
    <row r="84" spans="1:9" x14ac:dyDescent="0.3">
      <c r="A84" s="239" t="s">
        <v>290</v>
      </c>
      <c r="B84" s="346" t="s">
        <v>334</v>
      </c>
      <c r="C84" s="291">
        <v>50</v>
      </c>
      <c r="D84" s="342">
        <v>10000</v>
      </c>
    </row>
    <row r="85" spans="1:9" x14ac:dyDescent="0.3">
      <c r="A85" s="239" t="s">
        <v>289</v>
      </c>
      <c r="B85" t="s">
        <v>335</v>
      </c>
    </row>
    <row r="86" spans="1:9" x14ac:dyDescent="0.3">
      <c r="B86" t="s">
        <v>336</v>
      </c>
    </row>
    <row r="87" spans="1:9" x14ac:dyDescent="0.3">
      <c r="B87" t="s">
        <v>337</v>
      </c>
    </row>
    <row r="88" spans="1:9" x14ac:dyDescent="0.3">
      <c r="B88" t="s">
        <v>338</v>
      </c>
    </row>
    <row r="89" spans="1:9" ht="21" customHeight="1" x14ac:dyDescent="0.3">
      <c r="A89" s="286">
        <v>6</v>
      </c>
      <c r="B89" s="285" t="s">
        <v>0</v>
      </c>
      <c r="C89" s="292"/>
      <c r="D89" s="292"/>
      <c r="E89" s="292"/>
      <c r="F89" s="292"/>
      <c r="H89" s="351"/>
    </row>
    <row r="90" spans="1:9" x14ac:dyDescent="0.3">
      <c r="A90" s="239" t="s">
        <v>223</v>
      </c>
      <c r="B90" t="s">
        <v>339</v>
      </c>
      <c r="C90" s="296">
        <v>24</v>
      </c>
      <c r="D90" s="294">
        <v>1000</v>
      </c>
      <c r="E90" s="294"/>
      <c r="F90" s="294"/>
    </row>
    <row r="91" spans="1:9" x14ac:dyDescent="0.3">
      <c r="A91" s="239" t="s">
        <v>224</v>
      </c>
      <c r="B91" s="346" t="s">
        <v>227</v>
      </c>
      <c r="C91" s="296">
        <v>48</v>
      </c>
      <c r="D91" s="294">
        <v>1000</v>
      </c>
      <c r="E91" s="294"/>
      <c r="F91" s="294"/>
    </row>
    <row r="92" spans="1:9" x14ac:dyDescent="0.3">
      <c r="A92" s="239" t="s">
        <v>226</v>
      </c>
      <c r="B92" t="s">
        <v>344</v>
      </c>
      <c r="C92" s="296">
        <v>24</v>
      </c>
      <c r="D92" s="294">
        <v>1000</v>
      </c>
      <c r="E92" s="294"/>
      <c r="F92" s="294"/>
    </row>
    <row r="93" spans="1:9" x14ac:dyDescent="0.3">
      <c r="A93" s="239" t="s">
        <v>228</v>
      </c>
      <c r="B93" t="s">
        <v>288</v>
      </c>
      <c r="C93" s="296">
        <v>20</v>
      </c>
      <c r="D93" s="294">
        <v>400</v>
      </c>
      <c r="E93" s="294"/>
      <c r="F93" s="294">
        <v>2500</v>
      </c>
      <c r="I93" t="s">
        <v>823</v>
      </c>
    </row>
    <row r="94" spans="1:9" x14ac:dyDescent="0.3">
      <c r="A94" s="239" t="s">
        <v>229</v>
      </c>
      <c r="B94" s="287" t="s">
        <v>253</v>
      </c>
      <c r="C94" s="296"/>
      <c r="D94" s="296"/>
      <c r="E94" s="294"/>
      <c r="F94" s="294"/>
    </row>
    <row r="95" spans="1:9" x14ac:dyDescent="0.3">
      <c r="A95" s="239" t="s">
        <v>230</v>
      </c>
      <c r="B95" t="s">
        <v>225</v>
      </c>
      <c r="C95" s="296">
        <v>12</v>
      </c>
      <c r="D95" s="294">
        <v>600</v>
      </c>
      <c r="E95" s="294"/>
      <c r="F95" s="294"/>
    </row>
    <row r="96" spans="1:9" x14ac:dyDescent="0.3">
      <c r="A96" s="239" t="s">
        <v>231</v>
      </c>
      <c r="B96" t="s">
        <v>227</v>
      </c>
      <c r="C96" s="296"/>
      <c r="D96" s="294"/>
      <c r="E96" s="294"/>
      <c r="F96" s="294"/>
    </row>
    <row r="97" spans="1:31" s="299" customFormat="1" x14ac:dyDescent="0.3">
      <c r="A97" s="239" t="s">
        <v>232</v>
      </c>
      <c r="B97" s="346" t="s">
        <v>770</v>
      </c>
      <c r="C97" s="296">
        <v>1</v>
      </c>
      <c r="D97" s="294"/>
      <c r="E97" s="294"/>
      <c r="F97" s="347">
        <v>4000</v>
      </c>
      <c r="H97"/>
      <c r="I97"/>
      <c r="J97"/>
      <c r="K97"/>
      <c r="L97"/>
      <c r="M97"/>
      <c r="N97"/>
      <c r="O97"/>
      <c r="P97"/>
      <c r="Q97"/>
      <c r="R97"/>
      <c r="S97"/>
      <c r="T97"/>
      <c r="U97"/>
      <c r="V97"/>
      <c r="W97"/>
      <c r="X97"/>
      <c r="Y97"/>
      <c r="Z97"/>
      <c r="AA97"/>
      <c r="AB97"/>
      <c r="AC97"/>
      <c r="AD97"/>
      <c r="AE97"/>
    </row>
    <row r="98" spans="1:31" s="299" customFormat="1" x14ac:dyDescent="0.3">
      <c r="A98" s="239" t="s">
        <v>233</v>
      </c>
      <c r="B98" s="346" t="s">
        <v>251</v>
      </c>
      <c r="C98" s="294">
        <v>1</v>
      </c>
      <c r="D98" s="294">
        <v>200</v>
      </c>
      <c r="E98" s="294"/>
      <c r="F98" s="347">
        <v>400</v>
      </c>
      <c r="H98"/>
      <c r="I98"/>
      <c r="J98"/>
      <c r="K98"/>
      <c r="L98"/>
      <c r="M98"/>
      <c r="N98"/>
      <c r="O98"/>
      <c r="P98"/>
      <c r="Q98"/>
      <c r="R98"/>
      <c r="S98"/>
      <c r="T98"/>
      <c r="U98"/>
      <c r="V98"/>
      <c r="W98"/>
      <c r="X98"/>
      <c r="Y98"/>
      <c r="Z98"/>
      <c r="AA98"/>
      <c r="AB98"/>
      <c r="AC98"/>
      <c r="AD98"/>
      <c r="AE98"/>
    </row>
    <row r="99" spans="1:31" s="299" customFormat="1" x14ac:dyDescent="0.3">
      <c r="A99" s="239" t="s">
        <v>234</v>
      </c>
      <c r="B99" s="346" t="s">
        <v>282</v>
      </c>
      <c r="C99" s="294">
        <v>1</v>
      </c>
      <c r="D99" s="294">
        <v>200</v>
      </c>
      <c r="E99" s="294"/>
      <c r="F99" s="347">
        <v>400</v>
      </c>
      <c r="H99"/>
      <c r="I99"/>
      <c r="J99"/>
      <c r="K99"/>
      <c r="L99"/>
      <c r="M99"/>
      <c r="N99"/>
      <c r="O99"/>
      <c r="P99"/>
      <c r="Q99"/>
      <c r="R99"/>
      <c r="S99"/>
      <c r="T99"/>
      <c r="U99"/>
      <c r="V99"/>
      <c r="W99"/>
      <c r="X99"/>
      <c r="Y99"/>
      <c r="Z99"/>
      <c r="AA99"/>
      <c r="AB99"/>
      <c r="AC99"/>
      <c r="AD99"/>
      <c r="AE99"/>
    </row>
    <row r="100" spans="1:31" s="299" customFormat="1" x14ac:dyDescent="0.3">
      <c r="A100" s="239"/>
      <c r="B100" s="346" t="s">
        <v>767</v>
      </c>
      <c r="C100" s="294">
        <v>1</v>
      </c>
      <c r="D100" s="294">
        <v>200</v>
      </c>
      <c r="E100" s="294"/>
      <c r="F100" s="347">
        <v>1500</v>
      </c>
      <c r="H100"/>
      <c r="I100"/>
      <c r="J100"/>
      <c r="K100"/>
      <c r="L100"/>
      <c r="M100"/>
      <c r="N100"/>
      <c r="O100"/>
      <c r="P100"/>
      <c r="Q100"/>
      <c r="R100"/>
      <c r="S100"/>
      <c r="T100"/>
      <c r="U100"/>
      <c r="V100"/>
      <c r="W100"/>
      <c r="X100"/>
      <c r="Y100"/>
      <c r="Z100"/>
      <c r="AA100"/>
      <c r="AB100"/>
      <c r="AC100"/>
      <c r="AD100"/>
      <c r="AE100"/>
    </row>
    <row r="101" spans="1:31" s="299" customFormat="1" x14ac:dyDescent="0.3">
      <c r="A101" s="239" t="s">
        <v>236</v>
      </c>
      <c r="B101" s="346" t="s">
        <v>768</v>
      </c>
      <c r="C101" s="294">
        <v>1</v>
      </c>
      <c r="D101" s="294">
        <v>200</v>
      </c>
      <c r="E101" s="294"/>
      <c r="F101" s="347">
        <v>3000</v>
      </c>
      <c r="H101"/>
      <c r="I101"/>
      <c r="J101"/>
      <c r="K101"/>
      <c r="L101"/>
      <c r="M101"/>
      <c r="N101"/>
      <c r="O101"/>
      <c r="P101"/>
      <c r="Q101"/>
      <c r="R101"/>
      <c r="S101"/>
      <c r="T101"/>
      <c r="U101"/>
      <c r="V101"/>
      <c r="W101"/>
      <c r="X101"/>
      <c r="Y101"/>
      <c r="Z101"/>
      <c r="AA101"/>
      <c r="AB101"/>
      <c r="AC101"/>
      <c r="AD101"/>
      <c r="AE101"/>
    </row>
    <row r="102" spans="1:31" s="299" customFormat="1" x14ac:dyDescent="0.3">
      <c r="A102" s="239" t="s">
        <v>233</v>
      </c>
      <c r="B102" s="346" t="s">
        <v>769</v>
      </c>
      <c r="C102" s="294">
        <v>1</v>
      </c>
      <c r="D102" s="294"/>
      <c r="E102" s="294"/>
      <c r="F102" s="347">
        <v>3500</v>
      </c>
      <c r="H102"/>
      <c r="I102"/>
      <c r="J102"/>
      <c r="K102"/>
      <c r="L102"/>
      <c r="M102"/>
      <c r="N102"/>
      <c r="O102"/>
      <c r="P102"/>
      <c r="Q102"/>
      <c r="R102"/>
      <c r="S102"/>
      <c r="T102"/>
      <c r="U102"/>
      <c r="V102"/>
      <c r="W102"/>
      <c r="X102"/>
      <c r="Y102"/>
      <c r="Z102"/>
      <c r="AA102"/>
      <c r="AB102"/>
      <c r="AC102"/>
      <c r="AD102"/>
      <c r="AE102"/>
    </row>
    <row r="103" spans="1:31" s="299" customFormat="1" x14ac:dyDescent="0.3">
      <c r="A103" s="239"/>
      <c r="B103" s="346" t="s">
        <v>766</v>
      </c>
      <c r="C103" s="294">
        <v>1</v>
      </c>
      <c r="D103" s="294"/>
      <c r="E103" s="294"/>
      <c r="F103" s="347">
        <v>550</v>
      </c>
      <c r="H103"/>
      <c r="I103"/>
      <c r="J103"/>
      <c r="K103"/>
      <c r="L103"/>
      <c r="M103"/>
      <c r="N103"/>
      <c r="O103"/>
      <c r="P103"/>
      <c r="Q103"/>
      <c r="R103"/>
      <c r="S103"/>
      <c r="T103"/>
      <c r="U103"/>
      <c r="V103"/>
      <c r="W103"/>
      <c r="X103"/>
      <c r="Y103"/>
      <c r="Z103"/>
      <c r="AA103"/>
      <c r="AB103"/>
      <c r="AC103"/>
      <c r="AD103"/>
      <c r="AE103"/>
    </row>
    <row r="104" spans="1:31" x14ac:dyDescent="0.3">
      <c r="A104" s="239" t="s">
        <v>240</v>
      </c>
      <c r="B104" t="s">
        <v>361</v>
      </c>
      <c r="C104" s="294"/>
      <c r="D104" s="294"/>
      <c r="E104" s="294"/>
      <c r="F104" s="294"/>
    </row>
    <row r="105" spans="1:31" s="299" customFormat="1" x14ac:dyDescent="0.3">
      <c r="A105" s="239"/>
      <c r="B105" s="346" t="s">
        <v>287</v>
      </c>
      <c r="C105" s="296">
        <v>1</v>
      </c>
      <c r="D105" s="294">
        <v>100</v>
      </c>
      <c r="E105" s="294"/>
      <c r="F105" s="347">
        <v>1000</v>
      </c>
      <c r="H105"/>
      <c r="I105"/>
      <c r="J105"/>
      <c r="K105"/>
      <c r="L105"/>
      <c r="M105"/>
      <c r="N105"/>
      <c r="O105"/>
      <c r="P105"/>
      <c r="Q105"/>
      <c r="R105"/>
      <c r="S105"/>
      <c r="T105"/>
      <c r="U105"/>
      <c r="V105"/>
      <c r="W105"/>
      <c r="X105"/>
      <c r="Y105"/>
      <c r="Z105"/>
      <c r="AA105"/>
      <c r="AB105"/>
      <c r="AC105"/>
      <c r="AD105"/>
      <c r="AE105"/>
    </row>
    <row r="106" spans="1:31" s="299" customFormat="1" x14ac:dyDescent="0.3">
      <c r="A106" s="239"/>
      <c r="B106" s="346" t="s">
        <v>362</v>
      </c>
      <c r="C106" s="343">
        <v>1</v>
      </c>
      <c r="D106" s="294">
        <v>100</v>
      </c>
      <c r="E106" s="294"/>
      <c r="F106" s="347">
        <v>800</v>
      </c>
      <c r="H106"/>
      <c r="I106"/>
      <c r="J106"/>
      <c r="K106"/>
      <c r="L106"/>
      <c r="M106"/>
      <c r="N106"/>
      <c r="O106"/>
      <c r="P106"/>
      <c r="Q106"/>
      <c r="R106"/>
      <c r="S106"/>
      <c r="T106"/>
      <c r="U106"/>
      <c r="V106"/>
      <c r="W106"/>
      <c r="X106"/>
      <c r="Y106"/>
      <c r="Z106"/>
      <c r="AA106"/>
      <c r="AB106"/>
      <c r="AC106"/>
      <c r="AD106"/>
      <c r="AE106"/>
    </row>
    <row r="107" spans="1:31" s="299" customFormat="1" x14ac:dyDescent="0.3">
      <c r="A107" s="239"/>
      <c r="B107" t="s">
        <v>363</v>
      </c>
      <c r="C107" s="294"/>
      <c r="D107" s="294"/>
      <c r="E107" s="294"/>
      <c r="F107" s="294"/>
      <c r="H107"/>
      <c r="I107"/>
      <c r="J107"/>
      <c r="K107"/>
      <c r="L107"/>
      <c r="M107"/>
      <c r="N107"/>
      <c r="O107"/>
      <c r="P107"/>
      <c r="Q107"/>
      <c r="R107"/>
      <c r="S107"/>
      <c r="T107"/>
      <c r="U107"/>
      <c r="V107"/>
      <c r="W107"/>
      <c r="X107"/>
      <c r="Y107"/>
      <c r="Z107"/>
      <c r="AA107"/>
      <c r="AB107"/>
      <c r="AC107"/>
      <c r="AD107"/>
      <c r="AE107"/>
    </row>
    <row r="108" spans="1:31" s="299" customFormat="1" x14ac:dyDescent="0.3">
      <c r="A108" s="239" t="s">
        <v>243</v>
      </c>
      <c r="B108" s="346" t="s">
        <v>348</v>
      </c>
      <c r="C108" s="294">
        <v>1</v>
      </c>
      <c r="D108" s="294">
        <v>100</v>
      </c>
      <c r="E108" s="294"/>
      <c r="F108" s="347">
        <v>150</v>
      </c>
      <c r="H108"/>
      <c r="I108"/>
      <c r="J108"/>
      <c r="K108"/>
      <c r="L108"/>
      <c r="M108"/>
      <c r="N108"/>
      <c r="O108"/>
      <c r="P108"/>
      <c r="Q108"/>
      <c r="R108"/>
      <c r="S108"/>
      <c r="T108"/>
      <c r="U108"/>
      <c r="V108"/>
      <c r="W108"/>
      <c r="X108"/>
      <c r="Y108"/>
      <c r="Z108"/>
      <c r="AA108"/>
      <c r="AB108"/>
      <c r="AC108"/>
      <c r="AD108"/>
      <c r="AE108"/>
    </row>
    <row r="109" spans="1:31" x14ac:dyDescent="0.3">
      <c r="A109" s="239" t="s">
        <v>244</v>
      </c>
      <c r="B109" s="346" t="s">
        <v>771</v>
      </c>
      <c r="C109" s="294">
        <v>1</v>
      </c>
      <c r="D109" s="294">
        <v>100</v>
      </c>
      <c r="E109" s="294"/>
      <c r="F109" s="347">
        <v>100</v>
      </c>
    </row>
    <row r="110" spans="1:31" x14ac:dyDescent="0.3">
      <c r="B110" s="346" t="s">
        <v>597</v>
      </c>
      <c r="C110" s="294">
        <v>1</v>
      </c>
      <c r="D110" s="294"/>
      <c r="E110" s="294"/>
      <c r="F110" s="347">
        <v>850</v>
      </c>
    </row>
    <row r="111" spans="1:31" x14ac:dyDescent="0.3">
      <c r="A111" s="239" t="s">
        <v>234</v>
      </c>
      <c r="B111" t="s">
        <v>364</v>
      </c>
      <c r="C111" s="294"/>
      <c r="D111" s="294"/>
      <c r="E111" s="294"/>
      <c r="F111" s="294"/>
    </row>
    <row r="112" spans="1:31" x14ac:dyDescent="0.3">
      <c r="B112" s="346" t="s">
        <v>772</v>
      </c>
      <c r="C112" s="294">
        <v>1</v>
      </c>
      <c r="D112" s="294"/>
      <c r="E112" s="294"/>
      <c r="F112" s="347">
        <v>2100</v>
      </c>
    </row>
    <row r="113" spans="1:6" x14ac:dyDescent="0.3">
      <c r="A113" s="239" t="s">
        <v>235</v>
      </c>
      <c r="B113" t="s">
        <v>345</v>
      </c>
      <c r="C113" s="294"/>
      <c r="D113" s="294"/>
      <c r="E113" s="294"/>
      <c r="F113" s="294"/>
    </row>
    <row r="114" spans="1:6" x14ac:dyDescent="0.3">
      <c r="B114" s="346" t="s">
        <v>601</v>
      </c>
      <c r="C114" s="294">
        <v>1</v>
      </c>
      <c r="D114" s="294"/>
      <c r="E114" s="294"/>
      <c r="F114" s="294">
        <v>2500</v>
      </c>
    </row>
    <row r="115" spans="1:6" x14ac:dyDescent="0.3">
      <c r="A115" s="239" t="s">
        <v>236</v>
      </c>
      <c r="B115" t="s">
        <v>346</v>
      </c>
      <c r="C115" s="294"/>
      <c r="D115" s="294"/>
      <c r="E115" s="294"/>
      <c r="F115" s="294"/>
    </row>
    <row r="116" spans="1:6" x14ac:dyDescent="0.3">
      <c r="A116" s="239" t="s">
        <v>237</v>
      </c>
      <c r="B116" t="s">
        <v>347</v>
      </c>
      <c r="C116" s="294"/>
      <c r="D116" s="294"/>
      <c r="E116" s="294"/>
      <c r="F116" s="294"/>
    </row>
    <row r="117" spans="1:6" x14ac:dyDescent="0.3">
      <c r="B117" s="346" t="s">
        <v>603</v>
      </c>
      <c r="C117" s="294">
        <v>1</v>
      </c>
      <c r="D117" s="294"/>
      <c r="E117" s="294"/>
      <c r="F117" s="347">
        <v>175</v>
      </c>
    </row>
    <row r="118" spans="1:6" x14ac:dyDescent="0.3">
      <c r="B118" s="346" t="s">
        <v>773</v>
      </c>
      <c r="C118" s="294">
        <v>1</v>
      </c>
      <c r="D118" s="294"/>
      <c r="E118" s="294"/>
      <c r="F118" s="347">
        <v>180</v>
      </c>
    </row>
    <row r="119" spans="1:6" x14ac:dyDescent="0.3">
      <c r="B119" s="346" t="s">
        <v>607</v>
      </c>
      <c r="C119" s="294">
        <v>1</v>
      </c>
      <c r="D119" s="294"/>
      <c r="E119" s="294"/>
      <c r="F119" s="347">
        <v>250</v>
      </c>
    </row>
    <row r="120" spans="1:6" x14ac:dyDescent="0.3">
      <c r="A120" s="239" t="s">
        <v>238</v>
      </c>
      <c r="B120" t="s">
        <v>242</v>
      </c>
      <c r="C120" s="294"/>
      <c r="D120" s="294"/>
      <c r="E120" s="294"/>
      <c r="F120" s="294"/>
    </row>
    <row r="121" spans="1:6" x14ac:dyDescent="0.3">
      <c r="A121" s="300" t="s">
        <v>239</v>
      </c>
      <c r="B121" s="346" t="s">
        <v>756</v>
      </c>
      <c r="C121" s="294">
        <v>16</v>
      </c>
      <c r="D121" s="294">
        <v>500</v>
      </c>
      <c r="E121" s="294">
        <v>300</v>
      </c>
      <c r="F121" s="347">
        <v>18000</v>
      </c>
    </row>
    <row r="122" spans="1:6" x14ac:dyDescent="0.3">
      <c r="A122" s="239" t="s">
        <v>241</v>
      </c>
      <c r="B122" t="s">
        <v>350</v>
      </c>
      <c r="C122" s="294"/>
      <c r="D122" s="294"/>
      <c r="E122" s="294"/>
      <c r="F122" s="294"/>
    </row>
    <row r="123" spans="1:6" x14ac:dyDescent="0.3">
      <c r="B123" t="s">
        <v>351</v>
      </c>
      <c r="C123" s="294"/>
      <c r="D123" s="294"/>
      <c r="E123" s="294"/>
      <c r="F123" s="294"/>
    </row>
    <row r="124" spans="1:6" x14ac:dyDescent="0.3">
      <c r="B124" s="346" t="s">
        <v>612</v>
      </c>
      <c r="C124" s="294">
        <v>1</v>
      </c>
      <c r="D124" s="294"/>
      <c r="E124" s="294"/>
      <c r="F124" s="347">
        <v>450</v>
      </c>
    </row>
    <row r="125" spans="1:6" x14ac:dyDescent="0.3">
      <c r="B125" s="346" t="s">
        <v>774</v>
      </c>
      <c r="C125" s="294">
        <v>1</v>
      </c>
      <c r="D125" s="294"/>
      <c r="E125" s="294"/>
      <c r="F125" s="347">
        <v>4750</v>
      </c>
    </row>
    <row r="126" spans="1:6" x14ac:dyDescent="0.3">
      <c r="B126" s="346" t="s">
        <v>775</v>
      </c>
      <c r="C126" s="294">
        <v>1</v>
      </c>
      <c r="D126" s="294"/>
      <c r="E126" s="294"/>
      <c r="F126" s="347">
        <v>4750</v>
      </c>
    </row>
    <row r="127" spans="1:6" x14ac:dyDescent="0.3">
      <c r="B127" s="346" t="s">
        <v>776</v>
      </c>
      <c r="C127" s="294">
        <v>1</v>
      </c>
      <c r="D127" s="294"/>
      <c r="E127" s="294"/>
      <c r="F127" s="347">
        <v>450</v>
      </c>
    </row>
    <row r="128" spans="1:6" x14ac:dyDescent="0.3">
      <c r="B128" s="346" t="s">
        <v>619</v>
      </c>
      <c r="C128" s="294">
        <v>1</v>
      </c>
      <c r="D128" s="294"/>
      <c r="E128" s="294"/>
      <c r="F128" s="347">
        <v>150</v>
      </c>
    </row>
    <row r="129" spans="1:6" x14ac:dyDescent="0.3">
      <c r="B129" s="346" t="s">
        <v>777</v>
      </c>
      <c r="C129" s="294">
        <v>1</v>
      </c>
      <c r="D129" s="294"/>
      <c r="E129" s="294"/>
      <c r="F129" s="347">
        <v>30</v>
      </c>
    </row>
    <row r="130" spans="1:6" x14ac:dyDescent="0.3">
      <c r="B130" s="346" t="s">
        <v>778</v>
      </c>
      <c r="C130" s="294">
        <v>1</v>
      </c>
      <c r="D130" s="294"/>
      <c r="E130" s="294"/>
      <c r="F130" s="347">
        <v>250</v>
      </c>
    </row>
    <row r="131" spans="1:6" x14ac:dyDescent="0.3">
      <c r="B131" s="346" t="s">
        <v>780</v>
      </c>
      <c r="C131" s="294">
        <v>1</v>
      </c>
      <c r="D131" s="294"/>
      <c r="E131" s="294"/>
      <c r="F131" s="347">
        <v>200</v>
      </c>
    </row>
    <row r="132" spans="1:6" x14ac:dyDescent="0.3">
      <c r="B132" s="346" t="s">
        <v>779</v>
      </c>
      <c r="C132" s="294">
        <v>1</v>
      </c>
      <c r="D132" s="294"/>
      <c r="E132" s="294"/>
      <c r="F132" s="347">
        <v>850</v>
      </c>
    </row>
    <row r="133" spans="1:6" x14ac:dyDescent="0.3">
      <c r="B133" s="346" t="s">
        <v>781</v>
      </c>
      <c r="C133" s="294">
        <v>1</v>
      </c>
      <c r="D133" s="294"/>
      <c r="E133" s="294"/>
      <c r="F133" s="347"/>
    </row>
    <row r="134" spans="1:6" x14ac:dyDescent="0.3">
      <c r="A134" s="300" t="s">
        <v>245</v>
      </c>
      <c r="B134" t="s">
        <v>354</v>
      </c>
      <c r="C134" s="294"/>
      <c r="D134" s="294"/>
      <c r="E134" s="294"/>
      <c r="F134" s="294"/>
    </row>
    <row r="135" spans="1:6" x14ac:dyDescent="0.3">
      <c r="A135" s="239" t="s">
        <v>246</v>
      </c>
      <c r="B135" t="s">
        <v>355</v>
      </c>
      <c r="C135" s="294"/>
      <c r="D135" s="294"/>
      <c r="E135" s="294"/>
      <c r="F135" s="294"/>
    </row>
    <row r="136" spans="1:6" x14ac:dyDescent="0.3">
      <c r="B136" t="s">
        <v>365</v>
      </c>
      <c r="C136" s="294"/>
      <c r="D136" s="294"/>
      <c r="E136" s="294"/>
      <c r="F136" s="294"/>
    </row>
    <row r="137" spans="1:6" x14ac:dyDescent="0.3">
      <c r="B137" t="s">
        <v>283</v>
      </c>
      <c r="C137" s="294"/>
      <c r="D137" s="294"/>
      <c r="E137" s="294"/>
      <c r="F137" s="294"/>
    </row>
    <row r="138" spans="1:6" x14ac:dyDescent="0.3">
      <c r="A138" s="239" t="s">
        <v>247</v>
      </c>
      <c r="B138" t="s">
        <v>286</v>
      </c>
      <c r="C138" s="296"/>
      <c r="D138" s="294"/>
      <c r="E138" s="294"/>
      <c r="F138" s="294"/>
    </row>
    <row r="139" spans="1:6" x14ac:dyDescent="0.3">
      <c r="B139" t="s">
        <v>366</v>
      </c>
      <c r="C139" s="296"/>
      <c r="D139" s="294"/>
      <c r="E139" s="294"/>
      <c r="F139" s="294"/>
    </row>
    <row r="140" spans="1:6" x14ac:dyDescent="0.3">
      <c r="B140" t="s">
        <v>349</v>
      </c>
      <c r="C140" s="294"/>
      <c r="D140" s="294"/>
      <c r="E140" s="294"/>
      <c r="F140" s="294"/>
    </row>
    <row r="141" spans="1:6" x14ac:dyDescent="0.3">
      <c r="B141" t="s">
        <v>367</v>
      </c>
      <c r="C141" s="296"/>
      <c r="D141" s="294"/>
      <c r="E141" s="294"/>
      <c r="F141" s="294"/>
    </row>
    <row r="142" spans="1:6" x14ac:dyDescent="0.3">
      <c r="B142" t="s">
        <v>352</v>
      </c>
      <c r="C142" s="294"/>
      <c r="D142" s="294"/>
      <c r="E142" s="294"/>
      <c r="F142" s="294"/>
    </row>
    <row r="143" spans="1:6" x14ac:dyDescent="0.3">
      <c r="A143" s="239" t="s">
        <v>248</v>
      </c>
      <c r="B143" t="s">
        <v>368</v>
      </c>
      <c r="C143" s="296"/>
      <c r="D143" s="294"/>
      <c r="E143" s="294"/>
      <c r="F143" s="294"/>
    </row>
    <row r="144" spans="1:6" x14ac:dyDescent="0.3">
      <c r="A144" s="239" t="s">
        <v>249</v>
      </c>
      <c r="B144" t="s">
        <v>340</v>
      </c>
      <c r="C144" s="294"/>
      <c r="D144" s="294"/>
      <c r="E144" s="294"/>
      <c r="F144" s="294"/>
    </row>
    <row r="145" spans="1:6" x14ac:dyDescent="0.3">
      <c r="A145" s="239" t="s">
        <v>250</v>
      </c>
      <c r="B145" t="s">
        <v>353</v>
      </c>
      <c r="C145" s="294"/>
      <c r="D145" s="294"/>
      <c r="E145" s="294"/>
      <c r="F145" s="294"/>
    </row>
    <row r="146" spans="1:6" x14ac:dyDescent="0.3">
      <c r="B146" t="s">
        <v>285</v>
      </c>
      <c r="C146" s="294"/>
      <c r="D146" s="294"/>
      <c r="E146" s="294"/>
      <c r="F146" s="294"/>
    </row>
    <row r="147" spans="1:6" x14ac:dyDescent="0.3">
      <c r="B147" t="s">
        <v>284</v>
      </c>
      <c r="C147" s="294"/>
      <c r="D147" s="294"/>
      <c r="E147" s="294"/>
      <c r="F147" s="294"/>
    </row>
    <row r="148" spans="1:6" x14ac:dyDescent="0.3">
      <c r="B148" t="s">
        <v>252</v>
      </c>
      <c r="C148" s="294"/>
      <c r="D148" s="294"/>
      <c r="E148" s="294"/>
      <c r="F148" s="294"/>
    </row>
    <row r="149" spans="1:6" x14ac:dyDescent="0.3">
      <c r="B149" s="346" t="s">
        <v>755</v>
      </c>
      <c r="C149" s="294">
        <v>1</v>
      </c>
      <c r="D149" s="294"/>
      <c r="E149" s="294"/>
      <c r="F149" s="347"/>
    </row>
    <row r="150" spans="1:6" x14ac:dyDescent="0.3">
      <c r="B150" s="346" t="s">
        <v>757</v>
      </c>
      <c r="C150" s="294">
        <v>1</v>
      </c>
      <c r="D150" s="294"/>
      <c r="E150" s="294"/>
      <c r="F150" s="347"/>
    </row>
    <row r="151" spans="1:6" x14ac:dyDescent="0.3">
      <c r="B151" s="346" t="s">
        <v>543</v>
      </c>
      <c r="C151" s="294">
        <v>1</v>
      </c>
      <c r="D151" s="294"/>
      <c r="E151" s="294"/>
      <c r="F151" s="347"/>
    </row>
    <row r="152" spans="1:6" x14ac:dyDescent="0.3">
      <c r="B152" s="346" t="s">
        <v>546</v>
      </c>
      <c r="C152" s="294">
        <v>1</v>
      </c>
      <c r="D152" s="294"/>
      <c r="E152" s="294"/>
      <c r="F152" s="347"/>
    </row>
    <row r="153" spans="1:6" x14ac:dyDescent="0.3">
      <c r="B153" s="346" t="s">
        <v>758</v>
      </c>
      <c r="C153" s="294">
        <v>1</v>
      </c>
      <c r="D153" s="294"/>
      <c r="E153" s="294"/>
      <c r="F153" s="347"/>
    </row>
    <row r="154" spans="1:6" x14ac:dyDescent="0.3">
      <c r="B154" s="346" t="s">
        <v>759</v>
      </c>
      <c r="C154" s="294">
        <v>1</v>
      </c>
      <c r="D154" s="294"/>
      <c r="E154" s="294"/>
      <c r="F154" s="347"/>
    </row>
    <row r="155" spans="1:6" x14ac:dyDescent="0.3">
      <c r="B155" s="346" t="s">
        <v>760</v>
      </c>
      <c r="C155" s="294">
        <v>1</v>
      </c>
      <c r="D155" s="294"/>
      <c r="E155" s="294"/>
      <c r="F155" s="347"/>
    </row>
    <row r="156" spans="1:6" x14ac:dyDescent="0.3">
      <c r="B156" s="346" t="s">
        <v>761</v>
      </c>
      <c r="C156" s="294">
        <v>1</v>
      </c>
      <c r="D156" s="294"/>
      <c r="E156" s="294"/>
      <c r="F156" s="347"/>
    </row>
    <row r="157" spans="1:6" x14ac:dyDescent="0.3">
      <c r="B157" s="346" t="s">
        <v>762</v>
      </c>
      <c r="C157" s="294">
        <v>1</v>
      </c>
      <c r="D157" s="294"/>
      <c r="E157" s="294"/>
      <c r="F157" s="347"/>
    </row>
    <row r="158" spans="1:6" x14ac:dyDescent="0.3">
      <c r="B158" s="346" t="s">
        <v>763</v>
      </c>
      <c r="C158" s="294">
        <v>1</v>
      </c>
      <c r="D158" s="294"/>
      <c r="E158" s="294"/>
      <c r="F158" s="347">
        <v>1900</v>
      </c>
    </row>
    <row r="159" spans="1:6" x14ac:dyDescent="0.3">
      <c r="B159" s="346" t="s">
        <v>764</v>
      </c>
      <c r="C159" s="294">
        <v>1</v>
      </c>
      <c r="D159" s="294"/>
      <c r="E159" s="294"/>
      <c r="F159" s="347">
        <v>1500</v>
      </c>
    </row>
    <row r="160" spans="1:6" x14ac:dyDescent="0.3">
      <c r="B160" s="346" t="s">
        <v>765</v>
      </c>
      <c r="C160" s="294">
        <v>1</v>
      </c>
      <c r="D160" s="294"/>
      <c r="E160" s="294"/>
      <c r="F160" s="347">
        <v>3000</v>
      </c>
    </row>
    <row r="161" spans="2:10" x14ac:dyDescent="0.3">
      <c r="B161" s="346" t="s">
        <v>630</v>
      </c>
      <c r="C161" s="294">
        <v>1</v>
      </c>
      <c r="D161" s="294"/>
      <c r="E161" s="294"/>
      <c r="F161" s="347">
        <v>1500</v>
      </c>
    </row>
    <row r="162" spans="2:10" x14ac:dyDescent="0.3">
      <c r="B162" s="346" t="s">
        <v>632</v>
      </c>
      <c r="C162" s="294">
        <v>1</v>
      </c>
      <c r="D162" s="294"/>
      <c r="E162" s="294"/>
      <c r="F162" s="347">
        <v>900</v>
      </c>
    </row>
    <row r="163" spans="2:10" x14ac:dyDescent="0.3">
      <c r="B163" s="346" t="s">
        <v>634</v>
      </c>
      <c r="C163" s="294">
        <v>1</v>
      </c>
      <c r="D163" s="294"/>
      <c r="E163" s="294"/>
      <c r="F163" s="347">
        <v>60</v>
      </c>
    </row>
    <row r="164" spans="2:10" x14ac:dyDescent="0.3">
      <c r="B164" s="346" t="s">
        <v>637</v>
      </c>
      <c r="C164" s="294">
        <v>1</v>
      </c>
      <c r="D164" s="294"/>
      <c r="E164" s="294"/>
      <c r="F164" s="347"/>
    </row>
    <row r="165" spans="2:10" x14ac:dyDescent="0.3">
      <c r="B165" s="346" t="s">
        <v>639</v>
      </c>
      <c r="C165" s="294">
        <v>1</v>
      </c>
      <c r="D165" s="294"/>
      <c r="E165" s="294"/>
      <c r="F165" s="347"/>
    </row>
    <row r="166" spans="2:10" x14ac:dyDescent="0.3">
      <c r="B166" s="346" t="s">
        <v>782</v>
      </c>
      <c r="C166" s="294">
        <v>1</v>
      </c>
      <c r="D166" s="294"/>
      <c r="E166" s="294"/>
      <c r="F166" s="347"/>
    </row>
    <row r="167" spans="2:10" x14ac:dyDescent="0.3">
      <c r="B167" s="346" t="s">
        <v>783</v>
      </c>
      <c r="C167" s="294">
        <v>1</v>
      </c>
      <c r="D167" s="294"/>
      <c r="E167" s="294"/>
      <c r="F167" s="347"/>
    </row>
    <row r="168" spans="2:10" x14ac:dyDescent="0.3">
      <c r="B168" s="346" t="s">
        <v>645</v>
      </c>
      <c r="C168" s="294">
        <v>1</v>
      </c>
      <c r="D168" s="294"/>
      <c r="E168" s="294"/>
      <c r="F168" s="347"/>
    </row>
    <row r="169" spans="2:10" x14ac:dyDescent="0.3">
      <c r="B169" s="346" t="s">
        <v>647</v>
      </c>
      <c r="C169" s="294">
        <v>1</v>
      </c>
      <c r="D169" s="294"/>
      <c r="E169" s="294"/>
      <c r="F169" s="347"/>
    </row>
    <row r="170" spans="2:10" x14ac:dyDescent="0.3">
      <c r="B170" s="346" t="s">
        <v>649</v>
      </c>
      <c r="C170" s="294">
        <v>1</v>
      </c>
      <c r="D170" s="294"/>
      <c r="E170" s="294"/>
      <c r="F170" s="347"/>
    </row>
    <row r="171" spans="2:10" x14ac:dyDescent="0.3">
      <c r="B171" s="346" t="s">
        <v>784</v>
      </c>
      <c r="C171" s="294">
        <v>1</v>
      </c>
      <c r="D171" s="294"/>
      <c r="E171" s="294"/>
      <c r="F171" s="347"/>
      <c r="I171" t="s">
        <v>808</v>
      </c>
      <c r="J171">
        <f>27000/21</f>
        <v>1285.7142857142858</v>
      </c>
    </row>
    <row r="172" spans="2:10" x14ac:dyDescent="0.3">
      <c r="B172" s="346" t="s">
        <v>785</v>
      </c>
      <c r="C172" s="294">
        <v>1</v>
      </c>
      <c r="D172" s="294"/>
      <c r="E172" s="294"/>
      <c r="F172" s="347"/>
    </row>
    <row r="173" spans="2:10" x14ac:dyDescent="0.3">
      <c r="B173" s="346" t="s">
        <v>786</v>
      </c>
      <c r="C173" s="294">
        <v>1</v>
      </c>
      <c r="D173" s="294"/>
      <c r="E173" s="294"/>
      <c r="F173" s="347"/>
    </row>
    <row r="174" spans="2:10" x14ac:dyDescent="0.3">
      <c r="B174" s="346" t="s">
        <v>787</v>
      </c>
      <c r="C174" s="294">
        <v>1</v>
      </c>
      <c r="D174" s="294"/>
      <c r="E174" s="294"/>
      <c r="F174" s="347"/>
    </row>
    <row r="175" spans="2:10" x14ac:dyDescent="0.3">
      <c r="B175" s="346" t="s">
        <v>788</v>
      </c>
      <c r="C175" s="294">
        <v>1</v>
      </c>
      <c r="D175" s="294"/>
      <c r="E175" s="294"/>
      <c r="F175" s="347"/>
    </row>
    <row r="176" spans="2:10" x14ac:dyDescent="0.3">
      <c r="B176" s="346" t="s">
        <v>663</v>
      </c>
      <c r="C176" s="294">
        <v>1</v>
      </c>
      <c r="D176" s="294"/>
      <c r="E176" s="294"/>
      <c r="F176" s="347"/>
    </row>
    <row r="177" spans="2:10" x14ac:dyDescent="0.3">
      <c r="B177" s="346" t="s">
        <v>789</v>
      </c>
      <c r="C177" s="294">
        <v>1</v>
      </c>
      <c r="D177" s="294"/>
      <c r="E177" s="294"/>
      <c r="F177" s="347"/>
    </row>
    <row r="178" spans="2:10" x14ac:dyDescent="0.3">
      <c r="B178" s="346" t="s">
        <v>790</v>
      </c>
      <c r="C178" s="294">
        <v>1</v>
      </c>
      <c r="D178" s="294"/>
      <c r="E178" s="294"/>
      <c r="F178" s="347"/>
    </row>
    <row r="179" spans="2:10" x14ac:dyDescent="0.3">
      <c r="B179" s="346" t="s">
        <v>791</v>
      </c>
      <c r="C179" s="294">
        <v>1</v>
      </c>
      <c r="D179" s="294"/>
      <c r="E179" s="294"/>
      <c r="F179" s="347"/>
    </row>
    <row r="180" spans="2:10" x14ac:dyDescent="0.3">
      <c r="B180" s="346" t="s">
        <v>792</v>
      </c>
      <c r="C180" s="294">
        <v>1</v>
      </c>
      <c r="D180" s="294"/>
      <c r="E180" s="294"/>
      <c r="F180" s="347"/>
    </row>
    <row r="181" spans="2:10" x14ac:dyDescent="0.3">
      <c r="B181" s="346" t="s">
        <v>793</v>
      </c>
      <c r="C181" s="294">
        <v>1</v>
      </c>
      <c r="D181" s="294"/>
      <c r="E181" s="294"/>
      <c r="F181" s="342"/>
    </row>
    <row r="182" spans="2:10" x14ac:dyDescent="0.3">
      <c r="B182" s="346" t="s">
        <v>678</v>
      </c>
      <c r="C182" s="294">
        <v>1</v>
      </c>
      <c r="D182" s="294"/>
      <c r="E182" s="294"/>
      <c r="F182" s="347"/>
      <c r="I182" t="s">
        <v>809</v>
      </c>
      <c r="J182">
        <f>26000/21</f>
        <v>1238.0952380952381</v>
      </c>
    </row>
    <row r="183" spans="2:10" x14ac:dyDescent="0.3">
      <c r="B183" s="346" t="s">
        <v>794</v>
      </c>
      <c r="C183" s="294">
        <v>1</v>
      </c>
      <c r="D183" s="294"/>
      <c r="E183" s="294"/>
      <c r="F183" s="347"/>
    </row>
    <row r="184" spans="2:10" x14ac:dyDescent="0.3">
      <c r="B184" s="346" t="s">
        <v>682</v>
      </c>
      <c r="C184" s="294">
        <v>1</v>
      </c>
      <c r="D184" s="294"/>
      <c r="E184" s="294"/>
      <c r="F184" s="347">
        <v>2800</v>
      </c>
    </row>
    <row r="185" spans="2:10" x14ac:dyDescent="0.3">
      <c r="B185" s="346" t="s">
        <v>685</v>
      </c>
      <c r="C185" s="294">
        <v>1</v>
      </c>
      <c r="D185" s="294"/>
      <c r="E185" s="294"/>
      <c r="F185" s="347">
        <v>110</v>
      </c>
    </row>
    <row r="186" spans="2:10" x14ac:dyDescent="0.3">
      <c r="B186" s="346" t="s">
        <v>795</v>
      </c>
      <c r="C186" s="294">
        <v>1</v>
      </c>
      <c r="D186" s="294"/>
      <c r="E186" s="294"/>
      <c r="F186" s="347"/>
    </row>
    <row r="187" spans="2:10" x14ac:dyDescent="0.3">
      <c r="B187" s="346" t="s">
        <v>687</v>
      </c>
      <c r="C187" s="294">
        <v>1</v>
      </c>
      <c r="D187" s="294"/>
      <c r="E187" s="294"/>
      <c r="F187" s="347"/>
    </row>
    <row r="188" spans="2:10" x14ac:dyDescent="0.3">
      <c r="B188" s="346" t="s">
        <v>796</v>
      </c>
      <c r="C188" s="294">
        <v>1</v>
      </c>
      <c r="D188" s="294"/>
      <c r="E188" s="294"/>
      <c r="F188" s="347"/>
    </row>
    <row r="189" spans="2:10" x14ac:dyDescent="0.3">
      <c r="B189" s="346" t="s">
        <v>691</v>
      </c>
      <c r="C189" s="294">
        <v>1</v>
      </c>
      <c r="D189" s="294"/>
      <c r="E189" s="294"/>
      <c r="F189" s="347"/>
      <c r="I189" t="s">
        <v>810</v>
      </c>
    </row>
    <row r="190" spans="2:10" x14ac:dyDescent="0.3">
      <c r="B190" s="346" t="s">
        <v>355</v>
      </c>
      <c r="C190" s="294">
        <v>1</v>
      </c>
      <c r="D190" s="294"/>
      <c r="E190" s="294"/>
      <c r="F190" s="347">
        <v>200</v>
      </c>
    </row>
    <row r="191" spans="2:10" x14ac:dyDescent="0.3">
      <c r="B191" s="346" t="s">
        <v>797</v>
      </c>
      <c r="C191" s="294">
        <v>1</v>
      </c>
      <c r="D191" s="294"/>
      <c r="E191" s="294"/>
      <c r="F191" s="347">
        <v>500</v>
      </c>
    </row>
    <row r="192" spans="2:10" x14ac:dyDescent="0.3">
      <c r="B192" s="346" t="s">
        <v>698</v>
      </c>
      <c r="C192" s="294">
        <v>1</v>
      </c>
      <c r="D192" s="294"/>
      <c r="E192" s="294"/>
      <c r="F192" s="347">
        <v>100</v>
      </c>
    </row>
    <row r="193" spans="1:8" x14ac:dyDescent="0.3">
      <c r="B193" s="346" t="s">
        <v>700</v>
      </c>
      <c r="C193" s="294">
        <v>1</v>
      </c>
      <c r="D193" s="294"/>
      <c r="E193" s="294"/>
      <c r="F193" s="347">
        <v>130</v>
      </c>
    </row>
    <row r="194" spans="1:8" x14ac:dyDescent="0.3">
      <c r="B194" s="346" t="s">
        <v>702</v>
      </c>
      <c r="C194" s="294">
        <v>1</v>
      </c>
      <c r="D194" s="294"/>
      <c r="E194" s="294"/>
      <c r="F194" s="347">
        <v>110</v>
      </c>
    </row>
    <row r="195" spans="1:8" x14ac:dyDescent="0.3">
      <c r="B195" s="346" t="s">
        <v>704</v>
      </c>
      <c r="C195" s="294">
        <v>1</v>
      </c>
      <c r="D195" s="294"/>
      <c r="E195" s="294"/>
      <c r="F195" s="347">
        <v>100</v>
      </c>
    </row>
    <row r="196" spans="1:8" x14ac:dyDescent="0.3">
      <c r="B196" s="346" t="s">
        <v>706</v>
      </c>
      <c r="C196" s="294">
        <v>1</v>
      </c>
      <c r="D196" s="294"/>
      <c r="E196" s="294"/>
      <c r="F196" s="347">
        <v>100</v>
      </c>
    </row>
    <row r="197" spans="1:8" x14ac:dyDescent="0.3">
      <c r="B197" s="346" t="s">
        <v>798</v>
      </c>
      <c r="C197" s="294">
        <v>1</v>
      </c>
      <c r="D197" s="294"/>
      <c r="E197" s="294"/>
      <c r="F197" s="347">
        <v>200</v>
      </c>
    </row>
    <row r="198" spans="1:8" x14ac:dyDescent="0.3">
      <c r="B198" s="346" t="s">
        <v>708</v>
      </c>
      <c r="C198" s="294">
        <v>1</v>
      </c>
      <c r="D198" s="294"/>
      <c r="E198" s="294"/>
      <c r="F198" s="347">
        <v>200</v>
      </c>
    </row>
    <row r="199" spans="1:8" x14ac:dyDescent="0.3">
      <c r="B199" s="346" t="s">
        <v>799</v>
      </c>
      <c r="C199" s="294">
        <v>1</v>
      </c>
      <c r="D199" s="294"/>
      <c r="E199" s="294"/>
      <c r="F199" s="347">
        <v>50</v>
      </c>
    </row>
    <row r="200" spans="1:8" x14ac:dyDescent="0.3">
      <c r="B200" s="346" t="s">
        <v>711</v>
      </c>
      <c r="C200" s="294">
        <v>1</v>
      </c>
      <c r="D200" s="294"/>
      <c r="E200" s="294"/>
      <c r="F200" s="347"/>
    </row>
    <row r="201" spans="1:8" x14ac:dyDescent="0.3">
      <c r="B201" s="346" t="s">
        <v>800</v>
      </c>
      <c r="C201" s="294">
        <v>1</v>
      </c>
      <c r="D201" s="294"/>
      <c r="E201" s="294"/>
      <c r="F201" s="347"/>
    </row>
    <row r="202" spans="1:8" x14ac:dyDescent="0.3">
      <c r="B202" s="346" t="s">
        <v>801</v>
      </c>
      <c r="C202" s="294">
        <v>1</v>
      </c>
      <c r="D202" s="294"/>
      <c r="E202" s="294"/>
      <c r="F202" s="347"/>
    </row>
    <row r="203" spans="1:8" x14ac:dyDescent="0.3">
      <c r="B203" s="346" t="s">
        <v>802</v>
      </c>
      <c r="C203" s="294">
        <v>1</v>
      </c>
      <c r="D203" s="294"/>
      <c r="E203" s="294"/>
      <c r="F203" s="347"/>
    </row>
    <row r="204" spans="1:8" x14ac:dyDescent="0.3">
      <c r="B204" s="346" t="s">
        <v>719</v>
      </c>
      <c r="C204" s="294">
        <v>1</v>
      </c>
      <c r="D204" s="294"/>
      <c r="E204" s="294"/>
      <c r="F204" s="347"/>
    </row>
    <row r="205" spans="1:8" x14ac:dyDescent="0.3">
      <c r="B205" s="346" t="s">
        <v>720</v>
      </c>
      <c r="C205" s="294">
        <v>1</v>
      </c>
      <c r="D205" s="294"/>
      <c r="E205" s="294"/>
      <c r="F205" s="347"/>
    </row>
    <row r="206" spans="1:8" x14ac:dyDescent="0.3">
      <c r="B206" s="346" t="s">
        <v>721</v>
      </c>
      <c r="C206" s="294">
        <v>1</v>
      </c>
      <c r="D206" s="294"/>
      <c r="E206" s="294"/>
      <c r="F206" s="347">
        <v>150</v>
      </c>
    </row>
    <row r="207" spans="1:8" x14ac:dyDescent="0.3">
      <c r="C207" s="294"/>
      <c r="D207" s="294"/>
      <c r="E207" s="294"/>
      <c r="F207" s="294"/>
    </row>
    <row r="208" spans="1:8" ht="15.6" x14ac:dyDescent="0.3">
      <c r="A208" s="284" t="s">
        <v>257</v>
      </c>
      <c r="B208" s="285" t="s">
        <v>37</v>
      </c>
      <c r="C208" s="292"/>
      <c r="D208" s="292"/>
      <c r="E208" s="292"/>
      <c r="F208" s="292"/>
      <c r="H208" s="351">
        <f>SUM(D209:F222)</f>
        <v>11100</v>
      </c>
    </row>
    <row r="209" spans="1:9" x14ac:dyDescent="0.3">
      <c r="A209" s="239" t="s">
        <v>259</v>
      </c>
      <c r="B209" t="s">
        <v>254</v>
      </c>
      <c r="C209" s="293">
        <v>24</v>
      </c>
      <c r="D209" s="291">
        <v>1000</v>
      </c>
    </row>
    <row r="210" spans="1:9" x14ac:dyDescent="0.3">
      <c r="A210" s="239" t="s">
        <v>261</v>
      </c>
      <c r="B210" t="s">
        <v>255</v>
      </c>
      <c r="C210" s="291">
        <v>2</v>
      </c>
      <c r="E210" s="291">
        <v>200</v>
      </c>
    </row>
    <row r="211" spans="1:9" x14ac:dyDescent="0.3">
      <c r="A211" s="239" t="s">
        <v>281</v>
      </c>
      <c r="B211" t="s">
        <v>256</v>
      </c>
      <c r="C211" s="291">
        <v>5</v>
      </c>
      <c r="E211" s="291">
        <v>3000</v>
      </c>
    </row>
    <row r="212" spans="1:9" x14ac:dyDescent="0.3">
      <c r="A212" s="239" t="s">
        <v>279</v>
      </c>
      <c r="B212" t="s">
        <v>341</v>
      </c>
      <c r="C212" s="291">
        <v>2</v>
      </c>
      <c r="D212" s="291">
        <v>1000</v>
      </c>
    </row>
    <row r="213" spans="1:9" x14ac:dyDescent="0.3">
      <c r="A213" s="239" t="s">
        <v>277</v>
      </c>
      <c r="B213" t="s">
        <v>258</v>
      </c>
      <c r="C213" s="291">
        <v>4</v>
      </c>
      <c r="E213" s="291">
        <v>1000</v>
      </c>
    </row>
    <row r="214" spans="1:9" x14ac:dyDescent="0.3">
      <c r="B214" t="s">
        <v>260</v>
      </c>
      <c r="C214" s="291">
        <v>12</v>
      </c>
      <c r="D214" s="291">
        <v>300</v>
      </c>
    </row>
    <row r="215" spans="1:9" x14ac:dyDescent="0.3">
      <c r="B215" t="s">
        <v>262</v>
      </c>
      <c r="C215" s="293">
        <v>24</v>
      </c>
      <c r="D215" s="293">
        <v>1000</v>
      </c>
    </row>
    <row r="216" spans="1:9" x14ac:dyDescent="0.3">
      <c r="B216" t="s">
        <v>280</v>
      </c>
      <c r="C216" s="291">
        <v>18</v>
      </c>
    </row>
    <row r="217" spans="1:9" x14ac:dyDescent="0.3">
      <c r="B217" s="346" t="s">
        <v>754</v>
      </c>
      <c r="C217" s="291">
        <v>1</v>
      </c>
      <c r="D217" s="291">
        <v>2100</v>
      </c>
    </row>
    <row r="218" spans="1:9" x14ac:dyDescent="0.3">
      <c r="B218" t="s">
        <v>278</v>
      </c>
      <c r="C218" s="291">
        <v>6</v>
      </c>
    </row>
    <row r="219" spans="1:9" ht="15.6" x14ac:dyDescent="0.3">
      <c r="A219" s="344"/>
      <c r="B219" s="346" t="s">
        <v>752</v>
      </c>
      <c r="C219" s="291">
        <v>1</v>
      </c>
      <c r="F219" s="342">
        <v>1000</v>
      </c>
      <c r="I219" t="s">
        <v>518</v>
      </c>
    </row>
    <row r="220" spans="1:9" x14ac:dyDescent="0.3">
      <c r="B220" s="346" t="s">
        <v>753</v>
      </c>
      <c r="C220" s="291">
        <v>1</v>
      </c>
      <c r="F220" s="342">
        <v>500</v>
      </c>
      <c r="I220" t="s">
        <v>518</v>
      </c>
    </row>
    <row r="222" spans="1:9" x14ac:dyDescent="0.3">
      <c r="B222" s="299"/>
    </row>
    <row r="223" spans="1:9" ht="18" x14ac:dyDescent="0.35">
      <c r="A223" s="345"/>
    </row>
    <row r="224" spans="1:9" ht="15.6" x14ac:dyDescent="0.3">
      <c r="B224" s="283" t="s">
        <v>1</v>
      </c>
      <c r="C224" s="297">
        <f>SUM(C8:C223)</f>
        <v>1449</v>
      </c>
      <c r="D224" s="297">
        <f>SUM(D8:D223)</f>
        <v>118650</v>
      </c>
      <c r="E224" s="297">
        <f>SUM(E8:E223)</f>
        <v>128050</v>
      </c>
      <c r="F224" s="297">
        <f>SUM(F8:F223)</f>
        <v>213250.95785714284</v>
      </c>
    </row>
    <row r="225" spans="2:6" x14ac:dyDescent="0.3">
      <c r="B225" t="s">
        <v>263</v>
      </c>
      <c r="C225" s="291">
        <v>140</v>
      </c>
    </row>
    <row r="226" spans="2:6" x14ac:dyDescent="0.3">
      <c r="B226" t="s">
        <v>264</v>
      </c>
      <c r="C226" s="291">
        <f>C224*C225</f>
        <v>202860</v>
      </c>
    </row>
    <row r="228" spans="2:6" ht="15.6" x14ac:dyDescent="0.3">
      <c r="B228" s="282" t="s">
        <v>265</v>
      </c>
      <c r="C228" s="298"/>
      <c r="D228" s="298"/>
      <c r="E228" s="298"/>
      <c r="F228" s="298">
        <f>SUM(D224:F224)+C226</f>
        <v>662810.9578571429</v>
      </c>
    </row>
    <row r="280" ht="21" customHeight="1" x14ac:dyDescent="0.3"/>
    <row r="295" ht="21" customHeight="1" x14ac:dyDescent="0.3"/>
    <row r="299" ht="21" customHeight="1" x14ac:dyDescent="0.3"/>
  </sheetData>
  <mergeCells count="2">
    <mergeCell ref="C2:E2"/>
    <mergeCell ref="C3:E3"/>
  </mergeCells>
  <pageMargins left="0.7" right="0.7" top="0.75" bottom="0.75" header="0.3" footer="0.3"/>
  <pageSetup paperSize="9" scale="2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1"/>
  <sheetViews>
    <sheetView zoomScale="85" zoomScaleNormal="85" workbookViewId="0">
      <selection activeCell="C4" sqref="C4"/>
    </sheetView>
  </sheetViews>
  <sheetFormatPr defaultColWidth="9.109375" defaultRowHeight="13.2" x14ac:dyDescent="0.25"/>
  <cols>
    <col min="1" max="1" width="5" style="95" bestFit="1" customWidth="1"/>
    <col min="2" max="2" width="31.6640625" style="1" bestFit="1" customWidth="1"/>
    <col min="3" max="3" width="15.6640625" style="1" bestFit="1" customWidth="1"/>
    <col min="4" max="5" width="9.109375" style="1"/>
    <col min="6" max="6" width="12.88671875" style="1" bestFit="1" customWidth="1"/>
    <col min="7" max="8" width="9.109375" style="1"/>
    <col min="9" max="9" width="14" style="1" bestFit="1" customWidth="1"/>
    <col min="10" max="14" width="9.109375" style="1"/>
    <col min="15" max="15" width="16.109375" style="97" bestFit="1" customWidth="1"/>
    <col min="16" max="18" width="0" style="1" hidden="1" customWidth="1"/>
    <col min="19" max="19" width="14.109375" style="1" hidden="1" customWidth="1"/>
    <col min="20" max="20" width="12.88671875" style="1" hidden="1" customWidth="1"/>
    <col min="21" max="16384" width="9.109375" style="1"/>
  </cols>
  <sheetData>
    <row r="1" spans="1:20" x14ac:dyDescent="0.25">
      <c r="A1" s="482" t="s">
        <v>6</v>
      </c>
      <c r="B1" s="484" t="s">
        <v>7</v>
      </c>
      <c r="C1" s="486" t="s">
        <v>8</v>
      </c>
      <c r="D1" s="486"/>
      <c r="E1" s="487"/>
      <c r="F1" s="488" t="s">
        <v>9</v>
      </c>
      <c r="G1" s="489"/>
      <c r="H1" s="490"/>
      <c r="I1" s="491" t="s">
        <v>10</v>
      </c>
      <c r="J1" s="492"/>
      <c r="K1" s="493"/>
      <c r="L1" s="494" t="s">
        <v>11</v>
      </c>
      <c r="M1" s="495"/>
      <c r="N1" s="496"/>
      <c r="O1" s="480" t="s">
        <v>12</v>
      </c>
    </row>
    <row r="2" spans="1:20" s="14" customFormat="1" x14ac:dyDescent="0.3">
      <c r="A2" s="483"/>
      <c r="B2" s="485"/>
      <c r="C2" s="2" t="s">
        <v>13</v>
      </c>
      <c r="D2" s="3" t="s">
        <v>14</v>
      </c>
      <c r="E2" s="4" t="s">
        <v>15</v>
      </c>
      <c r="F2" s="5" t="s">
        <v>13</v>
      </c>
      <c r="G2" s="6" t="s">
        <v>14</v>
      </c>
      <c r="H2" s="7" t="s">
        <v>15</v>
      </c>
      <c r="I2" s="8" t="s">
        <v>13</v>
      </c>
      <c r="J2" s="9" t="s">
        <v>14</v>
      </c>
      <c r="K2" s="10" t="s">
        <v>15</v>
      </c>
      <c r="L2" s="11" t="s">
        <v>13</v>
      </c>
      <c r="M2" s="12" t="s">
        <v>14</v>
      </c>
      <c r="N2" s="13" t="s">
        <v>15</v>
      </c>
      <c r="O2" s="481"/>
    </row>
    <row r="3" spans="1:20" s="30" customFormat="1" ht="10.8" thickBot="1" x14ac:dyDescent="0.35">
      <c r="A3" s="15" t="s">
        <v>16</v>
      </c>
      <c r="B3" s="16" t="s">
        <v>17</v>
      </c>
      <c r="C3" s="17" t="s">
        <v>18</v>
      </c>
      <c r="D3" s="18" t="s">
        <v>19</v>
      </c>
      <c r="E3" s="19" t="s">
        <v>20</v>
      </c>
      <c r="F3" s="20" t="s">
        <v>21</v>
      </c>
      <c r="G3" s="21" t="s">
        <v>22</v>
      </c>
      <c r="H3" s="22" t="s">
        <v>23</v>
      </c>
      <c r="I3" s="23" t="s">
        <v>24</v>
      </c>
      <c r="J3" s="24" t="s">
        <v>25</v>
      </c>
      <c r="K3" s="25" t="s">
        <v>26</v>
      </c>
      <c r="L3" s="26" t="s">
        <v>27</v>
      </c>
      <c r="M3" s="27" t="s">
        <v>28</v>
      </c>
      <c r="N3" s="28" t="s">
        <v>29</v>
      </c>
      <c r="O3" s="29" t="s">
        <v>30</v>
      </c>
    </row>
    <row r="4" spans="1:20" ht="13.8" thickTop="1" x14ac:dyDescent="0.25">
      <c r="A4" s="31">
        <v>1</v>
      </c>
      <c r="B4" s="32" t="s">
        <v>31</v>
      </c>
      <c r="C4" s="33"/>
      <c r="D4" s="34"/>
      <c r="E4" s="35"/>
      <c r="F4" s="36"/>
      <c r="G4" s="37"/>
      <c r="H4" s="38"/>
      <c r="I4" s="39"/>
      <c r="J4" s="40"/>
      <c r="K4" s="41"/>
      <c r="L4" s="42"/>
      <c r="M4" s="43"/>
      <c r="N4" s="44"/>
      <c r="O4" s="45"/>
      <c r="P4" s="1">
        <v>0.9</v>
      </c>
      <c r="Q4" s="1">
        <f>+(F4+I4)*P4</f>
        <v>0</v>
      </c>
    </row>
    <row r="5" spans="1:20" x14ac:dyDescent="0.25">
      <c r="A5" s="46">
        <f>+A4+1</f>
        <v>2</v>
      </c>
      <c r="B5" s="47" t="s">
        <v>2</v>
      </c>
      <c r="C5" s="48">
        <f>+Raščlamba!H7</f>
        <v>0</v>
      </c>
      <c r="D5" s="49"/>
      <c r="E5" s="50"/>
      <c r="F5" s="51"/>
      <c r="G5" s="52"/>
      <c r="H5" s="53"/>
      <c r="I5" s="54"/>
      <c r="J5" s="55"/>
      <c r="K5" s="56"/>
      <c r="L5" s="57"/>
      <c r="M5" s="58"/>
      <c r="N5" s="59"/>
      <c r="O5" s="60"/>
      <c r="P5" s="1">
        <v>0.9</v>
      </c>
      <c r="Q5" s="1">
        <f>+C5*P5</f>
        <v>0</v>
      </c>
    </row>
    <row r="6" spans="1:20" x14ac:dyDescent="0.25">
      <c r="A6" s="46">
        <f t="shared" ref="A6:A14" si="0">+A5+1</f>
        <v>3</v>
      </c>
      <c r="B6" s="61" t="s">
        <v>4</v>
      </c>
      <c r="C6" s="48">
        <f>+Raščlamba!H13</f>
        <v>123045.95785714286</v>
      </c>
      <c r="D6" s="49"/>
      <c r="E6" s="50"/>
      <c r="F6" s="51"/>
      <c r="G6" s="52"/>
      <c r="H6" s="53"/>
      <c r="I6" s="54"/>
      <c r="J6" s="55"/>
      <c r="K6" s="56"/>
      <c r="L6" s="57"/>
      <c r="M6" s="58"/>
      <c r="N6" s="59"/>
      <c r="O6" s="60"/>
      <c r="P6" s="1">
        <v>0.9</v>
      </c>
      <c r="Q6" s="1">
        <f t="shared" ref="Q6:Q14" si="1">+C6*P6</f>
        <v>110741.36207142858</v>
      </c>
    </row>
    <row r="7" spans="1:20" x14ac:dyDescent="0.25">
      <c r="A7" s="46">
        <f t="shared" si="0"/>
        <v>4</v>
      </c>
      <c r="B7" s="61" t="s">
        <v>32</v>
      </c>
      <c r="C7" s="48">
        <f>+Raščlamba!H33</f>
        <v>97600</v>
      </c>
      <c r="D7" s="49"/>
      <c r="E7" s="50"/>
      <c r="F7" s="51"/>
      <c r="G7" s="52"/>
      <c r="H7" s="53"/>
      <c r="I7" s="54"/>
      <c r="J7" s="55"/>
      <c r="K7" s="56"/>
      <c r="L7" s="57"/>
      <c r="M7" s="58"/>
      <c r="N7" s="59"/>
      <c r="O7" s="60"/>
      <c r="P7" s="1">
        <v>0.9</v>
      </c>
      <c r="Q7" s="1">
        <f t="shared" si="1"/>
        <v>87840</v>
      </c>
    </row>
    <row r="8" spans="1:20" x14ac:dyDescent="0.25">
      <c r="A8" s="46">
        <f t="shared" si="0"/>
        <v>5</v>
      </c>
      <c r="B8" s="61" t="s">
        <v>33</v>
      </c>
      <c r="C8" s="48">
        <f>+Raščlamba!H63</f>
        <v>32560</v>
      </c>
      <c r="D8" s="49"/>
      <c r="E8" s="50"/>
      <c r="F8" s="51"/>
      <c r="G8" s="52"/>
      <c r="H8" s="53"/>
      <c r="I8" s="54"/>
      <c r="J8" s="55"/>
      <c r="K8" s="56"/>
      <c r="L8" s="57"/>
      <c r="M8" s="58"/>
      <c r="N8" s="59"/>
      <c r="O8" s="60"/>
      <c r="P8" s="1">
        <v>0.9</v>
      </c>
      <c r="Q8" s="1">
        <f t="shared" si="1"/>
        <v>29304</v>
      </c>
    </row>
    <row r="9" spans="1:20" x14ac:dyDescent="0.25">
      <c r="A9" s="46">
        <f t="shared" si="0"/>
        <v>6</v>
      </c>
      <c r="B9" s="61" t="str">
        <f>+Raščlamba!B40</f>
        <v>PUMPA I CJEVOVOD</v>
      </c>
      <c r="C9" s="48">
        <f>+Raščlamba!H40</f>
        <v>111450</v>
      </c>
      <c r="D9" s="49"/>
      <c r="E9" s="50"/>
      <c r="F9" s="51"/>
      <c r="G9" s="52"/>
      <c r="H9" s="53"/>
      <c r="I9" s="54"/>
      <c r="J9" s="55"/>
      <c r="K9" s="56"/>
      <c r="L9" s="57"/>
      <c r="M9" s="58"/>
      <c r="N9" s="59"/>
      <c r="O9" s="60"/>
      <c r="P9" s="1">
        <v>0.9</v>
      </c>
      <c r="Q9" s="1">
        <f t="shared" si="1"/>
        <v>100305</v>
      </c>
    </row>
    <row r="10" spans="1:20" x14ac:dyDescent="0.25">
      <c r="A10" s="46">
        <f t="shared" si="0"/>
        <v>7</v>
      </c>
      <c r="B10" s="61" t="s">
        <v>0</v>
      </c>
      <c r="C10" s="48">
        <f>+Raščlamba!H89</f>
        <v>0</v>
      </c>
      <c r="D10" s="49"/>
      <c r="E10" s="50"/>
      <c r="F10" s="51"/>
      <c r="G10" s="52"/>
      <c r="H10" s="53"/>
      <c r="I10" s="54"/>
      <c r="J10" s="55"/>
      <c r="K10" s="56"/>
      <c r="L10" s="57"/>
      <c r="M10" s="58"/>
      <c r="N10" s="59"/>
      <c r="O10" s="60"/>
      <c r="P10" s="1">
        <v>0.9</v>
      </c>
      <c r="Q10" s="1">
        <f t="shared" si="1"/>
        <v>0</v>
      </c>
    </row>
    <row r="11" spans="1:20" x14ac:dyDescent="0.25">
      <c r="A11" s="46">
        <f t="shared" si="0"/>
        <v>8</v>
      </c>
      <c r="B11" s="62" t="s">
        <v>886</v>
      </c>
      <c r="C11" s="48">
        <f>3500*7.5</f>
        <v>26250</v>
      </c>
      <c r="D11" s="49"/>
      <c r="E11" s="50"/>
      <c r="F11" s="51"/>
      <c r="G11" s="52"/>
      <c r="H11" s="53"/>
      <c r="I11" s="54"/>
      <c r="J11" s="55"/>
      <c r="K11" s="56"/>
      <c r="L11" s="57"/>
      <c r="M11" s="58"/>
      <c r="N11" s="59"/>
      <c r="O11" s="60"/>
      <c r="P11" s="1">
        <v>0.9</v>
      </c>
      <c r="Q11" s="1">
        <f t="shared" si="1"/>
        <v>23625</v>
      </c>
    </row>
    <row r="12" spans="1:20" x14ac:dyDescent="0.25">
      <c r="A12" s="46">
        <f t="shared" si="0"/>
        <v>9</v>
      </c>
      <c r="B12" s="62" t="s">
        <v>36</v>
      </c>
      <c r="C12" s="48"/>
      <c r="D12" s="49"/>
      <c r="E12" s="50"/>
      <c r="F12" s="51"/>
      <c r="G12" s="52"/>
      <c r="H12" s="53"/>
      <c r="I12" s="54"/>
      <c r="J12" s="55"/>
      <c r="K12" s="56"/>
      <c r="L12" s="57"/>
      <c r="M12" s="58"/>
      <c r="N12" s="59"/>
      <c r="O12" s="60"/>
      <c r="P12" s="1">
        <v>0.9</v>
      </c>
      <c r="Q12" s="1">
        <f t="shared" si="1"/>
        <v>0</v>
      </c>
    </row>
    <row r="13" spans="1:20" x14ac:dyDescent="0.25">
      <c r="A13" s="46">
        <f t="shared" si="0"/>
        <v>10</v>
      </c>
      <c r="B13" s="62" t="s">
        <v>37</v>
      </c>
      <c r="C13" s="48">
        <f>+Raščlamba!H208</f>
        <v>11100</v>
      </c>
      <c r="D13" s="49"/>
      <c r="E13" s="50"/>
      <c r="F13" s="51"/>
      <c r="G13" s="52"/>
      <c r="H13" s="53"/>
      <c r="I13" s="54"/>
      <c r="J13" s="55"/>
      <c r="K13" s="56"/>
      <c r="L13" s="57"/>
      <c r="M13" s="58"/>
      <c r="N13" s="59"/>
      <c r="O13" s="60"/>
      <c r="P13" s="1">
        <v>0.9</v>
      </c>
      <c r="Q13" s="1">
        <f t="shared" si="1"/>
        <v>9990</v>
      </c>
    </row>
    <row r="14" spans="1:20" ht="13.8" thickBot="1" x14ac:dyDescent="0.3">
      <c r="A14" s="63">
        <f t="shared" si="0"/>
        <v>11</v>
      </c>
      <c r="B14" s="64" t="s">
        <v>38</v>
      </c>
      <c r="C14" s="65"/>
      <c r="D14" s="66"/>
      <c r="E14" s="67"/>
      <c r="F14" s="68"/>
      <c r="G14" s="69"/>
      <c r="H14" s="70"/>
      <c r="I14" s="71"/>
      <c r="J14" s="72"/>
      <c r="K14" s="73"/>
      <c r="L14" s="74"/>
      <c r="M14" s="75"/>
      <c r="N14" s="76"/>
      <c r="O14" s="77"/>
      <c r="P14" s="1">
        <v>0.9</v>
      </c>
      <c r="Q14" s="1">
        <f t="shared" si="1"/>
        <v>0</v>
      </c>
    </row>
    <row r="15" spans="1:20" ht="20.25" customHeight="1" thickTop="1" thickBot="1" x14ac:dyDescent="0.3">
      <c r="A15" s="78"/>
      <c r="B15" s="79" t="s">
        <v>12</v>
      </c>
      <c r="C15" s="80">
        <f>SUM(C4:C14)</f>
        <v>402005.95785714284</v>
      </c>
      <c r="D15" s="81"/>
      <c r="E15" s="82"/>
      <c r="F15" s="83">
        <f>SUM(F4:F14)</f>
        <v>0</v>
      </c>
      <c r="G15" s="84"/>
      <c r="H15" s="85"/>
      <c r="I15" s="86">
        <f>SUM(I4:I14)</f>
        <v>0</v>
      </c>
      <c r="J15" s="87"/>
      <c r="K15" s="88"/>
      <c r="L15" s="89"/>
      <c r="M15" s="90"/>
      <c r="N15" s="91"/>
      <c r="O15" s="92">
        <f>SUM(I15,F15,C15)</f>
        <v>402005.95785714284</v>
      </c>
      <c r="Q15" s="93">
        <f>SUM(Q4:Q14)</f>
        <v>361805.36207142856</v>
      </c>
      <c r="S15" s="94">
        <f>+Q15+C4</f>
        <v>361805.36207142856</v>
      </c>
      <c r="T15" s="94">
        <f>+O15-S15</f>
        <v>40200.595785714278</v>
      </c>
    </row>
    <row r="16" spans="1:20" x14ac:dyDescent="0.25">
      <c r="B16" s="96"/>
    </row>
    <row r="18" spans="1:18" x14ac:dyDescent="0.25">
      <c r="D18" s="1">
        <f>+C15*21</f>
        <v>8442125.1150000002</v>
      </c>
      <c r="O18" s="98"/>
    </row>
    <row r="19" spans="1:18" x14ac:dyDescent="0.25">
      <c r="A19" s="99" t="s">
        <v>39</v>
      </c>
      <c r="B19" s="100"/>
      <c r="O19" s="98"/>
    </row>
    <row r="20" spans="1:18" ht="30.75" customHeight="1" x14ac:dyDescent="0.25">
      <c r="A20" s="101"/>
      <c r="B20" s="102" t="s">
        <v>40</v>
      </c>
      <c r="R20" s="1">
        <f>33.83+24+12.9+34.26+20.04+6.45+112.74+786.24+66.36+7.37+18.19+5.1+22.12+262.08+28.5+180+117.06+19.44+46+43.6+5.97+29.46+12.1+24+1.87+1.64+2.06+14.4+34.56+162.14+400.18+166.8+2075.16+758.38</f>
        <v>5534.9999999999991</v>
      </c>
    </row>
    <row r="21" spans="1:18" x14ac:dyDescent="0.25">
      <c r="A21" s="101"/>
      <c r="B21" s="103" t="s">
        <v>41</v>
      </c>
      <c r="R21" s="1">
        <v>31725.65</v>
      </c>
    </row>
    <row r="22" spans="1:18" x14ac:dyDescent="0.25">
      <c r="A22" s="101"/>
      <c r="B22" s="103" t="s">
        <v>42</v>
      </c>
      <c r="R22" s="1">
        <f>+R21-R20</f>
        <v>26190.65</v>
      </c>
    </row>
    <row r="23" spans="1:18" x14ac:dyDescent="0.25">
      <c r="A23" s="101"/>
      <c r="B23" s="103" t="s">
        <v>43</v>
      </c>
      <c r="R23" s="1">
        <v>21513.67</v>
      </c>
    </row>
    <row r="24" spans="1:18" x14ac:dyDescent="0.25">
      <c r="B24" s="104"/>
      <c r="R24" s="1">
        <v>100.8</v>
      </c>
    </row>
    <row r="25" spans="1:18" x14ac:dyDescent="0.25">
      <c r="B25" s="104"/>
      <c r="R25" s="1">
        <v>66.94</v>
      </c>
    </row>
    <row r="26" spans="1:18" x14ac:dyDescent="0.25">
      <c r="B26" s="104"/>
      <c r="R26" s="1">
        <v>113.56</v>
      </c>
    </row>
    <row r="27" spans="1:18" x14ac:dyDescent="0.25">
      <c r="B27" s="104"/>
      <c r="R27" s="1">
        <v>200</v>
      </c>
    </row>
    <row r="28" spans="1:18" x14ac:dyDescent="0.25">
      <c r="R28" s="1">
        <v>6798.25</v>
      </c>
    </row>
    <row r="29" spans="1:18" x14ac:dyDescent="0.25">
      <c r="R29" s="1">
        <v>9239.9500000000007</v>
      </c>
    </row>
    <row r="30" spans="1:18" x14ac:dyDescent="0.25">
      <c r="R30" s="1">
        <f>SUM(R24:R29)</f>
        <v>16519.5</v>
      </c>
    </row>
    <row r="31" spans="1:18" x14ac:dyDescent="0.25">
      <c r="R31" s="1">
        <f>+R23-R30</f>
        <v>4994.1699999999983</v>
      </c>
    </row>
  </sheetData>
  <mergeCells count="7">
    <mergeCell ref="O1:O2"/>
    <mergeCell ref="A1:A2"/>
    <mergeCell ref="B1:B2"/>
    <mergeCell ref="C1:E1"/>
    <mergeCell ref="F1:H1"/>
    <mergeCell ref="I1:K1"/>
    <mergeCell ref="L1:N1"/>
  </mergeCells>
  <pageMargins left="0.78740157499999996" right="0.78740157499999996" top="0.984251969" bottom="0.984251969"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6"/>
  <sheetViews>
    <sheetView zoomScale="85" zoomScaleNormal="85" workbookViewId="0">
      <selection activeCell="C10" sqref="C10"/>
    </sheetView>
  </sheetViews>
  <sheetFormatPr defaultColWidth="9.109375" defaultRowHeight="13.2" x14ac:dyDescent="0.25"/>
  <cols>
    <col min="1" max="1" width="5" style="95" customWidth="1"/>
    <col min="2" max="2" width="33.5546875" style="1" customWidth="1"/>
    <col min="3" max="3" width="8.5546875" style="1" customWidth="1"/>
    <col min="4" max="4" width="10.33203125" style="1" customWidth="1"/>
    <col min="5" max="5" width="12.77734375" style="1" bestFit="1" customWidth="1"/>
    <col min="6" max="6" width="9.109375" style="1" customWidth="1"/>
    <col min="7" max="7" width="10.33203125" style="1" customWidth="1"/>
    <col min="8" max="9" width="9.109375" style="1" customWidth="1"/>
    <col min="10" max="10" width="10.33203125" style="1" customWidth="1"/>
    <col min="11" max="12" width="9.109375" style="1" customWidth="1"/>
    <col min="13" max="13" width="10.33203125" style="1" customWidth="1"/>
    <col min="14" max="15" width="9.109375" style="1" customWidth="1"/>
    <col min="16" max="16" width="10.33203125" style="1" customWidth="1"/>
    <col min="17" max="18" width="9.109375" style="1" customWidth="1"/>
    <col min="19" max="19" width="10.33203125" style="1" customWidth="1"/>
    <col min="20" max="20" width="9.109375" style="1" customWidth="1"/>
    <col min="21" max="21" width="17.88671875" style="1" customWidth="1"/>
    <col min="22" max="25" width="9.109375" style="1" customWidth="1"/>
    <col min="26" max="26" width="27.33203125" style="1" customWidth="1"/>
    <col min="27" max="27" width="9.109375" style="1" customWidth="1"/>
    <col min="28" max="28" width="2.44140625" style="1" customWidth="1"/>
    <col min="29" max="29" width="2.5546875" style="1" customWidth="1"/>
    <col min="30" max="35" width="9.109375" style="1" customWidth="1"/>
    <col min="36" max="16384" width="9.109375" style="1"/>
  </cols>
  <sheetData>
    <row r="1" spans="1:31" x14ac:dyDescent="0.25">
      <c r="A1" s="482" t="s">
        <v>6</v>
      </c>
      <c r="B1" s="504" t="s">
        <v>7</v>
      </c>
      <c r="C1" s="506" t="s">
        <v>44</v>
      </c>
      <c r="D1" s="507"/>
      <c r="E1" s="508"/>
      <c r="F1" s="509" t="s">
        <v>45</v>
      </c>
      <c r="G1" s="510"/>
      <c r="H1" s="511"/>
      <c r="I1" s="512" t="s">
        <v>46</v>
      </c>
      <c r="J1" s="513"/>
      <c r="K1" s="514"/>
      <c r="L1" s="515" t="s">
        <v>47</v>
      </c>
      <c r="M1" s="516"/>
      <c r="N1" s="517"/>
      <c r="O1" s="497" t="s">
        <v>48</v>
      </c>
      <c r="P1" s="498"/>
      <c r="Q1" s="499"/>
      <c r="R1" s="500" t="s">
        <v>49</v>
      </c>
      <c r="S1" s="501"/>
      <c r="T1" s="502"/>
      <c r="U1" s="105" t="s">
        <v>15</v>
      </c>
      <c r="Y1" s="95"/>
      <c r="AA1" s="93" t="s">
        <v>50</v>
      </c>
      <c r="AC1" s="93"/>
      <c r="AD1" s="93" t="s">
        <v>51</v>
      </c>
    </row>
    <row r="2" spans="1:31" s="125" customFormat="1" ht="26.4" x14ac:dyDescent="0.25">
      <c r="A2" s="503"/>
      <c r="B2" s="505"/>
      <c r="C2" s="106" t="s">
        <v>52</v>
      </c>
      <c r="D2" s="107" t="s">
        <v>53</v>
      </c>
      <c r="E2" s="108" t="s">
        <v>15</v>
      </c>
      <c r="F2" s="109" t="s">
        <v>52</v>
      </c>
      <c r="G2" s="110" t="s">
        <v>53</v>
      </c>
      <c r="H2" s="111" t="s">
        <v>15</v>
      </c>
      <c r="I2" s="112" t="s">
        <v>52</v>
      </c>
      <c r="J2" s="113" t="s">
        <v>53</v>
      </c>
      <c r="K2" s="114" t="s">
        <v>15</v>
      </c>
      <c r="L2" s="115" t="s">
        <v>52</v>
      </c>
      <c r="M2" s="116" t="s">
        <v>53</v>
      </c>
      <c r="N2" s="117" t="s">
        <v>15</v>
      </c>
      <c r="O2" s="118" t="s">
        <v>52</v>
      </c>
      <c r="P2" s="119" t="s">
        <v>53</v>
      </c>
      <c r="Q2" s="120" t="s">
        <v>15</v>
      </c>
      <c r="R2" s="121" t="s">
        <v>52</v>
      </c>
      <c r="S2" s="122" t="s">
        <v>53</v>
      </c>
      <c r="T2" s="123" t="s">
        <v>15</v>
      </c>
      <c r="U2" s="124"/>
      <c r="Y2" s="95"/>
      <c r="Z2" s="352" t="s">
        <v>54</v>
      </c>
      <c r="AA2" s="1"/>
      <c r="AB2" s="1"/>
      <c r="AC2" s="1"/>
      <c r="AD2" s="1"/>
      <c r="AE2" s="1"/>
    </row>
    <row r="3" spans="1:31" s="30" customFormat="1" ht="13.8" thickBot="1" x14ac:dyDescent="0.3">
      <c r="A3" s="15" t="s">
        <v>16</v>
      </c>
      <c r="B3" s="16" t="s">
        <v>17</v>
      </c>
      <c r="C3" s="17" t="s">
        <v>18</v>
      </c>
      <c r="D3" s="18" t="s">
        <v>19</v>
      </c>
      <c r="E3" s="19" t="s">
        <v>20</v>
      </c>
      <c r="F3" s="20" t="s">
        <v>21</v>
      </c>
      <c r="G3" s="21" t="s">
        <v>22</v>
      </c>
      <c r="H3" s="22" t="s">
        <v>23</v>
      </c>
      <c r="I3" s="23" t="s">
        <v>24</v>
      </c>
      <c r="J3" s="24" t="s">
        <v>25</v>
      </c>
      <c r="K3" s="25" t="s">
        <v>26</v>
      </c>
      <c r="L3" s="26" t="s">
        <v>27</v>
      </c>
      <c r="M3" s="27" t="s">
        <v>28</v>
      </c>
      <c r="N3" s="28" t="s">
        <v>29</v>
      </c>
      <c r="O3" s="126" t="s">
        <v>55</v>
      </c>
      <c r="P3" s="127" t="s">
        <v>56</v>
      </c>
      <c r="Q3" s="128" t="s">
        <v>57</v>
      </c>
      <c r="R3" s="129" t="s">
        <v>58</v>
      </c>
      <c r="S3" s="130" t="s">
        <v>59</v>
      </c>
      <c r="T3" s="131" t="s">
        <v>60</v>
      </c>
      <c r="U3" s="29" t="s">
        <v>61</v>
      </c>
      <c r="Y3" s="95">
        <v>1</v>
      </c>
      <c r="Z3" s="93" t="s">
        <v>62</v>
      </c>
      <c r="AA3" s="132">
        <v>45</v>
      </c>
      <c r="AB3" s="132"/>
      <c r="AC3" s="132"/>
      <c r="AD3" s="132">
        <v>52</v>
      </c>
      <c r="AE3" s="132"/>
    </row>
    <row r="4" spans="1:31" ht="15" customHeight="1" thickTop="1" x14ac:dyDescent="0.25">
      <c r="A4" s="31">
        <v>1</v>
      </c>
      <c r="B4" s="32" t="s">
        <v>31</v>
      </c>
      <c r="C4" s="133">
        <v>30</v>
      </c>
      <c r="D4" s="134">
        <v>79</v>
      </c>
      <c r="E4" s="135">
        <f t="shared" ref="E4" si="0">+C4*D4</f>
        <v>2370</v>
      </c>
      <c r="F4" s="136"/>
      <c r="G4" s="137"/>
      <c r="H4" s="138"/>
      <c r="I4" s="139"/>
      <c r="J4" s="140"/>
      <c r="K4" s="141"/>
      <c r="L4" s="142"/>
      <c r="M4" s="143"/>
      <c r="N4" s="144"/>
      <c r="O4" s="145"/>
      <c r="P4" s="146"/>
      <c r="Q4" s="147"/>
      <c r="R4" s="148"/>
      <c r="S4" s="149"/>
      <c r="T4" s="150"/>
      <c r="U4" s="151"/>
      <c r="Y4" s="95"/>
      <c r="AA4" s="132"/>
      <c r="AC4" s="132"/>
    </row>
    <row r="5" spans="1:31" ht="15" customHeight="1" x14ac:dyDescent="0.25">
      <c r="A5" s="46">
        <f>+A4+1</f>
        <v>2</v>
      </c>
      <c r="B5" s="61" t="s">
        <v>63</v>
      </c>
      <c r="C5" s="152">
        <v>80</v>
      </c>
      <c r="D5" s="134">
        <v>79</v>
      </c>
      <c r="E5" s="135">
        <f>+C5*D5</f>
        <v>6320</v>
      </c>
      <c r="F5" s="154"/>
      <c r="G5" s="155"/>
      <c r="H5" s="156"/>
      <c r="I5" s="157"/>
      <c r="J5" s="158"/>
      <c r="K5" s="159"/>
      <c r="L5" s="160"/>
      <c r="M5" s="161"/>
      <c r="N5" s="162"/>
      <c r="O5" s="163"/>
      <c r="P5" s="164"/>
      <c r="Q5" s="165"/>
      <c r="R5" s="166"/>
      <c r="S5" s="167"/>
      <c r="T5" s="168"/>
      <c r="U5" s="169"/>
      <c r="Y5" s="95"/>
      <c r="Z5" s="93"/>
      <c r="AA5" s="132"/>
      <c r="AB5" s="93"/>
      <c r="AC5" s="132"/>
    </row>
    <row r="6" spans="1:31" ht="15" customHeight="1" x14ac:dyDescent="0.25">
      <c r="A6" s="46">
        <f t="shared" ref="A6:A14" si="1">+A5+1</f>
        <v>3</v>
      </c>
      <c r="B6" s="61" t="s">
        <v>4</v>
      </c>
      <c r="C6" s="152">
        <v>50</v>
      </c>
      <c r="D6" s="134">
        <v>79</v>
      </c>
      <c r="E6" s="135">
        <f t="shared" ref="E6:E14" si="2">+C6*D6</f>
        <v>3950</v>
      </c>
      <c r="F6" s="154"/>
      <c r="G6" s="155"/>
      <c r="H6" s="156"/>
      <c r="I6" s="157"/>
      <c r="J6" s="158"/>
      <c r="K6" s="159"/>
      <c r="L6" s="160"/>
      <c r="M6" s="161"/>
      <c r="N6" s="162"/>
      <c r="O6" s="163"/>
      <c r="P6" s="164"/>
      <c r="Q6" s="165"/>
      <c r="R6" s="166"/>
      <c r="S6" s="167"/>
      <c r="T6" s="168"/>
      <c r="U6" s="169"/>
      <c r="Y6" s="95"/>
      <c r="Z6" s="352" t="s">
        <v>834</v>
      </c>
      <c r="AA6" s="132"/>
      <c r="AC6" s="132"/>
    </row>
    <row r="7" spans="1:31" ht="15" customHeight="1" x14ac:dyDescent="0.25">
      <c r="A7" s="46">
        <f t="shared" si="1"/>
        <v>4</v>
      </c>
      <c r="B7" s="61" t="s">
        <v>32</v>
      </c>
      <c r="C7" s="152">
        <v>100</v>
      </c>
      <c r="D7" s="134">
        <v>79</v>
      </c>
      <c r="E7" s="135">
        <f t="shared" si="2"/>
        <v>7900</v>
      </c>
      <c r="F7" s="154"/>
      <c r="G7" s="155"/>
      <c r="H7" s="156"/>
      <c r="I7" s="157"/>
      <c r="J7" s="158"/>
      <c r="K7" s="159"/>
      <c r="L7" s="160"/>
      <c r="M7" s="161"/>
      <c r="N7" s="162"/>
      <c r="O7" s="163"/>
      <c r="P7" s="164"/>
      <c r="Q7" s="165"/>
      <c r="R7" s="166"/>
      <c r="S7" s="167"/>
      <c r="T7" s="168"/>
      <c r="U7" s="169"/>
      <c r="Y7" s="95"/>
      <c r="AA7" s="132"/>
      <c r="AC7" s="132"/>
    </row>
    <row r="8" spans="1:31" ht="15" customHeight="1" x14ac:dyDescent="0.25">
      <c r="A8" s="46">
        <f t="shared" si="1"/>
        <v>5</v>
      </c>
      <c r="B8" s="61" t="s">
        <v>33</v>
      </c>
      <c r="C8" s="152">
        <v>250</v>
      </c>
      <c r="D8" s="134">
        <v>79</v>
      </c>
      <c r="E8" s="135">
        <f t="shared" si="2"/>
        <v>19750</v>
      </c>
      <c r="F8" s="154"/>
      <c r="G8" s="155"/>
      <c r="H8" s="156"/>
      <c r="I8" s="157"/>
      <c r="J8" s="158"/>
      <c r="K8" s="159"/>
      <c r="L8" s="160"/>
      <c r="M8" s="161"/>
      <c r="N8" s="162"/>
      <c r="O8" s="163"/>
      <c r="P8" s="164"/>
      <c r="Q8" s="165"/>
      <c r="R8" s="166"/>
      <c r="S8" s="167"/>
      <c r="T8" s="168"/>
      <c r="U8" s="169"/>
      <c r="Y8" s="95">
        <v>2</v>
      </c>
      <c r="Z8" s="1" t="s">
        <v>827</v>
      </c>
      <c r="AA8" s="132">
        <v>55</v>
      </c>
      <c r="AB8" s="132"/>
      <c r="AC8" s="132"/>
      <c r="AD8" s="132">
        <v>70</v>
      </c>
      <c r="AE8" s="132"/>
    </row>
    <row r="9" spans="1:31" ht="15" customHeight="1" x14ac:dyDescent="0.25">
      <c r="A9" s="46">
        <f t="shared" si="1"/>
        <v>6</v>
      </c>
      <c r="B9" s="61" t="s">
        <v>34</v>
      </c>
      <c r="C9" s="152">
        <v>250</v>
      </c>
      <c r="D9" s="134">
        <v>79</v>
      </c>
      <c r="E9" s="135">
        <f t="shared" si="2"/>
        <v>19750</v>
      </c>
      <c r="F9" s="154"/>
      <c r="G9" s="155"/>
      <c r="H9" s="156"/>
      <c r="I9" s="157"/>
      <c r="J9" s="158"/>
      <c r="K9" s="159"/>
      <c r="L9" s="160"/>
      <c r="M9" s="161"/>
      <c r="N9" s="162"/>
      <c r="O9" s="163"/>
      <c r="P9" s="164"/>
      <c r="Q9" s="165"/>
      <c r="R9" s="166"/>
      <c r="S9" s="167"/>
      <c r="T9" s="168"/>
      <c r="U9" s="169"/>
      <c r="Y9" s="95">
        <v>3</v>
      </c>
      <c r="Z9" s="1" t="s">
        <v>828</v>
      </c>
      <c r="AA9" s="132">
        <v>30</v>
      </c>
      <c r="AB9" s="93"/>
      <c r="AC9" s="132"/>
      <c r="AD9" s="132">
        <v>35</v>
      </c>
    </row>
    <row r="10" spans="1:31" ht="15" customHeight="1" x14ac:dyDescent="0.25">
      <c r="A10" s="46">
        <f t="shared" si="1"/>
        <v>7</v>
      </c>
      <c r="B10" s="61" t="s">
        <v>0</v>
      </c>
      <c r="C10" s="152">
        <v>250</v>
      </c>
      <c r="D10" s="134">
        <v>79</v>
      </c>
      <c r="E10" s="135">
        <f t="shared" si="2"/>
        <v>19750</v>
      </c>
      <c r="F10" s="154"/>
      <c r="G10" s="155"/>
      <c r="H10" s="156"/>
      <c r="I10" s="157"/>
      <c r="J10" s="158"/>
      <c r="K10" s="159"/>
      <c r="L10" s="160"/>
      <c r="M10" s="161"/>
      <c r="N10" s="162"/>
      <c r="O10" s="163"/>
      <c r="P10" s="164"/>
      <c r="Q10" s="165"/>
      <c r="R10" s="166"/>
      <c r="S10" s="167"/>
      <c r="T10" s="168"/>
      <c r="U10" s="169"/>
      <c r="Y10" s="95"/>
      <c r="Z10" s="1" t="s">
        <v>835</v>
      </c>
      <c r="AA10" s="353"/>
      <c r="AC10" s="132"/>
      <c r="AD10" s="354"/>
    </row>
    <row r="11" spans="1:31" ht="15" customHeight="1" x14ac:dyDescent="0.25">
      <c r="A11" s="46">
        <f t="shared" si="1"/>
        <v>8</v>
      </c>
      <c r="B11" s="62" t="s">
        <v>35</v>
      </c>
      <c r="C11" s="152"/>
      <c r="D11" s="134">
        <v>79</v>
      </c>
      <c r="E11" s="135">
        <f t="shared" si="2"/>
        <v>0</v>
      </c>
      <c r="F11" s="154"/>
      <c r="G11" s="155"/>
      <c r="H11" s="156"/>
      <c r="I11" s="157"/>
      <c r="J11" s="158"/>
      <c r="K11" s="159"/>
      <c r="L11" s="160"/>
      <c r="M11" s="161"/>
      <c r="N11" s="162"/>
      <c r="O11" s="163"/>
      <c r="P11" s="164"/>
      <c r="Q11" s="165"/>
      <c r="R11" s="166"/>
      <c r="S11" s="167"/>
      <c r="T11" s="168"/>
      <c r="U11" s="169"/>
      <c r="Y11" s="95"/>
      <c r="Z11" s="352" t="s">
        <v>829</v>
      </c>
      <c r="AA11" s="132"/>
      <c r="AC11" s="132"/>
    </row>
    <row r="12" spans="1:31" ht="15" customHeight="1" x14ac:dyDescent="0.25">
      <c r="A12" s="46">
        <f t="shared" si="1"/>
        <v>9</v>
      </c>
      <c r="B12" s="62" t="s">
        <v>36</v>
      </c>
      <c r="C12" s="152">
        <v>140</v>
      </c>
      <c r="D12" s="153">
        <v>150</v>
      </c>
      <c r="E12" s="135">
        <f t="shared" si="2"/>
        <v>21000</v>
      </c>
      <c r="F12" s="154"/>
      <c r="G12" s="155"/>
      <c r="H12" s="156"/>
      <c r="I12" s="157"/>
      <c r="J12" s="158"/>
      <c r="K12" s="159"/>
      <c r="L12" s="160"/>
      <c r="M12" s="161"/>
      <c r="N12" s="162"/>
      <c r="O12" s="163"/>
      <c r="P12" s="164"/>
      <c r="Q12" s="165"/>
      <c r="R12" s="166"/>
      <c r="S12" s="167"/>
      <c r="T12" s="168"/>
      <c r="U12" s="169"/>
      <c r="Y12" s="95">
        <v>4</v>
      </c>
      <c r="Z12" s="1" t="s">
        <v>830</v>
      </c>
      <c r="AA12" s="132">
        <v>31</v>
      </c>
      <c r="AC12" s="132"/>
      <c r="AD12" s="132">
        <v>42</v>
      </c>
    </row>
    <row r="13" spans="1:31" ht="15" customHeight="1" x14ac:dyDescent="0.25">
      <c r="A13" s="46">
        <f t="shared" si="1"/>
        <v>10</v>
      </c>
      <c r="B13" s="62" t="s">
        <v>37</v>
      </c>
      <c r="C13" s="152"/>
      <c r="D13" s="153">
        <f t="shared" ref="D13:D14" si="3">27.17*1.442252</f>
        <v>39.185986840000005</v>
      </c>
      <c r="E13" s="135">
        <f t="shared" si="2"/>
        <v>0</v>
      </c>
      <c r="F13" s="154"/>
      <c r="G13" s="155"/>
      <c r="H13" s="156"/>
      <c r="I13" s="157"/>
      <c r="J13" s="158"/>
      <c r="K13" s="159"/>
      <c r="L13" s="160"/>
      <c r="M13" s="161"/>
      <c r="N13" s="162"/>
      <c r="O13" s="163"/>
      <c r="P13" s="164"/>
      <c r="Q13" s="165"/>
      <c r="R13" s="166"/>
      <c r="S13" s="167"/>
      <c r="T13" s="168"/>
      <c r="U13" s="169"/>
      <c r="Y13" s="95"/>
      <c r="AA13" s="132"/>
      <c r="AC13" s="132"/>
    </row>
    <row r="14" spans="1:31" ht="15" customHeight="1" thickBot="1" x14ac:dyDescent="0.3">
      <c r="A14" s="63">
        <f t="shared" si="1"/>
        <v>11</v>
      </c>
      <c r="B14" s="64" t="s">
        <v>38</v>
      </c>
      <c r="C14" s="170"/>
      <c r="D14" s="171">
        <f t="shared" si="3"/>
        <v>39.185986840000005</v>
      </c>
      <c r="E14" s="172">
        <f t="shared" si="2"/>
        <v>0</v>
      </c>
      <c r="F14" s="173"/>
      <c r="G14" s="174"/>
      <c r="H14" s="175"/>
      <c r="I14" s="176"/>
      <c r="J14" s="177"/>
      <c r="K14" s="178"/>
      <c r="L14" s="179"/>
      <c r="M14" s="180"/>
      <c r="N14" s="181"/>
      <c r="O14" s="182"/>
      <c r="P14" s="183"/>
      <c r="Q14" s="184"/>
      <c r="R14" s="185"/>
      <c r="S14" s="186"/>
      <c r="T14" s="187"/>
      <c r="U14" s="188"/>
      <c r="Y14" s="95"/>
      <c r="Z14" s="352" t="s">
        <v>64</v>
      </c>
      <c r="AA14" s="132"/>
      <c r="AC14" s="132"/>
    </row>
    <row r="15" spans="1:31" ht="22.5" customHeight="1" thickTop="1" thickBot="1" x14ac:dyDescent="0.3">
      <c r="A15" s="78"/>
      <c r="B15" s="79" t="s">
        <v>65</v>
      </c>
      <c r="C15" s="189">
        <f>SUM(C4:C14)</f>
        <v>1150</v>
      </c>
      <c r="D15" s="190"/>
      <c r="E15" s="191">
        <f>SUM(E4:E14)</f>
        <v>100790</v>
      </c>
      <c r="F15" s="192">
        <f>SUM(F4:F14)</f>
        <v>0</v>
      </c>
      <c r="G15" s="193"/>
      <c r="H15" s="194"/>
      <c r="I15" s="195"/>
      <c r="J15" s="196"/>
      <c r="K15" s="197"/>
      <c r="L15" s="198"/>
      <c r="M15" s="199"/>
      <c r="N15" s="200"/>
      <c r="O15" s="201"/>
      <c r="P15" s="202"/>
      <c r="Q15" s="203"/>
      <c r="R15" s="204"/>
      <c r="S15" s="205"/>
      <c r="T15" s="206"/>
      <c r="U15" s="207"/>
      <c r="Y15" s="95"/>
      <c r="Z15" s="93"/>
      <c r="AA15" s="132"/>
      <c r="AB15" s="132"/>
      <c r="AC15" s="132"/>
    </row>
    <row r="16" spans="1:31" x14ac:dyDescent="0.25">
      <c r="Y16" s="95"/>
      <c r="Z16" s="93"/>
      <c r="AA16" s="132"/>
      <c r="AC16" s="132"/>
    </row>
    <row r="17" spans="2:30" x14ac:dyDescent="0.25">
      <c r="Y17" s="95"/>
      <c r="AA17" s="132"/>
      <c r="AC17" s="132"/>
    </row>
    <row r="18" spans="2:30" x14ac:dyDescent="0.25">
      <c r="Y18" s="95"/>
      <c r="Z18" s="352" t="s">
        <v>66</v>
      </c>
      <c r="AA18" s="132"/>
      <c r="AC18" s="132"/>
    </row>
    <row r="19" spans="2:30" x14ac:dyDescent="0.25">
      <c r="B19" s="208" t="s">
        <v>39</v>
      </c>
      <c r="Y19" s="95"/>
      <c r="Z19" s="93"/>
      <c r="AA19" s="132"/>
      <c r="AB19" s="132"/>
      <c r="AC19" s="132"/>
    </row>
    <row r="20" spans="2:30" x14ac:dyDescent="0.25">
      <c r="B20" s="208" t="s">
        <v>67</v>
      </c>
      <c r="D20" s="1">
        <f>7*8</f>
        <v>56</v>
      </c>
      <c r="Y20" s="95"/>
      <c r="Z20" s="93"/>
      <c r="AA20" s="132"/>
      <c r="AC20" s="132"/>
    </row>
    <row r="21" spans="2:30" x14ac:dyDescent="0.25">
      <c r="D21" s="1">
        <f>+D20*20</f>
        <v>1120</v>
      </c>
      <c r="Y21" s="95"/>
      <c r="AA21" s="132"/>
      <c r="AC21" s="132"/>
    </row>
    <row r="22" spans="2:30" x14ac:dyDescent="0.25">
      <c r="D22" s="1">
        <f>1581-1120</f>
        <v>461</v>
      </c>
      <c r="Y22" s="95"/>
      <c r="Z22" s="352" t="s">
        <v>68</v>
      </c>
      <c r="AA22" s="132"/>
      <c r="AC22" s="132"/>
    </row>
    <row r="23" spans="2:30" x14ac:dyDescent="0.25">
      <c r="E23" s="1">
        <f>+D22/D21*100</f>
        <v>41.160714285714285</v>
      </c>
      <c r="H23" s="93"/>
      <c r="L23" s="93"/>
      <c r="Y23" s="95">
        <v>5</v>
      </c>
      <c r="Z23" s="1" t="s">
        <v>831</v>
      </c>
      <c r="AA23" s="132">
        <v>33</v>
      </c>
      <c r="AB23" s="132"/>
      <c r="AC23" s="132"/>
      <c r="AD23" s="132">
        <v>37</v>
      </c>
    </row>
    <row r="24" spans="2:30" x14ac:dyDescent="0.25">
      <c r="L24" s="93"/>
      <c r="Y24" s="95">
        <v>6</v>
      </c>
      <c r="Z24" s="1" t="s">
        <v>832</v>
      </c>
      <c r="AA24" s="132">
        <v>30</v>
      </c>
      <c r="AC24" s="132"/>
      <c r="AD24" s="132">
        <v>35</v>
      </c>
    </row>
    <row r="25" spans="2:30" x14ac:dyDescent="0.25">
      <c r="H25" s="132"/>
      <c r="Y25" s="95"/>
      <c r="AA25" s="132"/>
      <c r="AC25" s="132"/>
    </row>
    <row r="26" spans="2:30" x14ac:dyDescent="0.25">
      <c r="Y26" s="95"/>
      <c r="Z26" s="352" t="s">
        <v>69</v>
      </c>
      <c r="AA26" s="132"/>
      <c r="AC26" s="132"/>
    </row>
    <row r="27" spans="2:30" x14ac:dyDescent="0.25">
      <c r="Y27" s="95"/>
      <c r="Z27" s="93"/>
      <c r="AA27" s="132"/>
      <c r="AB27" s="132"/>
      <c r="AC27" s="132"/>
    </row>
    <row r="28" spans="2:30" x14ac:dyDescent="0.25">
      <c r="Y28" s="95"/>
      <c r="Z28" s="93"/>
      <c r="AA28" s="132"/>
      <c r="AC28" s="132"/>
    </row>
    <row r="29" spans="2:30" x14ac:dyDescent="0.25">
      <c r="Y29" s="95"/>
      <c r="Z29" s="93"/>
      <c r="AA29" s="132"/>
      <c r="AC29" s="132"/>
    </row>
    <row r="30" spans="2:30" x14ac:dyDescent="0.25">
      <c r="Y30" s="95"/>
      <c r="AA30" s="132"/>
      <c r="AC30" s="132"/>
    </row>
    <row r="31" spans="2:30" x14ac:dyDescent="0.25">
      <c r="Y31" s="95"/>
      <c r="Z31" s="352" t="s">
        <v>70</v>
      </c>
      <c r="AA31" s="132"/>
      <c r="AC31" s="132"/>
    </row>
    <row r="32" spans="2:30" x14ac:dyDescent="0.25">
      <c r="Y32" s="95"/>
      <c r="Z32" s="93"/>
      <c r="AA32" s="132"/>
      <c r="AC32" s="132"/>
    </row>
    <row r="33" spans="25:31" x14ac:dyDescent="0.25">
      <c r="Y33" s="95"/>
      <c r="AA33" s="132"/>
      <c r="AC33" s="132"/>
    </row>
    <row r="34" spans="25:31" x14ac:dyDescent="0.25">
      <c r="Y34" s="95"/>
      <c r="Z34" s="352" t="s">
        <v>71</v>
      </c>
      <c r="AA34" s="132"/>
      <c r="AC34" s="132"/>
    </row>
    <row r="35" spans="25:31" x14ac:dyDescent="0.25">
      <c r="Y35" s="95">
        <v>7</v>
      </c>
      <c r="Z35" s="1" t="s">
        <v>833</v>
      </c>
      <c r="AA35" s="132">
        <v>24</v>
      </c>
      <c r="AC35" s="132"/>
      <c r="AD35" s="353">
        <v>30</v>
      </c>
    </row>
    <row r="37" spans="25:31" x14ac:dyDescent="0.25">
      <c r="AD37" s="132"/>
      <c r="AE37" s="132"/>
    </row>
    <row r="39" spans="25:31" x14ac:dyDescent="0.25">
      <c r="Z39" s="1" t="s">
        <v>836</v>
      </c>
    </row>
    <row r="40" spans="25:31" x14ac:dyDescent="0.25">
      <c r="Y40" s="1">
        <v>8</v>
      </c>
      <c r="Z40" s="1" t="s">
        <v>837</v>
      </c>
      <c r="AA40" s="1">
        <v>40</v>
      </c>
      <c r="AD40" s="1">
        <v>45</v>
      </c>
    </row>
    <row r="41" spans="25:31" x14ac:dyDescent="0.25">
      <c r="Y41" s="1">
        <v>9</v>
      </c>
      <c r="Z41" s="1" t="s">
        <v>838</v>
      </c>
      <c r="AA41" s="1">
        <v>33</v>
      </c>
      <c r="AD41" s="1">
        <v>40</v>
      </c>
    </row>
    <row r="42" spans="25:31" x14ac:dyDescent="0.25">
      <c r="Y42" s="1">
        <v>10</v>
      </c>
      <c r="Z42" s="1" t="s">
        <v>843</v>
      </c>
      <c r="AA42" s="1">
        <v>17.850000000000001</v>
      </c>
      <c r="AD42" s="1">
        <v>22.32</v>
      </c>
    </row>
    <row r="43" spans="25:31" x14ac:dyDescent="0.25">
      <c r="Y43" s="1">
        <v>11</v>
      </c>
      <c r="Z43" s="1" t="s">
        <v>839</v>
      </c>
      <c r="AA43" s="1">
        <v>33</v>
      </c>
      <c r="AD43" s="354">
        <v>40</v>
      </c>
    </row>
    <row r="44" spans="25:31" x14ac:dyDescent="0.25">
      <c r="Y44" s="1">
        <v>12</v>
      </c>
      <c r="Z44" s="1" t="s">
        <v>841</v>
      </c>
      <c r="AA44" s="1">
        <v>48</v>
      </c>
      <c r="AD44" s="1">
        <v>67</v>
      </c>
    </row>
    <row r="45" spans="25:31" x14ac:dyDescent="0.25">
      <c r="Y45" s="1">
        <v>13</v>
      </c>
      <c r="Z45" s="1" t="s">
        <v>840</v>
      </c>
      <c r="AA45" s="1">
        <v>33.5</v>
      </c>
      <c r="AD45" s="1">
        <v>41</v>
      </c>
    </row>
    <row r="46" spans="25:31" x14ac:dyDescent="0.25">
      <c r="Y46" s="1">
        <v>14</v>
      </c>
      <c r="Z46" s="1" t="s">
        <v>842</v>
      </c>
      <c r="AA46" s="1">
        <v>33.200000000000003</v>
      </c>
      <c r="AD46" s="1">
        <v>40.5</v>
      </c>
    </row>
  </sheetData>
  <mergeCells count="8">
    <mergeCell ref="O1:Q1"/>
    <mergeCell ref="R1:T1"/>
    <mergeCell ref="A1:A2"/>
    <mergeCell ref="B1:B2"/>
    <mergeCell ref="C1:E1"/>
    <mergeCell ref="F1:H1"/>
    <mergeCell ref="I1:K1"/>
    <mergeCell ref="L1:N1"/>
  </mergeCells>
  <pageMargins left="0.78740157499999996" right="0.78740157499999996" top="0.984251969" bottom="0.984251969" header="0.5" footer="0.5"/>
  <pageSetup paperSize="9" orientation="portrait" horizontalDpi="4294967294"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G32"/>
  <sheetViews>
    <sheetView zoomScale="70" zoomScaleNormal="70" workbookViewId="0">
      <selection activeCell="B46" sqref="B46"/>
    </sheetView>
  </sheetViews>
  <sheetFormatPr defaultColWidth="9.109375" defaultRowHeight="14.4" x14ac:dyDescent="0.3"/>
  <cols>
    <col min="1" max="1" width="5.33203125" style="209" customWidth="1"/>
    <col min="2" max="2" width="38.6640625" style="1" customWidth="1"/>
    <col min="3" max="3" width="21.44140625" style="241" customWidth="1"/>
    <col min="4" max="4" width="21.44140625" style="312" customWidth="1"/>
    <col min="5" max="5" width="22.44140625" style="212" customWidth="1"/>
    <col min="6" max="6" width="21.44140625" style="212" customWidth="1"/>
    <col min="7" max="7" width="9.109375" style="1" customWidth="1"/>
    <col min="8" max="8" width="14.88671875" style="211" customWidth="1"/>
    <col min="9" max="9" width="13.88671875" style="212" customWidth="1"/>
    <col min="10" max="10" width="16.44140625" style="1" customWidth="1"/>
    <col min="11" max="21" width="9.33203125" style="1" customWidth="1"/>
    <col min="22" max="22" width="9.109375" style="1" customWidth="1"/>
    <col min="23" max="23" width="19.109375" style="1" bestFit="1" customWidth="1"/>
    <col min="24" max="24" width="13.33203125" style="1" customWidth="1"/>
    <col min="25" max="16384" width="9.109375" style="1"/>
  </cols>
  <sheetData>
    <row r="1" spans="1:215" ht="27.75" customHeight="1" x14ac:dyDescent="0.25">
      <c r="A1" s="260"/>
      <c r="B1" s="261"/>
      <c r="C1" s="262" t="s">
        <v>266</v>
      </c>
      <c r="D1" s="307" t="s">
        <v>267</v>
      </c>
      <c r="E1" s="243" t="s">
        <v>268</v>
      </c>
      <c r="F1" s="210"/>
      <c r="H1" s="211" t="s">
        <v>72</v>
      </c>
      <c r="I1" s="210" t="s">
        <v>73</v>
      </c>
    </row>
    <row r="2" spans="1:215" x14ac:dyDescent="0.3">
      <c r="A2" s="219" t="s">
        <v>74</v>
      </c>
      <c r="B2" s="263" t="s">
        <v>75</v>
      </c>
      <c r="C2" s="264"/>
      <c r="D2" s="308"/>
      <c r="E2" s="249">
        <v>1.1000000000000001</v>
      </c>
    </row>
    <row r="3" spans="1:215" ht="15" thickBot="1" x14ac:dyDescent="0.35">
      <c r="A3" s="219"/>
      <c r="B3" s="265" t="s">
        <v>76</v>
      </c>
      <c r="C3" s="266">
        <f>+(1500*7.65)+(500*7.65)+3500</f>
        <v>18800</v>
      </c>
      <c r="D3" s="309">
        <f>+C3*$E$2</f>
        <v>20680</v>
      </c>
      <c r="E3" s="210"/>
      <c r="F3" s="210"/>
      <c r="G3" s="213">
        <v>0.05</v>
      </c>
      <c r="W3" s="518" t="s">
        <v>269</v>
      </c>
      <c r="X3" s="519"/>
    </row>
    <row r="4" spans="1:215" ht="15" thickTop="1" x14ac:dyDescent="0.3">
      <c r="A4" s="219"/>
      <c r="B4" s="265" t="s">
        <v>77</v>
      </c>
      <c r="C4" s="266"/>
      <c r="D4" s="309">
        <f t="shared" ref="D4:D26" si="0">+C4*$E$2</f>
        <v>0</v>
      </c>
      <c r="E4" s="210"/>
      <c r="F4" s="210"/>
      <c r="G4" s="213">
        <v>0.2</v>
      </c>
      <c r="W4" s="248" t="s">
        <v>270</v>
      </c>
      <c r="X4" s="245">
        <v>0.5</v>
      </c>
      <c r="AA4" s="93"/>
    </row>
    <row r="5" spans="1:215" x14ac:dyDescent="0.3">
      <c r="A5" s="219"/>
      <c r="B5" s="267" t="s">
        <v>357</v>
      </c>
      <c r="C5" s="264">
        <v>2750</v>
      </c>
      <c r="D5" s="309">
        <f t="shared" si="0"/>
        <v>3025.0000000000005</v>
      </c>
      <c r="W5" s="247" t="s">
        <v>271</v>
      </c>
      <c r="X5" s="246">
        <v>1</v>
      </c>
    </row>
    <row r="6" spans="1:215" x14ac:dyDescent="0.3">
      <c r="A6" s="219"/>
      <c r="B6" s="267"/>
      <c r="C6" s="264">
        <v>750</v>
      </c>
      <c r="D6" s="309">
        <f t="shared" si="0"/>
        <v>825.00000000000011</v>
      </c>
      <c r="W6" s="247" t="s">
        <v>272</v>
      </c>
      <c r="X6" s="246">
        <v>1.5</v>
      </c>
    </row>
    <row r="7" spans="1:215" x14ac:dyDescent="0.3">
      <c r="A7" s="219"/>
      <c r="B7" s="267"/>
      <c r="C7" s="264"/>
      <c r="D7" s="309">
        <f t="shared" si="0"/>
        <v>0</v>
      </c>
      <c r="W7" s="247" t="s">
        <v>273</v>
      </c>
      <c r="X7" s="246">
        <v>1.3</v>
      </c>
    </row>
    <row r="8" spans="1:215" x14ac:dyDescent="0.3">
      <c r="A8" s="219"/>
      <c r="B8" s="268" t="s">
        <v>65</v>
      </c>
      <c r="C8" s="264"/>
      <c r="D8" s="309"/>
      <c r="W8" s="247" t="s">
        <v>274</v>
      </c>
      <c r="X8" s="246">
        <v>0.6</v>
      </c>
    </row>
    <row r="9" spans="1:215" x14ac:dyDescent="0.3">
      <c r="A9" s="219"/>
      <c r="B9" s="268"/>
      <c r="C9" s="264"/>
      <c r="D9" s="309"/>
      <c r="W9" s="247" t="s">
        <v>275</v>
      </c>
      <c r="X9" s="246">
        <v>1.5</v>
      </c>
    </row>
    <row r="10" spans="1:215" s="100" customFormat="1" ht="13.2" x14ac:dyDescent="0.25">
      <c r="A10" s="269" t="s">
        <v>79</v>
      </c>
      <c r="B10" s="270" t="s">
        <v>80</v>
      </c>
      <c r="C10" s="271">
        <f>I10*2</f>
        <v>0</v>
      </c>
      <c r="D10" s="309">
        <f t="shared" si="0"/>
        <v>0</v>
      </c>
      <c r="E10" s="250"/>
      <c r="F10" s="250"/>
      <c r="G10" s="1"/>
      <c r="H10" s="250"/>
      <c r="I10" s="250">
        <f>+H10/12</f>
        <v>0</v>
      </c>
      <c r="J10" s="1"/>
      <c r="K10" s="1"/>
      <c r="L10" s="1"/>
      <c r="M10" s="1"/>
      <c r="N10" s="1"/>
      <c r="O10" s="1"/>
      <c r="P10" s="1"/>
      <c r="Q10" s="1"/>
      <c r="R10" s="1"/>
      <c r="S10" s="1"/>
      <c r="T10" s="1"/>
      <c r="U10" s="1"/>
      <c r="V10" s="1"/>
      <c r="W10" s="247" t="s">
        <v>276</v>
      </c>
      <c r="X10" s="246">
        <v>0.4</v>
      </c>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row>
    <row r="11" spans="1:215" s="100" customFormat="1" ht="13.2" x14ac:dyDescent="0.25">
      <c r="A11" s="269"/>
      <c r="B11" s="272" t="s">
        <v>81</v>
      </c>
      <c r="C11" s="271">
        <v>4000</v>
      </c>
      <c r="D11" s="309">
        <f t="shared" si="0"/>
        <v>4400</v>
      </c>
      <c r="E11" s="250"/>
      <c r="F11" s="250"/>
      <c r="G11" s="1"/>
      <c r="H11" s="250"/>
      <c r="I11" s="250">
        <f>+H11/12</f>
        <v>0</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row>
    <row r="12" spans="1:215" s="100" customFormat="1" ht="13.2" x14ac:dyDescent="0.25">
      <c r="A12" s="269"/>
      <c r="B12" s="272" t="s">
        <v>82</v>
      </c>
      <c r="C12" s="271">
        <v>2000</v>
      </c>
      <c r="D12" s="309">
        <f t="shared" si="0"/>
        <v>2200</v>
      </c>
      <c r="E12" s="250"/>
      <c r="F12" s="250"/>
      <c r="G12" s="1"/>
      <c r="H12" s="250"/>
      <c r="I12" s="250">
        <f>+H12/12</f>
        <v>0</v>
      </c>
      <c r="J12" s="93" t="s">
        <v>83</v>
      </c>
      <c r="K12" s="93" t="s">
        <v>84</v>
      </c>
      <c r="L12" s="93" t="s">
        <v>85</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row>
    <row r="13" spans="1:215" s="100" customFormat="1" ht="13.2" x14ac:dyDescent="0.25">
      <c r="A13" s="269"/>
      <c r="B13" s="272" t="s">
        <v>86</v>
      </c>
      <c r="C13" s="271">
        <v>1000</v>
      </c>
      <c r="D13" s="309">
        <f t="shared" si="0"/>
        <v>1100</v>
      </c>
      <c r="E13" s="250"/>
      <c r="F13" s="250"/>
      <c r="G13" s="1"/>
      <c r="H13" s="250"/>
      <c r="I13" s="250">
        <f t="shared" ref="I13:I19" si="1">+H13/12</f>
        <v>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row>
    <row r="14" spans="1:215" s="100" customFormat="1" ht="13.2" x14ac:dyDescent="0.25">
      <c r="A14" s="269"/>
      <c r="B14" s="272" t="s">
        <v>87</v>
      </c>
      <c r="C14" s="271">
        <v>1000</v>
      </c>
      <c r="D14" s="309">
        <f t="shared" si="0"/>
        <v>1100</v>
      </c>
      <c r="E14" s="250"/>
      <c r="F14" s="250"/>
      <c r="G14" s="1"/>
      <c r="H14" s="250"/>
      <c r="I14" s="250">
        <f t="shared" si="1"/>
        <v>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row>
    <row r="15" spans="1:215" s="100" customFormat="1" ht="13.2" x14ac:dyDescent="0.25">
      <c r="A15" s="269"/>
      <c r="B15" s="272" t="s">
        <v>88</v>
      </c>
      <c r="C15" s="271"/>
      <c r="D15" s="309">
        <f t="shared" si="0"/>
        <v>0</v>
      </c>
      <c r="E15" s="250"/>
      <c r="F15" s="250"/>
      <c r="G15" s="93"/>
      <c r="H15" s="250"/>
      <c r="I15" s="250">
        <f t="shared" si="1"/>
        <v>0</v>
      </c>
      <c r="J15" s="1"/>
      <c r="K15" s="1"/>
      <c r="L15" s="1"/>
      <c r="M15" s="1"/>
      <c r="N15" s="1"/>
      <c r="O15" s="1"/>
      <c r="P15" s="1"/>
      <c r="Q15" s="1"/>
      <c r="R15" s="1"/>
      <c r="S15" s="1"/>
      <c r="T15" s="1"/>
      <c r="U15" s="1"/>
      <c r="V15" s="1"/>
      <c r="W15" s="1">
        <f>8*7</f>
        <v>56</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row>
    <row r="16" spans="1:215" s="100" customFormat="1" ht="13.2" x14ac:dyDescent="0.25">
      <c r="A16" s="269"/>
      <c r="B16" s="272" t="s">
        <v>89</v>
      </c>
      <c r="C16" s="271">
        <f>(I16*2)/3</f>
        <v>0</v>
      </c>
      <c r="D16" s="309">
        <f t="shared" si="0"/>
        <v>0</v>
      </c>
      <c r="E16" s="250"/>
      <c r="F16" s="250"/>
      <c r="G16" s="1"/>
      <c r="H16" s="250"/>
      <c r="I16" s="250">
        <f t="shared" si="1"/>
        <v>0</v>
      </c>
      <c r="J16" s="1"/>
      <c r="K16" s="1"/>
      <c r="L16" s="1"/>
      <c r="M16" s="1"/>
      <c r="N16" s="1"/>
      <c r="O16" s="1"/>
      <c r="P16" s="1"/>
      <c r="Q16" s="1"/>
      <c r="R16" s="1"/>
      <c r="S16" s="1"/>
      <c r="T16" s="1"/>
      <c r="U16" s="1"/>
      <c r="V16" s="1"/>
      <c r="W16" s="1">
        <f>+W15*22</f>
        <v>1232</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row>
    <row r="17" spans="1:215" s="100" customFormat="1" ht="13.2" x14ac:dyDescent="0.25">
      <c r="A17" s="269"/>
      <c r="B17" s="272" t="s">
        <v>90</v>
      </c>
      <c r="C17" s="271">
        <f>(I17*2)/3</f>
        <v>0</v>
      </c>
      <c r="D17" s="309">
        <f t="shared" si="0"/>
        <v>0</v>
      </c>
      <c r="E17" s="250"/>
      <c r="F17" s="250"/>
      <c r="G17" s="1"/>
      <c r="H17" s="250"/>
      <c r="I17" s="250">
        <f t="shared" si="1"/>
        <v>0</v>
      </c>
      <c r="J17" s="1"/>
      <c r="K17" s="1"/>
      <c r="L17" s="1"/>
      <c r="M17" s="1"/>
      <c r="N17" s="1"/>
      <c r="O17" s="1"/>
      <c r="P17" s="1"/>
      <c r="Q17" s="1"/>
      <c r="R17" s="1"/>
      <c r="S17" s="1"/>
      <c r="T17" s="1"/>
      <c r="U17" s="1"/>
      <c r="V17" s="1"/>
      <c r="W17" s="1">
        <v>807</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row>
    <row r="18" spans="1:215" s="214" customFormat="1" ht="13.2" x14ac:dyDescent="0.25">
      <c r="A18" s="273"/>
      <c r="B18" s="274" t="s">
        <v>91</v>
      </c>
      <c r="C18" s="275"/>
      <c r="D18" s="309">
        <f t="shared" si="0"/>
        <v>0</v>
      </c>
      <c r="E18" s="251"/>
      <c r="F18" s="251"/>
      <c r="G18" s="1"/>
      <c r="H18" s="250"/>
      <c r="I18" s="251"/>
      <c r="J18" s="1"/>
      <c r="K18" s="1"/>
      <c r="L18" s="1"/>
      <c r="M18" s="1"/>
      <c r="N18" s="1"/>
      <c r="O18" s="1"/>
      <c r="P18" s="1"/>
      <c r="Q18" s="1"/>
      <c r="R18" s="1"/>
      <c r="S18" s="1"/>
      <c r="T18" s="1"/>
      <c r="U18" s="1"/>
      <c r="V18" s="1"/>
      <c r="W18" s="1">
        <f>+W17/W16*100</f>
        <v>65.503246753246756</v>
      </c>
      <c r="X18" s="1">
        <f>1631/W16</f>
        <v>1.3238636363636365</v>
      </c>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row>
    <row r="19" spans="1:215" s="100" customFormat="1" ht="13.2" x14ac:dyDescent="0.25">
      <c r="A19" s="269"/>
      <c r="B19" s="272" t="s">
        <v>92</v>
      </c>
      <c r="C19" s="271">
        <v>2500</v>
      </c>
      <c r="D19" s="309">
        <f t="shared" si="0"/>
        <v>2750</v>
      </c>
      <c r="E19" s="252"/>
      <c r="F19" s="252"/>
      <c r="G19" s="1"/>
      <c r="H19" s="250"/>
      <c r="I19" s="250">
        <f t="shared" si="1"/>
        <v>0</v>
      </c>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row>
    <row r="20" spans="1:215" x14ac:dyDescent="0.3">
      <c r="A20" s="219"/>
      <c r="B20" s="268" t="s">
        <v>65</v>
      </c>
      <c r="C20" s="264"/>
      <c r="D20" s="309"/>
    </row>
    <row r="21" spans="1:215" x14ac:dyDescent="0.3">
      <c r="A21" s="219"/>
      <c r="B21" s="276"/>
      <c r="C21" s="264"/>
      <c r="D21" s="309"/>
    </row>
    <row r="22" spans="1:215" x14ac:dyDescent="0.3">
      <c r="A22" s="219" t="s">
        <v>93</v>
      </c>
      <c r="B22" s="263" t="s">
        <v>94</v>
      </c>
      <c r="C22" s="264"/>
      <c r="D22" s="309"/>
      <c r="H22" s="211" t="s">
        <v>95</v>
      </c>
      <c r="I22" s="210" t="s">
        <v>96</v>
      </c>
      <c r="J22" s="93" t="s">
        <v>97</v>
      </c>
      <c r="K22" s="93" t="s">
        <v>98</v>
      </c>
      <c r="L22" s="93" t="s">
        <v>99</v>
      </c>
      <c r="M22" s="93" t="s">
        <v>100</v>
      </c>
      <c r="N22" s="93" t="s">
        <v>101</v>
      </c>
      <c r="O22" s="93" t="s">
        <v>102</v>
      </c>
      <c r="P22" s="93" t="s">
        <v>103</v>
      </c>
      <c r="Q22" s="93" t="s">
        <v>104</v>
      </c>
      <c r="R22" s="93" t="s">
        <v>105</v>
      </c>
      <c r="S22" s="93" t="s">
        <v>106</v>
      </c>
      <c r="T22" s="93" t="s">
        <v>107</v>
      </c>
      <c r="U22" s="93" t="s">
        <v>108</v>
      </c>
    </row>
    <row r="23" spans="1:215" x14ac:dyDescent="0.3">
      <c r="A23" s="219"/>
      <c r="B23" s="265" t="s">
        <v>109</v>
      </c>
      <c r="C23" s="264"/>
      <c r="D23" s="309">
        <f t="shared" si="0"/>
        <v>0</v>
      </c>
      <c r="H23" s="211">
        <v>553.5</v>
      </c>
      <c r="I23" s="212">
        <v>166</v>
      </c>
      <c r="J23" s="1">
        <v>3589.4</v>
      </c>
      <c r="K23" s="1">
        <f>732+362+231</f>
        <v>1325</v>
      </c>
      <c r="L23" s="1">
        <f>1480+2322</f>
        <v>3802</v>
      </c>
      <c r="M23" s="1">
        <f>360+180+360</f>
        <v>900</v>
      </c>
      <c r="N23" s="1">
        <f>750+219+269.37</f>
        <v>1238.3699999999999</v>
      </c>
      <c r="O23" s="1">
        <v>245</v>
      </c>
      <c r="P23" s="1">
        <f>900+1200</f>
        <v>2100</v>
      </c>
      <c r="Q23" s="1">
        <v>1157</v>
      </c>
      <c r="R23" s="1">
        <v>870</v>
      </c>
      <c r="S23" s="1">
        <f>1260.16+1533</f>
        <v>2793.16</v>
      </c>
      <c r="T23" s="1">
        <v>140</v>
      </c>
      <c r="U23" s="1">
        <v>7992</v>
      </c>
    </row>
    <row r="24" spans="1:215" x14ac:dyDescent="0.3">
      <c r="A24" s="219"/>
      <c r="B24" s="265" t="s">
        <v>110</v>
      </c>
      <c r="C24" s="266"/>
      <c r="D24" s="309">
        <f t="shared" si="0"/>
        <v>0</v>
      </c>
      <c r="E24" s="210"/>
      <c r="F24" s="210"/>
    </row>
    <row r="25" spans="1:215" x14ac:dyDescent="0.3">
      <c r="A25" s="219"/>
      <c r="B25" s="265" t="s">
        <v>111</v>
      </c>
      <c r="C25" s="266"/>
      <c r="D25" s="309"/>
      <c r="E25" s="210"/>
      <c r="F25" s="210"/>
    </row>
    <row r="26" spans="1:215" x14ac:dyDescent="0.3">
      <c r="A26" s="219"/>
      <c r="B26" s="265" t="s">
        <v>112</v>
      </c>
      <c r="C26" s="266"/>
      <c r="D26" s="309">
        <f t="shared" si="0"/>
        <v>0</v>
      </c>
      <c r="E26" s="210"/>
      <c r="F26" s="210"/>
    </row>
    <row r="27" spans="1:215" x14ac:dyDescent="0.3">
      <c r="A27" s="219"/>
      <c r="B27" s="268" t="s">
        <v>65</v>
      </c>
      <c r="C27" s="264"/>
      <c r="D27" s="309"/>
    </row>
    <row r="28" spans="1:215" x14ac:dyDescent="0.3">
      <c r="A28" s="219"/>
      <c r="B28" s="276"/>
      <c r="C28" s="264"/>
      <c r="D28" s="309"/>
    </row>
    <row r="29" spans="1:215" x14ac:dyDescent="0.3">
      <c r="A29" s="219" t="s">
        <v>113</v>
      </c>
      <c r="B29" s="263" t="s">
        <v>114</v>
      </c>
      <c r="C29" s="264"/>
      <c r="D29" s="309"/>
    </row>
    <row r="30" spans="1:215" ht="40.200000000000003" x14ac:dyDescent="0.3">
      <c r="A30" s="219"/>
      <c r="B30" s="277" t="s">
        <v>115</v>
      </c>
      <c r="C30" s="264">
        <v>5000</v>
      </c>
      <c r="D30" s="309">
        <v>2500</v>
      </c>
    </row>
    <row r="31" spans="1:215" ht="84" customHeight="1" thickBot="1" x14ac:dyDescent="0.3">
      <c r="A31" s="278"/>
      <c r="B31" s="216" t="s">
        <v>807</v>
      </c>
      <c r="C31" s="242">
        <v>10000</v>
      </c>
      <c r="D31" s="310">
        <v>1000</v>
      </c>
      <c r="E31" s="240"/>
      <c r="F31" s="240"/>
      <c r="G31" s="217"/>
      <c r="H31" s="217"/>
      <c r="I31" s="217"/>
      <c r="J31" s="217"/>
      <c r="K31" s="217"/>
      <c r="L31" s="217"/>
      <c r="M31" s="217"/>
      <c r="N31" s="217"/>
      <c r="O31" s="217"/>
      <c r="P31" s="217"/>
      <c r="Q31" s="217"/>
      <c r="R31" s="217"/>
      <c r="S31" s="217"/>
      <c r="T31" s="217"/>
      <c r="U31" s="217"/>
      <c r="V31" s="217"/>
      <c r="W31" s="217"/>
      <c r="X31" s="217"/>
      <c r="Y31" s="217"/>
      <c r="Z31" s="217"/>
      <c r="AA31" s="217"/>
    </row>
    <row r="32" spans="1:215" ht="30" customHeight="1" thickTop="1" x14ac:dyDescent="0.3">
      <c r="A32" s="280"/>
      <c r="B32" s="281" t="s">
        <v>65</v>
      </c>
      <c r="C32" s="279">
        <f>SUM(C2:C31)</f>
        <v>47800</v>
      </c>
      <c r="D32" s="311">
        <f>SUM(D2:D31)</f>
        <v>39580</v>
      </c>
      <c r="E32" s="218"/>
      <c r="F32" s="218"/>
    </row>
  </sheetData>
  <mergeCells count="1">
    <mergeCell ref="W3:X3"/>
  </mergeCells>
  <pageMargins left="0.78740157499999996" right="0.78740157499999996" top="0.984251969" bottom="0.984251969" header="0.5" footer="0.5"/>
  <pageSetup paperSize="9" orientation="portrait" horizontalDpi="0" verticalDpi="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3"/>
  <sheetViews>
    <sheetView zoomScale="70" zoomScaleNormal="70" workbookViewId="0">
      <selection activeCell="D16" sqref="D16"/>
    </sheetView>
  </sheetViews>
  <sheetFormatPr defaultColWidth="9.109375" defaultRowHeight="13.2" x14ac:dyDescent="0.25"/>
  <cols>
    <col min="1" max="1" width="5" style="209" bestFit="1" customWidth="1"/>
    <col min="2" max="2" width="54.5546875" style="1" bestFit="1" customWidth="1"/>
    <col min="3" max="3" width="17.44140625" style="1" customWidth="1"/>
    <col min="4" max="4" width="23.33203125" style="305" customWidth="1"/>
    <col min="5" max="5" width="20.5546875" style="1" customWidth="1"/>
    <col min="6" max="6" width="9.109375" style="1"/>
    <col min="7" max="7" width="19.88671875" style="1" customWidth="1"/>
    <col min="8" max="8" width="13.33203125" style="1" customWidth="1"/>
    <col min="9" max="10" width="9.109375" style="1"/>
    <col min="11" max="11" width="9.109375" style="1" customWidth="1"/>
    <col min="12" max="12" width="18.33203125" style="1" customWidth="1"/>
    <col min="13" max="13" width="15" style="1" customWidth="1"/>
    <col min="14" max="14" width="9.109375" style="1"/>
    <col min="15" max="15" width="14.88671875" style="1" bestFit="1" customWidth="1"/>
    <col min="16" max="16384" width="9.109375" style="1"/>
  </cols>
  <sheetData>
    <row r="1" spans="1:8" ht="25.5" customHeight="1" x14ac:dyDescent="0.25">
      <c r="B1" s="97"/>
      <c r="C1" s="244" t="s">
        <v>266</v>
      </c>
      <c r="D1" s="301" t="s">
        <v>267</v>
      </c>
      <c r="E1" s="243" t="s">
        <v>268</v>
      </c>
    </row>
    <row r="2" spans="1:8" ht="15" customHeight="1" x14ac:dyDescent="0.3">
      <c r="B2" s="97"/>
      <c r="D2" s="259"/>
      <c r="E2" s="249">
        <v>1.1000000000000001</v>
      </c>
    </row>
    <row r="3" spans="1:8" ht="15" customHeight="1" thickBot="1" x14ac:dyDescent="0.3">
      <c r="A3" s="209" t="s">
        <v>116</v>
      </c>
      <c r="B3" s="97" t="s">
        <v>117</v>
      </c>
      <c r="C3" s="93" t="s">
        <v>118</v>
      </c>
      <c r="D3" s="259"/>
      <c r="G3" s="518" t="s">
        <v>269</v>
      </c>
      <c r="H3" s="519"/>
    </row>
    <row r="4" spans="1:8" ht="15" customHeight="1" thickTop="1" x14ac:dyDescent="0.25">
      <c r="B4" s="208" t="s">
        <v>119</v>
      </c>
      <c r="C4" s="253">
        <v>500</v>
      </c>
      <c r="D4" s="259">
        <f>+C4*E2</f>
        <v>550</v>
      </c>
      <c r="G4" s="248" t="s">
        <v>270</v>
      </c>
      <c r="H4" s="245">
        <v>0.5</v>
      </c>
    </row>
    <row r="5" spans="1:8" ht="15" customHeight="1" x14ac:dyDescent="0.25">
      <c r="B5" s="208" t="s">
        <v>120</v>
      </c>
      <c r="C5" s="253">
        <v>200</v>
      </c>
      <c r="D5" s="259">
        <f>+C5*E2</f>
        <v>220.00000000000003</v>
      </c>
      <c r="G5" s="247" t="s">
        <v>271</v>
      </c>
      <c r="H5" s="246">
        <v>1</v>
      </c>
    </row>
    <row r="6" spans="1:8" ht="15" customHeight="1" x14ac:dyDescent="0.25">
      <c r="B6" s="208" t="s">
        <v>121</v>
      </c>
      <c r="C6" s="254"/>
      <c r="D6" s="259"/>
      <c r="G6" s="247" t="s">
        <v>272</v>
      </c>
      <c r="H6" s="246">
        <v>1.5</v>
      </c>
    </row>
    <row r="7" spans="1:8" ht="15" customHeight="1" x14ac:dyDescent="0.25">
      <c r="B7" s="96" t="s">
        <v>65</v>
      </c>
      <c r="C7" s="253"/>
      <c r="D7" s="259"/>
      <c r="G7" s="247" t="s">
        <v>273</v>
      </c>
      <c r="H7" s="246">
        <v>1.3</v>
      </c>
    </row>
    <row r="8" spans="1:8" ht="15" customHeight="1" x14ac:dyDescent="0.25">
      <c r="C8" s="253"/>
      <c r="D8" s="259"/>
      <c r="G8" s="247" t="s">
        <v>274</v>
      </c>
      <c r="H8" s="246">
        <v>0.6</v>
      </c>
    </row>
    <row r="9" spans="1:8" ht="15" customHeight="1" x14ac:dyDescent="0.25">
      <c r="A9" s="209" t="s">
        <v>122</v>
      </c>
      <c r="B9" s="97" t="s">
        <v>123</v>
      </c>
      <c r="C9" s="253"/>
      <c r="D9" s="259"/>
      <c r="G9" s="247" t="s">
        <v>275</v>
      </c>
      <c r="H9" s="246">
        <v>1.5</v>
      </c>
    </row>
    <row r="10" spans="1:8" ht="15" customHeight="1" x14ac:dyDescent="0.25">
      <c r="B10" s="208" t="s">
        <v>124</v>
      </c>
      <c r="C10" s="253"/>
      <c r="D10" s="259"/>
      <c r="G10" s="247" t="s">
        <v>276</v>
      </c>
      <c r="H10" s="246">
        <v>0.4</v>
      </c>
    </row>
    <row r="11" spans="1:8" ht="15" customHeight="1" x14ac:dyDescent="0.25">
      <c r="B11" s="208" t="s">
        <v>125</v>
      </c>
      <c r="C11" s="253">
        <v>2000</v>
      </c>
      <c r="D11" s="259">
        <f>+C11</f>
        <v>2000</v>
      </c>
    </row>
    <row r="12" spans="1:8" ht="15" customHeight="1" x14ac:dyDescent="0.25">
      <c r="B12" s="208" t="s">
        <v>126</v>
      </c>
      <c r="C12" s="253">
        <v>2000</v>
      </c>
      <c r="D12" s="259">
        <f>+C12</f>
        <v>2000</v>
      </c>
    </row>
    <row r="13" spans="1:8" ht="15" customHeight="1" x14ac:dyDescent="0.25">
      <c r="B13" s="96" t="s">
        <v>65</v>
      </c>
      <c r="C13" s="253"/>
      <c r="D13" s="259"/>
    </row>
    <row r="14" spans="1:8" ht="15" customHeight="1" x14ac:dyDescent="0.25">
      <c r="C14" s="253"/>
      <c r="D14" s="259"/>
    </row>
    <row r="15" spans="1:8" ht="15" customHeight="1" x14ac:dyDescent="0.25">
      <c r="A15" s="209" t="s">
        <v>127</v>
      </c>
      <c r="B15" s="97" t="s">
        <v>128</v>
      </c>
      <c r="C15" s="253"/>
      <c r="D15" s="259"/>
    </row>
    <row r="16" spans="1:8" ht="15" customHeight="1" x14ac:dyDescent="0.25">
      <c r="B16" s="208" t="s">
        <v>129</v>
      </c>
      <c r="C16" s="253">
        <v>0</v>
      </c>
      <c r="D16" s="302"/>
    </row>
    <row r="17" spans="1:4" ht="15" customHeight="1" x14ac:dyDescent="0.25">
      <c r="B17" s="208" t="s">
        <v>130</v>
      </c>
      <c r="C17" s="253">
        <v>500</v>
      </c>
      <c r="D17" s="259">
        <f>+C17*E2</f>
        <v>550</v>
      </c>
    </row>
    <row r="18" spans="1:4" ht="15" customHeight="1" x14ac:dyDescent="0.25">
      <c r="B18" s="96" t="s">
        <v>65</v>
      </c>
      <c r="C18" s="253"/>
      <c r="D18" s="259"/>
    </row>
    <row r="19" spans="1:4" ht="15" customHeight="1" x14ac:dyDescent="0.25">
      <c r="B19" s="208"/>
      <c r="C19" s="253"/>
      <c r="D19" s="259"/>
    </row>
    <row r="20" spans="1:4" ht="15" customHeight="1" x14ac:dyDescent="0.25">
      <c r="A20" s="209" t="s">
        <v>131</v>
      </c>
      <c r="B20" s="97" t="s">
        <v>132</v>
      </c>
      <c r="C20" s="254"/>
      <c r="D20" s="259"/>
    </row>
    <row r="21" spans="1:4" ht="15" customHeight="1" x14ac:dyDescent="0.25">
      <c r="B21" s="208" t="s">
        <v>318</v>
      </c>
      <c r="C21" s="253"/>
      <c r="D21" s="302"/>
    </row>
    <row r="22" spans="1:4" ht="15" customHeight="1" x14ac:dyDescent="0.25">
      <c r="B22" s="208" t="s">
        <v>78</v>
      </c>
      <c r="C22" s="253"/>
      <c r="D22" s="259"/>
    </row>
    <row r="23" spans="1:4" ht="15" customHeight="1" x14ac:dyDescent="0.25">
      <c r="B23" s="96" t="s">
        <v>65</v>
      </c>
      <c r="C23" s="253"/>
      <c r="D23" s="259"/>
    </row>
    <row r="24" spans="1:4" ht="15" customHeight="1" x14ac:dyDescent="0.25">
      <c r="C24" s="253"/>
      <c r="D24" s="259"/>
    </row>
    <row r="25" spans="1:4" ht="15" customHeight="1" x14ac:dyDescent="0.25">
      <c r="A25" s="209" t="s">
        <v>133</v>
      </c>
      <c r="B25" s="97" t="s">
        <v>134</v>
      </c>
      <c r="C25" s="253"/>
      <c r="D25" s="259"/>
    </row>
    <row r="26" spans="1:4" ht="15" customHeight="1" x14ac:dyDescent="0.25">
      <c r="B26" s="208" t="s">
        <v>135</v>
      </c>
      <c r="C26" s="253">
        <v>57500</v>
      </c>
      <c r="D26" s="259">
        <f>+C26*E2</f>
        <v>63250.000000000007</v>
      </c>
    </row>
    <row r="27" spans="1:4" ht="15" customHeight="1" x14ac:dyDescent="0.25">
      <c r="B27" s="208" t="s">
        <v>136</v>
      </c>
      <c r="C27" s="255"/>
      <c r="D27" s="259"/>
    </row>
    <row r="28" spans="1:4" ht="15" customHeight="1" x14ac:dyDescent="0.25">
      <c r="B28" s="208" t="s">
        <v>137</v>
      </c>
      <c r="C28" s="255"/>
      <c r="D28" s="259"/>
    </row>
    <row r="29" spans="1:4" ht="15" customHeight="1" x14ac:dyDescent="0.25">
      <c r="B29" s="96" t="s">
        <v>65</v>
      </c>
      <c r="C29" s="256"/>
      <c r="D29" s="259"/>
    </row>
    <row r="30" spans="1:4" ht="15" customHeight="1" x14ac:dyDescent="0.25">
      <c r="C30" s="253"/>
      <c r="D30" s="259"/>
    </row>
    <row r="31" spans="1:4" ht="15" customHeight="1" x14ac:dyDescent="0.25">
      <c r="A31" s="209" t="s">
        <v>138</v>
      </c>
      <c r="B31" s="97" t="s">
        <v>139</v>
      </c>
      <c r="C31" s="257">
        <v>5000</v>
      </c>
      <c r="D31" s="259">
        <v>15000</v>
      </c>
    </row>
    <row r="32" spans="1:4" ht="15" customHeight="1" x14ac:dyDescent="0.25">
      <c r="B32" s="96" t="s">
        <v>65</v>
      </c>
      <c r="C32" s="253"/>
      <c r="D32" s="259"/>
    </row>
    <row r="33" spans="1:4" ht="15" customHeight="1" x14ac:dyDescent="0.25">
      <c r="B33" s="96"/>
      <c r="C33" s="253"/>
      <c r="D33" s="259"/>
    </row>
    <row r="34" spans="1:4" ht="15" customHeight="1" thickBot="1" x14ac:dyDescent="0.3">
      <c r="A34" s="215" t="s">
        <v>140</v>
      </c>
      <c r="B34" s="220" t="s">
        <v>141</v>
      </c>
      <c r="C34" s="258">
        <v>0</v>
      </c>
      <c r="D34" s="303"/>
    </row>
    <row r="35" spans="1:4" s="208" customFormat="1" ht="15" customHeight="1" thickTop="1" x14ac:dyDescent="0.25">
      <c r="A35" s="209"/>
      <c r="B35" s="96" t="s">
        <v>65</v>
      </c>
      <c r="C35" s="218">
        <f>SUM(C4:C34)</f>
        <v>67700</v>
      </c>
      <c r="D35" s="304">
        <f>SUM(D2:D34)</f>
        <v>83570</v>
      </c>
    </row>
    <row r="36" spans="1:4" x14ac:dyDescent="0.25">
      <c r="B36" s="208"/>
    </row>
    <row r="63" spans="4:4" x14ac:dyDescent="0.25">
      <c r="D63" s="306"/>
    </row>
  </sheetData>
  <mergeCells count="1">
    <mergeCell ref="G3:H3"/>
  </mergeCells>
  <pageMargins left="0.78740157499999996" right="0.78740157499999996" top="0.984251969" bottom="0.984251969"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28"/>
  <sheetViews>
    <sheetView tabSelected="1" zoomScale="85" zoomScaleNormal="85" workbookViewId="0">
      <selection activeCell="C4" sqref="C4"/>
    </sheetView>
  </sheetViews>
  <sheetFormatPr defaultColWidth="11.44140625" defaultRowHeight="13.8" x14ac:dyDescent="0.3"/>
  <cols>
    <col min="1" max="1" width="6" style="221" customWidth="1"/>
    <col min="2" max="2" width="31.44140625" style="221" customWidth="1"/>
    <col min="3" max="3" width="20.5546875" style="238" customWidth="1"/>
    <col min="4" max="4" width="17.109375" style="238" customWidth="1"/>
    <col min="5" max="5" width="15.109375" style="221" bestFit="1" customWidth="1"/>
    <col min="6" max="6" width="16.109375" style="221" bestFit="1" customWidth="1"/>
    <col min="7" max="7" width="16" style="221" customWidth="1"/>
    <col min="8" max="8" width="13.5546875" style="221" bestFit="1" customWidth="1"/>
    <col min="9" max="9" width="11.44140625" style="221"/>
    <col min="10" max="10" width="15.109375" style="221" bestFit="1" customWidth="1"/>
    <col min="11" max="11" width="16.109375" style="221" bestFit="1" customWidth="1"/>
    <col min="12" max="12" width="15.109375" style="221" bestFit="1" customWidth="1"/>
    <col min="13" max="16384" width="11.44140625" style="221"/>
  </cols>
  <sheetData>
    <row r="1" spans="2:12" x14ac:dyDescent="0.3">
      <c r="B1" s="520" t="s">
        <v>142</v>
      </c>
      <c r="C1" s="521"/>
      <c r="D1" s="522"/>
    </row>
    <row r="2" spans="2:12" x14ac:dyDescent="0.3">
      <c r="B2" s="523" t="s">
        <v>804</v>
      </c>
      <c r="C2" s="524"/>
      <c r="D2" s="525"/>
    </row>
    <row r="3" spans="2:12" x14ac:dyDescent="0.3">
      <c r="B3" s="222"/>
      <c r="C3" s="223" t="s">
        <v>805</v>
      </c>
      <c r="D3" s="224" t="s">
        <v>143</v>
      </c>
    </row>
    <row r="4" spans="2:12" x14ac:dyDescent="0.3">
      <c r="B4" s="225" t="s">
        <v>144</v>
      </c>
      <c r="C4" s="226">
        <f>+MATERIJAL!O15*1.15</f>
        <v>462306.85153571423</v>
      </c>
      <c r="D4" s="526"/>
    </row>
    <row r="5" spans="2:12" x14ac:dyDescent="0.3">
      <c r="B5" s="225" t="s">
        <v>369</v>
      </c>
      <c r="C5" s="226">
        <f>+RAD!E15</f>
        <v>100790</v>
      </c>
      <c r="D5" s="527"/>
    </row>
    <row r="6" spans="2:12" x14ac:dyDescent="0.3">
      <c r="B6" s="225" t="s">
        <v>145</v>
      </c>
      <c r="C6" s="226">
        <f>+NEPOSREDNI!D32</f>
        <v>39580</v>
      </c>
      <c r="D6" s="527"/>
    </row>
    <row r="7" spans="2:12" ht="14.4" thickBot="1" x14ac:dyDescent="0.35">
      <c r="B7" s="227" t="s">
        <v>146</v>
      </c>
      <c r="C7" s="228">
        <f>+POSREDNI!D35</f>
        <v>83570</v>
      </c>
      <c r="D7" s="528"/>
    </row>
    <row r="8" spans="2:12" ht="20.25" customHeight="1" thickTop="1" x14ac:dyDescent="0.3">
      <c r="B8" s="229" t="s">
        <v>65</v>
      </c>
      <c r="C8" s="230">
        <f>SUM(C4:C7)</f>
        <v>686246.85153571423</v>
      </c>
      <c r="D8" s="231">
        <f>+C8*1.18</f>
        <v>809771.28481214272</v>
      </c>
      <c r="F8" s="289">
        <f>+D8*21</f>
        <v>17005196.981054999</v>
      </c>
      <c r="H8" s="290"/>
    </row>
    <row r="9" spans="2:12" hidden="1" x14ac:dyDescent="0.3">
      <c r="B9" s="232" t="s">
        <v>147</v>
      </c>
      <c r="C9" s="233">
        <f>$C8*E9</f>
        <v>171561.71288392856</v>
      </c>
      <c r="D9" s="234">
        <f>$D8*E9</f>
        <v>202442.82120303568</v>
      </c>
      <c r="E9" s="235">
        <v>0.25</v>
      </c>
      <c r="G9" s="221">
        <v>133493</v>
      </c>
    </row>
    <row r="10" spans="2:12" hidden="1" x14ac:dyDescent="0.3">
      <c r="B10" s="232" t="s">
        <v>12</v>
      </c>
      <c r="C10" s="233">
        <f>SUM(C8:C9)</f>
        <v>857808.56441964279</v>
      </c>
      <c r="D10" s="234">
        <f>SUM(D8:D9)</f>
        <v>1012214.1060151784</v>
      </c>
      <c r="E10" s="221" t="s">
        <v>148</v>
      </c>
    </row>
    <row r="11" spans="2:12" x14ac:dyDescent="0.3">
      <c r="B11" s="236" t="s">
        <v>149</v>
      </c>
      <c r="C11" s="529">
        <f>+D8-C8</f>
        <v>123524.43327642849</v>
      </c>
      <c r="D11" s="530"/>
      <c r="F11" s="349">
        <f>+C11*21</f>
        <v>2594013.0988049982</v>
      </c>
    </row>
    <row r="12" spans="2:12" ht="14.4" thickBot="1" x14ac:dyDescent="0.35">
      <c r="B12" s="237" t="s">
        <v>150</v>
      </c>
      <c r="C12" s="531">
        <f>+C11/D8</f>
        <v>0.15254237288135586</v>
      </c>
      <c r="D12" s="532"/>
    </row>
    <row r="14" spans="2:12" x14ac:dyDescent="0.3">
      <c r="H14" s="289"/>
    </row>
    <row r="15" spans="2:12" x14ac:dyDescent="0.3">
      <c r="D15" s="238">
        <v>1523600</v>
      </c>
      <c r="H15" s="289"/>
      <c r="J15" s="289"/>
      <c r="K15" s="289"/>
      <c r="L15" s="290"/>
    </row>
    <row r="16" spans="2:12" x14ac:dyDescent="0.3">
      <c r="D16" s="238">
        <f>+D15-D8</f>
        <v>713828.71518785728</v>
      </c>
      <c r="H16" s="289"/>
    </row>
    <row r="18" spans="2:12" x14ac:dyDescent="0.3">
      <c r="H18" s="290"/>
    </row>
    <row r="20" spans="2:12" x14ac:dyDescent="0.3">
      <c r="F20" s="289"/>
    </row>
    <row r="21" spans="2:12" x14ac:dyDescent="0.3">
      <c r="F21" s="289"/>
      <c r="H21" s="289"/>
    </row>
    <row r="22" spans="2:12" x14ac:dyDescent="0.3">
      <c r="D22" s="289"/>
      <c r="E22" s="289"/>
      <c r="F22" s="289"/>
      <c r="H22" s="290"/>
    </row>
    <row r="23" spans="2:12" x14ac:dyDescent="0.3">
      <c r="E23" s="289"/>
      <c r="F23" s="289"/>
    </row>
    <row r="24" spans="2:12" x14ac:dyDescent="0.3">
      <c r="B24" s="221" t="s">
        <v>806</v>
      </c>
      <c r="E24" s="289"/>
      <c r="F24" s="289"/>
      <c r="L24" s="290"/>
    </row>
    <row r="25" spans="2:12" x14ac:dyDescent="0.3">
      <c r="E25" s="289"/>
      <c r="F25" s="289"/>
      <c r="G25" s="290"/>
    </row>
    <row r="26" spans="2:12" x14ac:dyDescent="0.3">
      <c r="E26" s="290">
        <f>+C8-726500</f>
        <v>-40253.148464285769</v>
      </c>
      <c r="F26" s="289">
        <f>+E26*21</f>
        <v>-845316.11775000114</v>
      </c>
    </row>
    <row r="27" spans="2:12" x14ac:dyDescent="0.3">
      <c r="F27" s="289"/>
    </row>
    <row r="28" spans="2:12" x14ac:dyDescent="0.3">
      <c r="G28" s="290"/>
    </row>
  </sheetData>
  <mergeCells count="5">
    <mergeCell ref="B1:D1"/>
    <mergeCell ref="B2:D2"/>
    <mergeCell ref="D4:D7"/>
    <mergeCell ref="C11:D11"/>
    <mergeCell ref="C12:D1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4EB73-8012-4F6C-94EF-41CBBE60F9CC}">
  <sheetPr>
    <pageSetUpPr fitToPage="1"/>
  </sheetPr>
  <dimension ref="B4:Y56"/>
  <sheetViews>
    <sheetView zoomScale="85" zoomScaleNormal="85" workbookViewId="0">
      <selection activeCell="B26" sqref="B26:Y50"/>
    </sheetView>
  </sheetViews>
  <sheetFormatPr defaultRowHeight="14.4" x14ac:dyDescent="0.3"/>
  <cols>
    <col min="3" max="3" width="4.6640625" customWidth="1"/>
    <col min="4" max="4" width="21.6640625" bestFit="1" customWidth="1"/>
    <col min="5" max="5" width="15.88671875" hidden="1" customWidth="1"/>
    <col min="6" max="6" width="17.33203125" hidden="1" customWidth="1"/>
    <col min="7" max="7" width="18.109375" hidden="1" customWidth="1"/>
    <col min="8" max="8" width="17.6640625" hidden="1" customWidth="1"/>
    <col min="9" max="9" width="20.6640625" hidden="1" customWidth="1"/>
    <col min="10" max="10" width="18.44140625" hidden="1" customWidth="1"/>
    <col min="11" max="11" width="18.6640625" hidden="1" customWidth="1"/>
    <col min="12" max="12" width="17.5546875" hidden="1" customWidth="1"/>
    <col min="13" max="13" width="16.88671875" hidden="1" customWidth="1"/>
    <col min="14" max="14" width="18.44140625" hidden="1" customWidth="1"/>
    <col min="15" max="15" width="16.88671875" hidden="1" customWidth="1"/>
    <col min="16" max="16" width="16.88671875" bestFit="1" customWidth="1"/>
    <col min="17" max="17" width="17.6640625" customWidth="1"/>
    <col min="18" max="19" width="18" bestFit="1" customWidth="1"/>
    <col min="20" max="20" width="16.6640625" bestFit="1" customWidth="1"/>
    <col min="21" max="22" width="15.88671875" bestFit="1" customWidth="1"/>
    <col min="23" max="23" width="16.88671875" bestFit="1" customWidth="1"/>
    <col min="24" max="25" width="16.6640625" bestFit="1" customWidth="1"/>
  </cols>
  <sheetData>
    <row r="4" spans="4:11" x14ac:dyDescent="0.3">
      <c r="E4" s="355"/>
      <c r="F4" s="355"/>
      <c r="G4" s="355"/>
      <c r="H4" s="355"/>
    </row>
    <row r="5" spans="4:11" x14ac:dyDescent="0.3">
      <c r="E5" s="533" t="s">
        <v>847</v>
      </c>
      <c r="F5" s="533"/>
      <c r="G5" s="533"/>
      <c r="H5" s="533"/>
    </row>
    <row r="6" spans="4:11" x14ac:dyDescent="0.3">
      <c r="D6" s="356">
        <v>0.1</v>
      </c>
      <c r="E6" s="357" t="s">
        <v>848</v>
      </c>
      <c r="F6" s="358">
        <v>0.22500000000000001</v>
      </c>
      <c r="G6" s="359">
        <v>0.22500000000000001</v>
      </c>
      <c r="H6" s="359">
        <v>0.22500000000000001</v>
      </c>
      <c r="K6" s="360">
        <v>43535</v>
      </c>
    </row>
    <row r="7" spans="4:11" x14ac:dyDescent="0.3">
      <c r="E7" s="357" t="s">
        <v>849</v>
      </c>
      <c r="F7" s="357" t="s">
        <v>850</v>
      </c>
      <c r="G7" s="357" t="s">
        <v>851</v>
      </c>
      <c r="H7" s="357" t="s">
        <v>852</v>
      </c>
      <c r="K7" s="360">
        <f>+K6+4</f>
        <v>43539</v>
      </c>
    </row>
    <row r="8" spans="4:11" x14ac:dyDescent="0.3">
      <c r="D8" s="534">
        <f>+([1]REKAPITULACIJA!$E$13*2)*0.4</f>
        <v>6197718.1320000002</v>
      </c>
      <c r="E8" s="536"/>
      <c r="F8" s="536"/>
      <c r="G8" s="536"/>
      <c r="H8" s="536">
        <f>+([1]REKAPITULACIJA!$E$13*2)*0.6</f>
        <v>9296577.1979999989</v>
      </c>
      <c r="K8" s="360">
        <f>+K7+21</f>
        <v>43560</v>
      </c>
    </row>
    <row r="9" spans="4:11" x14ac:dyDescent="0.3">
      <c r="D9" s="535"/>
      <c r="E9" s="537"/>
      <c r="F9" s="537"/>
      <c r="G9" s="537"/>
      <c r="H9" s="537"/>
    </row>
    <row r="10" spans="4:11" x14ac:dyDescent="0.3">
      <c r="D10" s="534">
        <f>+[1]REKAPITULACIJA!E13</f>
        <v>7747147.665</v>
      </c>
      <c r="E10" s="355"/>
      <c r="F10" s="355"/>
      <c r="G10" s="355"/>
      <c r="H10" s="355"/>
    </row>
    <row r="11" spans="4:11" x14ac:dyDescent="0.3">
      <c r="D11" s="535"/>
      <c r="E11" s="533" t="s">
        <v>853</v>
      </c>
      <c r="F11" s="533"/>
      <c r="G11" s="533"/>
      <c r="H11" s="533"/>
    </row>
    <row r="12" spans="4:11" x14ac:dyDescent="0.3">
      <c r="E12" s="361">
        <v>0.1</v>
      </c>
      <c r="F12" s="361">
        <v>0.3</v>
      </c>
      <c r="G12" s="361">
        <v>0.3</v>
      </c>
      <c r="H12" s="361">
        <v>0.3</v>
      </c>
    </row>
    <row r="13" spans="4:11" x14ac:dyDescent="0.3">
      <c r="E13" s="357" t="s">
        <v>854</v>
      </c>
      <c r="F13" s="357" t="s">
        <v>855</v>
      </c>
      <c r="G13" s="357" t="s">
        <v>856</v>
      </c>
      <c r="H13" s="357" t="s">
        <v>857</v>
      </c>
    </row>
    <row r="14" spans="4:11" x14ac:dyDescent="0.3">
      <c r="E14" s="538"/>
      <c r="F14" s="538"/>
      <c r="G14" s="538"/>
      <c r="H14" s="538"/>
    </row>
    <row r="15" spans="4:11" x14ac:dyDescent="0.3">
      <c r="E15" s="538"/>
      <c r="F15" s="538"/>
      <c r="G15" s="538"/>
      <c r="H15" s="538"/>
    </row>
    <row r="18" spans="2:25" x14ac:dyDescent="0.3">
      <c r="E18" s="540" t="s">
        <v>876</v>
      </c>
      <c r="F18" s="540"/>
      <c r="G18" s="540"/>
      <c r="H18" s="540"/>
      <c r="J18" s="540" t="s">
        <v>877</v>
      </c>
      <c r="K18" s="540"/>
      <c r="L18" s="540"/>
      <c r="M18" s="540"/>
      <c r="O18" s="540" t="s">
        <v>880</v>
      </c>
      <c r="P18" s="540"/>
      <c r="Q18" s="540"/>
      <c r="R18" s="540"/>
    </row>
    <row r="19" spans="2:25" x14ac:dyDescent="0.3">
      <c r="E19" s="540" t="s">
        <v>884</v>
      </c>
      <c r="F19" s="540"/>
      <c r="G19" s="541">
        <f>(MATERIJAL!C5+MATERIJAL!C6+MATERIJAL!C7+MATERIJAL!C8+MATERIJAL!C9+MATERIJAL!C10)*10</f>
        <v>3646559.5785714285</v>
      </c>
      <c r="H19" s="541"/>
      <c r="J19" s="540" t="s">
        <v>884</v>
      </c>
      <c r="K19" s="540"/>
      <c r="L19" s="541">
        <f>(MATERIJAL!C5+MATERIJAL!C6+MATERIJAL!C7+MATERIJAL!C8+MATERIJAL!C9+MATERIJAL!C10)*4</f>
        <v>1458623.8314285714</v>
      </c>
      <c r="M19" s="541"/>
      <c r="O19" s="540" t="s">
        <v>884</v>
      </c>
      <c r="P19" s="540"/>
      <c r="Q19" s="541">
        <f>(MATERIJAL!C4+MATERIJAL!C5+MATERIJAL!C6+MATERIJAL!C7+MATERIJAL!C8+MATERIJAL!C9+MATERIJAL!C10+MATERIJAL!C13)*7</f>
        <v>2630291.7050000001</v>
      </c>
      <c r="R19" s="541"/>
    </row>
    <row r="20" spans="2:25" x14ac:dyDescent="0.3">
      <c r="E20" s="540" t="s">
        <v>872</v>
      </c>
      <c r="F20" s="540"/>
      <c r="G20" s="541">
        <f>SUM(F31:P31)</f>
        <v>2393587.5</v>
      </c>
      <c r="H20" s="541"/>
      <c r="J20" s="540" t="s">
        <v>878</v>
      </c>
      <c r="K20" s="540"/>
      <c r="L20" s="541">
        <f>SUM(P31:R31)</f>
        <v>674250</v>
      </c>
      <c r="M20" s="541"/>
      <c r="O20" s="540" t="s">
        <v>881</v>
      </c>
      <c r="P20" s="540"/>
      <c r="Q20" s="541">
        <f>SUM(T31:W31)</f>
        <v>899000</v>
      </c>
      <c r="R20" s="541"/>
    </row>
    <row r="21" spans="2:25" ht="15" thickBot="1" x14ac:dyDescent="0.35">
      <c r="E21" s="542" t="s">
        <v>873</v>
      </c>
      <c r="F21" s="542"/>
      <c r="G21" s="543">
        <f>SUM(F32:P33)</f>
        <v>641500</v>
      </c>
      <c r="H21" s="543"/>
      <c r="J21" s="542" t="s">
        <v>879</v>
      </c>
      <c r="K21" s="542"/>
      <c r="L21" s="543">
        <f>SUM(P32:R33)</f>
        <v>166500</v>
      </c>
      <c r="M21" s="543"/>
      <c r="O21" s="542" t="s">
        <v>882</v>
      </c>
      <c r="P21" s="542"/>
      <c r="Q21" s="543">
        <f>SUM(T32:W34)</f>
        <v>322000</v>
      </c>
      <c r="R21" s="543"/>
    </row>
    <row r="22" spans="2:25" ht="15" thickTop="1" x14ac:dyDescent="0.3">
      <c r="E22" s="587" t="s">
        <v>859</v>
      </c>
      <c r="F22" s="587"/>
      <c r="G22" s="539">
        <f>SUM(G19:G21)</f>
        <v>6681647.0785714285</v>
      </c>
      <c r="H22" s="539"/>
      <c r="J22" s="587" t="s">
        <v>859</v>
      </c>
      <c r="K22" s="587"/>
      <c r="L22" s="539">
        <f>SUM(L19:L21)</f>
        <v>2299373.8314285716</v>
      </c>
      <c r="M22" s="539"/>
      <c r="O22" s="587" t="s">
        <v>859</v>
      </c>
      <c r="P22" s="587"/>
      <c r="Q22" s="539">
        <f>SUM(Q19:Q21)</f>
        <v>3851291.7050000001</v>
      </c>
      <c r="R22" s="539"/>
    </row>
    <row r="23" spans="2:25" x14ac:dyDescent="0.3">
      <c r="K23" s="363"/>
      <c r="L23" s="363"/>
    </row>
    <row r="26" spans="2:25" x14ac:dyDescent="0.3">
      <c r="B26" s="557"/>
      <c r="C26" s="558"/>
      <c r="D26" s="559"/>
      <c r="E26" s="384" t="s">
        <v>870</v>
      </c>
      <c r="F26" s="385"/>
      <c r="G26" s="385"/>
      <c r="H26" s="385"/>
      <c r="I26" s="385"/>
      <c r="J26" s="385"/>
      <c r="K26" s="385"/>
      <c r="L26" s="385"/>
      <c r="M26" s="385"/>
      <c r="N26" s="385"/>
      <c r="O26" s="385"/>
      <c r="P26" s="385"/>
      <c r="Q26" s="385"/>
      <c r="R26" s="385"/>
      <c r="S26" s="385"/>
      <c r="T26" s="385"/>
      <c r="U26" s="385"/>
      <c r="V26" s="385"/>
      <c r="W26" s="386"/>
    </row>
    <row r="27" spans="2:25" x14ac:dyDescent="0.3">
      <c r="B27" s="560"/>
      <c r="C27" s="561"/>
      <c r="D27" s="562"/>
      <c r="E27" s="365">
        <v>43870</v>
      </c>
      <c r="F27" s="365">
        <v>43900</v>
      </c>
      <c r="G27" s="365">
        <v>43932</v>
      </c>
      <c r="H27" s="365">
        <v>43963</v>
      </c>
      <c r="I27" s="365">
        <v>43995</v>
      </c>
      <c r="J27" s="365">
        <v>44026</v>
      </c>
      <c r="K27" s="365">
        <v>44058</v>
      </c>
      <c r="L27" s="365">
        <v>44090</v>
      </c>
      <c r="M27" s="365">
        <v>44121</v>
      </c>
      <c r="N27" s="365">
        <v>44153</v>
      </c>
      <c r="O27" s="365">
        <v>44184</v>
      </c>
      <c r="P27" s="388">
        <v>44216</v>
      </c>
      <c r="Q27" s="388">
        <v>44248</v>
      </c>
      <c r="R27" s="388">
        <v>44277</v>
      </c>
      <c r="S27" s="388">
        <v>44309</v>
      </c>
      <c r="T27" s="396">
        <v>44339</v>
      </c>
      <c r="U27" s="396">
        <v>44371</v>
      </c>
      <c r="V27" s="396">
        <v>44402</v>
      </c>
      <c r="W27" s="396">
        <v>44434</v>
      </c>
      <c r="X27" s="365">
        <v>44466</v>
      </c>
      <c r="Y27" s="365">
        <v>44497</v>
      </c>
    </row>
    <row r="28" spans="2:25" x14ac:dyDescent="0.3">
      <c r="B28" s="563" t="s">
        <v>871</v>
      </c>
      <c r="C28" s="563"/>
      <c r="D28" s="563"/>
      <c r="E28" s="366">
        <v>55000</v>
      </c>
      <c r="F28" s="367">
        <f>(Raščlamba!D14+Raščlamba!E14+Raščlamba!D15+Raščlamba!E15+(Raščlamba!E34*0.5)+(Raščlamba!F41*0.5))*10+(Raščlamba!D18*0.5+Raščlamba!D19*0.5+Raščlamba!F62+Raščlamba!D21)*10</f>
        <v>1017000</v>
      </c>
      <c r="G28" s="367">
        <v>1350000</v>
      </c>
      <c r="H28" s="367">
        <v>1437000</v>
      </c>
      <c r="I28" s="367">
        <f>550000+1455600</f>
        <v>2005600</v>
      </c>
      <c r="J28" s="367">
        <f>483000</f>
        <v>483000</v>
      </c>
      <c r="K28" s="367">
        <f>395000+520000</f>
        <v>915000</v>
      </c>
      <c r="L28" s="367">
        <v>295000</v>
      </c>
      <c r="M28" s="367"/>
      <c r="N28" s="367"/>
      <c r="O28" s="367"/>
      <c r="P28" s="389">
        <f>+MATERIJAL!C4*10+L19*0.5</f>
        <v>729311.91571428569</v>
      </c>
      <c r="Q28" s="389">
        <f>+L19*0.5</f>
        <v>729311.91571428569</v>
      </c>
      <c r="R28" s="389">
        <f>+Q19*0.15</f>
        <v>394543.75575000001</v>
      </c>
      <c r="S28" s="389">
        <f>+Q19*0.45</f>
        <v>1183631.26725</v>
      </c>
      <c r="T28" s="397">
        <f>+Q19*0.15+MATERIJAL!C4*4</f>
        <v>394543.75575000001</v>
      </c>
      <c r="U28" s="397">
        <f>+Q19*0.25</f>
        <v>657572.92625000002</v>
      </c>
      <c r="V28" s="397"/>
      <c r="W28" s="397"/>
      <c r="X28" s="393">
        <f>+MATERIJAL!C4*7</f>
        <v>0</v>
      </c>
      <c r="Y28" s="393"/>
    </row>
    <row r="29" spans="2:25" x14ac:dyDescent="0.3">
      <c r="B29" s="563" t="s">
        <v>860</v>
      </c>
      <c r="C29" s="563"/>
      <c r="D29" s="563"/>
      <c r="E29" s="366"/>
      <c r="F29" s="367"/>
      <c r="G29" s="367">
        <v>25000</v>
      </c>
      <c r="H29" s="367">
        <v>75000</v>
      </c>
      <c r="I29" s="367">
        <v>50000</v>
      </c>
      <c r="J29" s="367">
        <v>50000</v>
      </c>
      <c r="K29" s="367"/>
      <c r="L29" s="367"/>
      <c r="M29" s="367"/>
      <c r="N29" s="367"/>
      <c r="O29" s="368"/>
      <c r="P29" s="390"/>
      <c r="Q29" s="389"/>
      <c r="R29" s="390"/>
      <c r="S29" s="390"/>
      <c r="T29" s="397"/>
      <c r="U29" s="398"/>
      <c r="V29" s="398"/>
      <c r="W29" s="397"/>
      <c r="X29" s="368"/>
      <c r="Y29" s="368"/>
    </row>
    <row r="30" spans="2:25" x14ac:dyDescent="0.3">
      <c r="B30" s="563" t="s">
        <v>14</v>
      </c>
      <c r="C30" s="563"/>
      <c r="D30" s="563"/>
      <c r="E30" s="369">
        <f>(E28*0.7)*0.25+E29*0.25</f>
        <v>9625</v>
      </c>
      <c r="F30" s="369">
        <f>(F28*0.7)*0.25+F29*0.25</f>
        <v>177975</v>
      </c>
      <c r="G30" s="369">
        <f t="shared" ref="G30:N30" si="0">(G28*0.4)*0.25+G29*0.25</f>
        <v>141250</v>
      </c>
      <c r="H30" s="369">
        <f>(H28*0.5)*0.25+H29*0.25</f>
        <v>198375</v>
      </c>
      <c r="I30" s="369">
        <f>(I28*0.8)*0.25+I29*0.25</f>
        <v>413620</v>
      </c>
      <c r="J30" s="369">
        <f>(J28)*0.25+J29*0.25</f>
        <v>133250</v>
      </c>
      <c r="K30" s="369">
        <f>(K28)*0.25+K29*0.25</f>
        <v>228750</v>
      </c>
      <c r="L30" s="369">
        <f>(L28*0.8)*0.25+L29*0.25</f>
        <v>59000</v>
      </c>
      <c r="M30" s="369">
        <f t="shared" si="0"/>
        <v>0</v>
      </c>
      <c r="N30" s="369">
        <f t="shared" si="0"/>
        <v>0</v>
      </c>
      <c r="O30" s="369">
        <f>(O28)*0.25+O29*0.25</f>
        <v>0</v>
      </c>
      <c r="P30" s="391">
        <f>(P28)*0.25+P29*0.25</f>
        <v>182327.97892857142</v>
      </c>
      <c r="Q30" s="391">
        <f>(Q28*0.7)*0.25+Q29*0.25</f>
        <v>127629.58524999999</v>
      </c>
      <c r="R30" s="391">
        <f>(R28)*0.25+R29*0.25</f>
        <v>98635.938937500003</v>
      </c>
      <c r="S30" s="391">
        <f>(S28)*0.25+S29*0.25</f>
        <v>295907.81681250001</v>
      </c>
      <c r="T30" s="399">
        <f t="shared" ref="T30" si="1">(T28*0.4)*0.25+T29*0.25</f>
        <v>39454.375575000005</v>
      </c>
      <c r="U30" s="399">
        <f>(U28)*0.25+U29*0.25</f>
        <v>164393.2315625</v>
      </c>
      <c r="V30" s="399">
        <f>(V28)*0.25+V29*0.25</f>
        <v>0</v>
      </c>
      <c r="W30" s="399">
        <f>(W28*0.7)*0.25+W29*0.25</f>
        <v>0</v>
      </c>
      <c r="X30" s="394">
        <f>(X28)*0.25+X29*0.25</f>
        <v>0</v>
      </c>
      <c r="Y30" s="394">
        <f>(Y28)*0.25+Y29*0.25</f>
        <v>0</v>
      </c>
    </row>
    <row r="31" spans="2:25" x14ac:dyDescent="0.3">
      <c r="B31" s="563" t="s">
        <v>861</v>
      </c>
      <c r="C31" s="563"/>
      <c r="D31" s="563"/>
      <c r="E31" s="366">
        <v>25000</v>
      </c>
      <c r="F31" s="367">
        <f>+[1]REKAPITULACIJA!$H$57*0.85</f>
        <v>191037.5</v>
      </c>
      <c r="G31" s="367">
        <f>+[1]REKAPITULACIJA!$H$57*0.9</f>
        <v>202275</v>
      </c>
      <c r="H31" s="367">
        <f>+[1]REKAPITULACIJA!$H$57*0.9</f>
        <v>202275</v>
      </c>
      <c r="I31" s="367">
        <f>+[1]REKAPITULACIJA!$H$57</f>
        <v>224750</v>
      </c>
      <c r="J31" s="367">
        <f>+[1]REKAPITULACIJA!$H$57</f>
        <v>224750</v>
      </c>
      <c r="K31" s="367">
        <f>+[1]REKAPITULACIJA!$H$57</f>
        <v>224750</v>
      </c>
      <c r="L31" s="367">
        <f>+[1]REKAPITULACIJA!$H$57</f>
        <v>224750</v>
      </c>
      <c r="M31" s="367">
        <f>+[1]REKAPITULACIJA!$H$57</f>
        <v>224750</v>
      </c>
      <c r="N31" s="367">
        <f>+[1]REKAPITULACIJA!$H$57</f>
        <v>224750</v>
      </c>
      <c r="O31" s="367">
        <f>+[1]REKAPITULACIJA!$H$57</f>
        <v>224750</v>
      </c>
      <c r="P31" s="389">
        <f>+[1]REKAPITULACIJA!$H$57</f>
        <v>224750</v>
      </c>
      <c r="Q31" s="389">
        <f>+[1]REKAPITULACIJA!$H$57</f>
        <v>224750</v>
      </c>
      <c r="R31" s="389">
        <f>+[1]REKAPITULACIJA!$H$57</f>
        <v>224750</v>
      </c>
      <c r="S31" s="389">
        <f>+[1]REKAPITULACIJA!$H$57</f>
        <v>224750</v>
      </c>
      <c r="T31" s="397">
        <f>+[1]REKAPITULACIJA!$H$57</f>
        <v>224750</v>
      </c>
      <c r="U31" s="397">
        <f>+[1]REKAPITULACIJA!$H$57</f>
        <v>224750</v>
      </c>
      <c r="V31" s="397">
        <f>+[1]REKAPITULACIJA!$H$57</f>
        <v>224750</v>
      </c>
      <c r="W31" s="397">
        <f>+[1]REKAPITULACIJA!$H$57</f>
        <v>224750</v>
      </c>
      <c r="X31" s="393">
        <f>+[1]REKAPITULACIJA!$H$57</f>
        <v>224750</v>
      </c>
      <c r="Y31" s="393">
        <f>+[1]REKAPITULACIJA!$H$57</f>
        <v>224750</v>
      </c>
    </row>
    <row r="32" spans="2:25" x14ac:dyDescent="0.3">
      <c r="B32" s="566" t="s">
        <v>862</v>
      </c>
      <c r="C32" s="566"/>
      <c r="D32" s="566"/>
      <c r="E32" s="366">
        <v>41000</v>
      </c>
      <c r="F32" s="366">
        <v>41000</v>
      </c>
      <c r="G32" s="366">
        <v>41000</v>
      </c>
      <c r="H32" s="366">
        <v>41000</v>
      </c>
      <c r="I32" s="366">
        <v>41000</v>
      </c>
      <c r="J32" s="366">
        <v>41000</v>
      </c>
      <c r="K32" s="366">
        <v>41000</v>
      </c>
      <c r="L32" s="366">
        <v>41000</v>
      </c>
      <c r="M32" s="366">
        <v>41000</v>
      </c>
      <c r="N32" s="366">
        <v>41000</v>
      </c>
      <c r="O32" s="366">
        <v>41000</v>
      </c>
      <c r="P32" s="366">
        <v>41000</v>
      </c>
      <c r="Q32" s="366">
        <v>41000</v>
      </c>
      <c r="R32" s="366">
        <v>41000</v>
      </c>
      <c r="S32" s="366">
        <v>41000</v>
      </c>
      <c r="T32" s="366">
        <v>41000</v>
      </c>
      <c r="U32" s="366">
        <v>41000</v>
      </c>
      <c r="V32" s="366">
        <v>41000</v>
      </c>
      <c r="W32" s="366">
        <v>41000</v>
      </c>
      <c r="X32" s="366">
        <v>41000</v>
      </c>
      <c r="Y32" s="366">
        <v>41000</v>
      </c>
    </row>
    <row r="33" spans="2:25" ht="27" customHeight="1" x14ac:dyDescent="0.3">
      <c r="B33" s="567" t="s">
        <v>863</v>
      </c>
      <c r="C33" s="568"/>
      <c r="D33" s="569"/>
      <c r="E33" s="366"/>
      <c r="F33" s="367">
        <f>14500+30000</f>
        <v>44500</v>
      </c>
      <c r="G33" s="367">
        <v>14500</v>
      </c>
      <c r="H33" s="367">
        <v>14500</v>
      </c>
      <c r="I33" s="367">
        <v>15000</v>
      </c>
      <c r="J33" s="367">
        <v>14000</v>
      </c>
      <c r="K33" s="367">
        <v>14500</v>
      </c>
      <c r="L33" s="367">
        <v>16000</v>
      </c>
      <c r="M33" s="367">
        <v>14000</v>
      </c>
      <c r="N33" s="367">
        <v>14500</v>
      </c>
      <c r="O33" s="367">
        <v>14500</v>
      </c>
      <c r="P33" s="389">
        <v>14500</v>
      </c>
      <c r="Q33" s="389">
        <v>14500</v>
      </c>
      <c r="R33" s="389">
        <v>14500</v>
      </c>
      <c r="S33" s="389">
        <v>14500</v>
      </c>
      <c r="T33" s="397">
        <v>14500</v>
      </c>
      <c r="U33" s="397">
        <v>14500</v>
      </c>
      <c r="V33" s="397">
        <v>14500</v>
      </c>
      <c r="W33" s="397">
        <v>14500</v>
      </c>
      <c r="X33" s="393">
        <v>14500</v>
      </c>
      <c r="Y33" s="393">
        <v>14500</v>
      </c>
    </row>
    <row r="34" spans="2:25" x14ac:dyDescent="0.3">
      <c r="B34" s="566" t="s">
        <v>875</v>
      </c>
      <c r="C34" s="566"/>
      <c r="D34" s="566"/>
      <c r="E34" s="366">
        <v>10000</v>
      </c>
      <c r="F34" s="367">
        <f>25000+55000</f>
        <v>80000</v>
      </c>
      <c r="G34" s="367">
        <f>25000+215000</f>
        <v>240000</v>
      </c>
      <c r="H34" s="367">
        <f>25000+145000</f>
        <v>170000</v>
      </c>
      <c r="I34" s="367">
        <v>35000</v>
      </c>
      <c r="J34" s="367">
        <v>25000</v>
      </c>
      <c r="K34" s="367">
        <v>25000</v>
      </c>
      <c r="L34" s="367">
        <v>25000</v>
      </c>
      <c r="M34" s="367">
        <v>25000</v>
      </c>
      <c r="N34" s="367">
        <v>25000</v>
      </c>
      <c r="O34" s="367">
        <v>25000</v>
      </c>
      <c r="P34" s="389">
        <v>25000</v>
      </c>
      <c r="Q34" s="389">
        <v>25000</v>
      </c>
      <c r="R34" s="389">
        <v>25000</v>
      </c>
      <c r="S34" s="389">
        <v>25000</v>
      </c>
      <c r="T34" s="397">
        <v>25000</v>
      </c>
      <c r="U34" s="397">
        <v>25000</v>
      </c>
      <c r="V34" s="397">
        <v>25000</v>
      </c>
      <c r="W34" s="397">
        <v>25000</v>
      </c>
      <c r="X34" s="393">
        <v>25000</v>
      </c>
      <c r="Y34" s="393">
        <v>25000</v>
      </c>
    </row>
    <row r="35" spans="2:25" ht="15" thickBot="1" x14ac:dyDescent="0.35">
      <c r="B35" s="566" t="s">
        <v>864</v>
      </c>
      <c r="C35" s="566"/>
      <c r="D35" s="566"/>
      <c r="E35" s="370"/>
      <c r="F35" s="371"/>
      <c r="G35" s="372">
        <f>F41-F30</f>
        <v>-177975</v>
      </c>
      <c r="H35" s="402">
        <f>+G41+G35-G30</f>
        <v>-319225</v>
      </c>
      <c r="I35" s="371">
        <f t="shared" ref="I35:O35" si="2">+H41-H30</f>
        <v>62875</v>
      </c>
      <c r="J35" s="371">
        <f t="shared" si="2"/>
        <v>91755</v>
      </c>
      <c r="K35" s="371">
        <f t="shared" si="2"/>
        <v>-133250</v>
      </c>
      <c r="L35" s="402">
        <f t="shared" si="2"/>
        <v>271245</v>
      </c>
      <c r="M35" s="402">
        <f t="shared" si="2"/>
        <v>-59000</v>
      </c>
      <c r="N35" s="371">
        <f t="shared" si="2"/>
        <v>0</v>
      </c>
      <c r="O35" s="371">
        <f t="shared" si="2"/>
        <v>0</v>
      </c>
      <c r="P35" s="392">
        <f>+O41-O30</f>
        <v>0</v>
      </c>
      <c r="Q35" s="392">
        <f t="shared" ref="Q35:R35" si="3">+P41-P30</f>
        <v>1842100.2331017854</v>
      </c>
      <c r="R35" s="403">
        <f t="shared" si="3"/>
        <v>-127629.58524999999</v>
      </c>
      <c r="S35" s="403">
        <f>+R41-R30</f>
        <v>-98635.938937500003</v>
      </c>
      <c r="T35" s="400">
        <f t="shared" ref="T35:U35" si="4">+S41-S30</f>
        <v>-295907.81681250001</v>
      </c>
      <c r="U35" s="404">
        <f t="shared" si="4"/>
        <v>770316.90923714277</v>
      </c>
      <c r="V35" s="404">
        <f>+U41-U30</f>
        <v>-164393.2315625</v>
      </c>
      <c r="W35" s="400">
        <f t="shared" ref="W35:X35" si="5">+V41-V30</f>
        <v>0</v>
      </c>
      <c r="X35" s="395">
        <f t="shared" si="5"/>
        <v>0</v>
      </c>
      <c r="Y35" s="395">
        <f>+X41-X30</f>
        <v>1417099.7484212497</v>
      </c>
    </row>
    <row r="36" spans="2:25" ht="15" thickTop="1" x14ac:dyDescent="0.3">
      <c r="B36" s="570" t="s">
        <v>865</v>
      </c>
      <c r="C36" s="571"/>
      <c r="D36" s="572"/>
      <c r="E36" s="373">
        <f t="shared" ref="E36:Y36" si="6">SUM(E28:E34)</f>
        <v>140625</v>
      </c>
      <c r="F36" s="373">
        <f t="shared" si="6"/>
        <v>1551512.5</v>
      </c>
      <c r="G36" s="373">
        <f t="shared" si="6"/>
        <v>2014025</v>
      </c>
      <c r="H36" s="373">
        <f>SUM(H28:H34)</f>
        <v>2138150</v>
      </c>
      <c r="I36" s="373">
        <f t="shared" si="6"/>
        <v>2784970</v>
      </c>
      <c r="J36" s="373">
        <f t="shared" si="6"/>
        <v>971000</v>
      </c>
      <c r="K36" s="373">
        <f t="shared" si="6"/>
        <v>1449000</v>
      </c>
      <c r="L36" s="373">
        <f t="shared" si="6"/>
        <v>660750</v>
      </c>
      <c r="M36" s="373">
        <f t="shared" si="6"/>
        <v>304750</v>
      </c>
      <c r="N36" s="373">
        <f t="shared" si="6"/>
        <v>305250</v>
      </c>
      <c r="O36" s="373">
        <f t="shared" si="6"/>
        <v>305250</v>
      </c>
      <c r="P36" s="373">
        <f t="shared" si="6"/>
        <v>1216889.8946428571</v>
      </c>
      <c r="Q36" s="373">
        <f t="shared" si="6"/>
        <v>1162191.5009642858</v>
      </c>
      <c r="R36" s="373">
        <f t="shared" si="6"/>
        <v>798429.69468750001</v>
      </c>
      <c r="S36" s="373">
        <f t="shared" si="6"/>
        <v>1784789.0840624999</v>
      </c>
      <c r="T36" s="373">
        <f t="shared" si="6"/>
        <v>739248.13132499997</v>
      </c>
      <c r="U36" s="373">
        <f t="shared" si="6"/>
        <v>1127216.1578124999</v>
      </c>
      <c r="V36" s="373">
        <f t="shared" si="6"/>
        <v>305250</v>
      </c>
      <c r="W36" s="373">
        <f t="shared" si="6"/>
        <v>305250</v>
      </c>
      <c r="X36" s="373">
        <f t="shared" si="6"/>
        <v>305250</v>
      </c>
      <c r="Y36" s="373">
        <f t="shared" si="6"/>
        <v>305250</v>
      </c>
    </row>
    <row r="37" spans="2:25" x14ac:dyDescent="0.3">
      <c r="B37" s="573"/>
      <c r="C37" s="574"/>
      <c r="D37" s="575"/>
    </row>
    <row r="38" spans="2:25" x14ac:dyDescent="0.3">
      <c r="D38" s="374"/>
      <c r="E38" s="585" t="s">
        <v>883</v>
      </c>
      <c r="F38" s="586"/>
      <c r="G38" s="586"/>
      <c r="H38" s="586"/>
      <c r="I38" s="586"/>
      <c r="J38" s="586"/>
      <c r="K38" s="586"/>
      <c r="L38" s="586"/>
      <c r="M38" s="586"/>
      <c r="N38" s="586"/>
      <c r="O38" s="586"/>
      <c r="P38" s="556">
        <v>2021</v>
      </c>
      <c r="Q38" s="556"/>
      <c r="R38" s="556"/>
      <c r="S38" s="556"/>
      <c r="T38" s="556"/>
      <c r="U38" s="556"/>
      <c r="V38" s="556"/>
      <c r="W38" s="556"/>
      <c r="X38" s="556"/>
      <c r="Y38" s="556"/>
    </row>
    <row r="39" spans="2:25" ht="15" customHeight="1" x14ac:dyDescent="0.3">
      <c r="B39" s="576" t="s">
        <v>874</v>
      </c>
      <c r="C39" s="577"/>
      <c r="D39" s="578"/>
      <c r="E39" s="365">
        <v>43870</v>
      </c>
      <c r="F39" s="365">
        <v>43900</v>
      </c>
      <c r="G39" s="365">
        <v>43932</v>
      </c>
      <c r="H39" s="365">
        <v>43963</v>
      </c>
      <c r="I39" s="365">
        <v>43995</v>
      </c>
      <c r="J39" s="365">
        <v>44026</v>
      </c>
      <c r="K39" s="365">
        <v>44058</v>
      </c>
      <c r="L39" s="365">
        <v>44090</v>
      </c>
      <c r="M39" s="365">
        <v>44121</v>
      </c>
      <c r="N39" s="365">
        <v>44153</v>
      </c>
      <c r="O39" s="365">
        <v>44184</v>
      </c>
      <c r="P39" s="388">
        <v>44216</v>
      </c>
      <c r="Q39" s="388">
        <v>44248</v>
      </c>
      <c r="R39" s="388">
        <v>44277</v>
      </c>
      <c r="S39" s="388">
        <v>44309</v>
      </c>
      <c r="T39" s="396">
        <v>44339</v>
      </c>
      <c r="U39" s="396">
        <v>44371</v>
      </c>
      <c r="V39" s="396">
        <v>44402</v>
      </c>
      <c r="W39" s="396">
        <v>44434</v>
      </c>
      <c r="X39" s="365">
        <v>44466</v>
      </c>
      <c r="Y39" s="365">
        <v>44497</v>
      </c>
    </row>
    <row r="40" spans="2:25" x14ac:dyDescent="0.3">
      <c r="B40" s="579"/>
      <c r="C40" s="580"/>
      <c r="D40" s="581"/>
      <c r="E40" s="375">
        <v>769000</v>
      </c>
      <c r="F40" s="375"/>
      <c r="G40" s="375"/>
      <c r="H40" s="375">
        <v>1045000</v>
      </c>
      <c r="I40" s="375">
        <f>3066500-H40</f>
        <v>2021500</v>
      </c>
      <c r="J40" s="375"/>
      <c r="K40" s="375">
        <f>1999980</f>
        <v>1999980</v>
      </c>
      <c r="L40" s="375"/>
      <c r="M40" s="375"/>
      <c r="N40" s="376"/>
      <c r="O40" s="376"/>
      <c r="P40" s="376">
        <f>+REKAPITULACIJA!D8*10</f>
        <v>8097712.848121427</v>
      </c>
      <c r="Q40" s="376"/>
      <c r="R40" s="376"/>
      <c r="S40" s="376"/>
      <c r="T40" s="376">
        <f>+REKAPITULACIJA!D8*4</f>
        <v>3239085.1392485709</v>
      </c>
      <c r="U40" s="376"/>
      <c r="V40" s="376">
        <f>+REKAPITULACIJA!J8*10</f>
        <v>0</v>
      </c>
      <c r="W40" s="376"/>
      <c r="X40" s="376">
        <f>+REKAPITULACIJA!D8*7</f>
        <v>5668398.9936849987</v>
      </c>
      <c r="Y40" s="376">
        <f>+REKAPITULACIJA!J8*4</f>
        <v>0</v>
      </c>
    </row>
    <row r="41" spans="2:25" x14ac:dyDescent="0.3">
      <c r="B41" s="582"/>
      <c r="C41" s="583"/>
      <c r="D41" s="584"/>
      <c r="E41" s="377"/>
      <c r="F41" s="377"/>
      <c r="G41" s="377">
        <f t="shared" ref="G41:N41" si="7">+G40*0.25</f>
        <v>0</v>
      </c>
      <c r="H41" s="377">
        <f t="shared" si="7"/>
        <v>261250</v>
      </c>
      <c r="I41" s="377">
        <f t="shared" si="7"/>
        <v>505375</v>
      </c>
      <c r="J41" s="377">
        <f t="shared" si="7"/>
        <v>0</v>
      </c>
      <c r="K41" s="377">
        <f t="shared" si="7"/>
        <v>499995</v>
      </c>
      <c r="L41" s="377">
        <f t="shared" si="7"/>
        <v>0</v>
      </c>
      <c r="M41" s="377">
        <f t="shared" si="7"/>
        <v>0</v>
      </c>
      <c r="N41" s="377">
        <f t="shared" si="7"/>
        <v>0</v>
      </c>
      <c r="O41" s="377">
        <f t="shared" ref="O41" si="8">+O40*0.25</f>
        <v>0</v>
      </c>
      <c r="P41" s="377">
        <f t="shared" ref="P41" si="9">+P40*0.25</f>
        <v>2024428.2120303567</v>
      </c>
      <c r="Q41" s="377">
        <f t="shared" ref="Q41" si="10">+Q40*0.25</f>
        <v>0</v>
      </c>
      <c r="R41" s="377">
        <f t="shared" ref="R41" si="11">+R40*0.25</f>
        <v>0</v>
      </c>
      <c r="S41" s="377">
        <f t="shared" ref="S41" si="12">+S40*0.25</f>
        <v>0</v>
      </c>
      <c r="T41" s="377">
        <f t="shared" ref="T41" si="13">+T40*0.25</f>
        <v>809771.28481214272</v>
      </c>
      <c r="U41" s="377">
        <f t="shared" ref="U41" si="14">+U40*0.25</f>
        <v>0</v>
      </c>
      <c r="V41" s="377">
        <f t="shared" ref="V41" si="15">+V40*0.25</f>
        <v>0</v>
      </c>
      <c r="W41" s="377">
        <f t="shared" ref="W41" si="16">+W40*0.25</f>
        <v>0</v>
      </c>
      <c r="X41" s="377">
        <f t="shared" ref="X41" si="17">+X40*0.25</f>
        <v>1417099.7484212497</v>
      </c>
      <c r="Y41" s="377">
        <f t="shared" ref="Y41" si="18">+Y40*0.25</f>
        <v>0</v>
      </c>
    </row>
    <row r="43" spans="2:25" x14ac:dyDescent="0.3">
      <c r="B43" s="544" t="s">
        <v>866</v>
      </c>
      <c r="C43" s="545"/>
      <c r="D43" s="546"/>
      <c r="E43" s="553" t="s">
        <v>867</v>
      </c>
      <c r="F43" s="554"/>
      <c r="G43" s="554"/>
      <c r="H43" s="554"/>
      <c r="I43" s="554"/>
      <c r="J43" s="554"/>
      <c r="K43" s="554"/>
      <c r="L43" s="554"/>
      <c r="M43" s="555"/>
      <c r="N43" s="565">
        <v>2020</v>
      </c>
      <c r="O43" s="556"/>
      <c r="P43" s="556">
        <v>2021</v>
      </c>
      <c r="Q43" s="556"/>
      <c r="R43" s="556"/>
      <c r="S43" s="556"/>
      <c r="T43" s="556"/>
      <c r="U43" s="556"/>
      <c r="V43" s="556"/>
      <c r="W43" s="556"/>
      <c r="X43" s="556"/>
      <c r="Y43" s="556"/>
    </row>
    <row r="44" spans="2:25" x14ac:dyDescent="0.3">
      <c r="B44" s="547"/>
      <c r="C44" s="548"/>
      <c r="D44" s="549"/>
      <c r="E44" s="365">
        <v>43870</v>
      </c>
      <c r="F44" s="365">
        <v>43900</v>
      </c>
      <c r="G44" s="365">
        <v>43932</v>
      </c>
      <c r="H44" s="365">
        <v>43963</v>
      </c>
      <c r="I44" s="365">
        <v>43995</v>
      </c>
      <c r="J44" s="365">
        <v>44026</v>
      </c>
      <c r="K44" s="365">
        <v>44058</v>
      </c>
      <c r="L44" s="365">
        <v>44090</v>
      </c>
      <c r="M44" s="365">
        <v>44121</v>
      </c>
      <c r="N44" s="365">
        <v>44153</v>
      </c>
      <c r="O44" s="365">
        <v>44184</v>
      </c>
      <c r="P44" s="388">
        <v>44216</v>
      </c>
      <c r="Q44" s="388">
        <v>44248</v>
      </c>
      <c r="R44" s="388">
        <v>44277</v>
      </c>
      <c r="S44" s="388">
        <v>44309</v>
      </c>
      <c r="T44" s="396">
        <v>44339</v>
      </c>
      <c r="U44" s="396">
        <v>44371</v>
      </c>
      <c r="V44" s="396">
        <v>44402</v>
      </c>
      <c r="W44" s="396">
        <v>44434</v>
      </c>
      <c r="X44" s="365">
        <v>44466</v>
      </c>
      <c r="Y44" s="365">
        <v>44497</v>
      </c>
    </row>
    <row r="45" spans="2:25" x14ac:dyDescent="0.3">
      <c r="B45" s="550"/>
      <c r="C45" s="551"/>
      <c r="D45" s="552"/>
      <c r="E45" s="378"/>
      <c r="F45" s="379">
        <v>1250000</v>
      </c>
      <c r="G45" s="379">
        <v>1850000</v>
      </c>
      <c r="H45" s="379">
        <v>1350000</v>
      </c>
      <c r="I45" s="379"/>
      <c r="J45" s="379">
        <v>500000</v>
      </c>
      <c r="K45" s="379"/>
      <c r="L45" s="379"/>
      <c r="M45" s="380"/>
      <c r="N45" s="380"/>
      <c r="O45" s="379">
        <v>350000</v>
      </c>
      <c r="P45" s="380">
        <v>-5435000</v>
      </c>
      <c r="Q45" s="380"/>
      <c r="R45" s="379">
        <v>1500000</v>
      </c>
      <c r="S45" s="379">
        <v>1500000</v>
      </c>
      <c r="T45" s="405">
        <v>-800000</v>
      </c>
      <c r="U45" s="379"/>
      <c r="V45" s="380"/>
      <c r="W45" s="380"/>
      <c r="X45" s="380">
        <v>-2280000</v>
      </c>
      <c r="Y45" s="380"/>
    </row>
    <row r="47" spans="2:25" x14ac:dyDescent="0.3">
      <c r="B47" s="564" t="s">
        <v>868</v>
      </c>
      <c r="C47" s="564"/>
      <c r="D47" s="564"/>
      <c r="E47" s="553" t="s">
        <v>869</v>
      </c>
      <c r="F47" s="554"/>
      <c r="G47" s="554"/>
      <c r="H47" s="554"/>
      <c r="I47" s="554"/>
      <c r="J47" s="554"/>
      <c r="K47" s="554"/>
      <c r="L47" s="554"/>
      <c r="M47" s="555"/>
      <c r="N47" s="565">
        <v>2020</v>
      </c>
      <c r="O47" s="556"/>
      <c r="P47" s="556">
        <v>2021</v>
      </c>
      <c r="Q47" s="556"/>
      <c r="R47" s="556"/>
      <c r="S47" s="556"/>
      <c r="T47" s="556"/>
      <c r="U47" s="556"/>
      <c r="V47" s="556"/>
      <c r="W47" s="556"/>
      <c r="X47" s="556"/>
      <c r="Y47" s="556"/>
    </row>
    <row r="48" spans="2:25" x14ac:dyDescent="0.3">
      <c r="B48" s="564"/>
      <c r="C48" s="564"/>
      <c r="D48" s="564"/>
      <c r="E48" s="365">
        <v>43870</v>
      </c>
      <c r="F48" s="365">
        <v>43900</v>
      </c>
      <c r="G48" s="365">
        <v>43932</v>
      </c>
      <c r="H48" s="365">
        <v>43963</v>
      </c>
      <c r="I48" s="365">
        <v>43995</v>
      </c>
      <c r="J48" s="365">
        <v>44026</v>
      </c>
      <c r="K48" s="365">
        <v>44058</v>
      </c>
      <c r="L48" s="365">
        <v>44090</v>
      </c>
      <c r="M48" s="365">
        <v>44121</v>
      </c>
      <c r="N48" s="365">
        <v>44153</v>
      </c>
      <c r="O48" s="365">
        <v>44184</v>
      </c>
      <c r="P48" s="388">
        <v>44216</v>
      </c>
      <c r="Q48" s="388">
        <v>44248</v>
      </c>
      <c r="R48" s="388">
        <v>44277</v>
      </c>
      <c r="S48" s="388">
        <v>44309</v>
      </c>
      <c r="T48" s="396">
        <v>44339</v>
      </c>
      <c r="U48" s="396">
        <v>44371</v>
      </c>
      <c r="V48" s="396">
        <v>44402</v>
      </c>
      <c r="W48" s="396">
        <v>44434</v>
      </c>
      <c r="X48" s="365">
        <v>44466</v>
      </c>
      <c r="Y48" s="365">
        <v>44497</v>
      </c>
    </row>
    <row r="49" spans="2:25" ht="15" hidden="1" customHeight="1" x14ac:dyDescent="0.3">
      <c r="B49" s="564"/>
      <c r="C49" s="564"/>
      <c r="D49" s="564"/>
      <c r="E49" s="381">
        <f>(E45+E41+E40)-E36</f>
        <v>628375</v>
      </c>
      <c r="F49" s="381">
        <f>(+E49+F45+F41+F40)-F36</f>
        <v>326862.5</v>
      </c>
      <c r="G49" s="381">
        <f>(+F49+G45+G41+G40)-G36</f>
        <v>162837.5</v>
      </c>
      <c r="H49" s="381" t="e">
        <f>(+G49+H45+#REF!+#REF!)-H36</f>
        <v>#REF!</v>
      </c>
      <c r="I49" s="381" t="e">
        <f t="shared" ref="I49:O49" si="19">(+H49+I45+H41+H40)-I36</f>
        <v>#REF!</v>
      </c>
      <c r="J49" s="381" t="e">
        <f t="shared" si="19"/>
        <v>#REF!</v>
      </c>
      <c r="K49" s="381" t="e">
        <f t="shared" si="19"/>
        <v>#REF!</v>
      </c>
      <c r="L49" s="381" t="e">
        <f t="shared" si="19"/>
        <v>#REF!</v>
      </c>
      <c r="M49" s="381" t="e">
        <f t="shared" si="19"/>
        <v>#REF!</v>
      </c>
      <c r="N49" s="381" t="e">
        <f t="shared" si="19"/>
        <v>#REF!</v>
      </c>
      <c r="O49" s="381" t="e">
        <f t="shared" si="19"/>
        <v>#REF!</v>
      </c>
      <c r="P49" s="381" t="e">
        <f t="shared" ref="P49" si="20">(+O49+P45+P41+P40)-P36</f>
        <v>#REF!</v>
      </c>
      <c r="Q49" s="381" t="e">
        <f t="shared" ref="Q49:R49" si="21">(+P49+Q45+P41+P40)-Q36</f>
        <v>#REF!</v>
      </c>
      <c r="R49" s="381" t="e">
        <f t="shared" si="21"/>
        <v>#REF!</v>
      </c>
      <c r="S49" s="381" t="e">
        <f t="shared" ref="S49" si="22">(+R49+S45+S41+S40)-S36</f>
        <v>#REF!</v>
      </c>
      <c r="T49" s="381" t="e">
        <f t="shared" ref="T49:U49" si="23">(+S49+T45+S41+S40)-T36</f>
        <v>#REF!</v>
      </c>
      <c r="U49" s="381" t="e">
        <f t="shared" si="23"/>
        <v>#REF!</v>
      </c>
      <c r="V49" s="381" t="e">
        <f t="shared" ref="V49" si="24">(+U49+V45+V41+V40)-V36</f>
        <v>#REF!</v>
      </c>
      <c r="W49" s="381" t="e">
        <f t="shared" ref="W49:X49" si="25">(+V49+W45+V41+V40)-W36</f>
        <v>#REF!</v>
      </c>
      <c r="X49" s="381" t="e">
        <f t="shared" si="25"/>
        <v>#REF!</v>
      </c>
      <c r="Y49" s="381" t="e">
        <f t="shared" ref="Y49" si="26">(+X49+Y45+Y41+Y40)-Y36</f>
        <v>#REF!</v>
      </c>
    </row>
    <row r="50" spans="2:25" x14ac:dyDescent="0.3">
      <c r="B50" s="564"/>
      <c r="C50" s="564"/>
      <c r="D50" s="564"/>
      <c r="E50" s="382">
        <f>(+E45+E41+E40)-(E36)-E35</f>
        <v>628375</v>
      </c>
      <c r="F50" s="382">
        <f>(+E50+F45+F41+F40)-(F36)-F35</f>
        <v>326862.5</v>
      </c>
      <c r="G50" s="382">
        <f>(+F50+G45+G41+G40)-(G36)-G35</f>
        <v>340812.5</v>
      </c>
      <c r="H50" s="382">
        <f t="shared" ref="H50:X50" si="27">(+G50+H45+H41+H40)-(H36)-H35</f>
        <v>1178137.5</v>
      </c>
      <c r="I50" s="382">
        <f t="shared" si="27"/>
        <v>857167.5</v>
      </c>
      <c r="J50" s="387">
        <f t="shared" si="27"/>
        <v>294412.5</v>
      </c>
      <c r="K50" s="382">
        <f t="shared" si="27"/>
        <v>1478637.5</v>
      </c>
      <c r="L50" s="382">
        <f t="shared" si="27"/>
        <v>546642.5</v>
      </c>
      <c r="M50" s="382">
        <f t="shared" si="27"/>
        <v>300892.5</v>
      </c>
      <c r="N50" s="382">
        <f t="shared" si="27"/>
        <v>-4357.5</v>
      </c>
      <c r="O50" s="382">
        <f t="shared" si="27"/>
        <v>40392.5</v>
      </c>
      <c r="P50" s="382">
        <f t="shared" si="27"/>
        <v>3510643.6655089268</v>
      </c>
      <c r="Q50" s="382">
        <f t="shared" si="27"/>
        <v>506351.93144285562</v>
      </c>
      <c r="R50" s="382">
        <f t="shared" si="27"/>
        <v>1335551.8220053557</v>
      </c>
      <c r="S50" s="383">
        <f t="shared" si="27"/>
        <v>1149398.6768803559</v>
      </c>
      <c r="T50" s="382">
        <f t="shared" si="27"/>
        <v>3954914.7864285694</v>
      </c>
      <c r="U50" s="382">
        <f t="shared" si="27"/>
        <v>2057381.7193789268</v>
      </c>
      <c r="V50" s="382">
        <f t="shared" si="27"/>
        <v>1916524.9509414267</v>
      </c>
      <c r="W50" s="382">
        <f t="shared" si="27"/>
        <v>1611274.9509414267</v>
      </c>
      <c r="X50" s="382">
        <f t="shared" si="27"/>
        <v>6111523.6930476753</v>
      </c>
      <c r="Y50" s="382">
        <f>(+X50+Y45+Y41+Y40)-(Y36)-Y35</f>
        <v>4389173.9446264254</v>
      </c>
    </row>
    <row r="51" spans="2:25" x14ac:dyDescent="0.3">
      <c r="M51" s="363"/>
      <c r="O51" s="362"/>
      <c r="P51" s="362"/>
    </row>
    <row r="52" spans="2:25" x14ac:dyDescent="0.3">
      <c r="O52" s="362"/>
      <c r="P52" s="362"/>
    </row>
    <row r="53" spans="2:25" x14ac:dyDescent="0.3">
      <c r="E53" s="362"/>
      <c r="G53" s="362"/>
      <c r="K53" s="362"/>
      <c r="M53" s="362"/>
      <c r="O53" s="362"/>
      <c r="P53" s="362"/>
    </row>
    <row r="54" spans="2:25" x14ac:dyDescent="0.3">
      <c r="G54" s="362"/>
      <c r="M54" s="363"/>
      <c r="O54" s="362"/>
      <c r="P54" s="362"/>
      <c r="T54">
        <f>+MATERIJAL!C4*21</f>
        <v>0</v>
      </c>
      <c r="W54" s="364">
        <f>SUM(E28:Y29)</f>
        <v>11846515.536428571</v>
      </c>
    </row>
    <row r="55" spans="2:25" x14ac:dyDescent="0.3">
      <c r="G55" s="362"/>
      <c r="K55" s="363"/>
      <c r="L55" s="362"/>
      <c r="M55" s="363"/>
      <c r="W55" s="363">
        <f>+W54+Y50</f>
        <v>16235689.481054995</v>
      </c>
    </row>
    <row r="56" spans="2:25" x14ac:dyDescent="0.3">
      <c r="G56" s="362"/>
    </row>
  </sheetData>
  <mergeCells count="60">
    <mergeCell ref="P47:Y47"/>
    <mergeCell ref="E38:O38"/>
    <mergeCell ref="O18:R18"/>
    <mergeCell ref="O19:P19"/>
    <mergeCell ref="Q19:R19"/>
    <mergeCell ref="O20:P20"/>
    <mergeCell ref="Q20:R20"/>
    <mergeCell ref="O21:P21"/>
    <mergeCell ref="Q21:R21"/>
    <mergeCell ref="L21:M21"/>
    <mergeCell ref="J22:K22"/>
    <mergeCell ref="L22:M22"/>
    <mergeCell ref="O22:P22"/>
    <mergeCell ref="Q22:R22"/>
    <mergeCell ref="P43:Y43"/>
    <mergeCell ref="E22:F22"/>
    <mergeCell ref="B47:D50"/>
    <mergeCell ref="E47:M47"/>
    <mergeCell ref="N43:O43"/>
    <mergeCell ref="J18:M18"/>
    <mergeCell ref="J19:K19"/>
    <mergeCell ref="L19:M19"/>
    <mergeCell ref="J20:K20"/>
    <mergeCell ref="L20:M20"/>
    <mergeCell ref="J21:K21"/>
    <mergeCell ref="N47:O47"/>
    <mergeCell ref="B32:D32"/>
    <mergeCell ref="B33:D33"/>
    <mergeCell ref="B34:D34"/>
    <mergeCell ref="B35:D35"/>
    <mergeCell ref="B36:D37"/>
    <mergeCell ref="B39:D41"/>
    <mergeCell ref="B43:D45"/>
    <mergeCell ref="E43:M43"/>
    <mergeCell ref="P38:Y38"/>
    <mergeCell ref="B26:D27"/>
    <mergeCell ref="B28:D28"/>
    <mergeCell ref="B29:D29"/>
    <mergeCell ref="B30:D30"/>
    <mergeCell ref="B31:D31"/>
    <mergeCell ref="G22:H22"/>
    <mergeCell ref="E18:H18"/>
    <mergeCell ref="E19:F19"/>
    <mergeCell ref="G19:H19"/>
    <mergeCell ref="E20:F20"/>
    <mergeCell ref="G20:H20"/>
    <mergeCell ref="E21:F21"/>
    <mergeCell ref="G21:H21"/>
    <mergeCell ref="D10:D11"/>
    <mergeCell ref="E11:H11"/>
    <mergeCell ref="E14:E15"/>
    <mergeCell ref="F14:F15"/>
    <mergeCell ref="G14:G15"/>
    <mergeCell ref="H14:H15"/>
    <mergeCell ref="E5:H5"/>
    <mergeCell ref="D8:D9"/>
    <mergeCell ref="E8:E9"/>
    <mergeCell ref="F8:F9"/>
    <mergeCell ref="G8:G9"/>
    <mergeCell ref="H8:H9"/>
  </mergeCells>
  <pageMargins left="0.70866141732283472" right="0.70866141732283472" top="0.74803149606299213" bottom="0.74803149606299213" header="0.31496062992125984" footer="0.31496062992125984"/>
  <pageSetup paperSize="8" scale="90"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F45E-B28A-4453-8C95-0C33E90DE980}">
  <sheetPr>
    <pageSetUpPr fitToPage="1"/>
  </sheetPr>
  <dimension ref="B4:Y56"/>
  <sheetViews>
    <sheetView topLeftCell="H14" zoomScale="85" zoomScaleNormal="85" workbookViewId="0">
      <selection activeCell="E41" sqref="E41:Z41"/>
    </sheetView>
  </sheetViews>
  <sheetFormatPr defaultRowHeight="14.4" x14ac:dyDescent="0.3"/>
  <cols>
    <col min="3" max="3" width="4.6640625" customWidth="1"/>
    <col min="4" max="4" width="21.6640625" bestFit="1" customWidth="1"/>
    <col min="5" max="5" width="15.88671875" bestFit="1" customWidth="1"/>
    <col min="6" max="6" width="17.33203125" customWidth="1"/>
    <col min="7" max="7" width="18.109375" customWidth="1"/>
    <col min="8" max="8" width="17.6640625" bestFit="1" customWidth="1"/>
    <col min="9" max="9" width="20.6640625" customWidth="1"/>
    <col min="10" max="10" width="18.44140625" bestFit="1" customWidth="1"/>
    <col min="11" max="11" width="18.6640625" customWidth="1"/>
    <col min="12" max="12" width="17.5546875" customWidth="1"/>
    <col min="13" max="13" width="16.88671875" bestFit="1" customWidth="1"/>
    <col min="14" max="14" width="18.44140625" bestFit="1" customWidth="1"/>
    <col min="15" max="16" width="16.88671875" bestFit="1" customWidth="1"/>
    <col min="17" max="17" width="17.6640625" customWidth="1"/>
    <col min="18" max="19" width="18" bestFit="1" customWidth="1"/>
    <col min="20" max="20" width="16.6640625" bestFit="1" customWidth="1"/>
    <col min="21" max="22" width="15.88671875" bestFit="1" customWidth="1"/>
    <col min="23" max="23" width="16.88671875" bestFit="1" customWidth="1"/>
    <col min="24" max="25" width="16.6640625" bestFit="1" customWidth="1"/>
  </cols>
  <sheetData>
    <row r="4" spans="4:11" x14ac:dyDescent="0.3">
      <c r="E4" s="355"/>
      <c r="F4" s="355"/>
      <c r="G4" s="355"/>
      <c r="H4" s="355"/>
    </row>
    <row r="5" spans="4:11" x14ac:dyDescent="0.3">
      <c r="E5" s="533" t="s">
        <v>847</v>
      </c>
      <c r="F5" s="533"/>
      <c r="G5" s="533"/>
      <c r="H5" s="533"/>
    </row>
    <row r="6" spans="4:11" x14ac:dyDescent="0.3">
      <c r="D6" s="356">
        <v>0.1</v>
      </c>
      <c r="E6" s="357" t="s">
        <v>848</v>
      </c>
      <c r="F6" s="358">
        <v>0.22500000000000001</v>
      </c>
      <c r="G6" s="359">
        <v>0.22500000000000001</v>
      </c>
      <c r="H6" s="359">
        <v>0.22500000000000001</v>
      </c>
      <c r="K6" s="360">
        <v>43535</v>
      </c>
    </row>
    <row r="7" spans="4:11" x14ac:dyDescent="0.3">
      <c r="E7" s="357" t="s">
        <v>849</v>
      </c>
      <c r="F7" s="357" t="s">
        <v>850</v>
      </c>
      <c r="G7" s="357" t="s">
        <v>851</v>
      </c>
      <c r="H7" s="357" t="s">
        <v>852</v>
      </c>
      <c r="K7" s="360">
        <f>+K6+4</f>
        <v>43539</v>
      </c>
    </row>
    <row r="8" spans="4:11" x14ac:dyDescent="0.3">
      <c r="D8" s="534">
        <f>+([1]REKAPITULACIJA!$E$13*2)*0.4</f>
        <v>6197718.1320000002</v>
      </c>
      <c r="E8" s="536"/>
      <c r="F8" s="536"/>
      <c r="G8" s="536"/>
      <c r="H8" s="536">
        <f>+([1]REKAPITULACIJA!$E$13*2)*0.6</f>
        <v>9296577.1979999989</v>
      </c>
      <c r="K8" s="360">
        <f>+K7+21</f>
        <v>43560</v>
      </c>
    </row>
    <row r="9" spans="4:11" x14ac:dyDescent="0.3">
      <c r="D9" s="535"/>
      <c r="E9" s="537"/>
      <c r="F9" s="537"/>
      <c r="G9" s="537"/>
      <c r="H9" s="537"/>
    </row>
    <row r="10" spans="4:11" x14ac:dyDescent="0.3">
      <c r="D10" s="534">
        <f>+[1]REKAPITULACIJA!E13</f>
        <v>7747147.665</v>
      </c>
      <c r="E10" s="355"/>
      <c r="F10" s="355"/>
      <c r="G10" s="355"/>
      <c r="H10" s="355"/>
    </row>
    <row r="11" spans="4:11" x14ac:dyDescent="0.3">
      <c r="D11" s="535"/>
      <c r="E11" s="533" t="s">
        <v>853</v>
      </c>
      <c r="F11" s="533"/>
      <c r="G11" s="533"/>
      <c r="H11" s="533"/>
    </row>
    <row r="12" spans="4:11" x14ac:dyDescent="0.3">
      <c r="E12" s="361">
        <v>0.1</v>
      </c>
      <c r="F12" s="361">
        <v>0.3</v>
      </c>
      <c r="G12" s="361">
        <v>0.3</v>
      </c>
      <c r="H12" s="361">
        <v>0.3</v>
      </c>
    </row>
    <row r="13" spans="4:11" x14ac:dyDescent="0.3">
      <c r="E13" s="357" t="s">
        <v>854</v>
      </c>
      <c r="F13" s="357" t="s">
        <v>855</v>
      </c>
      <c r="G13" s="357" t="s">
        <v>856</v>
      </c>
      <c r="H13" s="357" t="s">
        <v>857</v>
      </c>
    </row>
    <row r="14" spans="4:11" x14ac:dyDescent="0.3">
      <c r="E14" s="538"/>
      <c r="F14" s="538"/>
      <c r="G14" s="538"/>
      <c r="H14" s="538"/>
    </row>
    <row r="15" spans="4:11" x14ac:dyDescent="0.3">
      <c r="E15" s="538"/>
      <c r="F15" s="538"/>
      <c r="G15" s="538"/>
      <c r="H15" s="538"/>
    </row>
    <row r="18" spans="2:25" x14ac:dyDescent="0.3">
      <c r="E18" s="540" t="s">
        <v>876</v>
      </c>
      <c r="F18" s="540"/>
      <c r="G18" s="540"/>
      <c r="H18" s="540"/>
      <c r="J18" s="540" t="s">
        <v>877</v>
      </c>
      <c r="K18" s="540"/>
      <c r="L18" s="540"/>
      <c r="M18" s="540"/>
      <c r="O18" s="540" t="s">
        <v>880</v>
      </c>
      <c r="P18" s="540"/>
      <c r="Q18" s="540"/>
      <c r="R18" s="540"/>
    </row>
    <row r="19" spans="2:25" x14ac:dyDescent="0.3">
      <c r="E19" s="540" t="s">
        <v>884</v>
      </c>
      <c r="F19" s="540"/>
      <c r="G19" s="541">
        <f>(MATERIJAL!C5+MATERIJAL!C6+MATERIJAL!C7+MATERIJAL!C8+MATERIJAL!C9+MATERIJAL!C10)*10</f>
        <v>3646559.5785714285</v>
      </c>
      <c r="H19" s="541"/>
      <c r="J19" s="540" t="s">
        <v>884</v>
      </c>
      <c r="K19" s="540"/>
      <c r="L19" s="541">
        <f>(MATERIJAL!C5+MATERIJAL!C6+MATERIJAL!C7+MATERIJAL!C8+MATERIJAL!C9+MATERIJAL!C10)*4</f>
        <v>1458623.8314285714</v>
      </c>
      <c r="M19" s="541"/>
      <c r="O19" s="540" t="s">
        <v>884</v>
      </c>
      <c r="P19" s="540"/>
      <c r="Q19" s="541">
        <f>(MATERIJAL!C4+MATERIJAL!C5+MATERIJAL!C6+MATERIJAL!C7+MATERIJAL!C8+MATERIJAL!C9+MATERIJAL!C10+MATERIJAL!C13)*7</f>
        <v>2630291.7050000001</v>
      </c>
      <c r="R19" s="541"/>
    </row>
    <row r="20" spans="2:25" x14ac:dyDescent="0.3">
      <c r="E20" s="540" t="s">
        <v>872</v>
      </c>
      <c r="F20" s="540"/>
      <c r="G20" s="541">
        <f>SUM(F31:P31)</f>
        <v>2393587.5</v>
      </c>
      <c r="H20" s="541"/>
      <c r="J20" s="540" t="s">
        <v>878</v>
      </c>
      <c r="K20" s="540"/>
      <c r="L20" s="541">
        <f>SUM(P31:R31)</f>
        <v>674250</v>
      </c>
      <c r="M20" s="541"/>
      <c r="O20" s="540" t="s">
        <v>881</v>
      </c>
      <c r="P20" s="540"/>
      <c r="Q20" s="541">
        <f>SUM(T31:W31)</f>
        <v>899000</v>
      </c>
      <c r="R20" s="541"/>
    </row>
    <row r="21" spans="2:25" ht="15" thickBot="1" x14ac:dyDescent="0.35">
      <c r="E21" s="542" t="s">
        <v>873</v>
      </c>
      <c r="F21" s="542"/>
      <c r="G21" s="543">
        <f>SUM(F32:P33)</f>
        <v>641500</v>
      </c>
      <c r="H21" s="543"/>
      <c r="J21" s="542" t="s">
        <v>879</v>
      </c>
      <c r="K21" s="542"/>
      <c r="L21" s="543">
        <f>SUM(P32:R33)</f>
        <v>166500</v>
      </c>
      <c r="M21" s="543"/>
      <c r="O21" s="542" t="s">
        <v>882</v>
      </c>
      <c r="P21" s="542"/>
      <c r="Q21" s="543">
        <f>SUM(T32:W34)</f>
        <v>322000</v>
      </c>
      <c r="R21" s="543"/>
    </row>
    <row r="22" spans="2:25" ht="15" thickTop="1" x14ac:dyDescent="0.3">
      <c r="E22" s="587" t="s">
        <v>859</v>
      </c>
      <c r="F22" s="587"/>
      <c r="G22" s="539">
        <f>SUM(G19:G21)</f>
        <v>6681647.0785714285</v>
      </c>
      <c r="H22" s="539"/>
      <c r="J22" s="587" t="s">
        <v>859</v>
      </c>
      <c r="K22" s="587"/>
      <c r="L22" s="539">
        <f>SUM(L19:L21)</f>
        <v>2299373.8314285716</v>
      </c>
      <c r="M22" s="539"/>
      <c r="O22" s="587" t="s">
        <v>859</v>
      </c>
      <c r="P22" s="587"/>
      <c r="Q22" s="539">
        <f>SUM(Q19:Q21)</f>
        <v>3851291.7050000001</v>
      </c>
      <c r="R22" s="539"/>
    </row>
    <row r="23" spans="2:25" x14ac:dyDescent="0.3">
      <c r="K23" s="363"/>
      <c r="L23" s="363"/>
    </row>
    <row r="26" spans="2:25" x14ac:dyDescent="0.3">
      <c r="B26" s="557"/>
      <c r="C26" s="558"/>
      <c r="D26" s="559"/>
      <c r="E26" s="565" t="s">
        <v>870</v>
      </c>
      <c r="F26" s="556"/>
      <c r="G26" s="556"/>
      <c r="H26" s="556"/>
      <c r="I26" s="556"/>
      <c r="J26" s="556"/>
      <c r="K26" s="556"/>
      <c r="L26" s="556"/>
      <c r="M26" s="556"/>
      <c r="N26" s="556"/>
      <c r="O26" s="556"/>
      <c r="P26" s="556"/>
      <c r="Q26" s="556"/>
      <c r="R26" s="556"/>
      <c r="S26" s="556"/>
      <c r="T26" s="556"/>
      <c r="U26" s="556"/>
      <c r="V26" s="556"/>
      <c r="W26" s="588"/>
    </row>
    <row r="27" spans="2:25" x14ac:dyDescent="0.3">
      <c r="B27" s="560"/>
      <c r="C27" s="561"/>
      <c r="D27" s="562"/>
      <c r="E27" s="365">
        <v>43870</v>
      </c>
      <c r="F27" s="365">
        <v>43900</v>
      </c>
      <c r="G27" s="365">
        <v>43932</v>
      </c>
      <c r="H27" s="365">
        <v>43963</v>
      </c>
      <c r="I27" s="365">
        <v>43995</v>
      </c>
      <c r="J27" s="365">
        <v>44026</v>
      </c>
      <c r="K27" s="365">
        <v>44058</v>
      </c>
      <c r="L27" s="365">
        <v>44090</v>
      </c>
      <c r="M27" s="365">
        <v>44121</v>
      </c>
      <c r="N27" s="365">
        <v>44153</v>
      </c>
      <c r="O27" s="365">
        <v>44184</v>
      </c>
      <c r="P27" s="388">
        <v>44216</v>
      </c>
      <c r="Q27" s="388">
        <v>44248</v>
      </c>
      <c r="R27" s="388">
        <v>44277</v>
      </c>
      <c r="S27" s="388">
        <v>44309</v>
      </c>
      <c r="T27" s="396">
        <v>44339</v>
      </c>
      <c r="U27" s="396">
        <v>44371</v>
      </c>
      <c r="V27" s="396">
        <v>44402</v>
      </c>
      <c r="W27" s="396">
        <v>44434</v>
      </c>
      <c r="X27" s="365">
        <v>44466</v>
      </c>
      <c r="Y27" s="365">
        <v>44497</v>
      </c>
    </row>
    <row r="28" spans="2:25" x14ac:dyDescent="0.3">
      <c r="B28" s="563" t="s">
        <v>871</v>
      </c>
      <c r="C28" s="563"/>
      <c r="D28" s="563"/>
      <c r="E28" s="366">
        <v>55000</v>
      </c>
      <c r="F28" s="367">
        <f>(Raščlamba!D14+Raščlamba!E14+Raščlamba!D15+Raščlamba!E15+(Raščlamba!E34*0.5)+(Raščlamba!F41*0.5))*10+(Raščlamba!D18*0.5+Raščlamba!D19*0.5+Raščlamba!F62+Raščlamba!D21)*10</f>
        <v>1017000</v>
      </c>
      <c r="G28" s="367">
        <v>1350000</v>
      </c>
      <c r="H28" s="367">
        <v>1437000</v>
      </c>
      <c r="I28" s="367">
        <f>550000+1455600</f>
        <v>2005600</v>
      </c>
      <c r="J28" s="367">
        <f>483000</f>
        <v>483000</v>
      </c>
      <c r="K28" s="367">
        <f>395000+520000</f>
        <v>915000</v>
      </c>
      <c r="L28" s="367">
        <v>295000</v>
      </c>
      <c r="M28" s="367"/>
      <c r="N28" s="367"/>
      <c r="O28" s="367"/>
      <c r="P28" s="389">
        <f>+MATERIJAL!C4*10+L19*0.5</f>
        <v>729311.91571428569</v>
      </c>
      <c r="Q28" s="389">
        <f>+L19*0.5</f>
        <v>729311.91571428569</v>
      </c>
      <c r="R28" s="389">
        <f>+Q19*0.15</f>
        <v>394543.75575000001</v>
      </c>
      <c r="S28" s="389">
        <f>+Q19*0.45</f>
        <v>1183631.26725</v>
      </c>
      <c r="T28" s="397">
        <f>+Q19*0.15+MATERIJAL!C4*4</f>
        <v>394543.75575000001</v>
      </c>
      <c r="U28" s="397">
        <f>+Q19*0.25</f>
        <v>657572.92625000002</v>
      </c>
      <c r="V28" s="397"/>
      <c r="W28" s="397"/>
      <c r="X28" s="393">
        <f>+MATERIJAL!C4*7</f>
        <v>0</v>
      </c>
      <c r="Y28" s="393"/>
    </row>
    <row r="29" spans="2:25" x14ac:dyDescent="0.3">
      <c r="B29" s="563" t="s">
        <v>860</v>
      </c>
      <c r="C29" s="563"/>
      <c r="D29" s="563"/>
      <c r="E29" s="366"/>
      <c r="F29" s="367"/>
      <c r="G29" s="367">
        <v>25000</v>
      </c>
      <c r="H29" s="367">
        <v>75000</v>
      </c>
      <c r="I29" s="367">
        <v>50000</v>
      </c>
      <c r="J29" s="367">
        <v>50000</v>
      </c>
      <c r="K29" s="367"/>
      <c r="L29" s="367"/>
      <c r="M29" s="367"/>
      <c r="N29" s="367"/>
      <c r="O29" s="368"/>
      <c r="P29" s="390"/>
      <c r="Q29" s="389"/>
      <c r="R29" s="390"/>
      <c r="S29" s="390"/>
      <c r="T29" s="397"/>
      <c r="U29" s="398"/>
      <c r="V29" s="398"/>
      <c r="W29" s="397"/>
      <c r="X29" s="368"/>
      <c r="Y29" s="368"/>
    </row>
    <row r="30" spans="2:25" x14ac:dyDescent="0.3">
      <c r="B30" s="563"/>
      <c r="C30" s="563"/>
      <c r="D30" s="563"/>
      <c r="E30" s="369"/>
      <c r="F30" s="369"/>
      <c r="G30" s="369"/>
      <c r="H30" s="369"/>
      <c r="I30" s="369"/>
      <c r="J30" s="369"/>
      <c r="K30" s="369"/>
      <c r="L30" s="369"/>
      <c r="M30" s="369"/>
      <c r="N30" s="369"/>
      <c r="O30" s="369"/>
      <c r="P30" s="391"/>
      <c r="Q30" s="391"/>
      <c r="R30" s="391"/>
      <c r="S30" s="391"/>
      <c r="T30" s="399"/>
      <c r="U30" s="399"/>
      <c r="V30" s="399"/>
      <c r="W30" s="399"/>
      <c r="X30" s="394"/>
      <c r="Y30" s="394"/>
    </row>
    <row r="31" spans="2:25" x14ac:dyDescent="0.3">
      <c r="B31" s="563" t="s">
        <v>861</v>
      </c>
      <c r="C31" s="563"/>
      <c r="D31" s="563"/>
      <c r="E31" s="366">
        <v>25000</v>
      </c>
      <c r="F31" s="367">
        <f>+[1]REKAPITULACIJA!$H$57*0.85</f>
        <v>191037.5</v>
      </c>
      <c r="G31" s="367">
        <f>+[1]REKAPITULACIJA!$H$57*0.9</f>
        <v>202275</v>
      </c>
      <c r="H31" s="367">
        <f>+[1]REKAPITULACIJA!$H$57*0.9</f>
        <v>202275</v>
      </c>
      <c r="I31" s="367">
        <f>+[1]REKAPITULACIJA!$H$57</f>
        <v>224750</v>
      </c>
      <c r="J31" s="367">
        <f>+[1]REKAPITULACIJA!$H$57</f>
        <v>224750</v>
      </c>
      <c r="K31" s="367">
        <f>+[1]REKAPITULACIJA!$H$57</f>
        <v>224750</v>
      </c>
      <c r="L31" s="367">
        <f>+[1]REKAPITULACIJA!$H$57</f>
        <v>224750</v>
      </c>
      <c r="M31" s="367">
        <f>+[1]REKAPITULACIJA!$H$57</f>
        <v>224750</v>
      </c>
      <c r="N31" s="367">
        <f>+[1]REKAPITULACIJA!$H$57</f>
        <v>224750</v>
      </c>
      <c r="O31" s="367">
        <f>+[1]REKAPITULACIJA!$H$57</f>
        <v>224750</v>
      </c>
      <c r="P31" s="389">
        <f>+[1]REKAPITULACIJA!$H$57</f>
        <v>224750</v>
      </c>
      <c r="Q31" s="389">
        <f>+[1]REKAPITULACIJA!$H$57</f>
        <v>224750</v>
      </c>
      <c r="R31" s="389">
        <f>+[1]REKAPITULACIJA!$H$57</f>
        <v>224750</v>
      </c>
      <c r="S31" s="389">
        <f>+[1]REKAPITULACIJA!$H$57</f>
        <v>224750</v>
      </c>
      <c r="T31" s="397">
        <f>+[1]REKAPITULACIJA!$H$57</f>
        <v>224750</v>
      </c>
      <c r="U31" s="397">
        <f>+[1]REKAPITULACIJA!$H$57</f>
        <v>224750</v>
      </c>
      <c r="V31" s="397">
        <f>+[1]REKAPITULACIJA!$H$57</f>
        <v>224750</v>
      </c>
      <c r="W31" s="397">
        <f>+[1]REKAPITULACIJA!$H$57</f>
        <v>224750</v>
      </c>
      <c r="X31" s="393">
        <f>+[1]REKAPITULACIJA!$H$57</f>
        <v>224750</v>
      </c>
      <c r="Y31" s="393">
        <f>+[1]REKAPITULACIJA!$H$57</f>
        <v>224750</v>
      </c>
    </row>
    <row r="32" spans="2:25" x14ac:dyDescent="0.3">
      <c r="B32" s="566" t="s">
        <v>862</v>
      </c>
      <c r="C32" s="566"/>
      <c r="D32" s="566"/>
      <c r="E32" s="366">
        <v>41000</v>
      </c>
      <c r="F32" s="366">
        <v>41000</v>
      </c>
      <c r="G32" s="366">
        <v>41000</v>
      </c>
      <c r="H32" s="366">
        <v>41000</v>
      </c>
      <c r="I32" s="366">
        <v>41000</v>
      </c>
      <c r="J32" s="366">
        <v>41000</v>
      </c>
      <c r="K32" s="366">
        <v>41000</v>
      </c>
      <c r="L32" s="366">
        <v>41000</v>
      </c>
      <c r="M32" s="366">
        <v>41000</v>
      </c>
      <c r="N32" s="366">
        <v>41000</v>
      </c>
      <c r="O32" s="366">
        <v>41000</v>
      </c>
      <c r="P32" s="366">
        <v>41000</v>
      </c>
      <c r="Q32" s="366">
        <v>41000</v>
      </c>
      <c r="R32" s="366">
        <v>41000</v>
      </c>
      <c r="S32" s="366">
        <v>41000</v>
      </c>
      <c r="T32" s="366">
        <v>41000</v>
      </c>
      <c r="U32" s="366">
        <v>41000</v>
      </c>
      <c r="V32" s="366">
        <v>41000</v>
      </c>
      <c r="W32" s="366">
        <v>41000</v>
      </c>
      <c r="X32" s="366">
        <v>41000</v>
      </c>
      <c r="Y32" s="366">
        <v>41000</v>
      </c>
    </row>
    <row r="33" spans="2:25" ht="27" customHeight="1" x14ac:dyDescent="0.3">
      <c r="B33" s="567" t="s">
        <v>863</v>
      </c>
      <c r="C33" s="568"/>
      <c r="D33" s="569"/>
      <c r="E33" s="366"/>
      <c r="F33" s="367">
        <f>14500+30000</f>
        <v>44500</v>
      </c>
      <c r="G33" s="367">
        <v>14500</v>
      </c>
      <c r="H33" s="367">
        <v>14500</v>
      </c>
      <c r="I33" s="367">
        <v>15000</v>
      </c>
      <c r="J33" s="367">
        <v>14000</v>
      </c>
      <c r="K33" s="367">
        <v>14500</v>
      </c>
      <c r="L33" s="367">
        <v>16000</v>
      </c>
      <c r="M33" s="367">
        <v>14000</v>
      </c>
      <c r="N33" s="367">
        <v>14500</v>
      </c>
      <c r="O33" s="367">
        <v>14500</v>
      </c>
      <c r="P33" s="389">
        <v>14500</v>
      </c>
      <c r="Q33" s="389">
        <v>14500</v>
      </c>
      <c r="R33" s="389">
        <v>14500</v>
      </c>
      <c r="S33" s="389">
        <v>14500</v>
      </c>
      <c r="T33" s="397">
        <v>14500</v>
      </c>
      <c r="U33" s="397">
        <v>14500</v>
      </c>
      <c r="V33" s="397">
        <v>14500</v>
      </c>
      <c r="W33" s="397">
        <v>14500</v>
      </c>
      <c r="X33" s="393">
        <v>14500</v>
      </c>
      <c r="Y33" s="393">
        <v>14500</v>
      </c>
    </row>
    <row r="34" spans="2:25" x14ac:dyDescent="0.3">
      <c r="B34" s="566" t="s">
        <v>875</v>
      </c>
      <c r="C34" s="566"/>
      <c r="D34" s="566"/>
      <c r="E34" s="366">
        <v>10000</v>
      </c>
      <c r="F34" s="367">
        <f>25000+55000</f>
        <v>80000</v>
      </c>
      <c r="G34" s="367">
        <f>25000+215000</f>
        <v>240000</v>
      </c>
      <c r="H34" s="367">
        <f>25000+145000</f>
        <v>170000</v>
      </c>
      <c r="I34" s="367">
        <v>35000</v>
      </c>
      <c r="J34" s="367">
        <v>25000</v>
      </c>
      <c r="K34" s="367">
        <v>25000</v>
      </c>
      <c r="L34" s="367">
        <v>25000</v>
      </c>
      <c r="M34" s="367">
        <v>25000</v>
      </c>
      <c r="N34" s="367">
        <v>25000</v>
      </c>
      <c r="O34" s="367">
        <v>25000</v>
      </c>
      <c r="P34" s="389">
        <v>25000</v>
      </c>
      <c r="Q34" s="389">
        <v>25000</v>
      </c>
      <c r="R34" s="389">
        <v>25000</v>
      </c>
      <c r="S34" s="389">
        <v>25000</v>
      </c>
      <c r="T34" s="397">
        <v>25000</v>
      </c>
      <c r="U34" s="397">
        <v>25000</v>
      </c>
      <c r="V34" s="397">
        <v>25000</v>
      </c>
      <c r="W34" s="397">
        <v>25000</v>
      </c>
      <c r="X34" s="393">
        <v>25000</v>
      </c>
      <c r="Y34" s="393">
        <v>25000</v>
      </c>
    </row>
    <row r="35" spans="2:25" ht="15" thickBot="1" x14ac:dyDescent="0.35">
      <c r="B35" s="566"/>
      <c r="C35" s="566"/>
      <c r="D35" s="566"/>
      <c r="E35" s="370"/>
      <c r="F35" s="371"/>
      <c r="G35" s="372"/>
      <c r="H35" s="402"/>
      <c r="I35" s="371"/>
      <c r="J35" s="371"/>
      <c r="K35" s="371"/>
      <c r="L35" s="402"/>
      <c r="M35" s="402"/>
      <c r="N35" s="371"/>
      <c r="O35" s="371"/>
      <c r="P35" s="392"/>
      <c r="Q35" s="392"/>
      <c r="R35" s="403"/>
      <c r="S35" s="403"/>
      <c r="T35" s="400"/>
      <c r="U35" s="404"/>
      <c r="V35" s="404"/>
      <c r="W35" s="400"/>
      <c r="X35" s="395"/>
      <c r="Y35" s="395"/>
    </row>
    <row r="36" spans="2:25" ht="15" thickTop="1" x14ac:dyDescent="0.3">
      <c r="B36" s="570" t="s">
        <v>865</v>
      </c>
      <c r="C36" s="571"/>
      <c r="D36" s="572"/>
      <c r="E36" s="373">
        <f t="shared" ref="E36:Y36" si="0">SUM(E28:E34)</f>
        <v>131000</v>
      </c>
      <c r="F36" s="373">
        <f t="shared" si="0"/>
        <v>1373537.5</v>
      </c>
      <c r="G36" s="373">
        <f t="shared" si="0"/>
        <v>1872775</v>
      </c>
      <c r="H36" s="373">
        <f>SUM(H28:H34)</f>
        <v>1939775</v>
      </c>
      <c r="I36" s="373">
        <f t="shared" si="0"/>
        <v>2371350</v>
      </c>
      <c r="J36" s="373">
        <f t="shared" si="0"/>
        <v>837750</v>
      </c>
      <c r="K36" s="373">
        <f t="shared" si="0"/>
        <v>1220250</v>
      </c>
      <c r="L36" s="373">
        <f t="shared" si="0"/>
        <v>601750</v>
      </c>
      <c r="M36" s="373">
        <f t="shared" si="0"/>
        <v>304750</v>
      </c>
      <c r="N36" s="373">
        <f t="shared" si="0"/>
        <v>305250</v>
      </c>
      <c r="O36" s="373">
        <f t="shared" si="0"/>
        <v>305250</v>
      </c>
      <c r="P36" s="373">
        <f t="shared" si="0"/>
        <v>1034561.9157142857</v>
      </c>
      <c r="Q36" s="373">
        <f t="shared" si="0"/>
        <v>1034561.9157142857</v>
      </c>
      <c r="R36" s="373">
        <f t="shared" si="0"/>
        <v>699793.75575000001</v>
      </c>
      <c r="S36" s="373">
        <f t="shared" si="0"/>
        <v>1488881.26725</v>
      </c>
      <c r="T36" s="373">
        <f t="shared" si="0"/>
        <v>699793.75575000001</v>
      </c>
      <c r="U36" s="373">
        <f t="shared" si="0"/>
        <v>962822.92625000002</v>
      </c>
      <c r="V36" s="373">
        <f t="shared" si="0"/>
        <v>305250</v>
      </c>
      <c r="W36" s="373">
        <f t="shared" si="0"/>
        <v>305250</v>
      </c>
      <c r="X36" s="373">
        <f t="shared" si="0"/>
        <v>305250</v>
      </c>
      <c r="Y36" s="373">
        <f t="shared" si="0"/>
        <v>305250</v>
      </c>
    </row>
    <row r="37" spans="2:25" x14ac:dyDescent="0.3">
      <c r="B37" s="573"/>
      <c r="C37" s="574"/>
      <c r="D37" s="575"/>
    </row>
    <row r="38" spans="2:25" x14ac:dyDescent="0.3">
      <c r="D38" s="374"/>
      <c r="E38" s="585" t="s">
        <v>883</v>
      </c>
      <c r="F38" s="586"/>
      <c r="G38" s="586"/>
      <c r="H38" s="586"/>
      <c r="I38" s="586"/>
      <c r="J38" s="586"/>
      <c r="K38" s="586"/>
      <c r="L38" s="586"/>
      <c r="M38" s="586"/>
      <c r="N38" s="586"/>
      <c r="O38" s="586"/>
      <c r="P38" s="556">
        <v>2021</v>
      </c>
      <c r="Q38" s="556"/>
      <c r="R38" s="556"/>
      <c r="S38" s="556"/>
      <c r="T38" s="556"/>
      <c r="U38" s="556"/>
      <c r="V38" s="556"/>
      <c r="W38" s="556"/>
      <c r="X38" s="556"/>
      <c r="Y38" s="556"/>
    </row>
    <row r="39" spans="2:25" ht="15" customHeight="1" x14ac:dyDescent="0.3">
      <c r="B39" s="576" t="s">
        <v>874</v>
      </c>
      <c r="C39" s="577"/>
      <c r="D39" s="578"/>
      <c r="E39" s="365">
        <v>43870</v>
      </c>
      <c r="F39" s="365">
        <v>43900</v>
      </c>
      <c r="G39" s="365">
        <v>43932</v>
      </c>
      <c r="H39" s="365">
        <v>43963</v>
      </c>
      <c r="I39" s="365">
        <v>43995</v>
      </c>
      <c r="J39" s="365">
        <v>44026</v>
      </c>
      <c r="K39" s="365">
        <v>44058</v>
      </c>
      <c r="L39" s="365">
        <v>44090</v>
      </c>
      <c r="M39" s="365">
        <v>44121</v>
      </c>
      <c r="N39" s="365">
        <v>44153</v>
      </c>
      <c r="O39" s="365">
        <v>44184</v>
      </c>
      <c r="P39" s="388">
        <v>44216</v>
      </c>
      <c r="Q39" s="388">
        <v>44248</v>
      </c>
      <c r="R39" s="388">
        <v>44277</v>
      </c>
      <c r="S39" s="388">
        <v>44309</v>
      </c>
      <c r="T39" s="396">
        <v>44339</v>
      </c>
      <c r="U39" s="396">
        <v>44371</v>
      </c>
      <c r="V39" s="396">
        <v>44402</v>
      </c>
      <c r="W39" s="396">
        <v>44434</v>
      </c>
      <c r="X39" s="365">
        <v>44466</v>
      </c>
      <c r="Y39" s="365">
        <v>44497</v>
      </c>
    </row>
    <row r="40" spans="2:25" x14ac:dyDescent="0.3">
      <c r="B40" s="579"/>
      <c r="C40" s="580"/>
      <c r="D40" s="581"/>
      <c r="E40" s="375">
        <v>769000</v>
      </c>
      <c r="F40" s="375"/>
      <c r="G40" s="375"/>
      <c r="H40" s="375">
        <v>1045000</v>
      </c>
      <c r="I40" s="375">
        <f>3066500-H40</f>
        <v>2021500</v>
      </c>
      <c r="J40" s="375"/>
      <c r="K40" s="375">
        <f>1999980</f>
        <v>1999980</v>
      </c>
      <c r="L40" s="375"/>
      <c r="M40" s="375"/>
      <c r="N40" s="376"/>
      <c r="O40" s="376"/>
      <c r="P40" s="376">
        <f>+REKAPITULACIJA!D8*10</f>
        <v>8097712.848121427</v>
      </c>
      <c r="Q40" s="376"/>
      <c r="R40" s="376"/>
      <c r="S40" s="376"/>
      <c r="T40" s="376">
        <f>+REKAPITULACIJA!D8*4</f>
        <v>3239085.1392485709</v>
      </c>
      <c r="U40" s="376"/>
      <c r="V40" s="376">
        <f>+REKAPITULACIJA!J8*10</f>
        <v>0</v>
      </c>
      <c r="W40" s="376"/>
      <c r="X40" s="376">
        <f>+REKAPITULACIJA!D8*7</f>
        <v>5668398.9936849987</v>
      </c>
      <c r="Y40" s="376">
        <f>+REKAPITULACIJA!J8*4</f>
        <v>0</v>
      </c>
    </row>
    <row r="41" spans="2:25" x14ac:dyDescent="0.3">
      <c r="B41" s="582"/>
      <c r="C41" s="583"/>
      <c r="D41" s="584"/>
      <c r="E41" s="377"/>
      <c r="F41" s="377"/>
      <c r="G41" s="377"/>
      <c r="H41" s="377"/>
      <c r="I41" s="377"/>
      <c r="J41" s="377"/>
      <c r="K41" s="377"/>
      <c r="L41" s="377"/>
      <c r="M41" s="377"/>
      <c r="N41" s="377"/>
      <c r="O41" s="377"/>
      <c r="P41" s="377"/>
      <c r="Q41" s="377"/>
      <c r="R41" s="377"/>
      <c r="S41" s="377"/>
      <c r="T41" s="377"/>
      <c r="U41" s="377"/>
      <c r="V41" s="377"/>
      <c r="W41" s="377"/>
      <c r="X41" s="377"/>
      <c r="Y41" s="377"/>
    </row>
    <row r="43" spans="2:25" x14ac:dyDescent="0.3">
      <c r="B43" s="544" t="s">
        <v>866</v>
      </c>
      <c r="C43" s="545"/>
      <c r="D43" s="546"/>
      <c r="E43" s="553" t="s">
        <v>867</v>
      </c>
      <c r="F43" s="554"/>
      <c r="G43" s="554"/>
      <c r="H43" s="554"/>
      <c r="I43" s="554"/>
      <c r="J43" s="554"/>
      <c r="K43" s="554"/>
      <c r="L43" s="554"/>
      <c r="M43" s="555"/>
      <c r="N43" s="565">
        <v>2020</v>
      </c>
      <c r="O43" s="556"/>
      <c r="P43" s="556">
        <v>2021</v>
      </c>
      <c r="Q43" s="556"/>
      <c r="R43" s="556"/>
      <c r="S43" s="556"/>
      <c r="T43" s="556"/>
      <c r="U43" s="556"/>
      <c r="V43" s="556"/>
      <c r="W43" s="556"/>
      <c r="X43" s="556"/>
      <c r="Y43" s="556"/>
    </row>
    <row r="44" spans="2:25" x14ac:dyDescent="0.3">
      <c r="B44" s="547"/>
      <c r="C44" s="548"/>
      <c r="D44" s="549"/>
      <c r="E44" s="365">
        <v>43870</v>
      </c>
      <c r="F44" s="365">
        <v>43900</v>
      </c>
      <c r="G44" s="365">
        <v>43932</v>
      </c>
      <c r="H44" s="365">
        <v>43963</v>
      </c>
      <c r="I44" s="365">
        <v>43995</v>
      </c>
      <c r="J44" s="365">
        <v>44026</v>
      </c>
      <c r="K44" s="365">
        <v>44058</v>
      </c>
      <c r="L44" s="365">
        <v>44090</v>
      </c>
      <c r="M44" s="365">
        <v>44121</v>
      </c>
      <c r="N44" s="365">
        <v>44153</v>
      </c>
      <c r="O44" s="365">
        <v>44184</v>
      </c>
      <c r="P44" s="388">
        <v>44216</v>
      </c>
      <c r="Q44" s="388">
        <v>44248</v>
      </c>
      <c r="R44" s="388">
        <v>44277</v>
      </c>
      <c r="S44" s="388">
        <v>44309</v>
      </c>
      <c r="T44" s="396">
        <v>44339</v>
      </c>
      <c r="U44" s="396">
        <v>44371</v>
      </c>
      <c r="V44" s="396">
        <v>44402</v>
      </c>
      <c r="W44" s="396">
        <v>44434</v>
      </c>
      <c r="X44" s="365">
        <v>44466</v>
      </c>
      <c r="Y44" s="365">
        <v>44497</v>
      </c>
    </row>
    <row r="45" spans="2:25" x14ac:dyDescent="0.3">
      <c r="B45" s="550"/>
      <c r="C45" s="551"/>
      <c r="D45" s="552"/>
      <c r="E45" s="378"/>
      <c r="F45" s="379">
        <v>1250000</v>
      </c>
      <c r="G45" s="379">
        <v>1850000</v>
      </c>
      <c r="H45" s="379">
        <v>1350000</v>
      </c>
      <c r="I45" s="379"/>
      <c r="J45" s="379">
        <v>500000</v>
      </c>
      <c r="K45" s="379"/>
      <c r="L45" s="379"/>
      <c r="M45" s="380"/>
      <c r="N45" s="380"/>
      <c r="O45" s="379">
        <v>350000</v>
      </c>
      <c r="P45" s="380">
        <v>-5435000</v>
      </c>
      <c r="Q45" s="380"/>
      <c r="R45" s="379">
        <v>1500000</v>
      </c>
      <c r="S45" s="379">
        <v>1500000</v>
      </c>
      <c r="T45" s="405">
        <v>-800000</v>
      </c>
      <c r="U45" s="379"/>
      <c r="V45" s="380"/>
      <c r="W45" s="380"/>
      <c r="X45" s="380">
        <v>-2280000</v>
      </c>
      <c r="Y45" s="380"/>
    </row>
    <row r="47" spans="2:25" x14ac:dyDescent="0.3">
      <c r="B47" s="564" t="s">
        <v>868</v>
      </c>
      <c r="C47" s="564"/>
      <c r="D47" s="564"/>
      <c r="E47" s="553" t="s">
        <v>869</v>
      </c>
      <c r="F47" s="554"/>
      <c r="G47" s="554"/>
      <c r="H47" s="554"/>
      <c r="I47" s="554"/>
      <c r="J47" s="554"/>
      <c r="K47" s="554"/>
      <c r="L47" s="554"/>
      <c r="M47" s="555"/>
      <c r="N47" s="565">
        <v>2020</v>
      </c>
      <c r="O47" s="556"/>
      <c r="P47" s="556">
        <v>2021</v>
      </c>
      <c r="Q47" s="556"/>
      <c r="R47" s="556"/>
      <c r="S47" s="556"/>
      <c r="T47" s="556"/>
      <c r="U47" s="556"/>
      <c r="V47" s="556"/>
      <c r="W47" s="556"/>
      <c r="X47" s="556"/>
      <c r="Y47" s="556"/>
    </row>
    <row r="48" spans="2:25" x14ac:dyDescent="0.3">
      <c r="B48" s="564"/>
      <c r="C48" s="564"/>
      <c r="D48" s="564"/>
      <c r="E48" s="365">
        <v>43870</v>
      </c>
      <c r="F48" s="365">
        <v>43900</v>
      </c>
      <c r="G48" s="365">
        <v>43932</v>
      </c>
      <c r="H48" s="365">
        <v>43963</v>
      </c>
      <c r="I48" s="365">
        <v>43995</v>
      </c>
      <c r="J48" s="365">
        <v>44026</v>
      </c>
      <c r="K48" s="365">
        <v>44058</v>
      </c>
      <c r="L48" s="365">
        <v>44090</v>
      </c>
      <c r="M48" s="365">
        <v>44121</v>
      </c>
      <c r="N48" s="365">
        <v>44153</v>
      </c>
      <c r="O48" s="365">
        <v>44184</v>
      </c>
      <c r="P48" s="388">
        <v>44216</v>
      </c>
      <c r="Q48" s="388">
        <v>44248</v>
      </c>
      <c r="R48" s="388">
        <v>44277</v>
      </c>
      <c r="S48" s="388">
        <v>44309</v>
      </c>
      <c r="T48" s="396">
        <v>44339</v>
      </c>
      <c r="U48" s="396">
        <v>44371</v>
      </c>
      <c r="V48" s="396">
        <v>44402</v>
      </c>
      <c r="W48" s="396">
        <v>44434</v>
      </c>
      <c r="X48" s="365">
        <v>44466</v>
      </c>
      <c r="Y48" s="365">
        <v>44497</v>
      </c>
    </row>
    <row r="49" spans="2:25" ht="15" hidden="1" customHeight="1" x14ac:dyDescent="0.3">
      <c r="B49" s="564"/>
      <c r="C49" s="564"/>
      <c r="D49" s="564"/>
      <c r="E49" s="381">
        <f>(E45+E41+E40)-E36</f>
        <v>638000</v>
      </c>
      <c r="F49" s="381">
        <f>(+E49+F45+F41+F40)-F36</f>
        <v>514462.5</v>
      </c>
      <c r="G49" s="381">
        <f>(+F49+G45+G41+G40)-G36</f>
        <v>491687.5</v>
      </c>
      <c r="H49" s="381" t="e">
        <f>(+G49+H45+#REF!+#REF!)-H36</f>
        <v>#REF!</v>
      </c>
      <c r="I49" s="381" t="e">
        <f t="shared" ref="I49:O49" si="1">(+H49+I45+H41+H40)-I36</f>
        <v>#REF!</v>
      </c>
      <c r="J49" s="381" t="e">
        <f t="shared" si="1"/>
        <v>#REF!</v>
      </c>
      <c r="K49" s="381" t="e">
        <f t="shared" si="1"/>
        <v>#REF!</v>
      </c>
      <c r="L49" s="381" t="e">
        <f t="shared" si="1"/>
        <v>#REF!</v>
      </c>
      <c r="M49" s="381" t="e">
        <f t="shared" si="1"/>
        <v>#REF!</v>
      </c>
      <c r="N49" s="381" t="e">
        <f t="shared" si="1"/>
        <v>#REF!</v>
      </c>
      <c r="O49" s="381" t="e">
        <f t="shared" si="1"/>
        <v>#REF!</v>
      </c>
      <c r="P49" s="381" t="e">
        <f t="shared" ref="P49" si="2">(+O49+P45+P41+P40)-P36</f>
        <v>#REF!</v>
      </c>
      <c r="Q49" s="381" t="e">
        <f t="shared" ref="Q49:R49" si="3">(+P49+Q45+P41+P40)-Q36</f>
        <v>#REF!</v>
      </c>
      <c r="R49" s="381" t="e">
        <f t="shared" si="3"/>
        <v>#REF!</v>
      </c>
      <c r="S49" s="381" t="e">
        <f t="shared" ref="S49" si="4">(+R49+S45+S41+S40)-S36</f>
        <v>#REF!</v>
      </c>
      <c r="T49" s="381" t="e">
        <f t="shared" ref="T49:U49" si="5">(+S49+T45+S41+S40)-T36</f>
        <v>#REF!</v>
      </c>
      <c r="U49" s="381" t="e">
        <f t="shared" si="5"/>
        <v>#REF!</v>
      </c>
      <c r="V49" s="381" t="e">
        <f t="shared" ref="V49" si="6">(+U49+V45+V41+V40)-V36</f>
        <v>#REF!</v>
      </c>
      <c r="W49" s="381" t="e">
        <f t="shared" ref="W49:X49" si="7">(+V49+W45+V41+V40)-W36</f>
        <v>#REF!</v>
      </c>
      <c r="X49" s="381" t="e">
        <f t="shared" si="7"/>
        <v>#REF!</v>
      </c>
      <c r="Y49" s="381" t="e">
        <f t="shared" ref="Y49" si="8">(+X49+Y45+Y41+Y40)-Y36</f>
        <v>#REF!</v>
      </c>
    </row>
    <row r="50" spans="2:25" x14ac:dyDescent="0.3">
      <c r="B50" s="564"/>
      <c r="C50" s="564"/>
      <c r="D50" s="564"/>
      <c r="E50" s="382">
        <f>(+E45+E41+E40)-(E36)-E35</f>
        <v>638000</v>
      </c>
      <c r="F50" s="382">
        <f>(+E50+F45+F41+F40)-(F36)-F35</f>
        <v>514462.5</v>
      </c>
      <c r="G50" s="382">
        <f>(+F50+G45+G41+G40)-(G36)-G35</f>
        <v>491687.5</v>
      </c>
      <c r="H50" s="382">
        <f t="shared" ref="H50:Y50" si="9">(+G50+H45+H41+H40)-(H36)-H35</f>
        <v>946912.5</v>
      </c>
      <c r="I50" s="382">
        <f t="shared" si="9"/>
        <v>597062.5</v>
      </c>
      <c r="J50" s="387">
        <f t="shared" si="9"/>
        <v>259312.5</v>
      </c>
      <c r="K50" s="382">
        <f t="shared" si="9"/>
        <v>1039042.5</v>
      </c>
      <c r="L50" s="382">
        <f t="shared" si="9"/>
        <v>437292.5</v>
      </c>
      <c r="M50" s="382">
        <f t="shared" si="9"/>
        <v>132542.5</v>
      </c>
      <c r="N50" s="382">
        <f t="shared" si="9"/>
        <v>-172707.5</v>
      </c>
      <c r="O50" s="382">
        <f t="shared" si="9"/>
        <v>-127957.5</v>
      </c>
      <c r="P50" s="382">
        <f t="shared" si="9"/>
        <v>1500193.4324071412</v>
      </c>
      <c r="Q50" s="382">
        <f t="shared" si="9"/>
        <v>465631.51669285551</v>
      </c>
      <c r="R50" s="382">
        <f t="shared" si="9"/>
        <v>1265837.7609428554</v>
      </c>
      <c r="S50" s="383">
        <f t="shared" si="9"/>
        <v>1276956.4936928554</v>
      </c>
      <c r="T50" s="382">
        <f t="shared" si="9"/>
        <v>3016247.8771914262</v>
      </c>
      <c r="U50" s="382">
        <f t="shared" si="9"/>
        <v>2053424.9509414262</v>
      </c>
      <c r="V50" s="382">
        <f t="shared" si="9"/>
        <v>1748174.9509414262</v>
      </c>
      <c r="W50" s="382">
        <f t="shared" si="9"/>
        <v>1442924.9509414262</v>
      </c>
      <c r="X50" s="382">
        <f t="shared" si="9"/>
        <v>4526073.9446264245</v>
      </c>
      <c r="Y50" s="382">
        <f t="shared" si="9"/>
        <v>4220823.9446264245</v>
      </c>
    </row>
    <row r="51" spans="2:25" x14ac:dyDescent="0.3">
      <c r="M51" s="363"/>
      <c r="O51" s="362"/>
      <c r="P51" s="362"/>
    </row>
    <row r="52" spans="2:25" x14ac:dyDescent="0.3">
      <c r="O52" s="362"/>
      <c r="P52" s="362"/>
    </row>
    <row r="53" spans="2:25" x14ac:dyDescent="0.3">
      <c r="E53" s="362"/>
      <c r="G53" s="362"/>
      <c r="K53" s="362"/>
      <c r="M53" s="362"/>
      <c r="O53" s="362"/>
      <c r="P53" s="362"/>
    </row>
    <row r="54" spans="2:25" x14ac:dyDescent="0.3">
      <c r="G54" s="362"/>
      <c r="M54" s="363"/>
      <c r="O54" s="362"/>
      <c r="P54" s="362"/>
      <c r="T54">
        <f>+MATERIJAL!C4*21</f>
        <v>0</v>
      </c>
      <c r="W54" s="364">
        <f>SUM(E28:Y29)</f>
        <v>11846515.536428571</v>
      </c>
    </row>
    <row r="55" spans="2:25" x14ac:dyDescent="0.3">
      <c r="G55" s="362"/>
      <c r="K55" s="363"/>
      <c r="L55" s="362"/>
      <c r="M55" s="363"/>
      <c r="W55" s="363">
        <f>+W54+Y50</f>
        <v>16067339.481054995</v>
      </c>
    </row>
    <row r="56" spans="2:25" x14ac:dyDescent="0.3">
      <c r="G56" s="362"/>
    </row>
  </sheetData>
  <mergeCells count="61">
    <mergeCell ref="B47:D50"/>
    <mergeCell ref="E47:M47"/>
    <mergeCell ref="N47:O47"/>
    <mergeCell ref="P47:Y47"/>
    <mergeCell ref="P38:Y38"/>
    <mergeCell ref="B39:D41"/>
    <mergeCell ref="B43:D45"/>
    <mergeCell ref="E43:M43"/>
    <mergeCell ref="N43:O43"/>
    <mergeCell ref="P43:Y43"/>
    <mergeCell ref="E38:O38"/>
    <mergeCell ref="B32:D32"/>
    <mergeCell ref="B33:D33"/>
    <mergeCell ref="B34:D34"/>
    <mergeCell ref="B35:D35"/>
    <mergeCell ref="B36:D37"/>
    <mergeCell ref="B31:D31"/>
    <mergeCell ref="E22:F22"/>
    <mergeCell ref="G22:H22"/>
    <mergeCell ref="J22:K22"/>
    <mergeCell ref="L22:M22"/>
    <mergeCell ref="B26:D27"/>
    <mergeCell ref="E26:W26"/>
    <mergeCell ref="B28:D28"/>
    <mergeCell ref="B29:D29"/>
    <mergeCell ref="B30:D30"/>
    <mergeCell ref="O22:P22"/>
    <mergeCell ref="Q22:R22"/>
    <mergeCell ref="E21:F21"/>
    <mergeCell ref="G21:H21"/>
    <mergeCell ref="J21:K21"/>
    <mergeCell ref="L21:M21"/>
    <mergeCell ref="O21:P21"/>
    <mergeCell ref="Q21:R21"/>
    <mergeCell ref="Q20:R20"/>
    <mergeCell ref="E18:H18"/>
    <mergeCell ref="J18:M18"/>
    <mergeCell ref="O18:R18"/>
    <mergeCell ref="E19:F19"/>
    <mergeCell ref="G19:H19"/>
    <mergeCell ref="J19:K19"/>
    <mergeCell ref="L19:M19"/>
    <mergeCell ref="O19:P19"/>
    <mergeCell ref="Q19:R19"/>
    <mergeCell ref="E20:F20"/>
    <mergeCell ref="G20:H20"/>
    <mergeCell ref="J20:K20"/>
    <mergeCell ref="L20:M20"/>
    <mergeCell ref="O20:P20"/>
    <mergeCell ref="D10:D11"/>
    <mergeCell ref="E11:H11"/>
    <mergeCell ref="E14:E15"/>
    <mergeCell ref="F14:F15"/>
    <mergeCell ref="G14:G15"/>
    <mergeCell ref="H14:H15"/>
    <mergeCell ref="E5:H5"/>
    <mergeCell ref="D8:D9"/>
    <mergeCell ref="E8:E9"/>
    <mergeCell ref="F8:F9"/>
    <mergeCell ref="G8:G9"/>
    <mergeCell ref="H8:H9"/>
  </mergeCells>
  <pageMargins left="0.70866141732283472" right="0.70866141732283472" top="0.74803149606299213" bottom="0.74803149606299213" header="0.31496062992125984" footer="0.31496062992125984"/>
  <pageSetup paperSize="8" scale="47"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8EF554E9B15540B45B0253408606D8" ma:contentTypeVersion="11" ma:contentTypeDescription="Create a new document." ma:contentTypeScope="" ma:versionID="33cef7df18f7542467c2036563348b86">
  <xsd:schema xmlns:xsd="http://www.w3.org/2001/XMLSchema" xmlns:xs="http://www.w3.org/2001/XMLSchema" xmlns:p="http://schemas.microsoft.com/office/2006/metadata/properties" xmlns:ns3="8740d6dc-77a3-4e88-9b42-86048f15aa17" xmlns:ns4="16e9192f-26f7-49d5-9e44-8360387f5ebc" targetNamespace="http://schemas.microsoft.com/office/2006/metadata/properties" ma:root="true" ma:fieldsID="d8179b5badb54d887b313fbbdd46197b" ns3:_="" ns4:_="">
    <xsd:import namespace="8740d6dc-77a3-4e88-9b42-86048f15aa17"/>
    <xsd:import namespace="16e9192f-26f7-49d5-9e44-8360387f5eb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40d6dc-77a3-4e88-9b42-86048f15aa1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e9192f-26f7-49d5-9e44-8360387f5eb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752CC9-B3B6-49F0-B1B0-C0D3AE49F9BA}">
  <ds:schemaRefs>
    <ds:schemaRef ds:uri="http://schemas.microsoft.com/sharepoint/v3/contenttype/forms"/>
  </ds:schemaRefs>
</ds:datastoreItem>
</file>

<file path=customXml/itemProps2.xml><?xml version="1.0" encoding="utf-8"?>
<ds:datastoreItem xmlns:ds="http://schemas.openxmlformats.org/officeDocument/2006/customXml" ds:itemID="{0A4EDE46-49F0-4F8E-882E-2CD1FDEF57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40d6dc-77a3-4e88-9b42-86048f15aa17"/>
    <ds:schemaRef ds:uri="16e9192f-26f7-49d5-9e44-8360387f5e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B13C18-FCC6-472C-BA3F-F3243F9D53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Specifikacija</vt:lpstr>
      <vt:lpstr>Raščlamba</vt:lpstr>
      <vt:lpstr>MATERIJAL</vt:lpstr>
      <vt:lpstr>RAD</vt:lpstr>
      <vt:lpstr>NEPOSREDNI</vt:lpstr>
      <vt:lpstr>POSREDNI</vt:lpstr>
      <vt:lpstr>REKAPITULACIJA</vt:lpstr>
      <vt:lpstr>cash flow</vt:lpstr>
      <vt:lpstr>cash flow bez pdv-a</vt:lpstr>
      <vt:lpstr>neka računica</vt:lpstr>
      <vt:lpstr>cash flow bez šasija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 Seifried</dc:creator>
  <cp:lastModifiedBy>Edo Seifried</cp:lastModifiedBy>
  <cp:lastPrinted>2020-02-15T15:04:01Z</cp:lastPrinted>
  <dcterms:created xsi:type="dcterms:W3CDTF">2012-09-21T12:36:35Z</dcterms:created>
  <dcterms:modified xsi:type="dcterms:W3CDTF">2022-11-15T13:40:44Z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0x010100D68EF554E9B15540B45B0253408606D8</vt:lpwstr>
  </property>
</Properties>
</file>