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ThisWorkbook" defaultThemeVersion="124226"/>
  <mc:AlternateContent xmlns:mc="http://schemas.openxmlformats.org/markup-compatibility/2006">
    <mc:Choice Requires="x15">
      <x15ac:absPath xmlns:x15ac="http://schemas.microsoft.com/office/spreadsheetml/2010/11/ac" url="D:\My Documents\MGS Grupa\2019\MUP - modernizacija vozila\"/>
    </mc:Choice>
  </mc:AlternateContent>
  <xr:revisionPtr revIDLastSave="0" documentId="8_{89E6B914-933E-4E9A-B1BF-43AFDF1B582B}" xr6:coauthVersionLast="45" xr6:coauthVersionMax="45" xr10:uidLastSave="{00000000-0000-0000-0000-000000000000}"/>
  <bookViews>
    <workbookView xWindow="15" yWindow="0" windowWidth="28785" windowHeight="15600" tabRatio="718" activeTab="3" xr2:uid="{00000000-000D-0000-FFFF-FFFF00000000}"/>
  </bookViews>
  <sheets>
    <sheet name="1.krug-tehnička specifikacija" sheetId="1" r:id="rId1"/>
    <sheet name="2.krug - JAMSTVA" sheetId="2" r:id="rId2"/>
    <sheet name="računica za trošak financirnjaa" sheetId="4" r:id="rId3"/>
    <sheet name="Sheet1" sheetId="3" r:id="rId4"/>
    <sheet name="Sheet3" sheetId="5" r:id="rId5"/>
    <sheet name="Sheet4" sheetId="6" r:id="rId6"/>
  </sheets>
  <definedNames>
    <definedName name="_xlnm.Print_Area" localSheetId="0">'1.krug-tehnička specifikacija'!$A$1:$J$209</definedName>
    <definedName name="_xlnm.Print_Area" localSheetId="1">'2.krug - JAMSTVA'!$A$1:$J$7</definedName>
    <definedName name="_xlnm.Print_Area" localSheetId="2">'računica za trošak financirnjaa'!$A$1:$J$209</definedName>
    <definedName name="_xlnm.Print_Titles" localSheetId="0">'1.krug-tehnička specifikacija'!$9:$10</definedName>
    <definedName name="_xlnm.Print_Titles" localSheetId="2">'računica za trošak financirnjaa'!$9:$10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 i="6" l="1"/>
  <c r="L16" i="6"/>
  <c r="L15" i="6"/>
  <c r="I19" i="6"/>
  <c r="I16" i="6"/>
  <c r="I17" i="6"/>
  <c r="I18" i="6"/>
  <c r="H15" i="6"/>
  <c r="I15" i="6" s="1"/>
  <c r="I12" i="6" l="1"/>
  <c r="I13" i="6"/>
  <c r="I14" i="6"/>
  <c r="I11" i="6"/>
  <c r="H11" i="6"/>
  <c r="N11" i="6"/>
  <c r="M10" i="6"/>
  <c r="I102" i="3" l="1"/>
  <c r="H10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2" i="3"/>
  <c r="C35" i="5"/>
  <c r="C34" i="5"/>
  <c r="C33" i="5"/>
  <c r="F101" i="3"/>
  <c r="D101" i="3"/>
  <c r="E98" i="3"/>
  <c r="F98" i="3"/>
  <c r="F90" i="3"/>
  <c r="F85" i="3"/>
  <c r="F87" i="3"/>
  <c r="F83" i="3"/>
  <c r="F76" i="3"/>
  <c r="F75" i="3"/>
  <c r="F74" i="3"/>
  <c r="F73" i="3"/>
  <c r="F72" i="3"/>
  <c r="F71" i="3"/>
  <c r="F69" i="3"/>
  <c r="F68" i="3"/>
  <c r="F67" i="3"/>
  <c r="F66" i="3"/>
  <c r="F64" i="3"/>
  <c r="F60" i="3"/>
  <c r="F56" i="3"/>
  <c r="F54" i="3"/>
  <c r="F43" i="3"/>
  <c r="F32" i="3"/>
  <c r="F30" i="3"/>
  <c r="F29" i="3"/>
  <c r="F28" i="3"/>
  <c r="F27" i="3"/>
  <c r="F14" i="3"/>
  <c r="F5" i="3"/>
  <c r="F2" i="3"/>
  <c r="B72" i="3"/>
  <c r="C2" i="3"/>
  <c r="C100" i="3"/>
  <c r="C99" i="3"/>
  <c r="C98" i="3"/>
  <c r="C97" i="3"/>
  <c r="C96" i="3"/>
  <c r="C95" i="3"/>
  <c r="C94" i="3"/>
  <c r="C93" i="3"/>
  <c r="C92" i="3"/>
  <c r="C91" i="3"/>
  <c r="B90" i="3"/>
  <c r="C90" i="3" s="1"/>
  <c r="C89" i="3"/>
  <c r="B88" i="3"/>
  <c r="C88" i="3" s="1"/>
  <c r="C87" i="3"/>
  <c r="B87" i="3"/>
  <c r="B86" i="3"/>
  <c r="C86" i="3" s="1"/>
  <c r="B85" i="3"/>
  <c r="C85" i="3" s="1"/>
  <c r="C84" i="3"/>
  <c r="C83" i="3"/>
  <c r="C82" i="3"/>
  <c r="C81" i="3"/>
  <c r="C80" i="3"/>
  <c r="B79" i="3"/>
  <c r="C79" i="3" s="1"/>
  <c r="C78" i="3"/>
  <c r="C77" i="3"/>
  <c r="B76" i="3"/>
  <c r="C76" i="3" s="1"/>
  <c r="C75" i="3"/>
  <c r="C74" i="3"/>
  <c r="B73" i="3"/>
  <c r="C73" i="3" s="1"/>
  <c r="C72" i="3"/>
  <c r="B71" i="3"/>
  <c r="C71" i="3" s="1"/>
  <c r="E71" i="3" s="1"/>
  <c r="B70" i="3"/>
  <c r="C70" i="3" s="1"/>
  <c r="B69" i="3"/>
  <c r="C69" i="3" s="1"/>
  <c r="B68" i="3"/>
  <c r="C68" i="3" s="1"/>
  <c r="E68" i="3" s="1"/>
  <c r="C67" i="3"/>
  <c r="B66" i="3"/>
  <c r="C66" i="3" s="1"/>
  <c r="B65" i="3"/>
  <c r="C65" i="3" s="1"/>
  <c r="B64" i="3"/>
  <c r="C64" i="3" s="1"/>
  <c r="C63" i="3"/>
  <c r="C62" i="3"/>
  <c r="C61" i="3"/>
  <c r="C60" i="3"/>
  <c r="C59" i="3"/>
  <c r="C58" i="3"/>
  <c r="C57" i="3"/>
  <c r="B56" i="3"/>
  <c r="C56" i="3" s="1"/>
  <c r="B55" i="3"/>
  <c r="C55" i="3" s="1"/>
  <c r="B54" i="3"/>
  <c r="C54" i="3" s="1"/>
  <c r="B53" i="3"/>
  <c r="C53" i="3" s="1"/>
  <c r="B52" i="3"/>
  <c r="C52" i="3" s="1"/>
  <c r="B51" i="3"/>
  <c r="C51" i="3" s="1"/>
  <c r="B50" i="3"/>
  <c r="C50" i="3" s="1"/>
  <c r="B49" i="3"/>
  <c r="C49" i="3" s="1"/>
  <c r="C48" i="3"/>
  <c r="B48" i="3"/>
  <c r="B47" i="3"/>
  <c r="C47" i="3" s="1"/>
  <c r="B46" i="3"/>
  <c r="C46" i="3" s="1"/>
  <c r="C45" i="3"/>
  <c r="B45" i="3"/>
  <c r="B44" i="3"/>
  <c r="C44" i="3" s="1"/>
  <c r="B43" i="3"/>
  <c r="C43" i="3" s="1"/>
  <c r="B42" i="3"/>
  <c r="C42" i="3" s="1"/>
  <c r="B40" i="3"/>
  <c r="C40" i="3" s="1"/>
  <c r="B39" i="3"/>
  <c r="C39" i="3" s="1"/>
  <c r="C38" i="3"/>
  <c r="B38" i="3"/>
  <c r="B37" i="3"/>
  <c r="C37" i="3" s="1"/>
  <c r="B36" i="3"/>
  <c r="C36" i="3" s="1"/>
  <c r="C35" i="3"/>
  <c r="B35" i="3"/>
  <c r="B34" i="3"/>
  <c r="C34" i="3" s="1"/>
  <c r="B33" i="3"/>
  <c r="C33" i="3" s="1"/>
  <c r="B32" i="3"/>
  <c r="C32" i="3" s="1"/>
  <c r="B31" i="3"/>
  <c r="C31" i="3" s="1"/>
  <c r="B30" i="3"/>
  <c r="C30" i="3" s="1"/>
  <c r="E30" i="3" s="1"/>
  <c r="C29" i="3"/>
  <c r="C28" i="3"/>
  <c r="B27" i="3"/>
  <c r="C27" i="3" s="1"/>
  <c r="B26" i="3"/>
  <c r="C26" i="3" s="1"/>
  <c r="B25" i="3"/>
  <c r="C25" i="3" s="1"/>
  <c r="B24" i="3"/>
  <c r="C24" i="3" s="1"/>
  <c r="B23" i="3"/>
  <c r="C23" i="3" s="1"/>
  <c r="B22" i="3"/>
  <c r="C22" i="3" s="1"/>
  <c r="B21" i="3"/>
  <c r="C21" i="3" s="1"/>
  <c r="B20" i="3"/>
  <c r="C20" i="3" s="1"/>
  <c r="B19" i="3"/>
  <c r="C19" i="3" s="1"/>
  <c r="B18" i="3"/>
  <c r="C18" i="3" s="1"/>
  <c r="B17" i="3"/>
  <c r="C17" i="3" s="1"/>
  <c r="B16" i="3"/>
  <c r="C16" i="3" s="1"/>
  <c r="B15" i="3"/>
  <c r="C15" i="3" s="1"/>
  <c r="C14" i="3"/>
  <c r="B14" i="3"/>
  <c r="B13" i="3"/>
  <c r="C13" i="3" s="1"/>
  <c r="B12" i="3"/>
  <c r="C12" i="3" s="1"/>
  <c r="B11" i="3"/>
  <c r="C11" i="3" s="1"/>
  <c r="B10" i="3"/>
  <c r="C10" i="3" s="1"/>
  <c r="B9" i="3"/>
  <c r="C9" i="3" s="1"/>
  <c r="B8" i="3"/>
  <c r="C8" i="3" s="1"/>
  <c r="B7" i="3"/>
  <c r="C7" i="3" s="1"/>
  <c r="B6" i="3"/>
  <c r="C6" i="3" s="1"/>
  <c r="C5" i="3"/>
  <c r="B4" i="3"/>
  <c r="C3" i="3"/>
  <c r="M79" i="4"/>
  <c r="M55" i="4"/>
  <c r="M51" i="4"/>
  <c r="M50" i="4"/>
  <c r="M49" i="4"/>
  <c r="M48" i="4"/>
  <c r="M47" i="4"/>
  <c r="M46" i="4"/>
  <c r="M45" i="4"/>
  <c r="M76" i="4"/>
  <c r="M85" i="4"/>
  <c r="M52" i="4"/>
  <c r="P67" i="4"/>
  <c r="M88" i="4"/>
  <c r="M87" i="4"/>
  <c r="M86" i="4"/>
  <c r="M64" i="4"/>
  <c r="M44" i="4"/>
  <c r="M43" i="4"/>
  <c r="M42" i="4"/>
  <c r="M40" i="4"/>
  <c r="M66" i="4"/>
  <c r="M65" i="4"/>
  <c r="M25" i="4"/>
  <c r="M24" i="4"/>
  <c r="M23" i="4"/>
  <c r="M39" i="4"/>
  <c r="M38" i="4"/>
  <c r="M22" i="4"/>
  <c r="M37" i="4"/>
  <c r="M36" i="4"/>
  <c r="M35" i="4"/>
  <c r="M21" i="4"/>
  <c r="M30" i="4"/>
  <c r="M20" i="4"/>
  <c r="M29" i="4"/>
  <c r="M19" i="4"/>
  <c r="M18" i="4"/>
  <c r="M17" i="4"/>
  <c r="M16" i="4"/>
  <c r="M15" i="4"/>
  <c r="M14" i="4"/>
  <c r="M13" i="4"/>
  <c r="M12" i="4"/>
  <c r="M11" i="4"/>
  <c r="M10" i="4"/>
  <c r="M73" i="4"/>
  <c r="M9" i="4"/>
  <c r="M8" i="4"/>
  <c r="M7" i="4"/>
  <c r="M6" i="4"/>
  <c r="M32" i="4"/>
  <c r="M34" i="4"/>
  <c r="M33" i="4"/>
  <c r="M71" i="4"/>
  <c r="M70" i="4"/>
  <c r="M5" i="4"/>
  <c r="M26" i="4"/>
  <c r="M54" i="4"/>
  <c r="M90" i="4"/>
  <c r="P57" i="4"/>
  <c r="M3" i="4"/>
  <c r="M53" i="4"/>
  <c r="P56" i="4"/>
  <c r="M56" i="4"/>
  <c r="M68" i="4"/>
  <c r="M69" i="4"/>
  <c r="N210"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3" i="1"/>
  <c r="E66" i="3" l="1"/>
  <c r="E60" i="3"/>
  <c r="E43" i="3"/>
  <c r="E83" i="3"/>
  <c r="E5" i="3"/>
  <c r="E87" i="3"/>
  <c r="E54" i="3"/>
  <c r="E14" i="3"/>
  <c r="E75" i="3"/>
  <c r="B102" i="3"/>
  <c r="C4" i="3"/>
  <c r="C102" i="3" s="1"/>
  <c r="M210" i="4"/>
  <c r="M66" i="1"/>
  <c r="M50" i="1"/>
  <c r="M174" i="1"/>
  <c r="P173" i="1"/>
  <c r="M185" i="1"/>
  <c r="M192" i="1"/>
  <c r="M187" i="1"/>
  <c r="M161" i="1"/>
  <c r="D66" i="3" l="1"/>
  <c r="D32" i="3"/>
  <c r="D28" i="3"/>
  <c r="D85" i="3"/>
  <c r="D27" i="3"/>
  <c r="D87" i="3"/>
  <c r="D67" i="3"/>
  <c r="D90" i="3"/>
  <c r="D71" i="3"/>
  <c r="D76" i="3"/>
  <c r="D72" i="3"/>
  <c r="D98" i="3"/>
  <c r="D64" i="3"/>
  <c r="D74" i="3"/>
  <c r="D69" i="3"/>
  <c r="D56" i="3"/>
  <c r="D73" i="3"/>
  <c r="D54" i="3"/>
  <c r="D43" i="3"/>
  <c r="D30" i="3"/>
  <c r="D75" i="3"/>
  <c r="D60" i="3"/>
  <c r="D3" i="3"/>
  <c r="D83" i="3"/>
  <c r="D14" i="3"/>
  <c r="D29" i="3"/>
  <c r="D5" i="3"/>
  <c r="D2" i="3"/>
  <c r="D68" i="3"/>
  <c r="M128" i="1"/>
  <c r="M106" i="1" l="1"/>
  <c r="M181" i="1"/>
  <c r="M184" i="1"/>
  <c r="M188" i="1"/>
  <c r="M189" i="1"/>
  <c r="M160" i="1"/>
  <c r="M159" i="1"/>
  <c r="M156" i="1"/>
  <c r="M149" i="1"/>
  <c r="M148" i="1"/>
  <c r="M146" i="1" l="1"/>
  <c r="M145" i="1"/>
  <c r="M144" i="1"/>
  <c r="M121" i="1"/>
  <c r="M120" i="1"/>
  <c r="M122" i="1" l="1"/>
  <c r="M119" i="1"/>
  <c r="M118" i="1"/>
  <c r="M114" i="1"/>
  <c r="M107" i="1"/>
  <c r="M195" i="1"/>
  <c r="M198" i="1"/>
  <c r="M113" i="1"/>
  <c r="P112" i="1"/>
  <c r="M115" i="1"/>
  <c r="P106" i="1"/>
  <c r="M111" i="1"/>
  <c r="M176" i="1"/>
  <c r="M175" i="1"/>
  <c r="M169" i="1"/>
  <c r="M170" i="1"/>
  <c r="M171" i="1"/>
  <c r="M163" i="1"/>
  <c r="M154" i="1"/>
  <c r="M155" i="1"/>
  <c r="M142" i="1"/>
  <c r="M140" i="1"/>
  <c r="M117" i="1"/>
  <c r="M152" i="1"/>
  <c r="M151" i="1"/>
  <c r="M150" i="1"/>
  <c r="M147" i="1"/>
  <c r="M143" i="1"/>
  <c r="M141" i="1"/>
  <c r="M139" i="1"/>
  <c r="M138" i="1"/>
  <c r="M137" i="1"/>
  <c r="M136" i="1"/>
  <c r="M135" i="1"/>
  <c r="M134" i="1"/>
  <c r="M132" i="1"/>
  <c r="M133" i="1"/>
  <c r="M131" i="1"/>
  <c r="M129" i="1"/>
  <c r="M124" i="1"/>
  <c r="M125" i="1"/>
  <c r="M126" i="1"/>
  <c r="M127" i="1"/>
  <c r="M210" i="1" l="1"/>
  <c r="N90" i="4" l="1"/>
  <c r="N185" i="4"/>
  <c r="N112" i="4"/>
  <c r="N85" i="4"/>
  <c r="N163" i="4"/>
  <c r="N98" i="4"/>
  <c r="N152" i="4"/>
  <c r="N181" i="4"/>
  <c r="N136" i="4"/>
  <c r="N182" i="4"/>
  <c r="N113" i="4"/>
  <c r="N43" i="4"/>
  <c r="N176" i="4"/>
  <c r="N39" i="4"/>
  <c r="N18" i="4"/>
  <c r="N141" i="4"/>
  <c r="N134" i="4"/>
  <c r="N24" i="4"/>
  <c r="N33" i="4"/>
  <c r="N210" i="4"/>
  <c r="N109" i="4"/>
  <c r="N94" i="4"/>
  <c r="N207" i="4"/>
  <c r="N127" i="4"/>
  <c r="N57" i="4"/>
  <c r="N42" i="4"/>
  <c r="N34" i="4"/>
  <c r="N44" i="4"/>
  <c r="N38" i="4"/>
  <c r="N142" i="4"/>
  <c r="N107" i="4"/>
  <c r="N29" i="4"/>
  <c r="N155" i="4"/>
  <c r="N20" i="4"/>
  <c r="N10" i="4"/>
  <c r="N175" i="4"/>
  <c r="N5" i="4"/>
  <c r="N139" i="4"/>
  <c r="N158" i="4"/>
  <c r="N162" i="4"/>
  <c r="N148" i="4"/>
  <c r="N46" i="4"/>
  <c r="N96" i="4"/>
  <c r="N138" i="4"/>
  <c r="N209" i="4"/>
  <c r="N161" i="4"/>
  <c r="N70" i="4"/>
  <c r="N122" i="4"/>
  <c r="N164" i="4"/>
  <c r="N188" i="4"/>
  <c r="N65" i="4"/>
  <c r="N140" i="4"/>
  <c r="N126" i="4"/>
  <c r="N45" i="4"/>
  <c r="N72" i="4"/>
  <c r="N87" i="4"/>
  <c r="N47" i="4"/>
  <c r="N66" i="4"/>
  <c r="N83" i="4"/>
  <c r="N27" i="4"/>
  <c r="N86" i="4"/>
  <c r="N100" i="4"/>
  <c r="N153" i="4"/>
  <c r="N73" i="4"/>
  <c r="N78" i="4"/>
  <c r="N79" i="4"/>
  <c r="N80" i="4"/>
  <c r="N166" i="4"/>
  <c r="N51" i="4"/>
  <c r="N35" i="4"/>
  <c r="N82" i="4"/>
  <c r="N159" i="4"/>
  <c r="N115" i="4"/>
  <c r="N116" i="4"/>
  <c r="N133" i="4"/>
  <c r="N192" i="4"/>
  <c r="N58" i="4"/>
  <c r="N132" i="4"/>
  <c r="N84" i="4"/>
  <c r="N75" i="4"/>
  <c r="N149" i="4"/>
  <c r="N32" i="4"/>
  <c r="N189" i="4"/>
  <c r="N1" i="4"/>
  <c r="N71" i="4"/>
  <c r="N120" i="4"/>
  <c r="N63" i="4"/>
  <c r="N52" i="4"/>
  <c r="N172" i="4"/>
  <c r="N8" i="4"/>
  <c r="N16" i="4"/>
  <c r="N198" i="4"/>
  <c r="N125" i="4"/>
  <c r="N199" i="4"/>
  <c r="N104" i="4"/>
  <c r="N69" i="4"/>
  <c r="N135" i="4"/>
  <c r="N40" i="4"/>
  <c r="N17" i="4"/>
  <c r="N170" i="4"/>
  <c r="N59" i="4"/>
  <c r="N6" i="4"/>
  <c r="N114" i="4"/>
  <c r="N105" i="4"/>
  <c r="N56" i="4"/>
  <c r="N48" i="4"/>
  <c r="N106" i="4"/>
  <c r="N173" i="4"/>
  <c r="N154" i="4"/>
  <c r="N4" i="4"/>
  <c r="N131" i="4"/>
  <c r="N121" i="4"/>
  <c r="N124" i="4"/>
  <c r="N95" i="4"/>
  <c r="N195" i="4"/>
  <c r="N151" i="4"/>
  <c r="N60" i="4"/>
  <c r="N184" i="4"/>
  <c r="N197" i="4"/>
  <c r="N145" i="4"/>
  <c r="N191" i="4"/>
  <c r="N169" i="4"/>
  <c r="N103" i="4"/>
  <c r="N11" i="4"/>
  <c r="N19" i="4"/>
  <c r="N204" i="4"/>
  <c r="N30" i="4"/>
  <c r="N28" i="4"/>
  <c r="N147" i="4"/>
  <c r="N67" i="4"/>
  <c r="N15" i="4"/>
  <c r="N12" i="4"/>
  <c r="N97" i="4"/>
  <c r="N77" i="4"/>
  <c r="N92" i="4"/>
  <c r="N88" i="4"/>
  <c r="N89" i="4"/>
  <c r="N137" i="4"/>
  <c r="N118" i="4"/>
  <c r="N206" i="4"/>
  <c r="N9" i="4"/>
  <c r="N13" i="4"/>
  <c r="N150" i="4"/>
  <c r="N183" i="4"/>
  <c r="N196" i="4"/>
  <c r="N193" i="4"/>
  <c r="N22" i="4"/>
  <c r="N168" i="4"/>
  <c r="N119" i="4"/>
  <c r="N36" i="4"/>
  <c r="N108" i="4"/>
  <c r="N14" i="4"/>
  <c r="N167" i="4"/>
  <c r="N93" i="4"/>
  <c r="N200" i="4"/>
  <c r="N143" i="4"/>
  <c r="N174" i="4"/>
  <c r="N146" i="4"/>
  <c r="N171" i="4"/>
  <c r="N23" i="4"/>
  <c r="N117" i="4"/>
  <c r="N203" i="4"/>
  <c r="N81" i="4"/>
  <c r="N101" i="4"/>
  <c r="N25" i="4"/>
  <c r="N157" i="4"/>
  <c r="N187" i="4"/>
  <c r="N186" i="4"/>
  <c r="N179" i="4"/>
  <c r="N91" i="4"/>
  <c r="N21" i="4"/>
  <c r="N50" i="4"/>
  <c r="N3" i="4"/>
  <c r="N110" i="4"/>
  <c r="N61" i="4"/>
  <c r="N130" i="4"/>
  <c r="N178" i="4"/>
  <c r="N208" i="4"/>
  <c r="N111" i="4"/>
  <c r="N165" i="4"/>
  <c r="N54" i="4"/>
  <c r="N177" i="4"/>
  <c r="N194" i="4"/>
  <c r="N144" i="4"/>
  <c r="N156" i="4"/>
  <c r="N26" i="4"/>
  <c r="N74" i="4"/>
  <c r="N68" i="4"/>
  <c r="N129" i="4"/>
  <c r="N190" i="4"/>
  <c r="N64" i="4"/>
  <c r="N202" i="4"/>
  <c r="N128" i="4"/>
  <c r="N55" i="4"/>
  <c r="N37" i="4"/>
  <c r="N205" i="4"/>
  <c r="N53" i="4"/>
  <c r="N62" i="4"/>
  <c r="N160" i="4"/>
  <c r="N99" i="4"/>
  <c r="N123" i="4"/>
  <c r="N180" i="4"/>
  <c r="N201" i="4"/>
  <c r="N49" i="4"/>
  <c r="N7" i="4"/>
  <c r="N2" i="4"/>
  <c r="N76" i="4"/>
</calcChain>
</file>

<file path=xl/sharedStrings.xml><?xml version="1.0" encoding="utf-8"?>
<sst xmlns="http://schemas.openxmlformats.org/spreadsheetml/2006/main" count="2063" uniqueCount="417">
  <si>
    <t>TEHNIČKI ZAHTJEVI</t>
  </si>
  <si>
    <t>BROJ DOKUMENTA:</t>
  </si>
  <si>
    <t>DATUM IZRADE:</t>
  </si>
  <si>
    <t>TEHNIČKA SPECIFIKACIJA</t>
  </si>
  <si>
    <t>NAMJENA:</t>
  </si>
  <si>
    <t>PROIZVOĐAČ:</t>
  </si>
  <si>
    <t>TIP/MODEL ILI TVORNIČKA OZNAKA:</t>
  </si>
  <si>
    <t>USKLAĐENOST PODATAKA PONUDITELJA S TEHNIČKIM ZAHTJEVIMA</t>
  </si>
  <si>
    <t>NABAVNA KOLIČINA:</t>
  </si>
  <si>
    <t>Ponuditelj mora upisati konkretne vrijednosti traženog podatka</t>
  </si>
  <si>
    <t>Bodovanje tehničkih zahtjeva                  (ispunjava naručitelj)</t>
  </si>
  <si>
    <t>NE BODUJE SE</t>
  </si>
  <si>
    <t>NE ISPUNJAVA SE</t>
  </si>
  <si>
    <t>POGONSKA GRUPA</t>
  </si>
  <si>
    <t>DIMENZIJE VOZILA</t>
  </si>
  <si>
    <t>DA          NE</t>
  </si>
  <si>
    <t>Vrsta: diesel</t>
  </si>
  <si>
    <t>NAZIV GRUPE:</t>
  </si>
  <si>
    <t xml:space="preserve">OBVEZNA OPREMA VOZILA </t>
  </si>
  <si>
    <t>TEHNIČKA DOKUMENTACIJA</t>
  </si>
  <si>
    <t xml:space="preserve"> Pun spremnik goriva</t>
  </si>
  <si>
    <t>VRSTA NABAVE:</t>
  </si>
  <si>
    <t>Nabava vozila u vlasništvo</t>
  </si>
  <si>
    <t xml:space="preserve">Širina (mm): maksimalno 2500 </t>
  </si>
  <si>
    <t>Visina (mm): maksimalno 3400</t>
  </si>
  <si>
    <t xml:space="preserve">Količina </t>
  </si>
  <si>
    <t>Zaštitna oprema i odjeća</t>
  </si>
  <si>
    <t>Upozoravajući prsluk</t>
  </si>
  <si>
    <t>HRN EN 471</t>
  </si>
  <si>
    <t>HRN EN 381-5</t>
  </si>
  <si>
    <t>Zaštitne naočale</t>
  </si>
  <si>
    <t>HRN EN 166</t>
  </si>
  <si>
    <t>HRN EN ISO 20345</t>
  </si>
  <si>
    <t>HRN EN 374, HRN EN 388, HRN EN 407</t>
  </si>
  <si>
    <t>HRN EN 14605, HRN EN ISO 13982-1, HRN EN 13034, HRN EN 14126, HRN EN 1149-1, HRN EN 1073-2</t>
  </si>
  <si>
    <t>HRN EN 358</t>
  </si>
  <si>
    <t>Vatrogasna oprema</t>
  </si>
  <si>
    <t>prema DIN 14405</t>
  </si>
  <si>
    <t>HRN EN 3</t>
  </si>
  <si>
    <t>/</t>
  </si>
  <si>
    <t>DIN 14452</t>
  </si>
  <si>
    <t>Cijevi, armature i pribor</t>
  </si>
  <si>
    <t>DIN 14811 kat. 2</t>
  </si>
  <si>
    <t>Visokotlačna cijev DN 25, dužine 60 m, sa spojnicom H,</t>
  </si>
  <si>
    <t>HRN EN 1947</t>
  </si>
  <si>
    <t>Hidrantni nastavak 2B</t>
  </si>
  <si>
    <t>DIN 14375-1</t>
  </si>
  <si>
    <t>Ključ za podzemni hidrant, model B</t>
  </si>
  <si>
    <t>Ključ za nadzemni hidrant, model C</t>
  </si>
  <si>
    <t>Sabirnica A-2B</t>
  </si>
  <si>
    <t>DIN 14355</t>
  </si>
  <si>
    <t>DIN 14345</t>
  </si>
  <si>
    <t>Ograničivač tlaka B</t>
  </si>
  <si>
    <t>DIN 14380</t>
  </si>
  <si>
    <t>Spojnica A-B</t>
  </si>
  <si>
    <t>DIN 14343</t>
  </si>
  <si>
    <t>Spojnica B-C</t>
  </si>
  <si>
    <t>DIN 14342</t>
  </si>
  <si>
    <t>Mlaznica Storz B</t>
  </si>
  <si>
    <t>HRN EN 15182-3</t>
  </si>
  <si>
    <t>Oporno koljeno B</t>
  </si>
  <si>
    <t>DIN 14368</t>
  </si>
  <si>
    <t>Mlaznica sa storz C</t>
  </si>
  <si>
    <t>HRN EN 15182-2</t>
  </si>
  <si>
    <t>Radno uže, 20 m</t>
  </si>
  <si>
    <t>prema DIN 14920</t>
  </si>
  <si>
    <t>Uže za vezanje, 2 m</t>
  </si>
  <si>
    <t>Držač cijevi</t>
  </si>
  <si>
    <t>DIN 14828</t>
  </si>
  <si>
    <t>Spojni ključ ABC</t>
  </si>
  <si>
    <t>14822-2</t>
  </si>
  <si>
    <t>Cijevni most 2B</t>
  </si>
  <si>
    <t>prema DIN 14820-1</t>
  </si>
  <si>
    <t>Cijevna košara za B-cijevi</t>
  </si>
  <si>
    <t>DIN 14827-1</t>
  </si>
  <si>
    <t>Kombinirana mlaznica za srednje/teško pjenu M2/S2-C</t>
  </si>
  <si>
    <t>HRN EN 16712-3</t>
  </si>
  <si>
    <t xml:space="preserve">Mješač pjenila Z2 </t>
  </si>
  <si>
    <t>HRN EN 16712-1</t>
  </si>
  <si>
    <t>Usisna cijev za pjenilo D 1500</t>
  </si>
  <si>
    <t>HRN EN 16712-2</t>
  </si>
  <si>
    <t>Spasilačka oprema</t>
  </si>
  <si>
    <t>Trodijelna rastegača</t>
  </si>
  <si>
    <t>HRN EN 1147</t>
  </si>
  <si>
    <t>Vatrogasno spasilačko uže s karabinerom 30 m</t>
  </si>
  <si>
    <t>HRN EN 1891</t>
  </si>
  <si>
    <t>Torbica za spasilačko uže</t>
  </si>
  <si>
    <t>prema DIN 14921</t>
  </si>
  <si>
    <t>Sanitetski pribor</t>
  </si>
  <si>
    <t>Obična nosila, sklopiva</t>
  </si>
  <si>
    <t>DIN 13024</t>
  </si>
  <si>
    <t>Nosila sklopiva, potpora za glavu i vrat</t>
  </si>
  <si>
    <t>HRN EN 1865</t>
  </si>
  <si>
    <t xml:space="preserve">Komplet za prvu pomoć </t>
  </si>
  <si>
    <t>DIN 14142</t>
  </si>
  <si>
    <t>Osvjetljenje i signalizacija</t>
  </si>
  <si>
    <t>prema DIN 14642</t>
  </si>
  <si>
    <t>Upozoravajući trokut</t>
  </si>
  <si>
    <t>Sigurnosna svjetiljka (bljeskajuća)</t>
  </si>
  <si>
    <t>Signalna palica (natpis VATROGASCI)</t>
  </si>
  <si>
    <t>Stožac za cestu (cca. 60 cm)</t>
  </si>
  <si>
    <t>Upozoravajuća traka, 500 m</t>
  </si>
  <si>
    <t>Prijenosni reflektor LED, min. 50W, 230 V, IP 44, z 10 m</t>
  </si>
  <si>
    <t>Tronožac stativ za reflektor, visine min 1,6 m</t>
  </si>
  <si>
    <t>Kabel produžni, cca. 30 m, 16A, 3x2,5 mm2, kabel H07RN-F, min. 3 »šuko« utičnice s poklopcima</t>
  </si>
  <si>
    <t>HRN EN 61316</t>
  </si>
  <si>
    <t>Radna oprema</t>
  </si>
  <si>
    <t>Elektroagregat 5 kVA s nadzorom izolacije</t>
  </si>
  <si>
    <t>DIN 14685-1</t>
  </si>
  <si>
    <t>Posuda za ulje (tankvana), 60x40x18</t>
  </si>
  <si>
    <t>prema DIN 14060</t>
  </si>
  <si>
    <t>Zračna membranska pumpa do 200 l</t>
  </si>
  <si>
    <t>Škopac, veličina 3, za sile do 100 kN, pocinčan</t>
  </si>
  <si>
    <t>DIN 82101</t>
  </si>
  <si>
    <t>Motorna pila, dužina lanca cca. 40 cm, ≥ 2kW, s opremom</t>
  </si>
  <si>
    <t>HRN EN ISO 11681-1</t>
  </si>
  <si>
    <t>Klin od drveta</t>
  </si>
  <si>
    <t>Kutna pila, 230 V, min 2000 W, 230 mm za kamen</t>
  </si>
  <si>
    <t>Set mehaničarskog alata prema DIN</t>
  </si>
  <si>
    <t>DIN 14881</t>
  </si>
  <si>
    <t>Ventilator za prozračivanje, benzinski motor, min. 20.000 m3/h</t>
  </si>
  <si>
    <t>Ručni alati i mjerni uređaji</t>
  </si>
  <si>
    <t>Pajser, cca. 700 mm</t>
  </si>
  <si>
    <t>prema DIN 14853</t>
  </si>
  <si>
    <t>Vatrogasna sjekira</t>
  </si>
  <si>
    <t>prema DIN 14900</t>
  </si>
  <si>
    <t>Sjekira za drva</t>
  </si>
  <si>
    <t>prema DIN 7294</t>
  </si>
  <si>
    <t>Kramp</t>
  </si>
  <si>
    <t>prema DIN 20109</t>
  </si>
  <si>
    <t>Lopata pobirača</t>
  </si>
  <si>
    <t>prema DIN 20121</t>
  </si>
  <si>
    <t>Lopata štihača</t>
  </si>
  <si>
    <t>prema DIN 20127</t>
  </si>
  <si>
    <t>Vile</t>
  </si>
  <si>
    <t>Kopača</t>
  </si>
  <si>
    <t>Požarna čaklja, dvodijelna, 5 m</t>
  </si>
  <si>
    <t>prema DIN 14851</t>
  </si>
  <si>
    <t>Metla, dužine cca. 1400 mm</t>
  </si>
  <si>
    <t>Škare za okruglo željezo (fi 12 mm)</t>
  </si>
  <si>
    <t>Posebna oprema</t>
  </si>
  <si>
    <t>Absorbent za ugljikovodike 50L, tip I, II, III, R</t>
  </si>
  <si>
    <t>Klin za podvozje</t>
  </si>
  <si>
    <t>Posuda za rezervno gorivo za vozilo, 20 l, napunjena</t>
  </si>
  <si>
    <t>Posuda za rezervno gorivo za elektroagregat i ventilator, 10 l, napunjena</t>
  </si>
  <si>
    <t>Kombinirana posuda za gorivo: mješavina 5 l/ulje 2 l</t>
  </si>
  <si>
    <t>SVJETLOSNA, ZVUČNA  I KOMUNIKACIJSKA OPREMA</t>
  </si>
  <si>
    <t>POSEBNA OPREMA</t>
  </si>
  <si>
    <t>Zaštitne navlake za sva sjedala otporna na habanje</t>
  </si>
  <si>
    <t>BOJA</t>
  </si>
  <si>
    <t>APLICIRANJE VOZILA</t>
  </si>
  <si>
    <t>Uputa o korištenju vozila, specijalne i svjetlosno zvučne opreme na hrvatskom jeziku (obveza kod isporuke vozila)</t>
  </si>
  <si>
    <t xml:space="preserve"> Servisna i jamstvena knjižica (obveza kod isporuke vozila)</t>
  </si>
  <si>
    <t>Izjava o predkomisijskom i komisijskom pregledu prvog prerađenog vozila od strane korisnika s pravom zahtjeva za doradom u okviru tehničkih značajki vozila (na komisijskom pregledu isporučitelj je u obvezi priložiti ovjerenu kopiju homologacijskog lista vozila, ovjerenu tehničku specifikaciju vozila i posebne policijske opreme).</t>
  </si>
  <si>
    <t>Dokumentacija za registraciju vozila.</t>
  </si>
  <si>
    <t>SPECIJALNA OPREMA VATROGASNOG VOZILA</t>
  </si>
  <si>
    <t>NADOGRADNJA NA VOZILO</t>
  </si>
  <si>
    <t>Predviđeni poslovi pripreme (u obvezi isporučitelja):
1. Montirati kombiniranu antenu za radio-stanicu sa dva tvornički završena koaksialna kabela (RG-58), konektorima i pripadajućim prijelazima.
2. Izvesti samostalno napajanje 12V-10A (crvena i crna žica 2,5 mm2 sa ugrađenim osiguračem 10 A i konektorom za napajanje radio-stanice ) 
3. Ukoliko vozilo ima 24V instalaciju,napajanje izvesti pretvaračem 24 V – 12 V (nikako sa srednjeg izvoda akumulatora)
4. Kabel zvučnika spojiti na konektor (16-pinski konektor)
5. Montirati nosač MTK kombinacije
6. Montirati zvučnik
7. Montirati nosač radio stanice</t>
  </si>
  <si>
    <t>Vozilo mora biti u skladu sa HRN EN 1846-1, HRN EN 1846-2 i HRN EN 1846-3</t>
  </si>
  <si>
    <t>Metlanica za gašenje i suzbijanje širenja požara na otvorenom prostoru - Težina: maksimalno 3 kg - Glava metlanice konstruirana je kao lepeza a izrađena je od pocinčanog čeličnog lima - Drška je dužine 1,8 m izrađena od Nuplaglas materijala</t>
  </si>
  <si>
    <t>Naprtnjača ergonomska 25L, masa maksimalno 2,5 kg, protok vode minimalno 3.7 l/min, duljina prskanja u najjačem modu je minimalno 8 metara</t>
  </si>
  <si>
    <t>Brentača, 10 l, namijenjene prvenstveno za gašenje požara A klase, Spremnik je izrađen od duboko galvaniziranog čelika i obojan u crveno. Dvofunkcionalna pumpa je izrađena od mesinga.</t>
  </si>
  <si>
    <t>HRN EN 3-7</t>
  </si>
  <si>
    <t xml:space="preserve">Vatrogasni aparat prah ABC, Količina sredstva za gašenje 9 kg </t>
  </si>
  <si>
    <t>Vatrogasni aparat CO2, Količina sredstva za gašenje 5 kg</t>
  </si>
  <si>
    <t xml:space="preserve">Vatrogasni opasač sa mogučnošću konstruiranja spasilačkog sjedala (EN 1498, klasa B), </t>
  </si>
  <si>
    <t>HRN EN 137                   HRN EN 136</t>
  </si>
  <si>
    <t>21 vozilo</t>
  </si>
  <si>
    <t>Popis kooperanata previđenih za ugradnju opreme tražene u tehničkim značajkama vozila</t>
  </si>
  <si>
    <t>Dno kabine sastoji se od profila aluminijskih nosača na kojima je ugrađena gumena ploča. Gumena ploča služi kao: zvučna izolacija, toplinska izolacija i zaštita protiv klizanja za vatrogasce.</t>
  </si>
  <si>
    <t>Spremnik za vodu mora imati certifikat za prijevoz pitke vode - ponuditelj predstavlja kopiju certifikata u ponudi.</t>
  </si>
  <si>
    <t>Ponuditelj u ponudi mora priložiti izjavu kojom prihvaća da se pozicija navalnog vitla na vozilu može kasnije definirati prema želji kupca</t>
  </si>
  <si>
    <t xml:space="preserve">Cijevi se montiraju u nosače s plastičnim pregradama i zaštićene od pada s čičak-trakama.
U nadogradnji moraju postojati sva sidrišta potrebne opreme i izrađena od nehrđajućeg materijala. </t>
  </si>
  <si>
    <t>Sastavljača 2 dijelna</t>
  </si>
  <si>
    <t>Tlačna cijev B, Ø 75 mm, 5 m - Duljine 15 m sa kovanim spojnicama. Vanjski sloj cijevi izrađen od poliesterske pređe ili sličnog, cijev je iznutra obložena materijalom kao "EPDM sintetskom gumom" ili sličnim materijalom. Radni tlak cijevi minimalno 25 bara, tlak rasprskavanja minimalno 50 bara.</t>
  </si>
  <si>
    <t>Tlačna cijev B, Ø 75 mm, 15-20 m - Duljine 15 m sa kovanim spojnicama. Vanjski sloj cijevi izrađen od poliesterske pređe ili sličnog, cijev je iznutra obložena materijalom kao "EPDM sintetskom gumom" ili sličnim materijalom. Radni tlak cijevi minimalno 25 bara, tlak rasprskavanja minimalno 50 bara.</t>
  </si>
  <si>
    <t>Tlačna cijev D, Ø 25 mm, 15 m - Duljine 15 m sa kovanim spojnicama. Vanjski sloj cijevi izrađen od poliesterske pređe ili sličnog, cijev je iznutra obložena materijalom kao "EPDM sintetskom gumom" ili sličnim materijalom. Radni tlak cijevi minimalno 25 bara, tlak rasprskavanja minimalno 50 bara.</t>
  </si>
  <si>
    <t>Tlačna cijev C, Ø 52 mm, 15 m - Duljine 15 m sa kovanim spojnicama. Vanjski sloj cijevi izrađen od poliesterske pređe ili sličnog, cijev je iznutra obložena materijalom kao "EPDM sintetskom gumom" ili sličnim materijalom. Radni tlak cijevi minimalno 25 bara, tlak rasprskavanja minimalno 50 bara.</t>
  </si>
  <si>
    <t>Razdjelnica B/CBC sa ventilima - Izrađena od aluminijske slitine. Ispitni tlak minimalno 25 bara.</t>
  </si>
  <si>
    <t>Mjenjač: Ručna izvedba mjenjača, potpuno sinkroniziran, s minimalno 6 brzina naprijed + 1 unatrag</t>
  </si>
  <si>
    <t>Dozvoljeno opterećenje stražnje osovine minimalno 9.500 kg</t>
  </si>
  <si>
    <t>Aparat za gašenje požara (2kg), komplet žarulja, trokut, kutija prve pomoći HRN 1112, reflektirajući prsluk (narančasti) HRN EN 471, hidraulična dizalica, priručni alat za podvozje, klinasti podlošci 2 komada</t>
  </si>
  <si>
    <t>Podvozje vozila mora biti dovoljno visoko da omogući potpunu mobilnost vozila u uvjetima vožnje izvan kolničkih površina</t>
  </si>
  <si>
    <t>U nadgradnji, sa stražnje strane mora se nalaziti sanitarni dio za higijenu vatrogasaca nakon intervencije. Set se sastoji od držača i dozatora tekućeg sapuna sa tekućim sapunom, slavine za vodu ½“ spojene na spremnik vode na vozilu, držača papirnatih ručnika sa papirnatim ručnicima, pištolj za ispuhivanje zrakom spojen sa fleksibilnom cijevi na zračnu instalaciju vozila (bez utjecaja na instalaciju vozila)</t>
  </si>
  <si>
    <t>U vod za hidrantsko punjenje ugraditi automatsku regulaciju razine koja omogućava automatsko nadopunjavanje spremnika vode (kada je vozilo priključeno na hidrant) bez intervencije vatrogasca. Hidrantsko punjenje mora se automatski aktivirati kada je razina vode u spremniku 30%, a isključiti kada je razina vode u spremniku 95% bez intervencije vatrogasca.
Automatska regulacija razine mora se moći i isključiti (ručna regulacija punjenja).</t>
  </si>
  <si>
    <t>Dva akumulatora 12 V i minimalno 150 Ah</t>
  </si>
  <si>
    <t>Oprema u spremištima se mora montirati na fiksne aluminijske police ili nosače. Zidovi su izrađeni od profila, koji su obloženi aluminijskim pločama.
Oprema se pričvršćuje pojedinačno uz mogućnost brzog odvajanja. Instalacija je označena simbolima ili natpisima.</t>
  </si>
  <si>
    <t>Stražnji otvor nadgradnje (za pumpu) također je zatvoren vodootpornim i zatvorenim anodiziranim roletama</t>
  </si>
  <si>
    <t>HRN EN 1028-1                 HRN EN 1028-2</t>
  </si>
  <si>
    <t>Vatrogasna pumpa mora imati automatsko odzračivanje. U slučaju gubitka vakuma vakum pumpa se automatski uključuje.</t>
  </si>
  <si>
    <t>U lijevom i desnom kabinetima s opremom mora biti LED rasvjeta za lakše korištenje opreme u noćnim uvjetima koja se automatski pali dizanjem roleta.</t>
  </si>
  <si>
    <t>Crvena po RAL 3000 osim branika i blatobrana koji su bijele boje, podvozje je standardne boje proizvođača podvozja, kotači su crne ili sive standardne boje proizvođača podvozja. Roletne su srebrne boje.</t>
  </si>
  <si>
    <t>Posuda za pjenilo, 20 l (napunjene pjenilom klasa A EN 1568)</t>
  </si>
  <si>
    <t>Turbo mlaznica B - Izrađena od aluminijske slitine. Vrsta mlazeva: puni, raspršni i zaštitni mlaz, uz mogućnost promjene protoka vode. Minimalno mogućnost protoka vode u 4 stupnja od minimalno 360  l/min do minimalna 750 l/min. Domet punog mlaza minimalno 56 m, a raspršenog minimalno 10 m.</t>
  </si>
  <si>
    <t>Turbo mlaznica C - Izrađena od aluminijske slitine. Vrsta mlazeva: puni, raspršni i zaštitni mlaz, uz mogućnost promjene protoka vode. Minimalno mogućnost protoka vode u 4 stupnja od minimalno 100  l/min do minimalna 360 l/min. Domet punog mlaza minimalno 40 m, a raspršenog minimalno 10 m.</t>
  </si>
  <si>
    <t xml:space="preserve">DOKUMENTACIJA UZ ISPORUČENA VOZILA:
● Dokumentacija podrazumijeva, korisničke upute obavezno na hrvatskom jeziku za vozilo i cjelokupnu opremu u vozilu (upute za rukovanje, montiranje, podešavanje i servisiranje). Isporučitelj uz vozilo mora isporučiti cjelokupnu dokumentaciju definiranu normom HRN EN 1846-2 (Vozila za gašenje požara i spašavanje–2. dio: Opći zahtjevi–Sigurnost i svojstva) točkama 6.1, 6.2 i 6.3 i to na hravtskom jeziku.
● Potvrda o ispitivanju vozila (Atest) Centra za vozila Hrvatske ili jednakovrijedne institucije drugih država Europske unije </t>
  </si>
  <si>
    <t>Prema kategoriji definiranoj normom HRN EN 1846-1 točka 4 vozilo spada u kategoriju 2 - ruralno vozilo - Motorno vozilo koje je predviđeno za vožnju po svim cestama i ograničeno izvan kolničkih površina (lwith more off road capabilities)</t>
  </si>
  <si>
    <t>Krovom nadgradnje mora se moći hodati i mora biti prevučen je s protukliznim premazom na način da konstrukcija krova minimalno udovoljava zahtjevima iz točke 5.1.2.3.5 norme HRN EN 1846-2. Pristup krovu se mora osigurati preko ljestvi koje se nalaze na stražnjoj strani vozila na način da minimalno zadovoljavaju točku 5.1.2.3.4 norme HRN EN 1846-2</t>
  </si>
  <si>
    <t>Međuosovinski razmak vozila (mm) : maksimalno 3800</t>
  </si>
  <si>
    <t>Broj sjedala: 1+2</t>
  </si>
  <si>
    <t>U spremništu je ugrađena okretna stijena za smještaj 2 kompleta dišnih aparata + 2 rezervne boce</t>
  </si>
  <si>
    <t>U spremištu za sve članove posade moraju biti dišni aparati prema HRN EN 137, a držači za dišne aparate mora zadovoljiti zahtjev iz točke 5.1.2.2.3 norme HRN EN 1846-2.</t>
  </si>
  <si>
    <t xml:space="preserve">Kaciga zaštitna za rad sa motornom pilom sa vizirom i zaštitom za uši </t>
  </si>
  <si>
    <t>HRN EN 397, HRN EN 1731</t>
  </si>
  <si>
    <t>Spremnik za gorivo mora biti veličine koja omogućava vozilu da ispuni zahtjeve norme HRN EN 1846-2 (Vozila za gašenje požara i spašavanje–2. dio: Opći zahtjevi–Sigurnost i svojstva) točke 5.2.1.9 (Fuel tank and range) uz uvijet da spremnik za gorivo ne može biti manji od 180 litara</t>
  </si>
  <si>
    <t>Vozilo mora udovoljavati Pravilniku o tehničkim uvjetima vozila u prometu na cestama (NN, broj 85/16 i 24/17), kao i Pravilniku ECE-R70</t>
  </si>
  <si>
    <t>Sva isporučena roba mora imati znak vidljivosti financiranja iz EU. Simboli grafičkog identiteta Europske unije postavljaju se na istaknuta i vidljiva mjesta, a veličina treba biti jednaka veličini simbola grafičkog identiteta korisnika i izvršitelja ugovora. Grafički identitet Europske unije koristi se u skladu sa Smjernicama Europske komisije o korištenju simbola EU u kontekstu programa EU
https://ec.europa.eu/info/resources-partners/european-commission-visual-identity_en#download</t>
  </si>
  <si>
    <t>Signal upozorenja u LED tehnologiji sastoji se od:
● dvije integrirane plave bljeskalice na krovu kabine (kut vidljivosti 360 stupnjeva, minimalno deset (10) dioda, minimalne snage 3W po diodi)
● dvije u stražnjoj nadogradnji (minimalno šest (6) dioda smještenih u jednom redu, minimalne snage 3W po diodi),
● dvije bljeskalice integrirane u prednji okvir (minimalno šest (6) dioda smještenih u jednom redu, minimalne snage 3W po diodi),
Bljeskalice u stražnoj nadogradnji i u prednjem okviru moraju imati mogućnost promjene ciklusa bljeskanja. Način bljeskanja (ciklus) izabire se u dogovoru sa korisnikom pri prvoj ugradnji.</t>
  </si>
  <si>
    <t>AUTOCISTERNA</t>
  </si>
  <si>
    <t>Vatrogasno vozilo za oskrbu vodom intervencijskih jedinica i za dopremu pitke vode - 7000 litara</t>
  </si>
  <si>
    <t>Dužina (mm): maksimum 7000</t>
  </si>
  <si>
    <t>Tip nadogradnje: Modularna nadogradnja, izvedena od tri dijela i to spremnik opreme iza vozačke kabine, rezervoar vode, spremnik pumpe, po 2 spremnika na svakoj bočnoj strani vozila i spremnik za pumpu na zadnjoj strani vozila</t>
  </si>
  <si>
    <t>Spremišta su zatvorena vodonepropusnim i zatvorenim anodiziranim roletama. Izrađene su od lagane legure i imaju mogućnost sigurnog zatvaranja sa sustavom zaključavanja. U slučaju da je bilo koji od segmenata otvoren, to će biti označeno kao upozorenje u vozačevoj kabini.</t>
  </si>
  <si>
    <t xml:space="preserve">Spremnik mora imati dovoljan broj uzdužnih i poprečnih komora za spriječavanje prekomjernog prelijevanja i pridruženog naginjanja vozila. </t>
  </si>
  <si>
    <t>Ostali zahtjevi vezano uz spremnik vode:
● Priključak za punjenje DN 75 mm sa Storz spojnicom i kapom, smješten sa desne strane  
● Odušak za tlačno rasterećenje
● Recirkulacijski vod  
● Kontrola razine vode na upravljačkoj ploči pumpe
● Dopušteni tlak punjenja minimalno 3 bar</t>
  </si>
  <si>
    <t>Vatrogasna usisna cijev Storz „A“, L=2m</t>
  </si>
  <si>
    <t>EN ISO 14557</t>
  </si>
  <si>
    <t>Usisna sitka Storz „A“</t>
  </si>
  <si>
    <t>DIN 14362</t>
  </si>
  <si>
    <t>Kompletan opis ponuđenog vozila (kao privitak ovim tehničkim značajkama) sa tehničkim karakteristikama vozila, ponuđenom serijskom i dodatnom opremom, traženom specijalnom opremom, te tehničkim karakteristikama predviđene svjetlosno-zvučne opreme, kao i slikovni prikaz vozila (tehnička skica sa svim glavnim mjerama - dužina, visina, širina, međuosovinski razmak, pristupni kutovi), nacrt rasporeda opreme u nadogradnji u četiri pogleda (lijevo, desno, straga i tloct), izračun opterečenja vozila koji jasno prikazuje težinu podvozja, nadogradnje, spremnika, opreme, posade vozila i slično, predviđene specijalne opreme za ugradnju. Ponuditelji su dužni prilikom dostave ponude dostaviti izračun ukupne mase vozila sa cjelokupnom opremom i punim rezervoarima vode i pjenila. Ukupna masa vozila ne smije biti veća od ukupne dopuštene mase vozila.</t>
  </si>
  <si>
    <t>Najveća dopuštena masa (kg):                                                              Medium (M) : 7,5 t &lt; GLM (gross laden mass)  ≤ 16 t</t>
  </si>
  <si>
    <t>HRN EN 1846-1             HRN EN 1846-2</t>
  </si>
  <si>
    <t>PONUDBENA TEHNIČKA DOKUMENTACIJA:
1. Ponudbena tehnička dokumentacija koju ponuditelj mora dostaviti uz natječajnu dokumentaciju podrazumijeva dokumentaciju proizvođača koja u sebi sadrži sve tehničke podatke za dokazivanje sukladnosti ponuđenog proizvoda s tehničkim zahtjevima naručitelja (datasheet, korisničke upute i slično) i to za podvozje, nadogradnju i sveukupnu opremu koja se isporučuje uz vozilo i prijevod iste na hrvatski jezik.
2. Ukoliko u tehničkim specifikacijama nije moguće pronaći pojedini traženi parametar ponuditelj za takve parametre može priložiti pisanu i potpisanu izjavu proizvođača (ne zastupnika ili distributera) da njihov uređaj udovoljava pojedinom parametru traženom u tehničkim specifikacijama a koji nije vidljiv u tehničkoj dokumentaciji uređaja.</t>
  </si>
  <si>
    <t>JAMSTVO • Podvozje – minimalno 24 mjeseca</t>
  </si>
  <si>
    <t>Upisati trajanje ponuđenog jamstva u mjesecima:</t>
  </si>
  <si>
    <t>JAMSTVO • Nadogradnja sa svim električnim instalacijama uključujući svjetlosnu i zvučnu signalizaciju – minimalno 24 mjeseca</t>
  </si>
  <si>
    <t>JAMSTVO • Vatrogasna pumpa – minimalno 24 mjeseca</t>
  </si>
  <si>
    <t>JAMSTVO • Dišni aparati – minimalno 24 mjeseca</t>
  </si>
  <si>
    <t>JAMSTVO • Spremnik vode – minimalno 60 mjeseci</t>
  </si>
  <si>
    <t>Upisati trajanje ponuđenog jamstva u mjesecima za svaku navedenu točku tehničkih specifikacija:</t>
  </si>
  <si>
    <t>U cijenu su uključene sljedeće naljepnice:
● Naprijed na maski vozila
● Na vratima vozila znak postrojbe
● Na zadnjim vratima nadgradnje
● Na oba boka vozila
● Svi natpisi iz reflektirajuće visoko kvalitetne folije
● Visina grbova na vozilima su minimalno 35 cm, a svi detalji označavanja biti će detaljno dogovoreni sa odabranim ponuditeljem</t>
  </si>
  <si>
    <t>Popis ovlaštene servisne mreže na području Republike Hrvatske za ponuđenu marku vozila iskazanu po županijama.</t>
  </si>
  <si>
    <t>Izjava proizvođača ili ovlaštenog predstavnika proizvođača za marku vozila u Republici Hrvatskoj o besplatnom otklanjanju kvarova na vozilima, za vrijeme trajanja ugovorenog jamstvenog roka putem ovlaštene servisne mreže za marku vozila (ne uključuje se nestručno rukovanje i od potrošnog materijala: žarulje, diskovi, disk pločice,metlice brisača, fluidi, staklene površine).</t>
  </si>
  <si>
    <t>Zaštitne hlače i zaštitna jakna za korištenje motorne pile. Hlače i jakne moraju biti dostupne minimalno u veličinskim brojevima L, XL i XXL. Konkretne veličinske brojeve za isporuku definirat će se nakon potpisa ugovora prema potrebama krajnjih korisnika.</t>
  </si>
  <si>
    <t>Zaštitne gumirane čizme, moraju biti dostupne minimalno u veličinskim brojevima od 40 do 49. Konkretne veličinske brojeve za isporuku definirat će se nakon potpisa ugovora prema potrebama krajnjih korisnika.</t>
  </si>
  <si>
    <t>Zaštitne rukavice, moraju biti dostupne minimalno u veličinskim brojevima M, L, XL. Konkretne veličinske brojeve za isporuku definirat će se nakon potpisa ugovora prema potrebama krajnjih korisnika.</t>
  </si>
  <si>
    <t>Kemijsko odijelo, mora biti dostupno minimalno u veličinskim brojevima M, L, XL. Konkretne veličinske brojeve za isporuku definirat će se nakon potpisa ugovora prema potrebama krajnjih korisnika.</t>
  </si>
  <si>
    <t>Ručna LED baterijska svjetiljka, punjiva, minimalno IP65, minimalno 350 lm i 10.000 cd, minimalno vrijeme rada 5 sati</t>
  </si>
  <si>
    <t>Rezervni lanac za ponuđenu motornu pilu</t>
  </si>
  <si>
    <t>JAMSTVO • Tehnički alati i tehnička oprema (tehničke specifikacije - točke 64, 66, 160, 164, 166, 168, 171, 173, 186) – minimalno 24 mjeseca                                                                                                  NAPOMENA: za svaku točku tehničkih alata i tehničke opreme potrebno je upisati zasebno jamstvo. U izračunu sva jamstva za tehničku opremu se zbrajaju i zatim se vrši izračun dobivenih bodova.</t>
  </si>
  <si>
    <t>Navalno vitlo izrađeno od materijala otpornog na koroziju. Gumena visokotlačna cijev na jezgri montirana na bubanj s kolutom. Crijevo je pričvršćeno na izlaz bubnja za namatanje spojkom s mogućnošću odspajanja s druge strane. Namatanje cijevi je električno. Aktiviranje za namatanje vitla je preko sklopke. Vitlo za namatanje ima automatsku kočnicu. Četiri vodeća valjka za cijevi koriste se za olakšavanje odmotavanja. Bubanj za namatanje također ima mogućnost ručnog namotavanja. Na vitlu se nalazi minimalno 60 m VT promjera cijevi od 25 mm i mlaznica visokog pritiska. Mlaznica ima protok od minimalno 200 l / min na 40 bara i omogućava razinu mlaza kao što je stvaranje magle s velikim kutom.</t>
  </si>
  <si>
    <t>Vučna kuka za prikolice sa cjelokupnom potrebnom instalacijom za prihvat prikolice.</t>
  </si>
  <si>
    <t>Pogon: 4x2 ili 4x4</t>
  </si>
  <si>
    <t>Blokada diferencijala minimalno zadnje osovine</t>
  </si>
  <si>
    <t xml:space="preserve">smjernica ATEX 94/9/EC ili ATEX  2014/34/EU </t>
  </si>
  <si>
    <t>Pokretni nosač za el. agregat mora imati mogućnost okretanja 90 stupnjeva i blokadu u otvorenom, srednjem i zatvorenom položaju</t>
  </si>
  <si>
    <t>Upravljačka ploča za rad pumpe (upravljački sustav preko prekidača i poluga) je vodootporna, osvijetljena i sastoji se od minimalno:
• Tipke za uključivanje i isključivanje pumpe (također u kabini)
• Tipke za uključivanje / isključivanje rada visokotlačnog sklopa pumpe
• Kontrola brzine pumpe
• Indikator nivoa vode u rezervoaru
• Manometar za normalan tlak
• Manometar za visoki tlak
• Vakummetar
• Brojač radnih sati
Stupanj zaštite električne instalacije i elektronike mora biti sukladno stupnju zaštite minimalno IP 54 (potrebna ovjerena deklaracija proizvođača)</t>
  </si>
  <si>
    <t>Vatrogasna pumpa mora biti opremljena termičkom zaštitom. Ako crpka radi i nema trenutačnog povlačenja vode (svi su izlazni ventili zatvoreni), temperatura vode može doseći prekomjernu temperaturu. U tom slučaju, ventil se otvara i ispušta pregrijanu vodu iz pumpe. Kada se ispušta pregrijanu voda iz pumpe taj postupak mora biti popraćen zvučnim signalom. Centrifugalna pumpa osim punjenja  u rezervoar mora imati mogućnost direktnog prolaza tekućine iz usisnog u tlačni  dio pumpe a da je pri tome rezervoar zatvoren ventilom.</t>
  </si>
  <si>
    <t>Spremnik za vodu u nadgradnji je postavljen u sredini nadgradnje, između prednjeg prostora za opremu i stražnjeg prostora za opremu/pumpe. Vanjska stjenka spremnika ujedno je i vanjska stjenka nadogradnje</t>
  </si>
  <si>
    <t>Snaga vozila (KW): minimalno 205 kW</t>
  </si>
  <si>
    <t>Dozvoljeno opterećenje prednje osovine minimalno 5.600 kg</t>
  </si>
  <si>
    <t>U skladu sa točkom 5.2.1.2 norme HRN EN 1846-2 vozilo M (Medium) - 2 (rural) mora imati minimalno sljedeće geometrijske dimenzije: 
● Prednji napadni kut - točka 3.4 norme HRN EN 1846-2                             (α: approach angle) ≥ 23°</t>
  </si>
  <si>
    <t>U skladu sa točkom 5.2.1.2 norme HRN EN 1846-2 vozilo M (Medium) - 2 (rural) mora imati minimalno sljedeće geometrijske dimenzije: 
● Stražnji napadni kut - točka 3.5 norme HRN EN 1846-2                            (β: departure angle) ≥ 23°</t>
  </si>
  <si>
    <t>U skladu sa točkom 5.2.1.2 norme HRN EN 1846-2 vozilo M (Medium) - 2 (rural) mora imati minimalno sljedeće geometrijske dimenzije: 
● kut nagiba - točka 3.6 norme HRN EN 1846-2                                              (γ: angle of slope) ≥ 18°</t>
  </si>
  <si>
    <t>U skladu sa točkom 5.2.1.2 norme HRN EN 1846-2 vozilo M (Medium) - 2 (rural) mora imati minimalno sljedeće geometrijske dimenzije: 
● udaljenost od tla - točka 3.7 norme HRN EN 1846-2                                              (d: ground clearance) ≥ 0,30 m</t>
  </si>
  <si>
    <t>U skladu sa točkom 5.2.1.2 norme HRN EN 1846-2 vozilo M (Medium) - 2 (rural) mora imati minimalno sljedeće geometrijske dimenzije: 
● udaljenost od tla pod osovinom - točka 3.8 norme HRN EN 1846-2 (h: ground clearance under axle) ≥ 0,23 m</t>
  </si>
  <si>
    <r>
      <t xml:space="preserve">Ponuditelj mora upisati dali ponuđena oprema u potpunosti zadovoljava tehnički zahtjev
</t>
    </r>
    <r>
      <rPr>
        <b/>
        <u/>
        <sz val="8"/>
        <color theme="1"/>
        <rFont val="Arial"/>
        <family val="2"/>
        <charset val="238"/>
      </rPr>
      <t>(zaokružiti DA ili NE) i broj stranice</t>
    </r>
    <r>
      <rPr>
        <b/>
        <sz val="8"/>
        <color theme="1"/>
        <rFont val="Arial"/>
        <family val="2"/>
        <charset val="238"/>
      </rPr>
      <t xml:space="preserve"> ponude na kojoj se nalaze traženi podaci</t>
    </r>
  </si>
  <si>
    <r>
      <t xml:space="preserve">Norma: minimalno </t>
    </r>
    <r>
      <rPr>
        <sz val="12"/>
        <color theme="1"/>
        <rFont val="Arial"/>
        <family val="2"/>
      </rPr>
      <t>EURO 5</t>
    </r>
  </si>
  <si>
    <r>
      <t xml:space="preserve">U skladu sa točkom 5.2.1.3 norme HRN EN 1846-2 vozilo M (Medium) - 2 (rural) mora imati minimalno sljedeće performanse: 
● vrijeme prelaska 100 metara iz stanja mirovanja vozila (A1 : time in seconds to travel 100 m from a standing start) </t>
    </r>
    <r>
      <rPr>
        <b/>
        <sz val="12"/>
        <color theme="1"/>
        <rFont val="Calibri"/>
        <family val="2"/>
        <charset val="238"/>
      </rPr>
      <t>≤</t>
    </r>
    <r>
      <rPr>
        <b/>
        <sz val="12"/>
        <color theme="1"/>
        <rFont val="Arial"/>
        <family val="2"/>
        <charset val="238"/>
      </rPr>
      <t xml:space="preserve"> 15 sekundi</t>
    </r>
  </si>
  <si>
    <r>
      <t xml:space="preserve">U skladu sa točkom 5.2.1.3 norme HRN EN 1846-2 vozilo M (Medium) - 2 (rural) mora imati minimalno sljedeće performanse: 
● vrijeme ubrzanja vozila do 65 km/h iz stanja mirovanja vozila (A2 : time in seconds taken to reach a speed of 65 km/h from a standing start) </t>
    </r>
    <r>
      <rPr>
        <b/>
        <sz val="12"/>
        <color theme="1"/>
        <rFont val="Calibri"/>
        <family val="2"/>
        <charset val="238"/>
      </rPr>
      <t>≤</t>
    </r>
    <r>
      <rPr>
        <b/>
        <sz val="12"/>
        <color theme="1"/>
        <rFont val="Arial"/>
        <family val="2"/>
        <charset val="238"/>
      </rPr>
      <t xml:space="preserve"> 30 sekundi</t>
    </r>
  </si>
  <si>
    <r>
      <t xml:space="preserve">U skladu sa točkom 5.2.1.3 norme HRN EN 1846-2 vozilo M (Medium) - 2 (rural) mora imati minimalno sljedeće performanse: 
● Maksimalna brzina je minimalno (V : minimum achievable speed) </t>
    </r>
    <r>
      <rPr>
        <b/>
        <sz val="12"/>
        <color theme="1"/>
        <rFont val="Calibri"/>
        <family val="2"/>
        <charset val="238"/>
      </rPr>
      <t>≥</t>
    </r>
    <r>
      <rPr>
        <b/>
        <sz val="12"/>
        <color theme="1"/>
        <rFont val="Arial"/>
        <family val="2"/>
        <charset val="238"/>
      </rPr>
      <t xml:space="preserve"> 85 km/h</t>
    </r>
  </si>
  <si>
    <r>
      <t>U skladu sa točkom 5.2.1.3 norme HRN EN 1846-2 vozilo M (Medium) - 2 (rural) mora imati minimalno sljedeće performanse: 
● radijus okretanja vozila (turning circle between walls)</t>
    </r>
    <r>
      <rPr>
        <b/>
        <sz val="12"/>
        <color theme="1"/>
        <rFont val="Arial"/>
        <family val="2"/>
        <charset val="238"/>
      </rPr>
      <t xml:space="preserve">                             </t>
    </r>
    <r>
      <rPr>
        <b/>
        <sz val="12"/>
        <color theme="1"/>
        <rFont val="Calibri"/>
        <family val="2"/>
        <charset val="238"/>
      </rPr>
      <t>≤</t>
    </r>
    <r>
      <rPr>
        <b/>
        <sz val="12"/>
        <color theme="1"/>
        <rFont val="Arial"/>
        <family val="2"/>
        <charset val="238"/>
      </rPr>
      <t xml:space="preserve"> 18 metara</t>
    </r>
  </si>
  <si>
    <r>
      <t xml:space="preserve">Kabina za posadu mora biti minimalno 1+2 (vozač + 2 vatrogasca) i ECE-R29 TEST REPORT za crash test </t>
    </r>
    <r>
      <rPr>
        <sz val="12"/>
        <color theme="1"/>
        <rFont val="Arial"/>
        <family val="2"/>
      </rPr>
      <t>NAPOMENA: - Uz ponudu je obavezno priložiti ECE-R29 certifikat kao dokaz o ispunjavanju tehničkog zahtjeva.</t>
    </r>
  </si>
  <si>
    <r>
      <t xml:space="preserve">Unutrašnjost kabine izrađena je od materijala otpornih na koroziju. Sjedala i nasloni za sjedenje izrađeni su od materijala koji se mogu lako očistiti vlažnom krpom. Sva sjedala su opremljena s odobrenim sigurnosnim pojasevima u tri točke prema ECE R 16. Sigurnosni pojasevi također su montirani na tijelo kabine s odobrenim sidrištima prema ECE R 14 certifikatu. </t>
    </r>
    <r>
      <rPr>
        <sz val="12"/>
        <color theme="1"/>
        <rFont val="Arial"/>
        <family val="2"/>
      </rPr>
      <t>NAPOMENA: - Uz ponudu je obavezno priložiti ECE R16 i ECE R14 certifikat kao dokaz o ispunjavanju tehničkog zahtjeva.</t>
    </r>
  </si>
  <si>
    <r>
      <t xml:space="preserve">Kako bi se olakšao pristup opremi na višim razinama moraju biti ugrađeni podesti ispod spremnika. Podesti su odgovarajuće označeni treptajućim svjetlima kada su otvoreni (u funkciji uzimanja opreme). Podesti su izvedeni kao preklopna gazišta sa ugrađenim plinskim amortizerom na svakom podestu. Podesti su od aluminijske konstrukcije obložena sa unutarnje strane aluminijskim rebrastim limom (gazeći sloj) </t>
    </r>
    <r>
      <rPr>
        <sz val="12"/>
        <color theme="1"/>
        <rFont val="Arial"/>
        <family val="2"/>
      </rPr>
      <t>ili posebnim grubim plastičnim premazom koji je otporan na klizanja klasa R12 prema normi EN 13036-4</t>
    </r>
    <r>
      <rPr>
        <sz val="12"/>
        <color theme="1"/>
        <rFont val="Arial"/>
        <family val="2"/>
        <charset val="238"/>
      </rPr>
      <t>, a sa vanjske strane (kad su u zatvorenom položaju) istim materijalom kao i nadogradnja, obojani isto kao i nadogradnja. Podesti su takvih dimenzija da omogućuju uzimanje opreme iz spremnika sa obje ruke (nije potrebno pridržavati se za nadogradnju) kod uzimanja. U kabini vozila mora biti ugrađena signalizacija koja upozorava da je podest otvoren (u funkciji uzimanja opreme)</t>
    </r>
  </si>
  <si>
    <r>
      <t>Spremnik za vodu izrađen je od polipropilena (PP) ili Glass Reinforced Plastic (GRP) ili jednakovrijednog materijala otpornog na koroziju minimalnog kapaciteta 7000 litara (</t>
    </r>
    <r>
      <rPr>
        <sz val="12"/>
        <color theme="1"/>
        <rFont val="Calibri"/>
        <family val="2"/>
        <charset val="238"/>
      </rPr>
      <t>±10</t>
    </r>
    <r>
      <rPr>
        <sz val="12"/>
        <color theme="1"/>
        <rFont val="Arial"/>
        <family val="2"/>
        <charset val="238"/>
      </rPr>
      <t xml:space="preserve">%). Spremnik ima vanjski preljev za višak vode na gornjoj strani. Ponuditelji su dužni voditi brigu da vozilo sa cjelokupnom opremom i punim rezervoarima vode (7000 litara ±10%) ne smije biti veća od ukupne dopuštene mase vozila (GLM </t>
    </r>
    <r>
      <rPr>
        <sz val="12"/>
        <color theme="1"/>
        <rFont val="Calibri"/>
        <family val="2"/>
        <charset val="238"/>
      </rPr>
      <t>≤</t>
    </r>
    <r>
      <rPr>
        <sz val="12"/>
        <color theme="1"/>
        <rFont val="Arial"/>
        <family val="2"/>
        <charset val="238"/>
      </rPr>
      <t xml:space="preserve"> 16 tona). GLM (gross laden mass) je bruto masa vozila sa vozačem (75 kg) i svim članovima posade i njihovom osobnom opremom (90 kg) i dadatkom od 15 kg za opremu vozača te ukupna masa vozila sa sveukupnom opremom i punim spremnicima goriva i vode.</t>
    </r>
  </si>
  <si>
    <r>
      <t>Spremnik za vodu mora imati izolaciju koja sprečava zamrazavanje tekućina u spremnicima pri vanjskoj temperaturi  -15</t>
    </r>
    <r>
      <rPr>
        <sz val="12"/>
        <color theme="1"/>
        <rFont val="Calibri"/>
        <family val="2"/>
        <charset val="238"/>
      </rPr>
      <t>°</t>
    </r>
    <r>
      <rPr>
        <sz val="12"/>
        <color theme="1"/>
        <rFont val="Arial"/>
        <family val="2"/>
        <charset val="238"/>
      </rPr>
      <t>C</t>
    </r>
  </si>
  <si>
    <r>
      <t xml:space="preserve">Na gornjoj strani, spremnik mora imati odgovarajući inspekciji/revizioni otvor za unutrašnjost minimalno Ø 450 mm, u slučaju popravaka. </t>
    </r>
    <r>
      <rPr>
        <sz val="12"/>
        <color theme="1"/>
        <rFont val="Arial"/>
        <family val="2"/>
      </rPr>
      <t xml:space="preserve"> Inspekciji/revizioni otvor mora biti prohodan i u istoj liniji krova, bez izbočina i mogućnosti zapinjanja za isti prilikom hodanja krovom.</t>
    </r>
  </si>
  <si>
    <r>
      <t xml:space="preserve">Ugrađena pumpa kombinirana sa srednjim i visokim tlakom minimalno 3500 l/min pri 10 bara i 400 l/min pri 40 bara </t>
    </r>
    <r>
      <rPr>
        <sz val="12"/>
        <color theme="1"/>
        <rFont val="Arial"/>
        <family val="2"/>
      </rPr>
      <t>pri usisu od 3 metra visine</t>
    </r>
    <r>
      <rPr>
        <sz val="12"/>
        <color theme="1"/>
        <rFont val="Arial"/>
        <family val="2"/>
        <charset val="238"/>
      </rPr>
      <t xml:space="preserve">. Pumpa mora imati elektronsku regulaciju tlaka u pumpi. Pumpa mora biti pogodna za rad s normalnim i visokim tlakom uz mogućnost istovremenog rada. Pogon pumpe preko lateralnog pogona motora vozila i mjenjača </t>
    </r>
    <r>
      <rPr>
        <sz val="12"/>
        <color theme="1"/>
        <rFont val="Arial"/>
        <family val="2"/>
      </rPr>
      <t>(PTO pogon)</t>
    </r>
    <r>
      <rPr>
        <sz val="12"/>
        <color theme="1"/>
        <rFont val="Arial"/>
        <family val="2"/>
        <charset val="238"/>
      </rPr>
      <t>, koji je montiran na pumpu.</t>
    </r>
  </si>
  <si>
    <r>
      <t xml:space="preserve">Priključci pumpe - minimalno:
● Usisni priključak Storz A sa slijepom spojnicom, sa zapornim ventilom, za priključenje usisnih cijevi
● Dva priključka za normalan tlak, izvedena na izlaz na lijevu i desnu stranu
● Dva priključka sa slijepom spojnicom B 75 mm. Priključci su opremljeni vretenastim ventilima.
</t>
    </r>
    <r>
      <rPr>
        <sz val="12"/>
        <color theme="1"/>
        <rFont val="Arial"/>
        <family val="2"/>
      </rPr>
      <t xml:space="preserve">● Dva priključka za visoki tlak. Jedan priključak za visoki tlak je namijenjen za navalno vitlo  a jedan priključak s ručnim ventilom na zasun i opremljen je H spojnicom. </t>
    </r>
  </si>
  <si>
    <r>
      <t xml:space="preserve">Vitlo za izvlačenje - naprijed, straga, sredina podvozja, izlazno mjesto čeličnog užeta naprijed, maksimalni vučni kut 25 º, pogon: </t>
    </r>
    <r>
      <rPr>
        <sz val="12"/>
        <color theme="1"/>
        <rFont val="Arial"/>
        <family val="2"/>
      </rPr>
      <t>hidraulično ili električno vitlo</t>
    </r>
    <r>
      <rPr>
        <sz val="12"/>
        <color theme="1"/>
        <rFont val="Arial"/>
        <family val="2"/>
        <charset val="238"/>
      </rPr>
      <t>, upravljanje: iz kabine i daljinsko, aktiviranje elektropneumatsko, vučna sila minimalno 50 kN, dužina čeličnog užeta minimalno 50 metara, brzina rada minimalno 10 m/min, ugrađena zaštita od preopterećenja.</t>
    </r>
  </si>
  <si>
    <r>
      <t xml:space="preserve">Na prednjoj strani vozila na krovu ugraditi LED reflektor minimalno </t>
    </r>
    <r>
      <rPr>
        <sz val="12"/>
        <color theme="1"/>
        <rFont val="Arial"/>
        <family val="2"/>
      </rPr>
      <t>4200</t>
    </r>
    <r>
      <rPr>
        <sz val="12"/>
        <color theme="1"/>
        <rFont val="Arial"/>
        <family val="2"/>
        <charset val="238"/>
      </rPr>
      <t xml:space="preserve"> lumena sa daljinskom kontrolom u kabini vozila. Isti je vodootporan u smislu da je predviđen za rad na otvorenom po kiši što predstavlja minimalnu zaštitu IP65. </t>
    </r>
    <r>
      <rPr>
        <sz val="12"/>
        <color theme="1"/>
        <rFont val="Arial"/>
        <family val="2"/>
      </rPr>
      <t>NAPOMENA: u ponudi je obvezna dostava tehničkog lista ponuđenog reflektora</t>
    </r>
  </si>
  <si>
    <r>
      <t xml:space="preserve">Rasvjeta okoline vozila provodi se s 3 LED reflektora minimalno 1000 lum/kom na svakoj strani (lijevo i desno) karoserije i dva reflektora minimalno 1000 lum/kom na stražnjoj strani. </t>
    </r>
    <r>
      <rPr>
        <sz val="12"/>
        <color theme="1"/>
        <rFont val="Arial"/>
        <family val="2"/>
      </rPr>
      <t>NAPOMENA: u ponudi je obvezna dostava tehničkog lista ponuđenog reflektora</t>
    </r>
  </si>
  <si>
    <r>
      <t xml:space="preserve">Vozilo mora imati zvučni signalni uređaj sa mogućnošću izbora više tonova, a pripadajući zvučnik snage minimalno 100W/12V ili 100W/24V ugrađuje </t>
    </r>
    <r>
      <rPr>
        <sz val="12"/>
        <color theme="1"/>
        <rFont val="Arial"/>
        <family val="2"/>
      </rPr>
      <t>na krovu vozila ili u motornom prostoru.</t>
    </r>
  </si>
  <si>
    <r>
      <t xml:space="preserve">Dišni aparat za vatrogasce - Izrađen i ispitan sukladno HRN EN
137:08 tip 2 i ATEX direktriva 94/9/EC minimalno II 1G IIC T6 -30°C&lt;Ta&lt;+60°C , što se potvrđuje Certifikatom
Sastav kompleta:
- leđni okvir s reduktorom i manometrom
- boca za stlačeni zrak + rezervna boca
- plućni automat i zaštitna maska
Prilikom isporuke se mora priložiti Izvješće o  obavljenom 1.servisu.
a) </t>
    </r>
    <r>
      <rPr>
        <u/>
        <sz val="12"/>
        <color theme="1"/>
        <rFont val="Arial"/>
        <family val="2"/>
        <charset val="238"/>
      </rPr>
      <t>Leđni okvir s reduktorom i manometrom</t>
    </r>
    <r>
      <rPr>
        <sz val="12"/>
        <color theme="1"/>
        <rFont val="Arial"/>
        <family val="2"/>
        <charset val="238"/>
      </rPr>
      <t xml:space="preserve">
Leđni okvir dišnog aparata mora biti robustan, a istovremeno  ergonomskog oblika, udoban za nošenje i lagan, maksimalne težine leđnog okvira s reduktorom do 3,50 kg. Antistatičan materijal, visoke otpornosti na toplinske, mehaničke utjecaje i kemikalije. Provodnici visokotlačnog protoka i srednje-tlačne cijevi moraju biti integrirani u leđni okvir. 
Nominalni izlazni tlak prvog stupnja 7,5 bar
Izlazni protok prvog stupnja &gt;1000 L/min. 
Aktivacijski tlak zviždaljke 50-60 bar
Jačina zvuka zviždaljke minimalno  90 dBA </t>
    </r>
  </si>
  <si>
    <r>
      <t xml:space="preserve">  
b) </t>
    </r>
    <r>
      <rPr>
        <u/>
        <sz val="12"/>
        <color theme="1"/>
        <rFont val="Arial"/>
        <family val="2"/>
        <charset val="238"/>
      </rPr>
      <t>Boca za stlačeni zrak</t>
    </r>
    <r>
      <rPr>
        <sz val="12"/>
        <color theme="1"/>
        <rFont val="Arial"/>
        <family val="2"/>
        <charset val="238"/>
      </rPr>
      <t xml:space="preserve">
Volumena </t>
    </r>
    <r>
      <rPr>
        <sz val="12"/>
        <color theme="1"/>
        <rFont val="Arial"/>
        <family val="2"/>
      </rPr>
      <t>6,9L/300 bar ±2%</t>
    </r>
    <r>
      <rPr>
        <sz val="12"/>
        <color theme="1"/>
        <rFont val="Arial"/>
        <family val="2"/>
        <charset val="238"/>
      </rPr>
      <t xml:space="preserve">; s aluminijskom jezgrom i omotanim  kompozitnim vlaknima ; priključak G 5/8; ventil sa sinterfilterom. Boce se isporučuju napunjene zrakom, pričvršćene na dišne aparate, a prilikom isporuke ponuditelj je dužan za boce priložiti certifikat ovlaštene ispitne tvrtke
c) </t>
    </r>
    <r>
      <rPr>
        <u/>
        <sz val="12"/>
        <color theme="1"/>
        <rFont val="Arial"/>
        <family val="2"/>
        <charset val="238"/>
      </rPr>
      <t>Zaštitna maska</t>
    </r>
    <r>
      <rPr>
        <sz val="12"/>
        <color theme="1"/>
        <rFont val="Arial"/>
        <family val="2"/>
        <charset val="238"/>
      </rPr>
      <t xml:space="preserve">
Sukladna HRN EN 136; što potvrđuje Certifikat 
Materijal maske EPDM, dvostruko prianjanje, vizir od polikarbonata, panoramski oblik vizira; temperatura uporabe od -</t>
    </r>
    <r>
      <rPr>
        <sz val="12"/>
        <color theme="1"/>
        <rFont val="Arial"/>
        <family val="2"/>
      </rPr>
      <t>30°C do +60°C</t>
    </r>
    <r>
      <rPr>
        <sz val="12"/>
        <color theme="1"/>
        <rFont val="Arial"/>
        <family val="2"/>
        <charset val="238"/>
      </rPr>
      <t xml:space="preserve">.
d) </t>
    </r>
    <r>
      <rPr>
        <u/>
        <sz val="12"/>
        <color theme="1"/>
        <rFont val="Arial"/>
        <family val="2"/>
        <charset val="238"/>
      </rPr>
      <t>Plućni automat</t>
    </r>
    <r>
      <rPr>
        <sz val="12"/>
        <color theme="1"/>
        <rFont val="Arial"/>
        <family val="2"/>
        <charset val="238"/>
      </rPr>
      <t xml:space="preserve">
Sustav nadtlaka s automatskim uključivanjem. Nadtlak u zaštitnoj maski maksimalno 3,9 mbar. </t>
    </r>
    <r>
      <rPr>
        <sz val="12"/>
        <color theme="1"/>
        <rFont val="Arial"/>
        <family val="2"/>
      </rPr>
      <t>Plućni automat mora biti odvojiv od srednje-tlačnog voda i od zaštitne maske.</t>
    </r>
  </si>
  <si>
    <r>
      <t>Detektor plina osobni EX, O2, CO, H2S, LCD prikaz, 1x punjač baterija 12/24V i 1x punjač baterija 220V
Osnovni uvjeti:
● EX senzor zapaljivih plinova, 0 - 100% donje granice eksplozivnosti sa minimalnim korakom mjerenja od 1% LEL
● O2 senzor kisika - detekcija kisika sa minimalnim rasponom od 0-25% kisika sa minimalnim korakom mjerenja od 0,1% O2
● CO senzor - detekcija ugljičnog monoksida, minimalni raspon od 0 - 1990 ppm sa minimalnim korakom mjerenja od 1 ppm
● H2S senzor - detekcija sumporovodika, minimalni raspon od 0-100 ppm sa minimalnim korakom mjerenja od 1 ppm
● Ugrađen alarm za svaku dojavu dopuštene koncentracije po svakom plinu
● Alarm mora biti audio, video i s mogučnošću vibracije
● Jačina audio alarma u svim smjerovima 360</t>
    </r>
    <r>
      <rPr>
        <sz val="12"/>
        <color theme="1"/>
        <rFont val="Calibri"/>
        <family val="2"/>
        <charset val="238"/>
      </rPr>
      <t>°</t>
    </r>
    <r>
      <rPr>
        <sz val="12"/>
        <color theme="1"/>
        <rFont val="Arial"/>
        <family val="2"/>
        <charset val="238"/>
      </rPr>
      <t xml:space="preserve"> je minimalno 95 dB na 30 cm
● Uređaj mora imati mogućnost slanja traženih podataka o mjerenom plinu putem opcije bluetooth kako bi se omogućilo da operater nije pored uređaja a da zaprima podatke na svoj mobilni uređaj. 
● Zaštita uređaja minimalno IP 67</t>
    </r>
  </si>
  <si>
    <r>
      <t>● Uređaj mora biti isporučen sa punjačem baterija za 220V i za 12/24 V (autopunjač)
● Masa uređaja maksimalno 560 g
● Mogućnost rada pri minimalnom raponu atmosferskog tlaka od 800 - 1200 mbar ili većem rasponu
● Minimalno temperaturno područje rada od -20</t>
    </r>
    <r>
      <rPr>
        <sz val="12"/>
        <color theme="1"/>
        <rFont val="Calibri"/>
        <family val="2"/>
        <charset val="238"/>
      </rPr>
      <t>°</t>
    </r>
    <r>
      <rPr>
        <sz val="12"/>
        <color theme="1"/>
        <rFont val="Arial"/>
        <family val="2"/>
        <charset val="238"/>
      </rPr>
      <t>C do +50</t>
    </r>
    <r>
      <rPr>
        <sz val="12"/>
        <color theme="1"/>
        <rFont val="Calibri"/>
        <family val="2"/>
        <charset val="238"/>
      </rPr>
      <t>°</t>
    </r>
    <r>
      <rPr>
        <sz val="12"/>
        <color theme="1"/>
        <rFont val="Arial"/>
        <family val="2"/>
        <charset val="238"/>
      </rPr>
      <t>C ili veći raspon 
● Vrijeme kontinuiranog rada uređaja mora biti minimalno 24 sata ili minimalno 22 sata kada je aktivirana Bluetooth veza
● Uređaj mora imati mogućnost zapisa minimalno 500 događaja. Pristup uređaju putem IR veze sa Windows kompatibilnim uređajima.</t>
    </r>
  </si>
  <si>
    <r>
      <rPr>
        <b/>
        <sz val="12"/>
        <color theme="1"/>
        <rFont val="Arial"/>
        <family val="2"/>
        <charset val="238"/>
      </rPr>
      <t>OSTALO</t>
    </r>
    <r>
      <rPr>
        <sz val="12"/>
        <color theme="1"/>
        <rFont val="Arial"/>
        <family val="2"/>
        <charset val="238"/>
      </rPr>
      <t xml:space="preserve"> - Ukoliko u ovim tehničkim specifikacijama nisu navedeni svi sustavi ili uređaji potrebni za potpunu funkcionalnost vozila i sveukupno implementirane opreme u skladu s normama HRN EN 1846-1, HRN EN 1846-2 i HRN EN 1846-3, HRN EN 1028-1 i HRN EN 1028-2 ponuditelj je dužan u ponudi prikazati taj sustav ili uređaj i kao takvog kasnije i ugraditi bez dodatnih troškova za naručitelja.
NAPOMENA: Ukoliko ponuditelj nema ništa za dodati kao odgovor na ovo pitanje onda ne popunjava ova polja</t>
    </r>
  </si>
  <si>
    <r>
      <rPr>
        <b/>
        <sz val="12"/>
        <color theme="1"/>
        <rFont val="Arial"/>
        <family val="2"/>
        <charset val="238"/>
      </rPr>
      <t xml:space="preserve">OBUKA: </t>
    </r>
    <r>
      <rPr>
        <sz val="12"/>
        <color theme="1"/>
        <rFont val="Arial"/>
        <family val="2"/>
        <charset val="238"/>
      </rPr>
      <t>Isporučitelj ima obvezu na svakoj lokaciji isporuke vozila, odnosno u svakoj vatrogasnoj postrojbi koja preuzima vozilo, održati obuku za korisnike u trajanju od minimalno osam /8/ sati teoretske nastave i osam /8/ sati praktičnih vježbi na vozilu za minimalno 10 vatrogasaca na svakoj lokaciji u svojstvu multiplikatora. 
Ukoliko instruktor koji će držati obuku ne govori hrvatski jezik isporučitelj mora organizirati prevoditelja za hrvatski jezik bez dodatnih troškova za naručitelja.
Na kraju obuke vatrogasci moraju znati u potpunosti rukovati s vozilom i opremom te isti moraju dobiti pisano uvjerenje o obavljenoj obuci.</t>
    </r>
  </si>
  <si>
    <t>JAMSTVO za svu ostalu opremu i sustave na vozilu koji nisu uključeni u točke "JAMSTVO" od točke 1 do zaključno sa točkom 6.  - jamstvo mora biti minimalno 12 mjeseci.</t>
  </si>
  <si>
    <t>U kabini vozila ugrađena elektroinstalacija za punjače prijenosnih radio uređaja - minimalno za dva /2/ uređaja Tetra Motorola MTP6650. NAPOMENA: nabava uređaja Tetra Motorola MTP6650 nije predmet ovog natječaja i naručitelj iz svojih zaliha oprema vozila Tetra uređajima.</t>
  </si>
  <si>
    <t>Komunikacijska oprema:
Priprema i ugradnja električne i antenske instalacije za radio stanicu Tetra - Motorola MTM5400 u vozilo (u daljnjem tekstu radio stanica) :
DASH radio stanica: 
● smješta se u prednju konzolu ili na prednju konzolu, ovisno o modelu isporučenog vozila, tako da bude vizualno dostupna i na dohvat ruke 
● radio stanica se montira u ili na nosač
● nosač radio stanice  mora biti učvršćen u ili na konzoli vozila 
● NAPOMENA: nabava uređaja Tetra Motorola MTM5400 nije predmet ovog natječaja i naručitelj iz svojih zaliha oprema vozila Tetra uređajima.</t>
  </si>
  <si>
    <t>Konkretan standard ili jednakovrijedan</t>
  </si>
  <si>
    <t>Ponuditelj u okviru svoje ponude mora dostaviti pisanu izjavu kojom prihvaća da testovi prihvaćanja vozila mogu biti
poduzeti po isporuci od strane kupca, od strane nezavisne ili nacionalne organizacije za ispitivanje ili bilo koje druge treće stranke po izboru kupca</t>
  </si>
  <si>
    <t>OBVEZE U JAMSTVENOM ROKU :
Proizvodač podvozja i nadogradnje iii njihovi ovlašteni zastupnici u RH moraju imati dovoljan servisni kapacitet da mogu prihvatiti vozila na servis, te da će u slučaju kvara vozila svakog dana uključujući i dane vikenda i praznika u roku od 24 sata, a u slučaju hitnosti u roku 12 sati od primitka poziva krajnjeg korisnika predmeta nabave, doći do vozila i započeti popravak predmeta nabave u garantnom roku. U slučaju da se vozilo ne može popraviti na lokaciji korisnika isto će predstavnik Isporučitelja odvesti u ovlašteni servis bez dodatnih troškova za naručitelja i vratiti ga nazad gdje ga je preuzeo. U slučaju nemogućnosti da se vozilo samostalno doveze na adresu ovlaštenog servisa, ponuditelj je dužan u jamstvenom roku, o svom trošku izvršiti prijevoz vozila do mjesta popravka i vratiti ga nazad gdje ga je preuzeo.</t>
  </si>
  <si>
    <t>Servisni interval za podvozje ponuđenog vozilo najmanje jednom godišnje ili prema preporuci proizvođača.</t>
  </si>
  <si>
    <t>Vatrogasna centrifugalna pumpa - materijal osovine pumpe nehrđajući čelik, a materijal kućišta je legura aluminija. Dijelovi pume ili cijela pumpa može biti izrađena i od brončane legure.</t>
  </si>
  <si>
    <t>23.7.2019.</t>
  </si>
  <si>
    <r>
      <t xml:space="preserve">● Servo upravljač 
● ABS (Anti-lock braking system) - sustav protiv blokiranja kotača pri kočenju  
● ASR (Anti Slip Regulation) - sustav protiv proklizavanja - NAPOMENA: nije uvjet ukoliko je ponuđeno 4x4 vozilo  
● ESP (Electronic Stability Program) - sustav za sprečavanje zanošenja i povećanja stabilnosti    
● Klima uređaj  
● </t>
    </r>
    <r>
      <rPr>
        <sz val="11"/>
        <color theme="1"/>
        <rFont val="Arial"/>
        <family val="2"/>
      </rPr>
      <t>Radio sa CD ili USB/AUX priključkom</t>
    </r>
    <r>
      <rPr>
        <sz val="11"/>
        <color theme="1"/>
        <rFont val="Arial"/>
        <family val="2"/>
        <charset val="238"/>
      </rPr>
      <t xml:space="preserve">
● Daljinsko centralno zaključavanje
● Zvučni signal kod vožnje unatrag (Signal upozorenja mora biti u skladu s HRN EN 981 - Sustav zvučnih i vizualnih signala opasnosti te obavijesnih signala. Razina buke zvučnog upozorenja mora biti najmanje 73 dB)
● Pri vožnji unazad osvjetljenje se automatski uključuje (stražnji i bočni reflektor).
● Na strani vozača nalazi se LCD zaslon koji prikazuje sliku kamere za vožnju unazad. Zaslon je također normalno vidljiv pod izravnim sunčevim svjetlom. Kamera se aktivira neovisno kada je mjenjač prebačen za vožnju unazad.
● Svjetla za maglu (prednja i stražnja)
● Retrovizori grijani i el. podesivi
● Mrežasta zaštita prednjih svjetala
● Sjedalo vozača podesivo po visini i dubini
● Ostala oprema koja je ugrađena u vozilo iz serijskog proizvodnog programa
</t>
    </r>
  </si>
  <si>
    <t>Volvo Trucks Corporation Švedska / M.G.S. Grupa d.o.o. Hrvatska</t>
  </si>
  <si>
    <t>FL 816 - 4x4 / MGS AC7000/3500/400/KP</t>
  </si>
  <si>
    <t>210 kW</t>
  </si>
  <si>
    <t>Pogon 4x4</t>
  </si>
  <si>
    <t>2500 mm</t>
  </si>
  <si>
    <t>6992 mm</t>
  </si>
  <si>
    <t>3350 mm</t>
  </si>
  <si>
    <t>3800 mm</t>
  </si>
  <si>
    <t>16 t</t>
  </si>
  <si>
    <t>N3G</t>
  </si>
  <si>
    <t>26°</t>
  </si>
  <si>
    <t>23°</t>
  </si>
  <si>
    <t>27°</t>
  </si>
  <si>
    <t>0,317 m</t>
  </si>
  <si>
    <t>0,23 m</t>
  </si>
  <si>
    <t>14,5 sekundi</t>
  </si>
  <si>
    <t>29 sekundi</t>
  </si>
  <si>
    <t>90 km/h</t>
  </si>
  <si>
    <t>10.900 kg</t>
  </si>
  <si>
    <t>5.600 kg</t>
  </si>
  <si>
    <t>16,8 m</t>
  </si>
  <si>
    <t>210 litara</t>
  </si>
  <si>
    <t>2 x 170 Ah</t>
  </si>
  <si>
    <t xml:space="preserve">● Servo upravljač 
● ABS (Anti-lock braking system) - sustav protiv blokiranja kotača pri kočenju  
● ASR (Anti Slip Regulation) - sustav protiv proklizavanja - NAPOMENA: nije uvjet ukoliko je ponuđeno 4x4 vozilo  
● ESP (Electronic Stability Program) - sustav za sprečavanje zanošenja i povećanja stabilnosti    
● Klima uređaj  
● Radio sa CD i USB/AUX priključkom
● Daljinsko centralno zaključavanje
● Zvučni signal kod vožnje unatrag (Signal upozorenja u skladu s HRN EN 981 - Sustav zvučnih i vizualnih signala opasnosti te obavijesnih signala. Razina buke zvučnog upozorenja 73 dB)
● Pri vožnji unazad osvjetljenje se automatski uključuje (stražnji i bočni reflektor).
● Na strani vozača nalazi se LCD zaslon koji prikazuje sliku kamere za vožnju unazad. Zaslon je također normalno vidljiv pod izravnim sunčevim svjetlom. Kamera se aktivira neovisno kada je mjenjač prebačen za vožnju unazad.
● Svjetla za maglu (prednja i stražnja)
● Retrovizori grijani i el. podesivi
● Mrežasta zaštita prednjih svjetala
● Sjedalo vozača podesivo po visini i dubini
</t>
  </si>
  <si>
    <t>6.510 litara - Glass Reinforced Plastic (GRP)</t>
  </si>
  <si>
    <t>Proizvođač: MGS Grupa
Tip:  MGS-KP35.10VT</t>
  </si>
  <si>
    <t>3500 l/min pri 10 bara i 400 l/min pri 40 bara pri usisu od 3 metra visine</t>
  </si>
  <si>
    <t>Usisni priključak Storz A sa slijepom spojnicom, sa zapornim ventilom, za priključenje usisnih cijevi
Dva priključka za normalan tlak, izvedena na izlaz na lijevu i desnu stranu 
Dva priključka sa slijepom spojnicom B 75 mm. Priključci su opremljeni vretenastim ventilima.
Dva priključka za visoki tlak. Jedan priključak za visoki tlak je namijenjen za navalno vitlo  a jedan priključak s ručnim ventilom na zasun i opremljen je H spojnicom</t>
  </si>
  <si>
    <t>sastoji se od:
• Tipke za uključivanje i isključivanje pumpe (također u kabini)
• Tipke za uključivanje / isključivanje rada visokotlačnog sklopa pumpe
• Kontrola brzine pumpe
• Indikator nivoa vode u rezervoaru
• Manometar za normalan tlak
• Manometar za visoki tlak
• Vakummetar
• Brojač radnih sati
Stupanj zaštite električne instalacije i elektronike sukladno stupnju zaštite IP 65</t>
  </si>
  <si>
    <t>Proizvođač: CRI REELS
Tip: 1660-2420-EW4UCPG</t>
  </si>
  <si>
    <t>Proizvođač: Sanmak lighting CO. LTD.
Tip: SM2209</t>
  </si>
  <si>
    <t>Proizvođač: Labcraft Ltd
Tip: LED SCENELITE SI8</t>
  </si>
  <si>
    <t>Proizvođač: STROBOS
Tip: LED BAQUDA 40
Proizvođač: JULUEN
Tip: AXIXTECH MS6 R65 LED</t>
  </si>
  <si>
    <t>Proizvođač: HAZTEC
Tip: 8-8115-2 100W
Pripadajući zvučnik snage 100W/24V ugrađen u motornom prostoru.</t>
  </si>
  <si>
    <t>Servisni interval: 1 godišnje ili 30.000 km ili 1.000 radnih sati (ovisno što prije nastupi)</t>
  </si>
  <si>
    <t>Upisati konkretnu vrijednost: /</t>
  </si>
  <si>
    <r>
      <t xml:space="preserve">Proizvođač:                                                            </t>
    </r>
    <r>
      <rPr>
        <sz val="9"/>
        <rFont val="Arial"/>
        <family val="2"/>
        <charset val="238"/>
      </rPr>
      <t xml:space="preserve">Dišni aparat </t>
    </r>
    <r>
      <rPr>
        <b/>
        <sz val="9"/>
        <rFont val="Arial"/>
        <family val="2"/>
        <charset val="238"/>
      </rPr>
      <t xml:space="preserve">Dräger </t>
    </r>
    <r>
      <rPr>
        <sz val="9"/>
        <rFont val="Arial"/>
        <family val="2"/>
        <charset val="238"/>
      </rPr>
      <t xml:space="preserve">                                  NOSEĆI OKVIR PSS 3000                                    PLUĆNI AUTOMAT PSS-A                                  MASKA FPS 7000 P-EPDM-M2-PCas-EPDM           CFK BOCA 6,8 L/300 BAR                                  1.SERVIS I PUNJENJE BOCA                           REZERVNA CFK BOCA 6,8 L/300 BAR</t>
    </r>
  </si>
  <si>
    <t>Proizvođač: STIHL 
Tip: PROTECT MS</t>
  </si>
  <si>
    <t>Proizvođač: STIHL 
Tip: FUNCTION BASIC</t>
  </si>
  <si>
    <t xml:space="preserve">Proizvođač: Fitzner 
Tip: ECO LIGHT ZAT </t>
  </si>
  <si>
    <t>Proizvođač: BEKINA 
Tip: STEPLITE-X</t>
  </si>
  <si>
    <t>Proizvođač: MAPA STANZOIL 
Tip: NK22 382</t>
  </si>
  <si>
    <t>Proizvođač: DRAGER
Tip:   KEM.ODIJELO SPC 3800 GR,XL</t>
  </si>
  <si>
    <t>Proizvođač: CERTEX 
Tip: PROTECT PB31</t>
  </si>
  <si>
    <t>Proizvođač: FIRERESCUE 
Tip: B10</t>
  </si>
  <si>
    <t>Proizvođač: M.G.S. Grupa 
Tip: MGP 9</t>
  </si>
  <si>
    <t>Proizvođač: M.G.S. Grupa 
Tip: CO2-5 KG</t>
  </si>
  <si>
    <t>Proizvođač: LESTECH 
Tip: ERMAK 25</t>
  </si>
  <si>
    <t>Proizvođač: DONGES 
Tip: NUPLAGLAS</t>
  </si>
  <si>
    <t>Proizvođač:STIHL
Tip:  MS 231</t>
  </si>
  <si>
    <t>Proizvođač: PARSCH
Tip:  SL COVERFLEX</t>
  </si>
  <si>
    <t>Proizvođač: Pasarić
Tip: Usisna cijev A L=2m</t>
  </si>
  <si>
    <t>Proizvođač: JMW FIRE
Tip: USISNA SITKA A</t>
  </si>
  <si>
    <t>Proizvođač: CHARVAT
Tip: 10006/10083</t>
  </si>
  <si>
    <t>Proizvođač: JMW FIRE
Tip: Mlaznica Storz B</t>
  </si>
  <si>
    <t>Proizvođač:DELTA FIRE
Tip: Attack 500 Pro</t>
  </si>
  <si>
    <t>Proizvođač:DELTA FIRE
Tip: Attack 750 Pro</t>
  </si>
  <si>
    <t>Proizvođač: JMW FIRE
Tip Mlaznica Storz C</t>
  </si>
  <si>
    <t>Proizvođač: MAGMOTOREN 
Tip: MAG 122 SL</t>
  </si>
  <si>
    <t>Proizvođač: Sandpiper
Tip:  S15 metallic</t>
  </si>
  <si>
    <r>
      <t xml:space="preserve">Proizvođač i tip:                                                         Detektor plina </t>
    </r>
    <r>
      <rPr>
        <b/>
        <sz val="9"/>
        <rFont val="Arial"/>
        <family val="2"/>
        <charset val="238"/>
      </rPr>
      <t xml:space="preserve">Dräger                                      </t>
    </r>
    <r>
      <rPr>
        <sz val="9"/>
        <rFont val="Arial"/>
        <family val="2"/>
        <charset val="238"/>
      </rPr>
      <t xml:space="preserve">Dräger X-am 8000 sa bat. punjačom 220 V,Bluetooth                                               PUNJAČ12/24V                                                   SENZOR EX (0-100%DGE,0-100%Vol)             SENZOR O2 (0-25%Vol)                                  SENZORI H2S i CO                                         </t>
    </r>
  </si>
  <si>
    <t>Prizvođač: Donges
Tip: DIN 14881-FWKa</t>
  </si>
  <si>
    <t>Proizvođač: Leader
Tip: MT215 L NEO</t>
  </si>
  <si>
    <t>Proizvođač: ComeUp
Tip: Rhino 15</t>
  </si>
  <si>
    <t>Dobavljač 1</t>
  </si>
  <si>
    <t>Dobavljač 2</t>
  </si>
  <si>
    <t>Dobavljač 3</t>
  </si>
  <si>
    <t>Proizvod</t>
  </si>
  <si>
    <t>MCD</t>
  </si>
  <si>
    <t>Šilica trake</t>
  </si>
  <si>
    <t>Cijena</t>
  </si>
  <si>
    <t>Domitran -nepofarban</t>
  </si>
  <si>
    <t>Maleco</t>
  </si>
  <si>
    <t>Cri</t>
  </si>
  <si>
    <t>AUTOLIFT UK - DARREN WADE</t>
  </si>
  <si>
    <t>Trgoauto</t>
  </si>
  <si>
    <t>Mičetić</t>
  </si>
  <si>
    <t>Pismotisak</t>
  </si>
  <si>
    <t>Siki</t>
  </si>
  <si>
    <t>Drager</t>
  </si>
  <si>
    <t>Zvončica</t>
  </si>
  <si>
    <t>Berner</t>
  </si>
  <si>
    <t>Ergotehnika</t>
  </si>
  <si>
    <t>Borut</t>
  </si>
  <si>
    <t>MGS</t>
  </si>
  <si>
    <t>Pasarić</t>
  </si>
  <si>
    <t>Charvat</t>
  </si>
  <si>
    <t>Deltafire</t>
  </si>
  <si>
    <t>Donges</t>
  </si>
  <si>
    <t>JUST</t>
  </si>
  <si>
    <t>Ivan Radić</t>
  </si>
  <si>
    <t>V-TAC</t>
  </si>
  <si>
    <t>MAG</t>
  </si>
  <si>
    <t>VIP TEHNIKA</t>
  </si>
  <si>
    <t>REMEX</t>
  </si>
  <si>
    <t>DONGES</t>
  </si>
  <si>
    <t>SORB</t>
  </si>
  <si>
    <t xml:space="preserve">Berner </t>
  </si>
  <si>
    <t>Zavas</t>
  </si>
  <si>
    <t>Certex</t>
  </si>
  <si>
    <r>
      <t xml:space="preserve">Domeye kanister + pjenilo dyayan ili </t>
    </r>
    <r>
      <rPr>
        <b/>
        <sz val="18"/>
        <color rgb="FFFF0000"/>
        <rFont val="Arial"/>
        <family val="2"/>
        <charset val="238"/>
      </rPr>
      <t>oboje dyayan</t>
    </r>
  </si>
  <si>
    <t>Skupa sa užetom - iznad</t>
  </si>
  <si>
    <t>Alphatools - Bauhaus</t>
  </si>
  <si>
    <t>Ekupi</t>
  </si>
  <si>
    <t xml:space="preserve">V-tac </t>
  </si>
  <si>
    <t>Raschel</t>
  </si>
  <si>
    <t>DONGES 600x400x120</t>
  </si>
  <si>
    <t>Plastika nova - pofarban</t>
  </si>
  <si>
    <t>trošak za 10 vozika</t>
  </si>
  <si>
    <t>Naziv dobavljača</t>
  </si>
  <si>
    <t>jedinična cijena</t>
  </si>
  <si>
    <t>cijena x10</t>
  </si>
  <si>
    <r>
      <t xml:space="preserve">Domeye kanister + pjenilo dyayan ili </t>
    </r>
    <r>
      <rPr>
        <b/>
        <sz val="10"/>
        <color rgb="FFFF0000"/>
        <rFont val="Arial"/>
        <family val="2"/>
      </rPr>
      <t>oboje dyayan</t>
    </r>
  </si>
  <si>
    <t>Domeye kanister + pjenilo dyayan ili oboje dyayan</t>
  </si>
  <si>
    <t>Strojopromet</t>
  </si>
  <si>
    <t>plaće</t>
  </si>
  <si>
    <t>fiksni</t>
  </si>
  <si>
    <t>ostalo</t>
  </si>
  <si>
    <t>prihodi</t>
  </si>
  <si>
    <t>rashodi</t>
  </si>
  <si>
    <t>janaf</t>
  </si>
  <si>
    <t>dobrinj</t>
  </si>
  <si>
    <t>seagrave</t>
  </si>
  <si>
    <t>Janaf servisi</t>
  </si>
  <si>
    <t>kredit</t>
  </si>
  <si>
    <t>razlika</t>
  </si>
  <si>
    <t>janaf tehnič.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</si>
</sst>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 &quot;kn&quot;"/>
    <numFmt numFmtId="165" formatCode="_-* #,##0.00\ _k_n_-;\-* #,##0.00\ _k_n_-;_-* &quot;-&quot;??\ _k_n_-;_-@_-"/>
  </numFmts>
  <fonts count="46" x14ac:knownFonts="1">
    <font>
      <sz val="10"/>
      <name val="Arial"/>
      <charset val="238"/>
    </font>
    <font>
      <b/>
      <sz val="10"/>
      <name val="Arial"/>
      <family val="2"/>
      <charset val="238"/>
    </font>
    <font>
      <sz val="8"/>
      <name val="Arial"/>
      <family val="2"/>
      <charset val="238"/>
    </font>
    <font>
      <sz val="10"/>
      <name val="Arial"/>
      <family val="2"/>
      <charset val="238"/>
    </font>
    <font>
      <b/>
      <sz val="12"/>
      <name val="Arial"/>
      <family val="2"/>
      <charset val="238"/>
    </font>
    <font>
      <sz val="11"/>
      <color indexed="8"/>
      <name val="Calibri"/>
      <family val="2"/>
      <charset val="238"/>
    </font>
    <font>
      <sz val="11"/>
      <color theme="1"/>
      <name val="Arial"/>
      <family val="2"/>
      <charset val="238"/>
    </font>
    <font>
      <sz val="10"/>
      <color theme="1"/>
      <name val="Arial"/>
      <family val="2"/>
      <charset val="238"/>
    </font>
    <font>
      <sz val="12"/>
      <color theme="1"/>
      <name val="Arial"/>
      <family val="2"/>
      <charset val="238"/>
    </font>
    <font>
      <b/>
      <sz val="18"/>
      <color theme="1"/>
      <name val="Arial"/>
      <family val="2"/>
      <charset val="238"/>
    </font>
    <font>
      <sz val="18"/>
      <color theme="1"/>
      <name val="Arial"/>
      <family val="2"/>
      <charset val="238"/>
    </font>
    <font>
      <b/>
      <sz val="10"/>
      <color theme="1"/>
      <name val="Arial"/>
      <family val="2"/>
      <charset val="238"/>
    </font>
    <font>
      <b/>
      <sz val="11"/>
      <color theme="1"/>
      <name val="Arial"/>
      <family val="2"/>
      <charset val="238"/>
    </font>
    <font>
      <b/>
      <sz val="14"/>
      <color theme="1"/>
      <name val="Arial"/>
      <family val="2"/>
      <charset val="238"/>
    </font>
    <font>
      <sz val="14"/>
      <color theme="1"/>
      <name val="Arial"/>
      <family val="2"/>
      <charset val="238"/>
    </font>
    <font>
      <b/>
      <sz val="8"/>
      <color theme="1"/>
      <name val="Arial"/>
      <family val="2"/>
      <charset val="238"/>
    </font>
    <font>
      <b/>
      <u/>
      <sz val="8"/>
      <color theme="1"/>
      <name val="Arial"/>
      <family val="2"/>
      <charset val="238"/>
    </font>
    <font>
      <b/>
      <sz val="12"/>
      <color theme="1"/>
      <name val="Arial"/>
      <family val="2"/>
      <charset val="238"/>
    </font>
    <font>
      <sz val="10"/>
      <color theme="1"/>
      <name val="Arial"/>
      <family val="2"/>
    </font>
    <font>
      <sz val="12"/>
      <color theme="1"/>
      <name val="Arial"/>
      <family val="2"/>
    </font>
    <font>
      <sz val="9"/>
      <color theme="1"/>
      <name val="Arial"/>
      <family val="2"/>
      <charset val="238"/>
    </font>
    <font>
      <b/>
      <sz val="12"/>
      <color theme="1"/>
      <name val="Calibri"/>
      <family val="2"/>
      <charset val="238"/>
    </font>
    <font>
      <sz val="11"/>
      <color theme="1"/>
      <name val="Arial"/>
      <family val="2"/>
    </font>
    <font>
      <sz val="12"/>
      <color theme="1"/>
      <name val="Calibri"/>
      <family val="2"/>
      <charset val="238"/>
    </font>
    <font>
      <sz val="10"/>
      <color theme="1"/>
      <name val="Calibri"/>
      <family val="2"/>
    </font>
    <font>
      <u/>
      <sz val="12"/>
      <color theme="1"/>
      <name val="Arial"/>
      <family val="2"/>
      <charset val="238"/>
    </font>
    <font>
      <b/>
      <sz val="10"/>
      <color theme="1"/>
      <name val="Arial"/>
      <family val="2"/>
    </font>
    <font>
      <sz val="9"/>
      <name val="Arial"/>
      <family val="2"/>
      <charset val="238"/>
    </font>
    <font>
      <b/>
      <sz val="9"/>
      <name val="Arial"/>
      <family val="2"/>
      <charset val="238"/>
    </font>
    <font>
      <sz val="9"/>
      <name val="Arial"/>
      <family val="2"/>
    </font>
    <font>
      <sz val="10"/>
      <name val="Arial"/>
      <family val="2"/>
    </font>
    <font>
      <sz val="18"/>
      <name val="Arial"/>
      <family val="2"/>
      <charset val="238"/>
    </font>
    <font>
      <sz val="24"/>
      <name val="Arial"/>
      <family val="2"/>
      <charset val="238"/>
    </font>
    <font>
      <sz val="26"/>
      <name val="Arial"/>
      <family val="2"/>
      <charset val="238"/>
    </font>
    <font>
      <b/>
      <sz val="18"/>
      <name val="Arial"/>
      <family val="2"/>
      <charset val="238"/>
    </font>
    <font>
      <sz val="16"/>
      <name val="Arial"/>
      <family val="2"/>
      <charset val="238"/>
    </font>
    <font>
      <sz val="20"/>
      <name val="Arial"/>
      <family val="2"/>
      <charset val="238"/>
    </font>
    <font>
      <sz val="22"/>
      <name val="Arial"/>
      <family val="2"/>
      <charset val="238"/>
    </font>
    <font>
      <sz val="28"/>
      <name val="Arial"/>
      <family val="2"/>
      <charset val="238"/>
    </font>
    <font>
      <sz val="36"/>
      <name val="Arial"/>
      <family val="2"/>
      <charset val="238"/>
    </font>
    <font>
      <sz val="48"/>
      <name val="Arial"/>
      <family val="2"/>
      <charset val="238"/>
    </font>
    <font>
      <sz val="72"/>
      <name val="Arial"/>
      <family val="2"/>
      <charset val="238"/>
    </font>
    <font>
      <b/>
      <sz val="18"/>
      <color rgb="FFFF0000"/>
      <name val="Arial"/>
      <family val="2"/>
      <charset val="238"/>
    </font>
    <font>
      <sz val="10"/>
      <name val="Arial"/>
      <charset val="238"/>
    </font>
    <font>
      <b/>
      <sz val="10"/>
      <color rgb="FFFF0000"/>
      <name val="Arial"/>
      <family val="2"/>
    </font>
    <font>
      <b/>
      <sz val="10"/>
      <name val="Arial"/>
      <family val="2"/>
    </font>
  </fonts>
  <fills count="9">
    <fill>
      <patternFill patternType="none"/>
    </fill>
    <fill>
      <patternFill patternType="gray125"/>
    </fill>
    <fill>
      <patternFill patternType="solid">
        <fgColor indexed="44"/>
      </patternFill>
    </fill>
    <fill>
      <patternFill patternType="darkUp">
        <bgColor theme="0" tint="-0.34998626667073579"/>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C0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5" fillId="2" borderId="0" applyNumberFormat="0" applyBorder="0" applyAlignment="0" applyProtection="0"/>
    <xf numFmtId="0" fontId="3" fillId="0" borderId="0"/>
    <xf numFmtId="43" fontId="43" fillId="0" borderId="0" applyFont="0" applyFill="0" applyBorder="0" applyAlignment="0" applyProtection="0"/>
  </cellStyleXfs>
  <cellXfs count="306">
    <xf numFmtId="0" fontId="0" fillId="0" borderId="0" xfId="0"/>
    <xf numFmtId="0" fontId="3" fillId="0" borderId="0" xfId="0" applyFont="1"/>
    <xf numFmtId="0" fontId="3" fillId="0" borderId="0" xfId="0" applyFont="1" applyFill="1" applyBorder="1" applyAlignment="1">
      <alignment horizontal="left" vertical="center" wrapText="1"/>
    </xf>
    <xf numFmtId="0" fontId="4" fillId="0" borderId="0" xfId="0" applyFont="1" applyFill="1" applyBorder="1" applyAlignment="1" applyProtection="1">
      <alignment horizontal="center" vertical="center" wrapText="1"/>
      <protection locked="0"/>
    </xf>
    <xf numFmtId="0" fontId="1" fillId="0" borderId="0" xfId="0" applyFont="1" applyFill="1" applyBorder="1" applyAlignment="1" applyProtection="1">
      <alignment horizontal="center" vertical="center" wrapText="1"/>
      <protection locked="0"/>
    </xf>
    <xf numFmtId="0" fontId="1"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vertical="center" wrapText="1"/>
    </xf>
    <xf numFmtId="0" fontId="3" fillId="0" borderId="0" xfId="0" applyFont="1" applyAlignment="1">
      <alignment vertical="center" wrapText="1"/>
    </xf>
    <xf numFmtId="0" fontId="1" fillId="0" borderId="0" xfId="0" applyFont="1" applyAlignment="1">
      <alignment vertical="center" wrapText="1"/>
    </xf>
    <xf numFmtId="0" fontId="8" fillId="0" borderId="1" xfId="0" applyFont="1" applyFill="1" applyBorder="1" applyAlignment="1">
      <alignment horizontal="center" vertical="center" wrapText="1"/>
    </xf>
    <xf numFmtId="14" fontId="13" fillId="0"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wrapText="1"/>
    </xf>
    <xf numFmtId="0" fontId="14" fillId="0" borderId="1" xfId="0" applyFont="1" applyFill="1" applyBorder="1" applyAlignment="1">
      <alignment horizontal="center" vertical="center" textRotation="180" wrapText="1"/>
    </xf>
    <xf numFmtId="0" fontId="15" fillId="0" borderId="1" xfId="0" applyFont="1" applyFill="1" applyBorder="1" applyAlignment="1" applyProtection="1">
      <alignment horizontal="center" vertical="center" wrapText="1"/>
      <protection locked="0"/>
    </xf>
    <xf numFmtId="0" fontId="11" fillId="0" borderId="1" xfId="0" applyFont="1" applyFill="1" applyBorder="1" applyAlignment="1">
      <alignment horizontal="center" vertical="center" wrapText="1"/>
    </xf>
    <xf numFmtId="0" fontId="17" fillId="3" borderId="1" xfId="0" applyFont="1" applyFill="1" applyBorder="1" applyAlignment="1">
      <alignment vertical="center" wrapText="1"/>
    </xf>
    <xf numFmtId="0" fontId="17" fillId="0" borderId="1" xfId="0" applyFont="1" applyFill="1" applyBorder="1" applyAlignment="1" applyProtection="1">
      <alignment horizontal="center" vertical="center" wrapText="1"/>
      <protection locked="0"/>
    </xf>
    <xf numFmtId="0" fontId="11" fillId="0" borderId="1" xfId="0" applyFont="1" applyFill="1" applyBorder="1" applyAlignment="1" applyProtection="1">
      <alignment horizontal="center" vertical="center" wrapText="1"/>
      <protection locked="0"/>
    </xf>
    <xf numFmtId="0" fontId="7"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7" fillId="0" borderId="1" xfId="0" applyFont="1" applyBorder="1" applyAlignment="1">
      <alignment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26" fillId="0" borderId="1" xfId="0" applyFont="1" applyFill="1" applyBorder="1" applyAlignment="1">
      <alignment vertical="center" wrapText="1"/>
    </xf>
    <xf numFmtId="0" fontId="14"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4" fillId="0" borderId="1" xfId="0" applyFont="1" applyFill="1" applyBorder="1" applyAlignment="1" applyProtection="1">
      <alignment horizontal="center" vertical="center" wrapText="1"/>
      <protection locked="0"/>
    </xf>
    <xf numFmtId="0" fontId="32" fillId="0" borderId="0" xfId="0" applyFont="1" applyAlignment="1">
      <alignment vertical="center" wrapText="1"/>
    </xf>
    <xf numFmtId="0" fontId="33" fillId="0" borderId="0" xfId="0" applyFont="1" applyFill="1" applyAlignment="1">
      <alignment vertical="center" wrapText="1"/>
    </xf>
    <xf numFmtId="164" fontId="31" fillId="0" borderId="0" xfId="0" applyNumberFormat="1" applyFont="1" applyAlignment="1">
      <alignment vertical="center" wrapText="1"/>
    </xf>
    <xf numFmtId="164" fontId="31" fillId="0" borderId="0" xfId="0" applyNumberFormat="1" applyFont="1" applyFill="1" applyAlignment="1">
      <alignment vertical="center" wrapText="1"/>
    </xf>
    <xf numFmtId="164" fontId="34" fillId="0" borderId="0" xfId="0" applyNumberFormat="1" applyFont="1" applyAlignment="1">
      <alignment vertical="center" wrapText="1"/>
    </xf>
    <xf numFmtId="164" fontId="31" fillId="0" borderId="0" xfId="0" applyNumberFormat="1" applyFont="1"/>
    <xf numFmtId="0" fontId="35" fillId="0" borderId="0" xfId="0" applyFont="1" applyAlignment="1">
      <alignment vertical="center" wrapText="1"/>
    </xf>
    <xf numFmtId="0" fontId="31" fillId="0" borderId="0" xfId="0" applyFont="1" applyAlignment="1">
      <alignment vertical="center" wrapText="1"/>
    </xf>
    <xf numFmtId="0" fontId="35" fillId="0" borderId="0" xfId="0" applyFont="1" applyFill="1" applyAlignment="1">
      <alignment vertical="center" wrapText="1"/>
    </xf>
    <xf numFmtId="0" fontId="32" fillId="0" borderId="0" xfId="0" applyFont="1" applyFill="1" applyAlignment="1">
      <alignment vertical="center" wrapText="1"/>
    </xf>
    <xf numFmtId="0" fontId="31" fillId="0" borderId="0" xfId="0" applyFont="1" applyFill="1" applyAlignment="1">
      <alignment vertical="center" wrapText="1"/>
    </xf>
    <xf numFmtId="0" fontId="36" fillId="0" borderId="0" xfId="0" applyFont="1" applyFill="1" applyAlignment="1">
      <alignment vertical="center" wrapText="1"/>
    </xf>
    <xf numFmtId="0" fontId="37" fillId="0" borderId="0" xfId="0" applyFont="1" applyFill="1" applyAlignment="1">
      <alignment vertical="center" wrapText="1"/>
    </xf>
    <xf numFmtId="0" fontId="38" fillId="0" borderId="0" xfId="0" applyFont="1" applyFill="1" applyAlignment="1">
      <alignment vertical="center" wrapText="1"/>
    </xf>
    <xf numFmtId="0" fontId="39" fillId="0" borderId="0" xfId="0" applyFont="1" applyFill="1" applyAlignment="1">
      <alignment vertical="center" wrapText="1"/>
    </xf>
    <xf numFmtId="0" fontId="41" fillId="0" borderId="0" xfId="0" applyFont="1" applyFill="1" applyAlignment="1">
      <alignment vertical="center" wrapText="1"/>
    </xf>
    <xf numFmtId="164" fontId="3" fillId="0" borderId="0" xfId="0" applyNumberFormat="1" applyFont="1" applyFill="1" applyAlignment="1">
      <alignment vertical="center" wrapText="1"/>
    </xf>
    <xf numFmtId="0" fontId="24" fillId="4" borderId="1" xfId="0" applyFont="1" applyFill="1" applyBorder="1" applyAlignment="1">
      <alignment horizontal="center" vertical="center" wrapText="1"/>
    </xf>
    <xf numFmtId="0" fontId="7" fillId="4" borderId="1" xfId="0" applyFont="1" applyFill="1" applyBorder="1" applyAlignment="1">
      <alignment vertical="center" wrapText="1"/>
    </xf>
    <xf numFmtId="0" fontId="4" fillId="4" borderId="1" xfId="0" applyFont="1" applyFill="1" applyBorder="1" applyAlignment="1" applyProtection="1">
      <alignment horizontal="center" vertical="center" wrapText="1"/>
      <protection locked="0"/>
    </xf>
    <xf numFmtId="0" fontId="11" fillId="4" borderId="1" xfId="0" applyFont="1" applyFill="1" applyBorder="1" applyAlignment="1" applyProtection="1">
      <alignment horizontal="center" vertical="center" wrapText="1"/>
      <protection locked="0"/>
    </xf>
    <xf numFmtId="164" fontId="31" fillId="5" borderId="0" xfId="0" applyNumberFormat="1" applyFont="1" applyFill="1" applyAlignment="1">
      <alignment vertical="center" wrapText="1"/>
    </xf>
    <xf numFmtId="164" fontId="31" fillId="6" borderId="0" xfId="0" applyNumberFormat="1" applyFont="1" applyFill="1" applyAlignment="1">
      <alignment vertical="center" wrapText="1"/>
    </xf>
    <xf numFmtId="164" fontId="31" fillId="6" borderId="1" xfId="0" applyNumberFormat="1" applyFont="1" applyFill="1" applyBorder="1" applyAlignment="1">
      <alignment vertical="center" wrapText="1"/>
    </xf>
    <xf numFmtId="164" fontId="31" fillId="6" borderId="0" xfId="0" applyNumberFormat="1" applyFont="1" applyFill="1" applyAlignment="1">
      <alignment horizontal="center" vertical="center" wrapText="1"/>
    </xf>
    <xf numFmtId="164" fontId="31" fillId="4" borderId="0" xfId="0" applyNumberFormat="1" applyFont="1" applyFill="1" applyAlignment="1">
      <alignment vertical="center" wrapText="1"/>
    </xf>
    <xf numFmtId="0" fontId="31" fillId="5" borderId="0" xfId="0" applyFont="1" applyFill="1" applyAlignment="1">
      <alignment vertical="center" wrapText="1"/>
    </xf>
    <xf numFmtId="164" fontId="31" fillId="7" borderId="0" xfId="0" applyNumberFormat="1" applyFont="1" applyFill="1" applyAlignment="1">
      <alignment vertical="center" wrapText="1"/>
    </xf>
    <xf numFmtId="164" fontId="31" fillId="8" borderId="0" xfId="0" applyNumberFormat="1" applyFont="1" applyFill="1" applyAlignment="1">
      <alignment vertical="center" wrapText="1"/>
    </xf>
    <xf numFmtId="164" fontId="31" fillId="6" borderId="0" xfId="0" applyNumberFormat="1" applyFont="1" applyFill="1" applyAlignment="1">
      <alignment horizontal="center" vertical="center" wrapText="1"/>
    </xf>
    <xf numFmtId="0" fontId="8" fillId="0" borderId="2" xfId="0" applyFont="1" applyFill="1" applyBorder="1" applyAlignment="1">
      <alignment vertical="center" wrapText="1"/>
    </xf>
    <xf numFmtId="0" fontId="18" fillId="0" borderId="4" xfId="0" applyFont="1" applyBorder="1" applyAlignment="1">
      <alignment vertical="center" wrapText="1"/>
    </xf>
    <xf numFmtId="0" fontId="18" fillId="0" borderId="3" xfId="0" applyFont="1" applyBorder="1" applyAlignment="1">
      <alignment vertical="center" wrapText="1"/>
    </xf>
    <xf numFmtId="0" fontId="7" fillId="0" borderId="1" xfId="0" applyFont="1" applyFill="1" applyBorder="1" applyAlignment="1">
      <alignment horizontal="left" vertical="center" wrapText="1"/>
    </xf>
    <xf numFmtId="0" fontId="15" fillId="0" borderId="1" xfId="0" applyFont="1" applyFill="1" applyBorder="1" applyAlignment="1" applyProtection="1">
      <alignment horizontal="center" vertical="center" wrapText="1"/>
      <protection locked="0"/>
    </xf>
    <xf numFmtId="0" fontId="14"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1" fillId="0" borderId="12" xfId="0" applyFont="1" applyFill="1" applyBorder="1" applyAlignment="1">
      <alignment horizontal="center" vertical="center" wrapText="1"/>
    </xf>
    <xf numFmtId="164" fontId="31" fillId="6" borderId="0" xfId="0" applyNumberFormat="1" applyFont="1" applyFill="1" applyBorder="1" applyAlignment="1">
      <alignment vertical="center" wrapText="1"/>
    </xf>
    <xf numFmtId="2" fontId="31" fillId="0" borderId="0" xfId="0" applyNumberFormat="1" applyFont="1" applyAlignment="1">
      <alignment vertical="center" wrapText="1"/>
    </xf>
    <xf numFmtId="0" fontId="11" fillId="0" borderId="2"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7" fillId="0" borderId="4" xfId="0" applyFont="1" applyFill="1" applyBorder="1" applyAlignment="1">
      <alignment horizontal="left" vertical="center" wrapText="1"/>
    </xf>
    <xf numFmtId="0" fontId="12" fillId="0" borderId="2" xfId="0" applyFont="1" applyFill="1" applyBorder="1" applyAlignment="1">
      <alignment vertical="center" wrapText="1"/>
    </xf>
    <xf numFmtId="0" fontId="12" fillId="0" borderId="3" xfId="0" applyFont="1" applyFill="1" applyBorder="1" applyAlignment="1">
      <alignment vertical="center" wrapText="1"/>
    </xf>
    <xf numFmtId="0" fontId="8" fillId="0" borderId="4" xfId="0" applyFont="1" applyFill="1" applyBorder="1" applyAlignment="1">
      <alignment vertical="center" wrapText="1"/>
    </xf>
    <xf numFmtId="0" fontId="8" fillId="0" borderId="3" xfId="0" applyFont="1" applyFill="1" applyBorder="1" applyAlignment="1">
      <alignment vertical="center" wrapText="1"/>
    </xf>
    <xf numFmtId="0" fontId="15" fillId="0" borderId="2" xfId="0" applyFont="1" applyFill="1" applyBorder="1" applyAlignment="1" applyProtection="1">
      <alignment vertical="center" wrapText="1"/>
      <protection locked="0"/>
    </xf>
    <xf numFmtId="0" fontId="15" fillId="0" borderId="3" xfId="0" applyFont="1" applyFill="1" applyBorder="1" applyAlignment="1" applyProtection="1">
      <alignment vertical="center" wrapText="1"/>
      <protection locked="0"/>
    </xf>
    <xf numFmtId="0" fontId="8" fillId="0" borderId="5" xfId="0" applyFont="1" applyFill="1" applyBorder="1" applyAlignment="1">
      <alignment vertical="center" wrapText="1"/>
    </xf>
    <xf numFmtId="0" fontId="8" fillId="0" borderId="9" xfId="0" applyFont="1" applyFill="1" applyBorder="1" applyAlignment="1">
      <alignment vertical="center" wrapText="1"/>
    </xf>
    <xf numFmtId="0" fontId="8" fillId="0" borderId="7" xfId="0" applyFont="1" applyFill="1" applyBorder="1" applyAlignment="1">
      <alignment vertical="center" wrapText="1"/>
    </xf>
    <xf numFmtId="0" fontId="8" fillId="0" borderId="10" xfId="0" applyFont="1" applyFill="1" applyBorder="1" applyAlignment="1">
      <alignment vertical="center" wrapText="1"/>
    </xf>
    <xf numFmtId="0" fontId="13" fillId="0" borderId="2" xfId="0" applyFont="1" applyFill="1" applyBorder="1" applyAlignment="1">
      <alignment vertical="center" wrapText="1"/>
    </xf>
    <xf numFmtId="0" fontId="13" fillId="0" borderId="4" xfId="0" applyFont="1" applyFill="1" applyBorder="1" applyAlignment="1">
      <alignment vertical="center" wrapText="1"/>
    </xf>
    <xf numFmtId="0" fontId="13" fillId="0" borderId="3" xfId="0" applyFont="1" applyFill="1" applyBorder="1" applyAlignment="1">
      <alignment vertical="center" wrapText="1"/>
    </xf>
    <xf numFmtId="0" fontId="8" fillId="0" borderId="1" xfId="0" applyFont="1" applyFill="1" applyBorder="1" applyAlignment="1">
      <alignment vertical="center" wrapText="1"/>
    </xf>
    <xf numFmtId="0" fontId="9" fillId="0" borderId="1" xfId="0" applyFont="1" applyFill="1" applyBorder="1" applyAlignment="1">
      <alignment vertical="center" wrapText="1"/>
    </xf>
    <xf numFmtId="0" fontId="10" fillId="0" borderId="1" xfId="0" applyFont="1" applyFill="1" applyBorder="1" applyAlignment="1">
      <alignment vertical="center" wrapText="1"/>
    </xf>
    <xf numFmtId="0" fontId="11" fillId="0" borderId="1" xfId="0" applyFont="1" applyFill="1" applyBorder="1" applyAlignment="1">
      <alignment vertical="center" wrapText="1"/>
    </xf>
    <xf numFmtId="0" fontId="7" fillId="0" borderId="1" xfId="0" applyFont="1" applyFill="1" applyBorder="1" applyAlignment="1">
      <alignment vertical="center" wrapText="1"/>
    </xf>
    <xf numFmtId="0" fontId="11" fillId="0" borderId="3" xfId="0" applyFont="1" applyFill="1" applyBorder="1" applyAlignment="1">
      <alignment vertical="center" wrapText="1"/>
    </xf>
    <xf numFmtId="0" fontId="11" fillId="0" borderId="2" xfId="0" applyFont="1" applyFill="1" applyBorder="1" applyAlignment="1" applyProtection="1">
      <alignment vertical="center" wrapText="1"/>
      <protection locked="0"/>
    </xf>
    <xf numFmtId="0" fontId="8" fillId="0" borderId="4" xfId="0" applyFont="1" applyBorder="1" applyAlignment="1">
      <alignment vertical="center" wrapText="1"/>
    </xf>
    <xf numFmtId="0" fontId="8" fillId="0" borderId="3" xfId="0" applyFont="1" applyBorder="1" applyAlignment="1">
      <alignment vertical="center" wrapText="1"/>
    </xf>
    <xf numFmtId="0" fontId="20" fillId="0" borderId="2" xfId="0" applyFont="1" applyFill="1" applyBorder="1" applyAlignment="1" applyProtection="1">
      <alignment vertical="top" wrapText="1"/>
      <protection locked="0"/>
    </xf>
    <xf numFmtId="0" fontId="18" fillId="0" borderId="3" xfId="0" applyFont="1" applyBorder="1" applyAlignment="1">
      <alignment vertical="top" wrapText="1"/>
    </xf>
    <xf numFmtId="0" fontId="17" fillId="0" borderId="2" xfId="0" applyFont="1" applyFill="1" applyBorder="1" applyAlignment="1">
      <alignment vertical="center" wrapText="1"/>
    </xf>
    <xf numFmtId="0" fontId="17" fillId="3" borderId="2" xfId="0" applyFont="1" applyFill="1" applyBorder="1" applyAlignment="1">
      <alignment vertical="center" wrapText="1"/>
    </xf>
    <xf numFmtId="0" fontId="17" fillId="3" borderId="3" xfId="0" applyFont="1" applyFill="1" applyBorder="1" applyAlignment="1">
      <alignment vertical="center" wrapText="1"/>
    </xf>
    <xf numFmtId="0" fontId="18" fillId="0" borderId="9" xfId="0" applyFont="1" applyBorder="1" applyAlignment="1">
      <alignment vertical="center" wrapText="1"/>
    </xf>
    <xf numFmtId="0" fontId="18" fillId="0" borderId="6" xfId="0" applyFont="1" applyBorder="1" applyAlignment="1">
      <alignment vertical="center" wrapText="1"/>
    </xf>
    <xf numFmtId="0" fontId="7" fillId="0" borderId="11" xfId="0" applyFont="1" applyFill="1" applyBorder="1" applyAlignment="1">
      <alignment vertical="center" wrapText="1"/>
    </xf>
    <xf numFmtId="0" fontId="7" fillId="0" borderId="12" xfId="0" applyFont="1" applyFill="1" applyBorder="1" applyAlignment="1">
      <alignment vertical="center" wrapText="1"/>
    </xf>
    <xf numFmtId="0" fontId="29" fillId="0" borderId="2" xfId="0" applyFont="1" applyFill="1" applyBorder="1" applyAlignment="1" applyProtection="1">
      <alignment vertical="top" wrapText="1"/>
      <protection locked="0"/>
    </xf>
    <xf numFmtId="0" fontId="30" fillId="0" borderId="3" xfId="0" applyFont="1" applyBorder="1" applyAlignment="1">
      <alignment vertical="top" wrapText="1"/>
    </xf>
    <xf numFmtId="0" fontId="8" fillId="0" borderId="2" xfId="0" applyFont="1" applyBorder="1" applyAlignment="1">
      <alignment vertical="center" wrapText="1"/>
    </xf>
    <xf numFmtId="0" fontId="27" fillId="0" borderId="2" xfId="0" applyFont="1" applyFill="1" applyBorder="1" applyAlignment="1" applyProtection="1">
      <alignment vertical="top" wrapText="1"/>
      <protection locked="0"/>
    </xf>
    <xf numFmtId="0" fontId="27" fillId="0" borderId="3" xfId="0" applyFont="1" applyFill="1" applyBorder="1" applyAlignment="1" applyProtection="1">
      <alignment vertical="top" wrapText="1"/>
      <protection locked="0"/>
    </xf>
    <xf numFmtId="0" fontId="20" fillId="0" borderId="3" xfId="0" applyFont="1" applyFill="1" applyBorder="1" applyAlignment="1" applyProtection="1">
      <alignment vertical="top" wrapText="1"/>
      <protection locked="0"/>
    </xf>
    <xf numFmtId="0" fontId="40" fillId="0" borderId="0" xfId="0" applyFont="1" applyFill="1" applyAlignment="1">
      <alignment vertical="center" wrapText="1"/>
    </xf>
    <xf numFmtId="0" fontId="8" fillId="4" borderId="2" xfId="0" applyFont="1" applyFill="1" applyBorder="1" applyAlignment="1">
      <alignment vertical="center" wrapText="1"/>
    </xf>
    <xf numFmtId="0" fontId="18" fillId="4" borderId="4" xfId="0" applyFont="1" applyFill="1" applyBorder="1" applyAlignment="1">
      <alignment vertical="center" wrapText="1"/>
    </xf>
    <xf numFmtId="0" fontId="18" fillId="4" borderId="3" xfId="0" applyFont="1" applyFill="1" applyBorder="1" applyAlignment="1">
      <alignment vertical="center" wrapText="1"/>
    </xf>
    <xf numFmtId="0" fontId="11" fillId="4" borderId="2" xfId="0" applyFont="1" applyFill="1" applyBorder="1" applyAlignment="1" applyProtection="1">
      <alignment vertical="center" wrapText="1"/>
      <protection locked="0"/>
    </xf>
    <xf numFmtId="0" fontId="20" fillId="5" borderId="2" xfId="0" applyFont="1" applyFill="1" applyBorder="1" applyAlignment="1" applyProtection="1">
      <alignment vertical="top" wrapText="1"/>
      <protection locked="0"/>
    </xf>
    <xf numFmtId="0" fontId="18" fillId="5" borderId="3" xfId="0" applyFont="1" applyFill="1" applyBorder="1" applyAlignment="1">
      <alignment vertical="top" wrapText="1"/>
    </xf>
    <xf numFmtId="0" fontId="7" fillId="0" borderId="4" xfId="0" applyFont="1" applyBorder="1" applyAlignment="1">
      <alignment vertical="center" wrapText="1"/>
    </xf>
    <xf numFmtId="0" fontId="7" fillId="0" borderId="3" xfId="0" applyFont="1" applyBorder="1" applyAlignment="1">
      <alignment vertical="center" wrapText="1"/>
    </xf>
    <xf numFmtId="3" fontId="20" fillId="0" borderId="2" xfId="0" applyNumberFormat="1" applyFont="1" applyFill="1" applyBorder="1" applyAlignment="1" applyProtection="1">
      <alignment vertical="top" wrapText="1"/>
      <protection locked="0"/>
    </xf>
    <xf numFmtId="0" fontId="6" fillId="0" borderId="2" xfId="0" applyFont="1" applyFill="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6" fillId="0" borderId="4" xfId="0" applyFont="1" applyFill="1" applyBorder="1" applyAlignment="1">
      <alignment vertical="center" wrapText="1"/>
    </xf>
    <xf numFmtId="0" fontId="6" fillId="0" borderId="3" xfId="0" applyFont="1" applyFill="1" applyBorder="1" applyAlignment="1">
      <alignment vertical="center" wrapText="1"/>
    </xf>
    <xf numFmtId="0" fontId="11" fillId="0" borderId="5" xfId="0" applyFont="1" applyFill="1" applyBorder="1" applyAlignment="1">
      <alignment horizontal="center" vertical="center" wrapText="1"/>
    </xf>
    <xf numFmtId="0" fontId="12" fillId="0" borderId="1" xfId="0" applyFont="1" applyFill="1" applyBorder="1" applyAlignment="1">
      <alignment vertical="center" wrapText="1"/>
    </xf>
    <xf numFmtId="0" fontId="11" fillId="0" borderId="7" xfId="0" applyFont="1" applyFill="1" applyBorder="1" applyAlignment="1">
      <alignment horizontal="center" vertical="center" wrapText="1"/>
    </xf>
    <xf numFmtId="0" fontId="8" fillId="0" borderId="12" xfId="0" applyFont="1" applyFill="1" applyBorder="1" applyAlignment="1">
      <alignment vertical="center" wrapText="1"/>
    </xf>
    <xf numFmtId="0" fontId="13" fillId="0" borderId="1" xfId="0" applyFont="1" applyFill="1" applyBorder="1" applyAlignment="1">
      <alignment vertical="center" wrapText="1"/>
    </xf>
    <xf numFmtId="0" fontId="8" fillId="0" borderId="11" xfId="0" applyFont="1" applyFill="1" applyBorder="1" applyAlignment="1">
      <alignment vertical="center" wrapText="1"/>
    </xf>
    <xf numFmtId="0" fontId="17" fillId="0" borderId="5" xfId="0" applyFont="1" applyFill="1" applyBorder="1" applyAlignment="1">
      <alignment vertical="center" wrapText="1"/>
    </xf>
    <xf numFmtId="0" fontId="8" fillId="0" borderId="1" xfId="0" applyFont="1" applyBorder="1" applyAlignment="1">
      <alignment vertical="center" wrapText="1"/>
    </xf>
    <xf numFmtId="0" fontId="8" fillId="0" borderId="2" xfId="0" applyFont="1" applyFill="1" applyBorder="1" applyAlignment="1">
      <alignment vertical="top" wrapText="1"/>
    </xf>
    <xf numFmtId="0" fontId="17" fillId="0" borderId="7" xfId="0" applyFont="1" applyFill="1" applyBorder="1" applyAlignment="1">
      <alignment vertical="center" wrapText="1"/>
    </xf>
    <xf numFmtId="0" fontId="8" fillId="0" borderId="9" xfId="0" applyFont="1" applyBorder="1" applyAlignment="1">
      <alignment vertical="center" wrapText="1"/>
    </xf>
    <xf numFmtId="0" fontId="8" fillId="0" borderId="10" xfId="0" applyFont="1" applyBorder="1" applyAlignment="1">
      <alignment vertical="center" wrapText="1"/>
    </xf>
    <xf numFmtId="0" fontId="18" fillId="0" borderId="1" xfId="0" applyFont="1" applyBorder="1" applyAlignment="1">
      <alignment vertical="center" wrapText="1"/>
    </xf>
    <xf numFmtId="0" fontId="17" fillId="0" borderId="4" xfId="0" applyFont="1" applyFill="1" applyBorder="1" applyAlignment="1">
      <alignment vertical="center" wrapText="1"/>
    </xf>
    <xf numFmtId="14" fontId="13" fillId="0" borderId="4" xfId="0" applyNumberFormat="1" applyFont="1" applyFill="1" applyBorder="1" applyAlignment="1">
      <alignment horizontal="center" vertical="center" wrapText="1"/>
    </xf>
    <xf numFmtId="0" fontId="18" fillId="0" borderId="8" xfId="0" applyFont="1" applyBorder="1" applyAlignment="1">
      <alignment vertical="center" wrapText="1"/>
    </xf>
    <xf numFmtId="0" fontId="18" fillId="0" borderId="4" xfId="0" applyFont="1" applyBorder="1" applyAlignment="1">
      <alignment vertical="top" wrapText="1"/>
    </xf>
    <xf numFmtId="0" fontId="18" fillId="0" borderId="10" xfId="0" applyFont="1" applyBorder="1" applyAlignment="1">
      <alignment vertical="center" wrapText="1"/>
    </xf>
    <xf numFmtId="0" fontId="18" fillId="0" borderId="5" xfId="0" applyFont="1" applyBorder="1" applyAlignment="1">
      <alignment vertical="center" wrapText="1"/>
    </xf>
    <xf numFmtId="0" fontId="17" fillId="0" borderId="3" xfId="0" applyFont="1" applyFill="1" applyBorder="1" applyAlignment="1">
      <alignment vertical="center" wrapText="1"/>
    </xf>
    <xf numFmtId="0" fontId="9" fillId="0" borderId="3" xfId="0" applyFont="1" applyFill="1" applyBorder="1" applyAlignment="1">
      <alignment vertical="center" wrapText="1"/>
    </xf>
    <xf numFmtId="0" fontId="10" fillId="0" borderId="3" xfId="0" applyFont="1" applyFill="1" applyBorder="1" applyAlignment="1">
      <alignment vertical="center" wrapText="1"/>
    </xf>
    <xf numFmtId="0" fontId="18" fillId="0" borderId="7" xfId="0" applyFont="1" applyBorder="1" applyAlignment="1">
      <alignment vertical="center" wrapText="1"/>
    </xf>
    <xf numFmtId="0" fontId="18" fillId="0" borderId="2" xfId="0" applyFont="1" applyBorder="1" applyAlignment="1">
      <alignment vertical="center" wrapText="1"/>
    </xf>
    <xf numFmtId="0" fontId="7" fillId="0" borderId="8" xfId="0" applyFont="1" applyFill="1" applyBorder="1" applyAlignment="1">
      <alignment vertical="center" wrapText="1"/>
    </xf>
    <xf numFmtId="0" fontId="7" fillId="0" borderId="6" xfId="0" applyFont="1" applyFill="1" applyBorder="1" applyAlignment="1">
      <alignment vertical="center" wrapText="1"/>
    </xf>
    <xf numFmtId="0" fontId="17" fillId="3" borderId="11" xfId="0" applyFont="1" applyFill="1" applyBorder="1" applyAlignment="1">
      <alignment vertical="center" wrapText="1"/>
    </xf>
    <xf numFmtId="0" fontId="24" fillId="0" borderId="9" xfId="0" applyFont="1" applyBorder="1" applyAlignment="1">
      <alignment horizontal="center" vertical="center" wrapText="1"/>
    </xf>
    <xf numFmtId="0" fontId="7" fillId="0" borderId="10" xfId="0" applyFont="1" applyFill="1" applyBorder="1" applyAlignment="1">
      <alignment horizontal="center" vertical="center" wrapText="1"/>
    </xf>
    <xf numFmtId="0" fontId="24" fillId="0" borderId="4" xfId="0" applyFont="1" applyBorder="1" applyAlignment="1">
      <alignment horizontal="center" vertical="center" wrapText="1"/>
    </xf>
    <xf numFmtId="0" fontId="17" fillId="3" borderId="12" xfId="0" applyFont="1" applyFill="1" applyBorder="1" applyAlignment="1">
      <alignment vertical="center" wrapText="1"/>
    </xf>
    <xf numFmtId="0" fontId="7" fillId="0" borderId="4" xfId="0" applyFont="1" applyFill="1" applyBorder="1" applyAlignment="1">
      <alignment horizontal="center" vertical="center" wrapText="1"/>
    </xf>
    <xf numFmtId="0" fontId="24" fillId="0" borderId="1" xfId="0" applyFont="1" applyBorder="1" applyAlignment="1">
      <alignment vertical="center" wrapText="1"/>
    </xf>
    <xf numFmtId="0" fontId="7" fillId="0" borderId="9" xfId="0" applyFont="1" applyBorder="1" applyAlignment="1">
      <alignment vertical="center" wrapText="1"/>
    </xf>
    <xf numFmtId="0" fontId="17" fillId="3" borderId="10" xfId="0" applyFont="1" applyFill="1" applyBorder="1" applyAlignment="1">
      <alignment vertical="center" wrapText="1"/>
    </xf>
    <xf numFmtId="0" fontId="17" fillId="0" borderId="1" xfId="0" applyFont="1" applyFill="1" applyBorder="1" applyAlignment="1" applyProtection="1">
      <alignment vertical="center" wrapText="1"/>
      <protection locked="0"/>
    </xf>
    <xf numFmtId="0" fontId="4" fillId="0" borderId="9" xfId="0" applyFont="1" applyFill="1" applyBorder="1" applyAlignment="1" applyProtection="1">
      <alignment horizontal="center" vertical="center" wrapText="1"/>
      <protection locked="0"/>
    </xf>
    <xf numFmtId="0" fontId="17" fillId="0" borderId="10" xfId="0" applyFont="1" applyFill="1" applyBorder="1" applyAlignment="1" applyProtection="1">
      <alignment horizontal="center" vertical="center" wrapText="1"/>
      <protection locked="0"/>
    </xf>
    <xf numFmtId="0" fontId="17" fillId="0" borderId="4" xfId="0" applyFont="1" applyFill="1" applyBorder="1" applyAlignment="1" applyProtection="1">
      <alignment horizontal="center" vertical="center" wrapText="1"/>
      <protection locked="0"/>
    </xf>
    <xf numFmtId="0" fontId="4" fillId="0" borderId="1" xfId="0" applyFont="1" applyFill="1" applyBorder="1" applyAlignment="1" applyProtection="1">
      <alignment vertical="center" wrapText="1"/>
      <protection locked="0"/>
    </xf>
    <xf numFmtId="0" fontId="17" fillId="0" borderId="2" xfId="0" applyFont="1" applyFill="1" applyBorder="1" applyAlignment="1" applyProtection="1">
      <alignment horizontal="center" vertical="center" wrapText="1"/>
      <protection locked="0"/>
    </xf>
    <xf numFmtId="0" fontId="11" fillId="0" borderId="1" xfId="0" applyFont="1" applyFill="1" applyBorder="1" applyAlignment="1" applyProtection="1">
      <alignment vertical="center" wrapText="1"/>
      <protection locked="0"/>
    </xf>
    <xf numFmtId="0" fontId="17" fillId="3" borderId="5" xfId="0" applyFont="1" applyFill="1" applyBorder="1" applyAlignment="1">
      <alignment vertical="center" wrapText="1"/>
    </xf>
    <xf numFmtId="0" fontId="29" fillId="0" borderId="6" xfId="0" applyFont="1" applyFill="1" applyBorder="1" applyAlignment="1" applyProtection="1">
      <alignment vertical="top" wrapText="1"/>
      <protection locked="0"/>
    </xf>
    <xf numFmtId="0" fontId="10" fillId="0" borderId="2" xfId="0" applyFont="1" applyFill="1" applyBorder="1" applyAlignment="1">
      <alignment vertical="center" wrapText="1"/>
    </xf>
    <xf numFmtId="0" fontId="20" fillId="0" borderId="1" xfId="0" applyFont="1" applyFill="1" applyBorder="1" applyAlignment="1" applyProtection="1">
      <alignment vertical="top" wrapText="1"/>
      <protection locked="0"/>
    </xf>
    <xf numFmtId="0" fontId="11" fillId="0" borderId="8" xfId="0" applyFont="1" applyFill="1" applyBorder="1" applyAlignment="1" applyProtection="1">
      <alignment vertical="center" wrapText="1"/>
      <protection locked="0"/>
    </xf>
    <xf numFmtId="0" fontId="20" fillId="0" borderId="4" xfId="0" applyFont="1" applyFill="1" applyBorder="1" applyAlignment="1" applyProtection="1">
      <alignment vertical="top" wrapText="1"/>
      <protection locked="0"/>
    </xf>
    <xf numFmtId="0" fontId="17" fillId="3" borderId="7" xfId="0" applyFont="1" applyFill="1" applyBorder="1" applyAlignment="1">
      <alignment vertical="center" wrapText="1"/>
    </xf>
    <xf numFmtId="0" fontId="27" fillId="0" borderId="4" xfId="0" applyFont="1" applyFill="1" applyBorder="1" applyAlignment="1" applyProtection="1">
      <alignment vertical="top" wrapText="1"/>
      <protection locked="0"/>
    </xf>
    <xf numFmtId="0" fontId="7" fillId="0" borderId="7" xfId="0" applyFont="1" applyFill="1" applyBorder="1" applyAlignment="1">
      <alignment vertical="center" wrapText="1"/>
    </xf>
    <xf numFmtId="0" fontId="7" fillId="0" borderId="5" xfId="0" applyFont="1" applyFill="1" applyBorder="1" applyAlignment="1">
      <alignment vertical="center" wrapText="1"/>
    </xf>
    <xf numFmtId="0" fontId="17" fillId="3" borderId="6" xfId="0" applyFont="1" applyFill="1" applyBorder="1" applyAlignment="1">
      <alignment vertical="center" wrapText="1"/>
    </xf>
    <xf numFmtId="0" fontId="30" fillId="0" borderId="2" xfId="0" applyFont="1" applyBorder="1" applyAlignment="1">
      <alignment vertical="top" wrapText="1"/>
    </xf>
    <xf numFmtId="0" fontId="18" fillId="0" borderId="2" xfId="0" applyFont="1" applyBorder="1" applyAlignment="1">
      <alignment vertical="top" wrapText="1"/>
    </xf>
    <xf numFmtId="0" fontId="17" fillId="3" borderId="8" xfId="0" applyFont="1" applyFill="1" applyBorder="1" applyAlignment="1">
      <alignment vertical="center" wrapText="1"/>
    </xf>
    <xf numFmtId="0" fontId="11" fillId="0" borderId="3" xfId="0" applyFont="1" applyFill="1" applyBorder="1" applyAlignment="1" applyProtection="1">
      <alignment horizontal="center" vertical="center" wrapText="1"/>
      <protection locked="0"/>
    </xf>
    <xf numFmtId="164" fontId="31" fillId="0" borderId="1" xfId="0" applyNumberFormat="1" applyFont="1" applyFill="1" applyBorder="1" applyAlignment="1">
      <alignment vertical="center" wrapText="1"/>
    </xf>
    <xf numFmtId="164" fontId="34" fillId="0" borderId="1" xfId="0" applyNumberFormat="1" applyFont="1" applyBorder="1" applyAlignment="1">
      <alignment vertical="center" wrapText="1"/>
    </xf>
    <xf numFmtId="0" fontId="30" fillId="0" borderId="0" xfId="0" applyFont="1"/>
    <xf numFmtId="0" fontId="30" fillId="0" borderId="0" xfId="0" applyFont="1" applyFill="1" applyAlignment="1">
      <alignment vertical="center" wrapText="1"/>
    </xf>
    <xf numFmtId="164" fontId="30" fillId="6" borderId="0" xfId="0" applyNumberFormat="1" applyFont="1" applyFill="1" applyBorder="1" applyAlignment="1">
      <alignment vertical="center" wrapText="1"/>
    </xf>
    <xf numFmtId="164" fontId="30" fillId="0" borderId="0" xfId="0" applyNumberFormat="1" applyFont="1" applyAlignment="1">
      <alignment vertical="center" wrapText="1"/>
    </xf>
    <xf numFmtId="164" fontId="30" fillId="6" borderId="0" xfId="0" applyNumberFormat="1" applyFont="1" applyFill="1" applyAlignment="1">
      <alignment vertical="center" wrapText="1"/>
    </xf>
    <xf numFmtId="164" fontId="30" fillId="5" borderId="0" xfId="0" applyNumberFormat="1" applyFont="1" applyFill="1" applyAlignment="1">
      <alignment vertical="center" wrapText="1"/>
    </xf>
    <xf numFmtId="0" fontId="30" fillId="0" borderId="0" xfId="0" applyFont="1" applyAlignment="1">
      <alignment vertical="center" wrapText="1"/>
    </xf>
    <xf numFmtId="164" fontId="30" fillId="6" borderId="0" xfId="0" applyNumberFormat="1" applyFont="1" applyFill="1" applyAlignment="1">
      <alignment horizontal="center" vertical="center" wrapText="1"/>
    </xf>
    <xf numFmtId="0" fontId="30" fillId="5" borderId="0" xfId="0" applyFont="1" applyFill="1" applyAlignment="1">
      <alignment vertical="center" wrapText="1"/>
    </xf>
    <xf numFmtId="164" fontId="30" fillId="7" borderId="0" xfId="0" applyNumberFormat="1" applyFont="1" applyFill="1" applyAlignment="1">
      <alignment vertical="center" wrapText="1"/>
    </xf>
    <xf numFmtId="164" fontId="30" fillId="8" borderId="0" xfId="0" applyNumberFormat="1" applyFont="1" applyFill="1" applyAlignment="1">
      <alignment vertical="center" wrapText="1"/>
    </xf>
    <xf numFmtId="164" fontId="30" fillId="0" borderId="0" xfId="0" applyNumberFormat="1" applyFont="1" applyFill="1" applyAlignment="1">
      <alignment vertical="center" wrapText="1"/>
    </xf>
    <xf numFmtId="164" fontId="30" fillId="0" borderId="0" xfId="0" applyNumberFormat="1" applyFont="1"/>
    <xf numFmtId="0" fontId="30" fillId="0" borderId="0" xfId="0" applyFont="1" applyAlignment="1">
      <alignment horizontal="center" vertical="center"/>
    </xf>
    <xf numFmtId="10" fontId="30" fillId="0" borderId="0" xfId="0" applyNumberFormat="1" applyFont="1" applyAlignment="1">
      <alignment horizontal="center" vertical="center"/>
    </xf>
    <xf numFmtId="10" fontId="30" fillId="0" borderId="0" xfId="0" applyNumberFormat="1" applyFont="1"/>
    <xf numFmtId="10" fontId="0" fillId="0" borderId="0" xfId="0" applyNumberFormat="1"/>
    <xf numFmtId="164" fontId="0" fillId="0" borderId="0" xfId="0" applyNumberFormat="1"/>
    <xf numFmtId="0" fontId="0" fillId="0" borderId="0" xfId="0" applyAlignment="1">
      <alignment horizontal="center" vertical="center"/>
    </xf>
    <xf numFmtId="43" fontId="0" fillId="0" borderId="0" xfId="3" applyFont="1" applyAlignment="1">
      <alignment horizontal="center" vertical="center"/>
    </xf>
    <xf numFmtId="10" fontId="45" fillId="0" borderId="0" xfId="0" applyNumberFormat="1" applyFont="1"/>
    <xf numFmtId="0" fontId="45" fillId="0" borderId="0" xfId="0" applyFont="1"/>
    <xf numFmtId="43" fontId="45" fillId="0" borderId="0" xfId="3" applyFont="1" applyAlignment="1">
      <alignment horizontal="left" vertical="center"/>
    </xf>
    <xf numFmtId="0" fontId="30" fillId="0" borderId="0" xfId="0" applyFont="1" applyAlignment="1">
      <alignment horizontal="center" wrapText="1"/>
    </xf>
    <xf numFmtId="43" fontId="30" fillId="0" borderId="0" xfId="3" applyFont="1" applyAlignment="1">
      <alignment horizontal="center" vertical="center"/>
    </xf>
    <xf numFmtId="43" fontId="30" fillId="0" borderId="0" xfId="3" applyFont="1"/>
    <xf numFmtId="43" fontId="0" fillId="0" borderId="0" xfId="3" applyFont="1"/>
    <xf numFmtId="43" fontId="0" fillId="0" borderId="0" xfId="0" applyNumberFormat="1"/>
    <xf numFmtId="43" fontId="45" fillId="0" borderId="0" xfId="0" applyNumberFormat="1" applyFont="1"/>
    <xf numFmtId="165" fontId="0" fillId="0" borderId="0" xfId="0" applyNumberFormat="1"/>
    <xf numFmtId="164" fontId="31" fillId="6" borderId="0" xfId="0" applyNumberFormat="1" applyFont="1" applyFill="1" applyAlignment="1">
      <alignment horizontal="center" vertical="center" wrapText="1"/>
    </xf>
    <xf numFmtId="0" fontId="40" fillId="0" borderId="0" xfId="0" applyFont="1" applyFill="1" applyAlignment="1">
      <alignment horizontal="center" vertical="center" wrapText="1"/>
    </xf>
    <xf numFmtId="0" fontId="8" fillId="0" borderId="2"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3" xfId="0" applyFont="1" applyFill="1" applyBorder="1" applyAlignment="1">
      <alignment horizontal="left" vertical="center" wrapText="1"/>
    </xf>
    <xf numFmtId="0" fontId="11" fillId="0" borderId="2" xfId="0" applyFont="1" applyFill="1" applyBorder="1" applyAlignment="1" applyProtection="1">
      <alignment horizontal="center" vertical="center" wrapText="1"/>
      <protection locked="0"/>
    </xf>
    <xf numFmtId="0" fontId="18" fillId="0" borderId="3" xfId="0" applyFont="1" applyBorder="1" applyAlignment="1">
      <alignment horizontal="center" vertical="center" wrapText="1"/>
    </xf>
    <xf numFmtId="0" fontId="18" fillId="0" borderId="4" xfId="0" applyFont="1" applyBorder="1" applyAlignment="1">
      <alignment horizontal="left" vertical="center" wrapText="1"/>
    </xf>
    <xf numFmtId="0" fontId="18" fillId="0" borderId="3" xfId="0" applyFont="1" applyBorder="1" applyAlignment="1">
      <alignment horizontal="left" vertical="center" wrapText="1"/>
    </xf>
    <xf numFmtId="0" fontId="17" fillId="0" borderId="2" xfId="0" applyFont="1" applyFill="1" applyBorder="1" applyAlignment="1">
      <alignment horizontal="center" vertical="center" wrapText="1"/>
    </xf>
    <xf numFmtId="0" fontId="18" fillId="0" borderId="4" xfId="0" applyFont="1" applyBorder="1" applyAlignment="1">
      <alignment horizontal="center" vertical="center" wrapText="1"/>
    </xf>
    <xf numFmtId="0" fontId="8" fillId="0" borderId="7" xfId="0" applyFont="1" applyFill="1" applyBorder="1" applyAlignment="1">
      <alignment horizontal="left" vertical="top" wrapText="1"/>
    </xf>
    <xf numFmtId="0" fontId="18" fillId="0" borderId="10" xfId="0" applyFont="1" applyBorder="1" applyAlignment="1">
      <alignment horizontal="left" vertical="top" wrapText="1"/>
    </xf>
    <xf numFmtId="0" fontId="18" fillId="0" borderId="8" xfId="0" applyFont="1" applyBorder="1" applyAlignment="1">
      <alignment horizontal="left" vertical="top" wrapText="1"/>
    </xf>
    <xf numFmtId="0" fontId="8" fillId="0" borderId="5" xfId="0" applyFont="1" applyFill="1" applyBorder="1" applyAlignment="1">
      <alignment horizontal="left" vertical="center" wrapText="1"/>
    </xf>
    <xf numFmtId="0" fontId="18" fillId="0" borderId="9" xfId="0" applyFont="1" applyBorder="1" applyAlignment="1">
      <alignment horizontal="left" vertical="center" wrapText="1"/>
    </xf>
    <xf numFmtId="0" fontId="18" fillId="0" borderId="6" xfId="0" applyFont="1" applyBorder="1" applyAlignment="1">
      <alignment horizontal="left" vertical="center" wrapText="1"/>
    </xf>
    <xf numFmtId="0" fontId="17" fillId="3" borderId="2" xfId="0" applyFont="1" applyFill="1" applyBorder="1" applyAlignment="1">
      <alignment horizontal="center" vertical="center" wrapText="1"/>
    </xf>
    <xf numFmtId="0" fontId="17" fillId="3" borderId="3" xfId="0" applyFont="1" applyFill="1" applyBorder="1" applyAlignment="1">
      <alignment horizontal="center" vertical="center" wrapText="1"/>
    </xf>
    <xf numFmtId="0" fontId="20" fillId="0" borderId="2" xfId="0" applyFont="1" applyFill="1" applyBorder="1" applyAlignment="1" applyProtection="1">
      <alignment horizontal="left" vertical="top" wrapText="1"/>
      <protection locked="0"/>
    </xf>
    <xf numFmtId="0" fontId="18" fillId="0" borderId="3" xfId="0" applyFont="1" applyBorder="1" applyAlignment="1">
      <alignment horizontal="left" vertical="top" wrapText="1"/>
    </xf>
    <xf numFmtId="0" fontId="39" fillId="0" borderId="0" xfId="0" applyFont="1" applyFill="1" applyAlignment="1">
      <alignment horizontal="center" vertical="center" wrapText="1"/>
    </xf>
    <xf numFmtId="0" fontId="8" fillId="0" borderId="2" xfId="0" applyFont="1" applyBorder="1" applyAlignment="1">
      <alignment horizontal="left" vertical="center" wrapText="1"/>
    </xf>
    <xf numFmtId="0" fontId="27" fillId="0" borderId="2" xfId="0" applyFont="1" applyFill="1" applyBorder="1" applyAlignment="1" applyProtection="1">
      <alignment horizontal="center" vertical="top" wrapText="1"/>
      <protection locked="0"/>
    </xf>
    <xf numFmtId="0" fontId="27" fillId="0" borderId="3" xfId="0" applyFont="1" applyFill="1" applyBorder="1" applyAlignment="1" applyProtection="1">
      <alignment horizontal="center" vertical="top" wrapText="1"/>
      <protection locked="0"/>
    </xf>
    <xf numFmtId="0" fontId="29" fillId="0" borderId="2" xfId="0" applyFont="1" applyFill="1" applyBorder="1" applyAlignment="1" applyProtection="1">
      <alignment horizontal="left" vertical="top" wrapText="1"/>
      <protection locked="0"/>
    </xf>
    <xf numFmtId="0" fontId="30" fillId="0" borderId="3" xfId="0" applyFont="1" applyBorder="1" applyAlignment="1">
      <alignment horizontal="left" vertical="top" wrapText="1"/>
    </xf>
    <xf numFmtId="0" fontId="7" fillId="0" borderId="4" xfId="0" applyFont="1" applyBorder="1" applyAlignment="1">
      <alignment horizontal="left" vertical="center" wrapText="1"/>
    </xf>
    <xf numFmtId="0" fontId="7" fillId="0" borderId="3" xfId="0" applyFont="1" applyBorder="1" applyAlignment="1">
      <alignment horizontal="left" vertical="center" wrapText="1"/>
    </xf>
    <xf numFmtId="0" fontId="8" fillId="0" borderId="4"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Fill="1" applyBorder="1" applyAlignment="1">
      <alignment horizontal="left" vertical="top" wrapText="1"/>
    </xf>
    <xf numFmtId="0" fontId="18" fillId="0" borderId="9" xfId="0" applyFont="1" applyBorder="1" applyAlignment="1">
      <alignment horizontal="left" vertical="top" wrapText="1"/>
    </xf>
    <xf numFmtId="0" fontId="18" fillId="0" borderId="6" xfId="0" applyFont="1" applyBorder="1" applyAlignment="1">
      <alignment horizontal="left" vertical="top" wrapText="1"/>
    </xf>
    <xf numFmtId="0" fontId="8" fillId="0" borderId="2" xfId="0" applyFont="1" applyFill="1" applyBorder="1" applyAlignment="1">
      <alignment vertical="center" wrapText="1"/>
    </xf>
    <xf numFmtId="0" fontId="18" fillId="0" borderId="4" xfId="0" applyFont="1" applyBorder="1" applyAlignment="1">
      <alignment vertical="center" wrapText="1"/>
    </xf>
    <xf numFmtId="0" fontId="18" fillId="0" borderId="3" xfId="0" applyFont="1" applyBorder="1" applyAlignment="1">
      <alignment vertical="center" wrapText="1"/>
    </xf>
    <xf numFmtId="0" fontId="20" fillId="0" borderId="2" xfId="0" applyFont="1" applyFill="1" applyBorder="1" applyAlignment="1" applyProtection="1">
      <alignment horizontal="center" vertical="top" wrapText="1"/>
      <protection locked="0"/>
    </xf>
    <xf numFmtId="0" fontId="20" fillId="0" borderId="3" xfId="0" applyFont="1" applyFill="1" applyBorder="1" applyAlignment="1" applyProtection="1">
      <alignment horizontal="center" vertical="top" wrapText="1"/>
      <protection locked="0"/>
    </xf>
    <xf numFmtId="0" fontId="17" fillId="3"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8" fillId="4" borderId="2" xfId="0" applyFont="1" applyFill="1" applyBorder="1" applyAlignment="1">
      <alignment horizontal="left" vertical="center" wrapText="1"/>
    </xf>
    <xf numFmtId="0" fontId="18" fillId="4" borderId="4" xfId="0" applyFont="1" applyFill="1" applyBorder="1" applyAlignment="1">
      <alignment horizontal="left" vertical="center" wrapText="1"/>
    </xf>
    <xf numFmtId="0" fontId="18" fillId="4" borderId="3" xfId="0" applyFont="1" applyFill="1" applyBorder="1" applyAlignment="1">
      <alignment horizontal="left" vertical="center" wrapText="1"/>
    </xf>
    <xf numFmtId="0" fontId="11" fillId="4" borderId="2" xfId="0" applyFont="1" applyFill="1" applyBorder="1" applyAlignment="1" applyProtection="1">
      <alignment horizontal="center" vertical="center" wrapText="1"/>
      <protection locked="0"/>
    </xf>
    <xf numFmtId="0" fontId="18" fillId="4" borderId="3"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15" fillId="0" borderId="1" xfId="0" applyFont="1" applyFill="1" applyBorder="1" applyAlignment="1" applyProtection="1">
      <alignment horizontal="center" vertical="center" wrapText="1"/>
      <protection locked="0"/>
    </xf>
    <xf numFmtId="0" fontId="13"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11" fillId="0" borderId="11"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24" fillId="0" borderId="11" xfId="0" applyFont="1" applyBorder="1" applyAlignment="1">
      <alignment horizontal="center" vertical="center" wrapText="1"/>
    </xf>
    <xf numFmtId="0" fontId="24" fillId="0" borderId="12"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4" fillId="0" borderId="11" xfId="0" applyFont="1" applyFill="1" applyBorder="1" applyAlignment="1" applyProtection="1">
      <alignment horizontal="center" vertical="center" wrapText="1"/>
      <protection locked="0"/>
    </xf>
    <xf numFmtId="0" fontId="4" fillId="0" borderId="12" xfId="0" applyFont="1" applyFill="1" applyBorder="1" applyAlignment="1" applyProtection="1">
      <alignment horizontal="center" vertical="center" wrapText="1"/>
      <protection locked="0"/>
    </xf>
    <xf numFmtId="3" fontId="20" fillId="0" borderId="2" xfId="0" applyNumberFormat="1" applyFont="1" applyFill="1" applyBorder="1" applyAlignment="1" applyProtection="1">
      <alignment horizontal="left" vertical="top" wrapText="1"/>
      <protection locked="0"/>
    </xf>
    <xf numFmtId="0" fontId="11" fillId="0" borderId="11" xfId="0" applyFont="1" applyFill="1" applyBorder="1" applyAlignment="1" applyProtection="1">
      <alignment horizontal="center" vertical="center" wrapText="1"/>
      <protection locked="0"/>
    </xf>
    <xf numFmtId="0" fontId="11" fillId="0" borderId="12" xfId="0" applyFont="1" applyFill="1" applyBorder="1" applyAlignment="1" applyProtection="1">
      <alignment horizontal="center" vertical="center" wrapText="1"/>
      <protection locked="0"/>
    </xf>
    <xf numFmtId="0" fontId="20" fillId="0" borderId="5" xfId="0" applyFont="1" applyFill="1" applyBorder="1" applyAlignment="1" applyProtection="1">
      <alignment horizontal="center" vertical="top" wrapText="1"/>
      <protection locked="0"/>
    </xf>
    <xf numFmtId="0" fontId="20" fillId="0" borderId="6" xfId="0" applyFont="1" applyFill="1" applyBorder="1" applyAlignment="1" applyProtection="1">
      <alignment horizontal="center" vertical="top" wrapText="1"/>
      <protection locked="0"/>
    </xf>
    <xf numFmtId="0" fontId="20" fillId="0" borderId="7" xfId="0" applyFont="1" applyFill="1" applyBorder="1" applyAlignment="1" applyProtection="1">
      <alignment horizontal="center" vertical="top" wrapText="1"/>
      <protection locked="0"/>
    </xf>
    <xf numFmtId="0" fontId="20" fillId="0" borderId="8" xfId="0" applyFont="1" applyFill="1" applyBorder="1" applyAlignment="1" applyProtection="1">
      <alignment horizontal="center" vertical="top" wrapText="1"/>
      <protection locked="0"/>
    </xf>
    <xf numFmtId="0" fontId="7" fillId="0" borderId="11"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17" fillId="0" borderId="11" xfId="0" applyFont="1" applyFill="1" applyBorder="1" applyAlignment="1" applyProtection="1">
      <alignment horizontal="center" vertical="center" wrapText="1"/>
      <protection locked="0"/>
    </xf>
    <xf numFmtId="0" fontId="17" fillId="0" borderId="12" xfId="0" applyFont="1" applyFill="1" applyBorder="1" applyAlignment="1" applyProtection="1">
      <alignment horizontal="center" vertical="center" wrapText="1"/>
      <protection locked="0"/>
    </xf>
    <xf numFmtId="0" fontId="27" fillId="0" borderId="5" xfId="0" applyFont="1" applyFill="1" applyBorder="1" applyAlignment="1" applyProtection="1">
      <alignment horizontal="center" vertical="top" wrapText="1"/>
      <protection locked="0"/>
    </xf>
    <xf numFmtId="0" fontId="27" fillId="0" borderId="6" xfId="0" applyFont="1" applyFill="1" applyBorder="1" applyAlignment="1" applyProtection="1">
      <alignment horizontal="center" vertical="top" wrapText="1"/>
      <protection locked="0"/>
    </xf>
    <xf numFmtId="0" fontId="27" fillId="0" borderId="7" xfId="0" applyFont="1" applyFill="1" applyBorder="1" applyAlignment="1" applyProtection="1">
      <alignment horizontal="center" vertical="top" wrapText="1"/>
      <protection locked="0"/>
    </xf>
    <xf numFmtId="0" fontId="27" fillId="0" borderId="8" xfId="0" applyFont="1" applyFill="1" applyBorder="1" applyAlignment="1" applyProtection="1">
      <alignment horizontal="center" vertical="top" wrapText="1"/>
      <protection locked="0"/>
    </xf>
    <xf numFmtId="0" fontId="6" fillId="0" borderId="4" xfId="0" applyFont="1" applyFill="1" applyBorder="1" applyAlignment="1">
      <alignment horizontal="left" vertical="center" wrapText="1"/>
    </xf>
    <xf numFmtId="0" fontId="6" fillId="0" borderId="3" xfId="0" applyFont="1" applyFill="1" applyBorder="1" applyAlignment="1">
      <alignment horizontal="left" vertical="center" wrapText="1"/>
    </xf>
    <xf numFmtId="0" fontId="20" fillId="5" borderId="2" xfId="0" applyFont="1" applyFill="1" applyBorder="1" applyAlignment="1" applyProtection="1">
      <alignment horizontal="left" vertical="top" wrapText="1"/>
      <protection locked="0"/>
    </xf>
    <xf numFmtId="0" fontId="18" fillId="5" borderId="3" xfId="0" applyFont="1" applyFill="1" applyBorder="1" applyAlignment="1">
      <alignment horizontal="left" vertical="top" wrapText="1"/>
    </xf>
    <xf numFmtId="0" fontId="8" fillId="0" borderId="1" xfId="0" applyFont="1" applyFill="1" applyBorder="1" applyAlignment="1">
      <alignment horizontal="left" vertical="center" wrapText="1"/>
    </xf>
    <xf numFmtId="0" fontId="20" fillId="0" borderId="4" xfId="0" applyFont="1" applyFill="1" applyBorder="1" applyAlignment="1" applyProtection="1">
      <alignment horizontal="center" vertical="top" wrapText="1"/>
      <protection locked="0"/>
    </xf>
  </cellXfs>
  <cellStyles count="4">
    <cellStyle name="40% - Naglasak1" xfId="1" xr:uid="{00000000-0005-0000-0000-000000000000}"/>
    <cellStyle name="Comma" xfId="3" builtinId="3"/>
    <cellStyle name="Normal" xfId="0" builtinId="0"/>
    <cellStyle name="Normalno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9</xdr:col>
      <xdr:colOff>197643</xdr:colOff>
      <xdr:row>19</xdr:row>
      <xdr:rowOff>0</xdr:rowOff>
    </xdr:from>
    <xdr:ext cx="65" cy="172227"/>
    <xdr:sp macro="" textlink="">
      <xdr:nvSpPr>
        <xdr:cNvPr id="2" name="TekstniOkvir 1">
          <a:extLst>
            <a:ext uri="{FF2B5EF4-FFF2-40B4-BE49-F238E27FC236}">
              <a16:creationId xmlns:a16="http://schemas.microsoft.com/office/drawing/2014/main" id="{00000000-0008-0000-0000-000002000000}"/>
            </a:ext>
          </a:extLst>
        </xdr:cNvPr>
        <xdr:cNvSpPr txBox="1"/>
      </xdr:nvSpPr>
      <xdr:spPr>
        <a:xfrm>
          <a:off x="10841831" y="896064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hr-HR" sz="1100"/>
        </a:p>
      </xdr:txBody>
    </xdr:sp>
    <xdr:clientData/>
  </xdr:oneCellAnchor>
  <xdr:twoCellAnchor>
    <xdr:from>
      <xdr:col>6</xdr:col>
      <xdr:colOff>115957</xdr:colOff>
      <xdr:row>105</xdr:row>
      <xdr:rowOff>124239</xdr:rowOff>
    </xdr:from>
    <xdr:to>
      <xdr:col>6</xdr:col>
      <xdr:colOff>723176</xdr:colOff>
      <xdr:row>105</xdr:row>
      <xdr:rowOff>479045</xdr:rowOff>
    </xdr:to>
    <xdr:sp macro="" textlink="">
      <xdr:nvSpPr>
        <xdr:cNvPr id="3" name="Oval 2">
          <a:extLst>
            <a:ext uri="{FF2B5EF4-FFF2-40B4-BE49-F238E27FC236}">
              <a16:creationId xmlns:a16="http://schemas.microsoft.com/office/drawing/2014/main" id="{3773CE40-97EE-4BD4-ACC0-053343C5FA53}"/>
            </a:ext>
          </a:extLst>
        </xdr:cNvPr>
        <xdr:cNvSpPr/>
      </xdr:nvSpPr>
      <xdr:spPr>
        <a:xfrm>
          <a:off x="6435587" y="11813484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102705</xdr:colOff>
      <xdr:row>102</xdr:row>
      <xdr:rowOff>135835</xdr:rowOff>
    </xdr:from>
    <xdr:to>
      <xdr:col>6</xdr:col>
      <xdr:colOff>709924</xdr:colOff>
      <xdr:row>102</xdr:row>
      <xdr:rowOff>490641</xdr:rowOff>
    </xdr:to>
    <xdr:sp macro="" textlink="">
      <xdr:nvSpPr>
        <xdr:cNvPr id="4" name="Oval 3">
          <a:extLst>
            <a:ext uri="{FF2B5EF4-FFF2-40B4-BE49-F238E27FC236}">
              <a16:creationId xmlns:a16="http://schemas.microsoft.com/office/drawing/2014/main" id="{C1DE4001-6D63-480A-A5F1-8ED6547FE634}"/>
            </a:ext>
          </a:extLst>
        </xdr:cNvPr>
        <xdr:cNvSpPr/>
      </xdr:nvSpPr>
      <xdr:spPr>
        <a:xfrm>
          <a:off x="6422335" y="11625800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81170</xdr:colOff>
      <xdr:row>101</xdr:row>
      <xdr:rowOff>130865</xdr:rowOff>
    </xdr:from>
    <xdr:to>
      <xdr:col>6</xdr:col>
      <xdr:colOff>688389</xdr:colOff>
      <xdr:row>101</xdr:row>
      <xdr:rowOff>485671</xdr:rowOff>
    </xdr:to>
    <xdr:sp macro="" textlink="">
      <xdr:nvSpPr>
        <xdr:cNvPr id="5" name="Oval 4">
          <a:extLst>
            <a:ext uri="{FF2B5EF4-FFF2-40B4-BE49-F238E27FC236}">
              <a16:creationId xmlns:a16="http://schemas.microsoft.com/office/drawing/2014/main" id="{07217C59-C0F4-4B59-A730-D6BCE0384C39}"/>
            </a:ext>
          </a:extLst>
        </xdr:cNvPr>
        <xdr:cNvSpPr/>
      </xdr:nvSpPr>
      <xdr:spPr>
        <a:xfrm>
          <a:off x="6400800" y="11562356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76201</xdr:colOff>
      <xdr:row>100</xdr:row>
      <xdr:rowOff>101048</xdr:rowOff>
    </xdr:from>
    <xdr:to>
      <xdr:col>6</xdr:col>
      <xdr:colOff>683420</xdr:colOff>
      <xdr:row>100</xdr:row>
      <xdr:rowOff>455854</xdr:rowOff>
    </xdr:to>
    <xdr:sp macro="" textlink="">
      <xdr:nvSpPr>
        <xdr:cNvPr id="6" name="Oval 5">
          <a:extLst>
            <a:ext uri="{FF2B5EF4-FFF2-40B4-BE49-F238E27FC236}">
              <a16:creationId xmlns:a16="http://schemas.microsoft.com/office/drawing/2014/main" id="{5766B58C-DA9E-45C4-8461-2B2338A30F66}"/>
            </a:ext>
          </a:extLst>
        </xdr:cNvPr>
        <xdr:cNvSpPr/>
      </xdr:nvSpPr>
      <xdr:spPr>
        <a:xfrm>
          <a:off x="6395831" y="11503052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112645</xdr:colOff>
      <xdr:row>99</xdr:row>
      <xdr:rowOff>443947</xdr:rowOff>
    </xdr:from>
    <xdr:to>
      <xdr:col>6</xdr:col>
      <xdr:colOff>719864</xdr:colOff>
      <xdr:row>99</xdr:row>
      <xdr:rowOff>798753</xdr:rowOff>
    </xdr:to>
    <xdr:sp macro="" textlink="">
      <xdr:nvSpPr>
        <xdr:cNvPr id="7" name="Oval 6">
          <a:extLst>
            <a:ext uri="{FF2B5EF4-FFF2-40B4-BE49-F238E27FC236}">
              <a16:creationId xmlns:a16="http://schemas.microsoft.com/office/drawing/2014/main" id="{0AC6D775-6F05-4582-AD4A-9095C5B65620}"/>
            </a:ext>
          </a:extLst>
        </xdr:cNvPr>
        <xdr:cNvSpPr/>
      </xdr:nvSpPr>
      <xdr:spPr>
        <a:xfrm>
          <a:off x="6432275" y="11408962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107675</xdr:colOff>
      <xdr:row>98</xdr:row>
      <xdr:rowOff>1350064</xdr:rowOff>
    </xdr:from>
    <xdr:to>
      <xdr:col>6</xdr:col>
      <xdr:colOff>714894</xdr:colOff>
      <xdr:row>98</xdr:row>
      <xdr:rowOff>1704870</xdr:rowOff>
    </xdr:to>
    <xdr:sp macro="" textlink="">
      <xdr:nvSpPr>
        <xdr:cNvPr id="8" name="Oval 7">
          <a:extLst>
            <a:ext uri="{FF2B5EF4-FFF2-40B4-BE49-F238E27FC236}">
              <a16:creationId xmlns:a16="http://schemas.microsoft.com/office/drawing/2014/main" id="{9863B8F8-9211-45D0-8093-C7624A5A7253}"/>
            </a:ext>
          </a:extLst>
        </xdr:cNvPr>
        <xdr:cNvSpPr/>
      </xdr:nvSpPr>
      <xdr:spPr>
        <a:xfrm>
          <a:off x="6427305" y="11200571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144118</xdr:colOff>
      <xdr:row>97</xdr:row>
      <xdr:rowOff>525120</xdr:rowOff>
    </xdr:from>
    <xdr:to>
      <xdr:col>6</xdr:col>
      <xdr:colOff>751337</xdr:colOff>
      <xdr:row>97</xdr:row>
      <xdr:rowOff>879926</xdr:rowOff>
    </xdr:to>
    <xdr:sp macro="" textlink="">
      <xdr:nvSpPr>
        <xdr:cNvPr id="9" name="Oval 8">
          <a:extLst>
            <a:ext uri="{FF2B5EF4-FFF2-40B4-BE49-F238E27FC236}">
              <a16:creationId xmlns:a16="http://schemas.microsoft.com/office/drawing/2014/main" id="{CCA8B771-37DB-470B-90D7-EE95F2F565F5}"/>
            </a:ext>
          </a:extLst>
        </xdr:cNvPr>
        <xdr:cNvSpPr/>
      </xdr:nvSpPr>
      <xdr:spPr>
        <a:xfrm>
          <a:off x="6463748" y="10976444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147428</xdr:colOff>
      <xdr:row>96</xdr:row>
      <xdr:rowOff>155709</xdr:rowOff>
    </xdr:from>
    <xdr:to>
      <xdr:col>6</xdr:col>
      <xdr:colOff>754647</xdr:colOff>
      <xdr:row>96</xdr:row>
      <xdr:rowOff>510515</xdr:rowOff>
    </xdr:to>
    <xdr:sp macro="" textlink="">
      <xdr:nvSpPr>
        <xdr:cNvPr id="10" name="Oval 9">
          <a:extLst>
            <a:ext uri="{FF2B5EF4-FFF2-40B4-BE49-F238E27FC236}">
              <a16:creationId xmlns:a16="http://schemas.microsoft.com/office/drawing/2014/main" id="{B12AD7B9-8263-486F-80BE-13835F50C6B4}"/>
            </a:ext>
          </a:extLst>
        </xdr:cNvPr>
        <xdr:cNvSpPr/>
      </xdr:nvSpPr>
      <xdr:spPr>
        <a:xfrm>
          <a:off x="6467058" y="10876555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142455</xdr:colOff>
      <xdr:row>95</xdr:row>
      <xdr:rowOff>183868</xdr:rowOff>
    </xdr:from>
    <xdr:to>
      <xdr:col>6</xdr:col>
      <xdr:colOff>749674</xdr:colOff>
      <xdr:row>95</xdr:row>
      <xdr:rowOff>538674</xdr:rowOff>
    </xdr:to>
    <xdr:sp macro="" textlink="">
      <xdr:nvSpPr>
        <xdr:cNvPr id="11" name="Oval 10">
          <a:extLst>
            <a:ext uri="{FF2B5EF4-FFF2-40B4-BE49-F238E27FC236}">
              <a16:creationId xmlns:a16="http://schemas.microsoft.com/office/drawing/2014/main" id="{EBCF6816-F404-4A0F-BF36-38B5D5582A18}"/>
            </a:ext>
          </a:extLst>
        </xdr:cNvPr>
        <xdr:cNvSpPr/>
      </xdr:nvSpPr>
      <xdr:spPr>
        <a:xfrm>
          <a:off x="6462085" y="10810625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154047</xdr:colOff>
      <xdr:row>94</xdr:row>
      <xdr:rowOff>154048</xdr:rowOff>
    </xdr:from>
    <xdr:to>
      <xdr:col>6</xdr:col>
      <xdr:colOff>761266</xdr:colOff>
      <xdr:row>94</xdr:row>
      <xdr:rowOff>508854</xdr:rowOff>
    </xdr:to>
    <xdr:sp macro="" textlink="">
      <xdr:nvSpPr>
        <xdr:cNvPr id="12" name="Oval 11">
          <a:extLst>
            <a:ext uri="{FF2B5EF4-FFF2-40B4-BE49-F238E27FC236}">
              <a16:creationId xmlns:a16="http://schemas.microsoft.com/office/drawing/2014/main" id="{0AA33F93-8B66-43CB-BBDB-200CCD1BE227}"/>
            </a:ext>
          </a:extLst>
        </xdr:cNvPr>
        <xdr:cNvSpPr/>
      </xdr:nvSpPr>
      <xdr:spPr>
        <a:xfrm>
          <a:off x="6473677" y="10744696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140792</xdr:colOff>
      <xdr:row>93</xdr:row>
      <xdr:rowOff>149074</xdr:rowOff>
    </xdr:from>
    <xdr:to>
      <xdr:col>6</xdr:col>
      <xdr:colOff>748011</xdr:colOff>
      <xdr:row>93</xdr:row>
      <xdr:rowOff>503880</xdr:rowOff>
    </xdr:to>
    <xdr:sp macro="" textlink="">
      <xdr:nvSpPr>
        <xdr:cNvPr id="13" name="Oval 12">
          <a:extLst>
            <a:ext uri="{FF2B5EF4-FFF2-40B4-BE49-F238E27FC236}">
              <a16:creationId xmlns:a16="http://schemas.microsoft.com/office/drawing/2014/main" id="{2506859B-E258-449A-A85B-13DC0A5EDA87}"/>
            </a:ext>
          </a:extLst>
        </xdr:cNvPr>
        <xdr:cNvSpPr/>
      </xdr:nvSpPr>
      <xdr:spPr>
        <a:xfrm>
          <a:off x="6460422" y="10681250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110977</xdr:colOff>
      <xdr:row>91</xdr:row>
      <xdr:rowOff>715607</xdr:rowOff>
    </xdr:from>
    <xdr:to>
      <xdr:col>6</xdr:col>
      <xdr:colOff>718196</xdr:colOff>
      <xdr:row>91</xdr:row>
      <xdr:rowOff>1070413</xdr:rowOff>
    </xdr:to>
    <xdr:sp macro="" textlink="">
      <xdr:nvSpPr>
        <xdr:cNvPr id="14" name="Oval 13">
          <a:extLst>
            <a:ext uri="{FF2B5EF4-FFF2-40B4-BE49-F238E27FC236}">
              <a16:creationId xmlns:a16="http://schemas.microsoft.com/office/drawing/2014/main" id="{4AC015FD-4CB6-4DA1-AFFF-413AD08F64CE}"/>
            </a:ext>
          </a:extLst>
        </xdr:cNvPr>
        <xdr:cNvSpPr/>
      </xdr:nvSpPr>
      <xdr:spPr>
        <a:xfrm>
          <a:off x="6430607" y="10495223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106008</xdr:colOff>
      <xdr:row>89</xdr:row>
      <xdr:rowOff>329637</xdr:rowOff>
    </xdr:from>
    <xdr:to>
      <xdr:col>6</xdr:col>
      <xdr:colOff>713227</xdr:colOff>
      <xdr:row>89</xdr:row>
      <xdr:rowOff>684443</xdr:rowOff>
    </xdr:to>
    <xdr:sp macro="" textlink="">
      <xdr:nvSpPr>
        <xdr:cNvPr id="15" name="Oval 14">
          <a:extLst>
            <a:ext uri="{FF2B5EF4-FFF2-40B4-BE49-F238E27FC236}">
              <a16:creationId xmlns:a16="http://schemas.microsoft.com/office/drawing/2014/main" id="{CCCAE1BB-1C80-4BA4-B37D-D7735C090E93}"/>
            </a:ext>
          </a:extLst>
        </xdr:cNvPr>
        <xdr:cNvSpPr/>
      </xdr:nvSpPr>
      <xdr:spPr>
        <a:xfrm>
          <a:off x="6425638" y="10296772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109321</xdr:colOff>
      <xdr:row>87</xdr:row>
      <xdr:rowOff>1285451</xdr:rowOff>
    </xdr:from>
    <xdr:to>
      <xdr:col>6</xdr:col>
      <xdr:colOff>716540</xdr:colOff>
      <xdr:row>87</xdr:row>
      <xdr:rowOff>1640257</xdr:rowOff>
    </xdr:to>
    <xdr:sp macro="" textlink="">
      <xdr:nvSpPr>
        <xdr:cNvPr id="16" name="Oval 15">
          <a:extLst>
            <a:ext uri="{FF2B5EF4-FFF2-40B4-BE49-F238E27FC236}">
              <a16:creationId xmlns:a16="http://schemas.microsoft.com/office/drawing/2014/main" id="{3013EEF4-0085-4F3F-8E3E-F1015A771062}"/>
            </a:ext>
          </a:extLst>
        </xdr:cNvPr>
        <xdr:cNvSpPr/>
      </xdr:nvSpPr>
      <xdr:spPr>
        <a:xfrm>
          <a:off x="6428951" y="10036201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104351</xdr:colOff>
      <xdr:row>86</xdr:row>
      <xdr:rowOff>1313611</xdr:rowOff>
    </xdr:from>
    <xdr:to>
      <xdr:col>6</xdr:col>
      <xdr:colOff>711570</xdr:colOff>
      <xdr:row>86</xdr:row>
      <xdr:rowOff>1668417</xdr:rowOff>
    </xdr:to>
    <xdr:sp macro="" textlink="">
      <xdr:nvSpPr>
        <xdr:cNvPr id="17" name="Oval 16">
          <a:extLst>
            <a:ext uri="{FF2B5EF4-FFF2-40B4-BE49-F238E27FC236}">
              <a16:creationId xmlns:a16="http://schemas.microsoft.com/office/drawing/2014/main" id="{CB2111B6-F815-4EF8-9F00-7424E9559144}"/>
            </a:ext>
          </a:extLst>
        </xdr:cNvPr>
        <xdr:cNvSpPr/>
      </xdr:nvSpPr>
      <xdr:spPr>
        <a:xfrm>
          <a:off x="6423981" y="9739187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115946</xdr:colOff>
      <xdr:row>85</xdr:row>
      <xdr:rowOff>414120</xdr:rowOff>
    </xdr:from>
    <xdr:to>
      <xdr:col>6</xdr:col>
      <xdr:colOff>723165</xdr:colOff>
      <xdr:row>85</xdr:row>
      <xdr:rowOff>768926</xdr:rowOff>
    </xdr:to>
    <xdr:sp macro="" textlink="">
      <xdr:nvSpPr>
        <xdr:cNvPr id="18" name="Oval 17">
          <a:extLst>
            <a:ext uri="{FF2B5EF4-FFF2-40B4-BE49-F238E27FC236}">
              <a16:creationId xmlns:a16="http://schemas.microsoft.com/office/drawing/2014/main" id="{09867587-04AD-4BF2-95AC-FB605475FDED}"/>
            </a:ext>
          </a:extLst>
        </xdr:cNvPr>
        <xdr:cNvSpPr/>
      </xdr:nvSpPr>
      <xdr:spPr>
        <a:xfrm>
          <a:off x="6435576" y="9534938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94411</xdr:colOff>
      <xdr:row>84</xdr:row>
      <xdr:rowOff>1411346</xdr:rowOff>
    </xdr:from>
    <xdr:to>
      <xdr:col>6</xdr:col>
      <xdr:colOff>701630</xdr:colOff>
      <xdr:row>84</xdr:row>
      <xdr:rowOff>1766152</xdr:rowOff>
    </xdr:to>
    <xdr:sp macro="" textlink="">
      <xdr:nvSpPr>
        <xdr:cNvPr id="19" name="Oval 18">
          <a:extLst>
            <a:ext uri="{FF2B5EF4-FFF2-40B4-BE49-F238E27FC236}">
              <a16:creationId xmlns:a16="http://schemas.microsoft.com/office/drawing/2014/main" id="{42C36F55-5EB9-489C-8310-A5C9261A96F7}"/>
            </a:ext>
          </a:extLst>
        </xdr:cNvPr>
        <xdr:cNvSpPr/>
      </xdr:nvSpPr>
      <xdr:spPr>
        <a:xfrm>
          <a:off x="6414041" y="9323234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114289</xdr:colOff>
      <xdr:row>83</xdr:row>
      <xdr:rowOff>453877</xdr:rowOff>
    </xdr:from>
    <xdr:to>
      <xdr:col>6</xdr:col>
      <xdr:colOff>721508</xdr:colOff>
      <xdr:row>83</xdr:row>
      <xdr:rowOff>808683</xdr:rowOff>
    </xdr:to>
    <xdr:sp macro="" textlink="">
      <xdr:nvSpPr>
        <xdr:cNvPr id="20" name="Oval 19">
          <a:extLst>
            <a:ext uri="{FF2B5EF4-FFF2-40B4-BE49-F238E27FC236}">
              <a16:creationId xmlns:a16="http://schemas.microsoft.com/office/drawing/2014/main" id="{534F8136-AA49-44BF-8E56-3CCB429F4A08}"/>
            </a:ext>
          </a:extLst>
        </xdr:cNvPr>
        <xdr:cNvSpPr/>
      </xdr:nvSpPr>
      <xdr:spPr>
        <a:xfrm>
          <a:off x="6433919" y="9100763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84472</xdr:colOff>
      <xdr:row>82</xdr:row>
      <xdr:rowOff>332951</xdr:rowOff>
    </xdr:from>
    <xdr:to>
      <xdr:col>6</xdr:col>
      <xdr:colOff>691691</xdr:colOff>
      <xdr:row>82</xdr:row>
      <xdr:rowOff>687757</xdr:rowOff>
    </xdr:to>
    <xdr:sp macro="" textlink="">
      <xdr:nvSpPr>
        <xdr:cNvPr id="21" name="Oval 20">
          <a:extLst>
            <a:ext uri="{FF2B5EF4-FFF2-40B4-BE49-F238E27FC236}">
              <a16:creationId xmlns:a16="http://schemas.microsoft.com/office/drawing/2014/main" id="{693AE622-3711-49E0-B475-6AA1FCBC6DD2}"/>
            </a:ext>
          </a:extLst>
        </xdr:cNvPr>
        <xdr:cNvSpPr/>
      </xdr:nvSpPr>
      <xdr:spPr>
        <a:xfrm>
          <a:off x="6404102" y="8989279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104350</xdr:colOff>
      <xdr:row>81</xdr:row>
      <xdr:rowOff>452221</xdr:rowOff>
    </xdr:from>
    <xdr:to>
      <xdr:col>6</xdr:col>
      <xdr:colOff>711569</xdr:colOff>
      <xdr:row>81</xdr:row>
      <xdr:rowOff>807027</xdr:rowOff>
    </xdr:to>
    <xdr:sp macro="" textlink="">
      <xdr:nvSpPr>
        <xdr:cNvPr id="22" name="Oval 21">
          <a:extLst>
            <a:ext uri="{FF2B5EF4-FFF2-40B4-BE49-F238E27FC236}">
              <a16:creationId xmlns:a16="http://schemas.microsoft.com/office/drawing/2014/main" id="{010ECD87-A001-4FD4-A105-7FCA27B3C649}"/>
            </a:ext>
          </a:extLst>
        </xdr:cNvPr>
        <xdr:cNvSpPr/>
      </xdr:nvSpPr>
      <xdr:spPr>
        <a:xfrm>
          <a:off x="6423980" y="8875311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99380</xdr:colOff>
      <xdr:row>79</xdr:row>
      <xdr:rowOff>140795</xdr:rowOff>
    </xdr:from>
    <xdr:to>
      <xdr:col>6</xdr:col>
      <xdr:colOff>706599</xdr:colOff>
      <xdr:row>79</xdr:row>
      <xdr:rowOff>495601</xdr:rowOff>
    </xdr:to>
    <xdr:sp macro="" textlink="">
      <xdr:nvSpPr>
        <xdr:cNvPr id="23" name="Oval 22">
          <a:extLst>
            <a:ext uri="{FF2B5EF4-FFF2-40B4-BE49-F238E27FC236}">
              <a16:creationId xmlns:a16="http://schemas.microsoft.com/office/drawing/2014/main" id="{62AFD54B-DC12-4FAD-8A3E-BC326B49668A}"/>
            </a:ext>
          </a:extLst>
        </xdr:cNvPr>
        <xdr:cNvSpPr/>
      </xdr:nvSpPr>
      <xdr:spPr>
        <a:xfrm>
          <a:off x="6419010" y="8721586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119258</xdr:colOff>
      <xdr:row>78</xdr:row>
      <xdr:rowOff>284913</xdr:rowOff>
    </xdr:from>
    <xdr:to>
      <xdr:col>6</xdr:col>
      <xdr:colOff>726477</xdr:colOff>
      <xdr:row>78</xdr:row>
      <xdr:rowOff>639719</xdr:rowOff>
    </xdr:to>
    <xdr:sp macro="" textlink="">
      <xdr:nvSpPr>
        <xdr:cNvPr id="24" name="Oval 23">
          <a:extLst>
            <a:ext uri="{FF2B5EF4-FFF2-40B4-BE49-F238E27FC236}">
              <a16:creationId xmlns:a16="http://schemas.microsoft.com/office/drawing/2014/main" id="{2F5838EC-C655-44B9-A009-EEA63F45472A}"/>
            </a:ext>
          </a:extLst>
        </xdr:cNvPr>
        <xdr:cNvSpPr/>
      </xdr:nvSpPr>
      <xdr:spPr>
        <a:xfrm>
          <a:off x="6438888" y="8646545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81158</xdr:colOff>
      <xdr:row>77</xdr:row>
      <xdr:rowOff>130856</xdr:rowOff>
    </xdr:from>
    <xdr:to>
      <xdr:col>6</xdr:col>
      <xdr:colOff>688377</xdr:colOff>
      <xdr:row>77</xdr:row>
      <xdr:rowOff>485662</xdr:rowOff>
    </xdr:to>
    <xdr:sp macro="" textlink="">
      <xdr:nvSpPr>
        <xdr:cNvPr id="25" name="Oval 24">
          <a:extLst>
            <a:ext uri="{FF2B5EF4-FFF2-40B4-BE49-F238E27FC236}">
              <a16:creationId xmlns:a16="http://schemas.microsoft.com/office/drawing/2014/main" id="{E9D09AB2-DCC1-463D-8942-875802C2F821}"/>
            </a:ext>
          </a:extLst>
        </xdr:cNvPr>
        <xdr:cNvSpPr/>
      </xdr:nvSpPr>
      <xdr:spPr>
        <a:xfrm>
          <a:off x="6400788" y="8568192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142450</xdr:colOff>
      <xdr:row>75</xdr:row>
      <xdr:rowOff>109321</xdr:rowOff>
    </xdr:from>
    <xdr:to>
      <xdr:col>6</xdr:col>
      <xdr:colOff>749669</xdr:colOff>
      <xdr:row>75</xdr:row>
      <xdr:rowOff>464127</xdr:rowOff>
    </xdr:to>
    <xdr:sp macro="" textlink="">
      <xdr:nvSpPr>
        <xdr:cNvPr id="26" name="Oval 25">
          <a:extLst>
            <a:ext uri="{FF2B5EF4-FFF2-40B4-BE49-F238E27FC236}">
              <a16:creationId xmlns:a16="http://schemas.microsoft.com/office/drawing/2014/main" id="{0A3188E5-B06D-45F4-A179-EC38F5382C72}"/>
            </a:ext>
          </a:extLst>
        </xdr:cNvPr>
        <xdr:cNvSpPr/>
      </xdr:nvSpPr>
      <xdr:spPr>
        <a:xfrm>
          <a:off x="6462080" y="8440143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129198</xdr:colOff>
      <xdr:row>74</xdr:row>
      <xdr:rowOff>518483</xdr:rowOff>
    </xdr:from>
    <xdr:to>
      <xdr:col>6</xdr:col>
      <xdr:colOff>736417</xdr:colOff>
      <xdr:row>74</xdr:row>
      <xdr:rowOff>873289</xdr:rowOff>
    </xdr:to>
    <xdr:sp macro="" textlink="">
      <xdr:nvSpPr>
        <xdr:cNvPr id="27" name="Oval 26">
          <a:extLst>
            <a:ext uri="{FF2B5EF4-FFF2-40B4-BE49-F238E27FC236}">
              <a16:creationId xmlns:a16="http://schemas.microsoft.com/office/drawing/2014/main" id="{0C31A241-0FEC-418B-AA38-49AC72002BB5}"/>
            </a:ext>
          </a:extLst>
        </xdr:cNvPr>
        <xdr:cNvSpPr/>
      </xdr:nvSpPr>
      <xdr:spPr>
        <a:xfrm>
          <a:off x="6448828" y="8336113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132511</xdr:colOff>
      <xdr:row>73</xdr:row>
      <xdr:rowOff>314730</xdr:rowOff>
    </xdr:from>
    <xdr:to>
      <xdr:col>6</xdr:col>
      <xdr:colOff>739730</xdr:colOff>
      <xdr:row>73</xdr:row>
      <xdr:rowOff>669536</xdr:rowOff>
    </xdr:to>
    <xdr:sp macro="" textlink="">
      <xdr:nvSpPr>
        <xdr:cNvPr id="28" name="Oval 27">
          <a:extLst>
            <a:ext uri="{FF2B5EF4-FFF2-40B4-BE49-F238E27FC236}">
              <a16:creationId xmlns:a16="http://schemas.microsoft.com/office/drawing/2014/main" id="{25FF554F-F644-4B08-B8DD-F122FF1D926A}"/>
            </a:ext>
          </a:extLst>
        </xdr:cNvPr>
        <xdr:cNvSpPr/>
      </xdr:nvSpPr>
      <xdr:spPr>
        <a:xfrm>
          <a:off x="6452141" y="8220488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110976</xdr:colOff>
      <xdr:row>72</xdr:row>
      <xdr:rowOff>1138021</xdr:rowOff>
    </xdr:from>
    <xdr:to>
      <xdr:col>6</xdr:col>
      <xdr:colOff>718195</xdr:colOff>
      <xdr:row>72</xdr:row>
      <xdr:rowOff>1492827</xdr:rowOff>
    </xdr:to>
    <xdr:sp macro="" textlink="">
      <xdr:nvSpPr>
        <xdr:cNvPr id="29" name="Oval 28">
          <a:extLst>
            <a:ext uri="{FF2B5EF4-FFF2-40B4-BE49-F238E27FC236}">
              <a16:creationId xmlns:a16="http://schemas.microsoft.com/office/drawing/2014/main" id="{CEFB6A38-9440-4BE0-ADD8-B43924E63A90}"/>
            </a:ext>
          </a:extLst>
        </xdr:cNvPr>
        <xdr:cNvSpPr/>
      </xdr:nvSpPr>
      <xdr:spPr>
        <a:xfrm>
          <a:off x="6430606" y="8040258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106</xdr:row>
      <xdr:rowOff>3768587</xdr:rowOff>
    </xdr:from>
    <xdr:to>
      <xdr:col>6</xdr:col>
      <xdr:colOff>714893</xdr:colOff>
      <xdr:row>106</xdr:row>
      <xdr:rowOff>4123393</xdr:rowOff>
    </xdr:to>
    <xdr:sp macro="" textlink="">
      <xdr:nvSpPr>
        <xdr:cNvPr id="30" name="Oval 29">
          <a:extLst>
            <a:ext uri="{FF2B5EF4-FFF2-40B4-BE49-F238E27FC236}">
              <a16:creationId xmlns:a16="http://schemas.microsoft.com/office/drawing/2014/main" id="{6B967B16-FA70-4D5B-88FF-509C38A00252}"/>
            </a:ext>
          </a:extLst>
        </xdr:cNvPr>
        <xdr:cNvSpPr/>
      </xdr:nvSpPr>
      <xdr:spPr>
        <a:xfrm>
          <a:off x="6427304" y="12240867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115957</xdr:colOff>
      <xdr:row>108</xdr:row>
      <xdr:rowOff>314739</xdr:rowOff>
    </xdr:from>
    <xdr:to>
      <xdr:col>6</xdr:col>
      <xdr:colOff>723176</xdr:colOff>
      <xdr:row>108</xdr:row>
      <xdr:rowOff>669545</xdr:rowOff>
    </xdr:to>
    <xdr:sp macro="" textlink="">
      <xdr:nvSpPr>
        <xdr:cNvPr id="32" name="Oval 31">
          <a:extLst>
            <a:ext uri="{FF2B5EF4-FFF2-40B4-BE49-F238E27FC236}">
              <a16:creationId xmlns:a16="http://schemas.microsoft.com/office/drawing/2014/main" id="{701980A7-D51F-4EF0-B2E6-B76FC111F5F6}"/>
            </a:ext>
          </a:extLst>
        </xdr:cNvPr>
        <xdr:cNvSpPr/>
      </xdr:nvSpPr>
      <xdr:spPr>
        <a:xfrm>
          <a:off x="6435587" y="12687300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132522</xdr:colOff>
      <xdr:row>109</xdr:row>
      <xdr:rowOff>124239</xdr:rowOff>
    </xdr:from>
    <xdr:to>
      <xdr:col>6</xdr:col>
      <xdr:colOff>739741</xdr:colOff>
      <xdr:row>109</xdr:row>
      <xdr:rowOff>479045</xdr:rowOff>
    </xdr:to>
    <xdr:sp macro="" textlink="">
      <xdr:nvSpPr>
        <xdr:cNvPr id="33" name="Oval 32">
          <a:extLst>
            <a:ext uri="{FF2B5EF4-FFF2-40B4-BE49-F238E27FC236}">
              <a16:creationId xmlns:a16="http://schemas.microsoft.com/office/drawing/2014/main" id="{CD57588C-E628-4281-835A-580B4B060D17}"/>
            </a:ext>
          </a:extLst>
        </xdr:cNvPr>
        <xdr:cNvSpPr/>
      </xdr:nvSpPr>
      <xdr:spPr>
        <a:xfrm>
          <a:off x="6452152" y="12773439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102704</xdr:colOff>
      <xdr:row>110</xdr:row>
      <xdr:rowOff>135835</xdr:rowOff>
    </xdr:from>
    <xdr:to>
      <xdr:col>6</xdr:col>
      <xdr:colOff>709923</xdr:colOff>
      <xdr:row>110</xdr:row>
      <xdr:rowOff>490641</xdr:rowOff>
    </xdr:to>
    <xdr:sp macro="" textlink="">
      <xdr:nvSpPr>
        <xdr:cNvPr id="34" name="Oval 33">
          <a:extLst>
            <a:ext uri="{FF2B5EF4-FFF2-40B4-BE49-F238E27FC236}">
              <a16:creationId xmlns:a16="http://schemas.microsoft.com/office/drawing/2014/main" id="{2CFB8938-0C89-4236-90D0-5C68C62E84E2}"/>
            </a:ext>
          </a:extLst>
        </xdr:cNvPr>
        <xdr:cNvSpPr/>
      </xdr:nvSpPr>
      <xdr:spPr>
        <a:xfrm>
          <a:off x="6422334" y="12837546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111</xdr:row>
      <xdr:rowOff>240196</xdr:rowOff>
    </xdr:from>
    <xdr:to>
      <xdr:col>6</xdr:col>
      <xdr:colOff>706610</xdr:colOff>
      <xdr:row>111</xdr:row>
      <xdr:rowOff>595002</xdr:rowOff>
    </xdr:to>
    <xdr:sp macro="" textlink="">
      <xdr:nvSpPr>
        <xdr:cNvPr id="35" name="Oval 34">
          <a:extLst>
            <a:ext uri="{FF2B5EF4-FFF2-40B4-BE49-F238E27FC236}">
              <a16:creationId xmlns:a16="http://schemas.microsoft.com/office/drawing/2014/main" id="{B0766E63-722E-4DDA-B29F-9594A55F4BAE}"/>
            </a:ext>
          </a:extLst>
        </xdr:cNvPr>
        <xdr:cNvSpPr/>
      </xdr:nvSpPr>
      <xdr:spPr>
        <a:xfrm>
          <a:off x="6419021" y="12910930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112</xdr:row>
      <xdr:rowOff>256761</xdr:rowOff>
    </xdr:from>
    <xdr:to>
      <xdr:col>6</xdr:col>
      <xdr:colOff>698328</xdr:colOff>
      <xdr:row>112</xdr:row>
      <xdr:rowOff>611567</xdr:rowOff>
    </xdr:to>
    <xdr:sp macro="" textlink="">
      <xdr:nvSpPr>
        <xdr:cNvPr id="36" name="Oval 35">
          <a:extLst>
            <a:ext uri="{FF2B5EF4-FFF2-40B4-BE49-F238E27FC236}">
              <a16:creationId xmlns:a16="http://schemas.microsoft.com/office/drawing/2014/main" id="{2E0186C1-983F-4B79-BD54-460A1E39FE97}"/>
            </a:ext>
          </a:extLst>
        </xdr:cNvPr>
        <xdr:cNvSpPr/>
      </xdr:nvSpPr>
      <xdr:spPr>
        <a:xfrm>
          <a:off x="6410739" y="13001210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102705</xdr:colOff>
      <xdr:row>113</xdr:row>
      <xdr:rowOff>309770</xdr:rowOff>
    </xdr:from>
    <xdr:to>
      <xdr:col>6</xdr:col>
      <xdr:colOff>709924</xdr:colOff>
      <xdr:row>113</xdr:row>
      <xdr:rowOff>664576</xdr:rowOff>
    </xdr:to>
    <xdr:sp macro="" textlink="">
      <xdr:nvSpPr>
        <xdr:cNvPr id="37" name="Oval 36">
          <a:extLst>
            <a:ext uri="{FF2B5EF4-FFF2-40B4-BE49-F238E27FC236}">
              <a16:creationId xmlns:a16="http://schemas.microsoft.com/office/drawing/2014/main" id="{1E89AD46-A095-4F60-8D1D-665E7C0ABDAF}"/>
            </a:ext>
          </a:extLst>
        </xdr:cNvPr>
        <xdr:cNvSpPr/>
      </xdr:nvSpPr>
      <xdr:spPr>
        <a:xfrm>
          <a:off x="6422335" y="13090166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114301</xdr:colOff>
      <xdr:row>114</xdr:row>
      <xdr:rowOff>114300</xdr:rowOff>
    </xdr:from>
    <xdr:to>
      <xdr:col>6</xdr:col>
      <xdr:colOff>721520</xdr:colOff>
      <xdr:row>114</xdr:row>
      <xdr:rowOff>469106</xdr:rowOff>
    </xdr:to>
    <xdr:sp macro="" textlink="">
      <xdr:nvSpPr>
        <xdr:cNvPr id="38" name="Oval 37">
          <a:extLst>
            <a:ext uri="{FF2B5EF4-FFF2-40B4-BE49-F238E27FC236}">
              <a16:creationId xmlns:a16="http://schemas.microsoft.com/office/drawing/2014/main" id="{7E7AD1D1-6E5A-4EC6-BB90-C5501130DCBE}"/>
            </a:ext>
          </a:extLst>
        </xdr:cNvPr>
        <xdr:cNvSpPr/>
      </xdr:nvSpPr>
      <xdr:spPr>
        <a:xfrm>
          <a:off x="6433931" y="13167525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116</xdr:row>
      <xdr:rowOff>223630</xdr:rowOff>
    </xdr:from>
    <xdr:to>
      <xdr:col>6</xdr:col>
      <xdr:colOff>723175</xdr:colOff>
      <xdr:row>116</xdr:row>
      <xdr:rowOff>578436</xdr:rowOff>
    </xdr:to>
    <xdr:sp macro="" textlink="">
      <xdr:nvSpPr>
        <xdr:cNvPr id="39" name="Oval 38">
          <a:extLst>
            <a:ext uri="{FF2B5EF4-FFF2-40B4-BE49-F238E27FC236}">
              <a16:creationId xmlns:a16="http://schemas.microsoft.com/office/drawing/2014/main" id="{E0107C18-4AAA-47A5-9F49-4CE0786BAB06}"/>
            </a:ext>
          </a:extLst>
        </xdr:cNvPr>
        <xdr:cNvSpPr/>
      </xdr:nvSpPr>
      <xdr:spPr>
        <a:xfrm>
          <a:off x="6435586" y="13304354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69574</xdr:colOff>
      <xdr:row>117</xdr:row>
      <xdr:rowOff>110987</xdr:rowOff>
    </xdr:from>
    <xdr:to>
      <xdr:col>6</xdr:col>
      <xdr:colOff>676793</xdr:colOff>
      <xdr:row>117</xdr:row>
      <xdr:rowOff>465793</xdr:rowOff>
    </xdr:to>
    <xdr:sp macro="" textlink="">
      <xdr:nvSpPr>
        <xdr:cNvPr id="40" name="Oval 39">
          <a:extLst>
            <a:ext uri="{FF2B5EF4-FFF2-40B4-BE49-F238E27FC236}">
              <a16:creationId xmlns:a16="http://schemas.microsoft.com/office/drawing/2014/main" id="{A4B016C2-042D-409A-A1EB-6704D95180BA}"/>
            </a:ext>
          </a:extLst>
        </xdr:cNvPr>
        <xdr:cNvSpPr/>
      </xdr:nvSpPr>
      <xdr:spPr>
        <a:xfrm>
          <a:off x="6389204" y="13379229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122583</xdr:colOff>
      <xdr:row>118</xdr:row>
      <xdr:rowOff>139147</xdr:rowOff>
    </xdr:from>
    <xdr:to>
      <xdr:col>6</xdr:col>
      <xdr:colOff>729802</xdr:colOff>
      <xdr:row>118</xdr:row>
      <xdr:rowOff>493953</xdr:rowOff>
    </xdr:to>
    <xdr:sp macro="" textlink="">
      <xdr:nvSpPr>
        <xdr:cNvPr id="41" name="Oval 40">
          <a:extLst>
            <a:ext uri="{FF2B5EF4-FFF2-40B4-BE49-F238E27FC236}">
              <a16:creationId xmlns:a16="http://schemas.microsoft.com/office/drawing/2014/main" id="{8C569ED5-9DB6-4F75-890C-358E86D4D6EE}"/>
            </a:ext>
          </a:extLst>
        </xdr:cNvPr>
        <xdr:cNvSpPr/>
      </xdr:nvSpPr>
      <xdr:spPr>
        <a:xfrm>
          <a:off x="6442213" y="13444993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84483</xdr:colOff>
      <xdr:row>119</xdr:row>
      <xdr:rowOff>125895</xdr:rowOff>
    </xdr:from>
    <xdr:to>
      <xdr:col>6</xdr:col>
      <xdr:colOff>691702</xdr:colOff>
      <xdr:row>119</xdr:row>
      <xdr:rowOff>480701</xdr:rowOff>
    </xdr:to>
    <xdr:sp macro="" textlink="">
      <xdr:nvSpPr>
        <xdr:cNvPr id="42" name="Oval 41">
          <a:extLst>
            <a:ext uri="{FF2B5EF4-FFF2-40B4-BE49-F238E27FC236}">
              <a16:creationId xmlns:a16="http://schemas.microsoft.com/office/drawing/2014/main" id="{2782851E-6E0B-47C0-A996-4AB72356E709}"/>
            </a:ext>
          </a:extLst>
        </xdr:cNvPr>
        <xdr:cNvSpPr/>
      </xdr:nvSpPr>
      <xdr:spPr>
        <a:xfrm>
          <a:off x="6404113" y="13506615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87796</xdr:colOff>
      <xdr:row>120</xdr:row>
      <xdr:rowOff>377687</xdr:rowOff>
    </xdr:from>
    <xdr:to>
      <xdr:col>6</xdr:col>
      <xdr:colOff>695015</xdr:colOff>
      <xdr:row>120</xdr:row>
      <xdr:rowOff>732493</xdr:rowOff>
    </xdr:to>
    <xdr:sp macro="" textlink="">
      <xdr:nvSpPr>
        <xdr:cNvPr id="43" name="Oval 42">
          <a:extLst>
            <a:ext uri="{FF2B5EF4-FFF2-40B4-BE49-F238E27FC236}">
              <a16:creationId xmlns:a16="http://schemas.microsoft.com/office/drawing/2014/main" id="{27A2B8EC-32B0-45D5-AFA3-D1936800D226}"/>
            </a:ext>
          </a:extLst>
        </xdr:cNvPr>
        <xdr:cNvSpPr/>
      </xdr:nvSpPr>
      <xdr:spPr>
        <a:xfrm>
          <a:off x="6407426" y="13594742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140805</xdr:colOff>
      <xdr:row>121</xdr:row>
      <xdr:rowOff>107674</xdr:rowOff>
    </xdr:from>
    <xdr:to>
      <xdr:col>6</xdr:col>
      <xdr:colOff>748024</xdr:colOff>
      <xdr:row>121</xdr:row>
      <xdr:rowOff>462480</xdr:rowOff>
    </xdr:to>
    <xdr:sp macro="" textlink="">
      <xdr:nvSpPr>
        <xdr:cNvPr id="44" name="Oval 43">
          <a:extLst>
            <a:ext uri="{FF2B5EF4-FFF2-40B4-BE49-F238E27FC236}">
              <a16:creationId xmlns:a16="http://schemas.microsoft.com/office/drawing/2014/main" id="{6B369441-F6BF-42D0-BF2B-EAEA02E4C98F}"/>
            </a:ext>
          </a:extLst>
        </xdr:cNvPr>
        <xdr:cNvSpPr/>
      </xdr:nvSpPr>
      <xdr:spPr>
        <a:xfrm>
          <a:off x="6460435" y="13670445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99392</xdr:colOff>
      <xdr:row>123</xdr:row>
      <xdr:rowOff>364435</xdr:rowOff>
    </xdr:from>
    <xdr:to>
      <xdr:col>6</xdr:col>
      <xdr:colOff>706611</xdr:colOff>
      <xdr:row>123</xdr:row>
      <xdr:rowOff>719241</xdr:rowOff>
    </xdr:to>
    <xdr:sp macro="" textlink="">
      <xdr:nvSpPr>
        <xdr:cNvPr id="45" name="Oval 44">
          <a:extLst>
            <a:ext uri="{FF2B5EF4-FFF2-40B4-BE49-F238E27FC236}">
              <a16:creationId xmlns:a16="http://schemas.microsoft.com/office/drawing/2014/main" id="{DBFC11A5-7AF5-4616-B80D-C781154083A1}"/>
            </a:ext>
          </a:extLst>
        </xdr:cNvPr>
        <xdr:cNvSpPr/>
      </xdr:nvSpPr>
      <xdr:spPr>
        <a:xfrm>
          <a:off x="6419022" y="13822017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102705</xdr:colOff>
      <xdr:row>124</xdr:row>
      <xdr:rowOff>309770</xdr:rowOff>
    </xdr:from>
    <xdr:to>
      <xdr:col>6</xdr:col>
      <xdr:colOff>709924</xdr:colOff>
      <xdr:row>124</xdr:row>
      <xdr:rowOff>664576</xdr:rowOff>
    </xdr:to>
    <xdr:sp macro="" textlink="">
      <xdr:nvSpPr>
        <xdr:cNvPr id="46" name="Oval 45">
          <a:extLst>
            <a:ext uri="{FF2B5EF4-FFF2-40B4-BE49-F238E27FC236}">
              <a16:creationId xmlns:a16="http://schemas.microsoft.com/office/drawing/2014/main" id="{BC138390-0497-4828-ACE3-439906CF7FCB}"/>
            </a:ext>
          </a:extLst>
        </xdr:cNvPr>
        <xdr:cNvSpPr/>
      </xdr:nvSpPr>
      <xdr:spPr>
        <a:xfrm>
          <a:off x="6422335" y="13926709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130866</xdr:colOff>
      <xdr:row>125</xdr:row>
      <xdr:rowOff>362779</xdr:rowOff>
    </xdr:from>
    <xdr:to>
      <xdr:col>6</xdr:col>
      <xdr:colOff>738085</xdr:colOff>
      <xdr:row>125</xdr:row>
      <xdr:rowOff>717585</xdr:rowOff>
    </xdr:to>
    <xdr:sp macro="" textlink="">
      <xdr:nvSpPr>
        <xdr:cNvPr id="47" name="Oval 46">
          <a:extLst>
            <a:ext uri="{FF2B5EF4-FFF2-40B4-BE49-F238E27FC236}">
              <a16:creationId xmlns:a16="http://schemas.microsoft.com/office/drawing/2014/main" id="{F7BA4A49-6736-47CB-893C-53E0EEEE205B}"/>
            </a:ext>
          </a:extLst>
        </xdr:cNvPr>
        <xdr:cNvSpPr/>
      </xdr:nvSpPr>
      <xdr:spPr>
        <a:xfrm>
          <a:off x="6450496" y="14033886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59636</xdr:colOff>
      <xdr:row>126</xdr:row>
      <xdr:rowOff>332961</xdr:rowOff>
    </xdr:from>
    <xdr:to>
      <xdr:col>6</xdr:col>
      <xdr:colOff>666855</xdr:colOff>
      <xdr:row>126</xdr:row>
      <xdr:rowOff>687767</xdr:rowOff>
    </xdr:to>
    <xdr:sp macro="" textlink="">
      <xdr:nvSpPr>
        <xdr:cNvPr id="48" name="Oval 47">
          <a:extLst>
            <a:ext uri="{FF2B5EF4-FFF2-40B4-BE49-F238E27FC236}">
              <a16:creationId xmlns:a16="http://schemas.microsoft.com/office/drawing/2014/main" id="{39D44185-CEBF-4BF7-A025-01A3FB6D9B3C}"/>
            </a:ext>
          </a:extLst>
        </xdr:cNvPr>
        <xdr:cNvSpPr/>
      </xdr:nvSpPr>
      <xdr:spPr>
        <a:xfrm>
          <a:off x="6379266" y="14139407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112645</xdr:colOff>
      <xdr:row>127</xdr:row>
      <xdr:rowOff>178904</xdr:rowOff>
    </xdr:from>
    <xdr:to>
      <xdr:col>6</xdr:col>
      <xdr:colOff>719864</xdr:colOff>
      <xdr:row>127</xdr:row>
      <xdr:rowOff>533710</xdr:rowOff>
    </xdr:to>
    <xdr:sp macro="" textlink="">
      <xdr:nvSpPr>
        <xdr:cNvPr id="49" name="Oval 48">
          <a:extLst>
            <a:ext uri="{FF2B5EF4-FFF2-40B4-BE49-F238E27FC236}">
              <a16:creationId xmlns:a16="http://schemas.microsoft.com/office/drawing/2014/main" id="{050007B9-6368-469C-9772-AF77DB81D931}"/>
            </a:ext>
          </a:extLst>
        </xdr:cNvPr>
        <xdr:cNvSpPr/>
      </xdr:nvSpPr>
      <xdr:spPr>
        <a:xfrm>
          <a:off x="6432275" y="14225049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129</xdr:row>
      <xdr:rowOff>173935</xdr:rowOff>
    </xdr:from>
    <xdr:to>
      <xdr:col>6</xdr:col>
      <xdr:colOff>714893</xdr:colOff>
      <xdr:row>129</xdr:row>
      <xdr:rowOff>528741</xdr:rowOff>
    </xdr:to>
    <xdr:sp macro="" textlink="">
      <xdr:nvSpPr>
        <xdr:cNvPr id="50" name="Oval 49">
          <a:extLst>
            <a:ext uri="{FF2B5EF4-FFF2-40B4-BE49-F238E27FC236}">
              <a16:creationId xmlns:a16="http://schemas.microsoft.com/office/drawing/2014/main" id="{6B65EDD5-7FD4-435D-B041-485F928325C2}"/>
            </a:ext>
          </a:extLst>
        </xdr:cNvPr>
        <xdr:cNvSpPr/>
      </xdr:nvSpPr>
      <xdr:spPr>
        <a:xfrm>
          <a:off x="6427304" y="14362043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102705</xdr:colOff>
      <xdr:row>128</xdr:row>
      <xdr:rowOff>185531</xdr:rowOff>
    </xdr:from>
    <xdr:to>
      <xdr:col>6</xdr:col>
      <xdr:colOff>709924</xdr:colOff>
      <xdr:row>128</xdr:row>
      <xdr:rowOff>540337</xdr:rowOff>
    </xdr:to>
    <xdr:sp macro="" textlink="">
      <xdr:nvSpPr>
        <xdr:cNvPr id="51" name="Oval 50">
          <a:extLst>
            <a:ext uri="{FF2B5EF4-FFF2-40B4-BE49-F238E27FC236}">
              <a16:creationId xmlns:a16="http://schemas.microsoft.com/office/drawing/2014/main" id="{8E6045AC-DFD0-4D5D-BD22-72A2DDD6D5D4}"/>
            </a:ext>
          </a:extLst>
        </xdr:cNvPr>
        <xdr:cNvSpPr/>
      </xdr:nvSpPr>
      <xdr:spPr>
        <a:xfrm>
          <a:off x="6422335" y="14294457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72887</xdr:colOff>
      <xdr:row>130</xdr:row>
      <xdr:rowOff>147430</xdr:rowOff>
    </xdr:from>
    <xdr:to>
      <xdr:col>6</xdr:col>
      <xdr:colOff>680106</xdr:colOff>
      <xdr:row>130</xdr:row>
      <xdr:rowOff>502236</xdr:rowOff>
    </xdr:to>
    <xdr:sp macro="" textlink="">
      <xdr:nvSpPr>
        <xdr:cNvPr id="52" name="Oval 51">
          <a:extLst>
            <a:ext uri="{FF2B5EF4-FFF2-40B4-BE49-F238E27FC236}">
              <a16:creationId xmlns:a16="http://schemas.microsoft.com/office/drawing/2014/main" id="{E2D58C16-CEA5-4831-AB36-6102A0D3293C}"/>
            </a:ext>
          </a:extLst>
        </xdr:cNvPr>
        <xdr:cNvSpPr/>
      </xdr:nvSpPr>
      <xdr:spPr>
        <a:xfrm>
          <a:off x="6392517" y="14422340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99392</xdr:colOff>
      <xdr:row>131</xdr:row>
      <xdr:rowOff>115957</xdr:rowOff>
    </xdr:from>
    <xdr:to>
      <xdr:col>6</xdr:col>
      <xdr:colOff>706611</xdr:colOff>
      <xdr:row>131</xdr:row>
      <xdr:rowOff>470763</xdr:rowOff>
    </xdr:to>
    <xdr:sp macro="" textlink="">
      <xdr:nvSpPr>
        <xdr:cNvPr id="53" name="Oval 52">
          <a:extLst>
            <a:ext uri="{FF2B5EF4-FFF2-40B4-BE49-F238E27FC236}">
              <a16:creationId xmlns:a16="http://schemas.microsoft.com/office/drawing/2014/main" id="{E3EC09F1-8B0B-4090-9541-B6EB3807BA61}"/>
            </a:ext>
          </a:extLst>
        </xdr:cNvPr>
        <xdr:cNvSpPr/>
      </xdr:nvSpPr>
      <xdr:spPr>
        <a:xfrm>
          <a:off x="6419022" y="14482141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94422</xdr:colOff>
      <xdr:row>132</xdr:row>
      <xdr:rowOff>127553</xdr:rowOff>
    </xdr:from>
    <xdr:to>
      <xdr:col>6</xdr:col>
      <xdr:colOff>701641</xdr:colOff>
      <xdr:row>132</xdr:row>
      <xdr:rowOff>482359</xdr:rowOff>
    </xdr:to>
    <xdr:sp macro="" textlink="">
      <xdr:nvSpPr>
        <xdr:cNvPr id="54" name="Oval 53">
          <a:extLst>
            <a:ext uri="{FF2B5EF4-FFF2-40B4-BE49-F238E27FC236}">
              <a16:creationId xmlns:a16="http://schemas.microsoft.com/office/drawing/2014/main" id="{9BF41AC7-726F-4A51-BCE7-A037CA74AD41}"/>
            </a:ext>
          </a:extLst>
        </xdr:cNvPr>
        <xdr:cNvSpPr/>
      </xdr:nvSpPr>
      <xdr:spPr>
        <a:xfrm>
          <a:off x="6414052" y="14546248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114300</xdr:colOff>
      <xdr:row>133</xdr:row>
      <xdr:rowOff>114301</xdr:rowOff>
    </xdr:from>
    <xdr:to>
      <xdr:col>6</xdr:col>
      <xdr:colOff>721519</xdr:colOff>
      <xdr:row>133</xdr:row>
      <xdr:rowOff>469107</xdr:rowOff>
    </xdr:to>
    <xdr:sp macro="" textlink="">
      <xdr:nvSpPr>
        <xdr:cNvPr id="55" name="Oval 54">
          <a:extLst>
            <a:ext uri="{FF2B5EF4-FFF2-40B4-BE49-F238E27FC236}">
              <a16:creationId xmlns:a16="http://schemas.microsoft.com/office/drawing/2014/main" id="{78056033-48C8-409C-AB48-37C4AA225CDF}"/>
            </a:ext>
          </a:extLst>
        </xdr:cNvPr>
        <xdr:cNvSpPr/>
      </xdr:nvSpPr>
      <xdr:spPr>
        <a:xfrm>
          <a:off x="6433930" y="14607871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117613</xdr:colOff>
      <xdr:row>134</xdr:row>
      <xdr:rowOff>142462</xdr:rowOff>
    </xdr:from>
    <xdr:to>
      <xdr:col>6</xdr:col>
      <xdr:colOff>724832</xdr:colOff>
      <xdr:row>134</xdr:row>
      <xdr:rowOff>497268</xdr:rowOff>
    </xdr:to>
    <xdr:sp macro="" textlink="">
      <xdr:nvSpPr>
        <xdr:cNvPr id="56" name="Oval 55">
          <a:extLst>
            <a:ext uri="{FF2B5EF4-FFF2-40B4-BE49-F238E27FC236}">
              <a16:creationId xmlns:a16="http://schemas.microsoft.com/office/drawing/2014/main" id="{3E0B632E-851E-4823-9044-707AE010DF04}"/>
            </a:ext>
          </a:extLst>
        </xdr:cNvPr>
        <xdr:cNvSpPr/>
      </xdr:nvSpPr>
      <xdr:spPr>
        <a:xfrm>
          <a:off x="6437243" y="14673635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129208</xdr:colOff>
      <xdr:row>135</xdr:row>
      <xdr:rowOff>129209</xdr:rowOff>
    </xdr:from>
    <xdr:to>
      <xdr:col>6</xdr:col>
      <xdr:colOff>736427</xdr:colOff>
      <xdr:row>135</xdr:row>
      <xdr:rowOff>484015</xdr:rowOff>
    </xdr:to>
    <xdr:sp macro="" textlink="">
      <xdr:nvSpPr>
        <xdr:cNvPr id="57" name="Oval 56">
          <a:extLst>
            <a:ext uri="{FF2B5EF4-FFF2-40B4-BE49-F238E27FC236}">
              <a16:creationId xmlns:a16="http://schemas.microsoft.com/office/drawing/2014/main" id="{7A55EDCF-2AE6-4F02-9BBB-B575B669DBC9}"/>
            </a:ext>
          </a:extLst>
        </xdr:cNvPr>
        <xdr:cNvSpPr/>
      </xdr:nvSpPr>
      <xdr:spPr>
        <a:xfrm>
          <a:off x="6448838" y="14735257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136</xdr:row>
      <xdr:rowOff>115957</xdr:rowOff>
    </xdr:from>
    <xdr:to>
      <xdr:col>6</xdr:col>
      <xdr:colOff>714893</xdr:colOff>
      <xdr:row>136</xdr:row>
      <xdr:rowOff>470763</xdr:rowOff>
    </xdr:to>
    <xdr:sp macro="" textlink="">
      <xdr:nvSpPr>
        <xdr:cNvPr id="58" name="Oval 57">
          <a:extLst>
            <a:ext uri="{FF2B5EF4-FFF2-40B4-BE49-F238E27FC236}">
              <a16:creationId xmlns:a16="http://schemas.microsoft.com/office/drawing/2014/main" id="{DB29CD70-4ED1-4279-814A-A5DF063F4BD4}"/>
            </a:ext>
          </a:extLst>
        </xdr:cNvPr>
        <xdr:cNvSpPr/>
      </xdr:nvSpPr>
      <xdr:spPr>
        <a:xfrm>
          <a:off x="6427304" y="14796880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102705</xdr:colOff>
      <xdr:row>137</xdr:row>
      <xdr:rowOff>144119</xdr:rowOff>
    </xdr:from>
    <xdr:to>
      <xdr:col>6</xdr:col>
      <xdr:colOff>709924</xdr:colOff>
      <xdr:row>137</xdr:row>
      <xdr:rowOff>498925</xdr:rowOff>
    </xdr:to>
    <xdr:sp macro="" textlink="">
      <xdr:nvSpPr>
        <xdr:cNvPr id="59" name="Oval 58">
          <a:extLst>
            <a:ext uri="{FF2B5EF4-FFF2-40B4-BE49-F238E27FC236}">
              <a16:creationId xmlns:a16="http://schemas.microsoft.com/office/drawing/2014/main" id="{02F7869D-C63E-4B0C-B444-240A0E2DFC20}"/>
            </a:ext>
          </a:extLst>
        </xdr:cNvPr>
        <xdr:cNvSpPr/>
      </xdr:nvSpPr>
      <xdr:spPr>
        <a:xfrm>
          <a:off x="6422335" y="14862644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106018</xdr:colOff>
      <xdr:row>138</xdr:row>
      <xdr:rowOff>155714</xdr:rowOff>
    </xdr:from>
    <xdr:to>
      <xdr:col>6</xdr:col>
      <xdr:colOff>713237</xdr:colOff>
      <xdr:row>138</xdr:row>
      <xdr:rowOff>510520</xdr:rowOff>
    </xdr:to>
    <xdr:sp macro="" textlink="">
      <xdr:nvSpPr>
        <xdr:cNvPr id="60" name="Oval 59">
          <a:extLst>
            <a:ext uri="{FF2B5EF4-FFF2-40B4-BE49-F238E27FC236}">
              <a16:creationId xmlns:a16="http://schemas.microsoft.com/office/drawing/2014/main" id="{27A933E4-DACE-4894-8987-16CC43877DC9}"/>
            </a:ext>
          </a:extLst>
        </xdr:cNvPr>
        <xdr:cNvSpPr/>
      </xdr:nvSpPr>
      <xdr:spPr>
        <a:xfrm>
          <a:off x="6425648" y="14926751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101049</xdr:colOff>
      <xdr:row>139</xdr:row>
      <xdr:rowOff>332961</xdr:rowOff>
    </xdr:from>
    <xdr:to>
      <xdr:col>6</xdr:col>
      <xdr:colOff>708268</xdr:colOff>
      <xdr:row>139</xdr:row>
      <xdr:rowOff>687767</xdr:rowOff>
    </xdr:to>
    <xdr:sp macro="" textlink="">
      <xdr:nvSpPr>
        <xdr:cNvPr id="61" name="Oval 60">
          <a:extLst>
            <a:ext uri="{FF2B5EF4-FFF2-40B4-BE49-F238E27FC236}">
              <a16:creationId xmlns:a16="http://schemas.microsoft.com/office/drawing/2014/main" id="{B49DF57A-1567-4195-A746-3278A989C8EC}"/>
            </a:ext>
          </a:extLst>
        </xdr:cNvPr>
        <xdr:cNvSpPr/>
      </xdr:nvSpPr>
      <xdr:spPr>
        <a:xfrm>
          <a:off x="6420679" y="15007424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96079</xdr:colOff>
      <xdr:row>140</xdr:row>
      <xdr:rowOff>129208</xdr:rowOff>
    </xdr:from>
    <xdr:to>
      <xdr:col>6</xdr:col>
      <xdr:colOff>703298</xdr:colOff>
      <xdr:row>140</xdr:row>
      <xdr:rowOff>484014</xdr:rowOff>
    </xdr:to>
    <xdr:sp macro="" textlink="">
      <xdr:nvSpPr>
        <xdr:cNvPr id="62" name="Oval 61">
          <a:extLst>
            <a:ext uri="{FF2B5EF4-FFF2-40B4-BE49-F238E27FC236}">
              <a16:creationId xmlns:a16="http://schemas.microsoft.com/office/drawing/2014/main" id="{749F64B8-0CA6-473E-BBD3-75B8842EFACB}"/>
            </a:ext>
          </a:extLst>
        </xdr:cNvPr>
        <xdr:cNvSpPr/>
      </xdr:nvSpPr>
      <xdr:spPr>
        <a:xfrm>
          <a:off x="6415709" y="15093066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107675</xdr:colOff>
      <xdr:row>142</xdr:row>
      <xdr:rowOff>132521</xdr:rowOff>
    </xdr:from>
    <xdr:to>
      <xdr:col>6</xdr:col>
      <xdr:colOff>714894</xdr:colOff>
      <xdr:row>142</xdr:row>
      <xdr:rowOff>487327</xdr:rowOff>
    </xdr:to>
    <xdr:sp macro="" textlink="">
      <xdr:nvSpPr>
        <xdr:cNvPr id="63" name="Oval 62">
          <a:extLst>
            <a:ext uri="{FF2B5EF4-FFF2-40B4-BE49-F238E27FC236}">
              <a16:creationId xmlns:a16="http://schemas.microsoft.com/office/drawing/2014/main" id="{E2947C28-3B67-47FD-A177-83BE23DCE067}"/>
            </a:ext>
          </a:extLst>
        </xdr:cNvPr>
        <xdr:cNvSpPr/>
      </xdr:nvSpPr>
      <xdr:spPr>
        <a:xfrm>
          <a:off x="6427305" y="15262363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102705</xdr:colOff>
      <xdr:row>141</xdr:row>
      <xdr:rowOff>359465</xdr:rowOff>
    </xdr:from>
    <xdr:to>
      <xdr:col>6</xdr:col>
      <xdr:colOff>709924</xdr:colOff>
      <xdr:row>141</xdr:row>
      <xdr:rowOff>714271</xdr:rowOff>
    </xdr:to>
    <xdr:sp macro="" textlink="">
      <xdr:nvSpPr>
        <xdr:cNvPr id="64" name="Oval 63">
          <a:extLst>
            <a:ext uri="{FF2B5EF4-FFF2-40B4-BE49-F238E27FC236}">
              <a16:creationId xmlns:a16="http://schemas.microsoft.com/office/drawing/2014/main" id="{9083F16E-6820-4DD1-B0B8-FDBDB127CA95}"/>
            </a:ext>
          </a:extLst>
        </xdr:cNvPr>
        <xdr:cNvSpPr/>
      </xdr:nvSpPr>
      <xdr:spPr>
        <a:xfrm>
          <a:off x="6422335" y="15179040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143</xdr:row>
      <xdr:rowOff>149087</xdr:rowOff>
    </xdr:from>
    <xdr:to>
      <xdr:col>6</xdr:col>
      <xdr:colOff>690045</xdr:colOff>
      <xdr:row>143</xdr:row>
      <xdr:rowOff>503893</xdr:rowOff>
    </xdr:to>
    <xdr:sp macro="" textlink="">
      <xdr:nvSpPr>
        <xdr:cNvPr id="65" name="Oval 64">
          <a:extLst>
            <a:ext uri="{FF2B5EF4-FFF2-40B4-BE49-F238E27FC236}">
              <a16:creationId xmlns:a16="http://schemas.microsoft.com/office/drawing/2014/main" id="{409C3152-3B52-4495-BAA9-92844C4D53AF}"/>
            </a:ext>
          </a:extLst>
        </xdr:cNvPr>
        <xdr:cNvSpPr/>
      </xdr:nvSpPr>
      <xdr:spPr>
        <a:xfrm>
          <a:off x="6402456" y="15326967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119269</xdr:colOff>
      <xdr:row>144</xdr:row>
      <xdr:rowOff>127552</xdr:rowOff>
    </xdr:from>
    <xdr:to>
      <xdr:col>6</xdr:col>
      <xdr:colOff>726488</xdr:colOff>
      <xdr:row>144</xdr:row>
      <xdr:rowOff>482358</xdr:rowOff>
    </xdr:to>
    <xdr:sp macro="" textlink="">
      <xdr:nvSpPr>
        <xdr:cNvPr id="66" name="Oval 65">
          <a:extLst>
            <a:ext uri="{FF2B5EF4-FFF2-40B4-BE49-F238E27FC236}">
              <a16:creationId xmlns:a16="http://schemas.microsoft.com/office/drawing/2014/main" id="{3989DE06-1066-46D7-94FC-0617F1A58779}"/>
            </a:ext>
          </a:extLst>
        </xdr:cNvPr>
        <xdr:cNvSpPr/>
      </xdr:nvSpPr>
      <xdr:spPr>
        <a:xfrm>
          <a:off x="6438899" y="15387761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97734</xdr:colOff>
      <xdr:row>145</xdr:row>
      <xdr:rowOff>163995</xdr:rowOff>
    </xdr:from>
    <xdr:to>
      <xdr:col>6</xdr:col>
      <xdr:colOff>704953</xdr:colOff>
      <xdr:row>145</xdr:row>
      <xdr:rowOff>518801</xdr:rowOff>
    </xdr:to>
    <xdr:sp macro="" textlink="">
      <xdr:nvSpPr>
        <xdr:cNvPr id="67" name="Oval 66">
          <a:extLst>
            <a:ext uri="{FF2B5EF4-FFF2-40B4-BE49-F238E27FC236}">
              <a16:creationId xmlns:a16="http://schemas.microsoft.com/office/drawing/2014/main" id="{D9C7327D-24D3-4553-9E02-4224FE6685F3}"/>
            </a:ext>
          </a:extLst>
        </xdr:cNvPr>
        <xdr:cNvSpPr/>
      </xdr:nvSpPr>
      <xdr:spPr>
        <a:xfrm>
          <a:off x="6417364" y="15454353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101047</xdr:colOff>
      <xdr:row>146</xdr:row>
      <xdr:rowOff>109329</xdr:rowOff>
    </xdr:from>
    <xdr:to>
      <xdr:col>6</xdr:col>
      <xdr:colOff>708266</xdr:colOff>
      <xdr:row>146</xdr:row>
      <xdr:rowOff>464135</xdr:rowOff>
    </xdr:to>
    <xdr:sp macro="" textlink="">
      <xdr:nvSpPr>
        <xdr:cNvPr id="68" name="Oval 67">
          <a:extLst>
            <a:ext uri="{FF2B5EF4-FFF2-40B4-BE49-F238E27FC236}">
              <a16:creationId xmlns:a16="http://schemas.microsoft.com/office/drawing/2014/main" id="{37C728F1-63DD-49D0-8111-311F883B8437}"/>
            </a:ext>
          </a:extLst>
        </xdr:cNvPr>
        <xdr:cNvSpPr/>
      </xdr:nvSpPr>
      <xdr:spPr>
        <a:xfrm>
          <a:off x="6420677" y="15511835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112643</xdr:colOff>
      <xdr:row>147</xdr:row>
      <xdr:rowOff>129207</xdr:rowOff>
    </xdr:from>
    <xdr:to>
      <xdr:col>6</xdr:col>
      <xdr:colOff>719862</xdr:colOff>
      <xdr:row>147</xdr:row>
      <xdr:rowOff>484013</xdr:rowOff>
    </xdr:to>
    <xdr:sp macro="" textlink="">
      <xdr:nvSpPr>
        <xdr:cNvPr id="69" name="Oval 68">
          <a:extLst>
            <a:ext uri="{FF2B5EF4-FFF2-40B4-BE49-F238E27FC236}">
              <a16:creationId xmlns:a16="http://schemas.microsoft.com/office/drawing/2014/main" id="{060F831E-261A-47BE-9791-8EBD5E3DC7ED}"/>
            </a:ext>
          </a:extLst>
        </xdr:cNvPr>
        <xdr:cNvSpPr/>
      </xdr:nvSpPr>
      <xdr:spPr>
        <a:xfrm>
          <a:off x="6432273" y="15576770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148</xdr:row>
      <xdr:rowOff>132520</xdr:rowOff>
    </xdr:from>
    <xdr:to>
      <xdr:col>6</xdr:col>
      <xdr:colOff>723175</xdr:colOff>
      <xdr:row>148</xdr:row>
      <xdr:rowOff>487326</xdr:rowOff>
    </xdr:to>
    <xdr:sp macro="" textlink="">
      <xdr:nvSpPr>
        <xdr:cNvPr id="70" name="Oval 69">
          <a:extLst>
            <a:ext uri="{FF2B5EF4-FFF2-40B4-BE49-F238E27FC236}">
              <a16:creationId xmlns:a16="http://schemas.microsoft.com/office/drawing/2014/main" id="{FB76F6A8-DE63-41D2-82B3-75FEEAF70BC5}"/>
            </a:ext>
          </a:extLst>
        </xdr:cNvPr>
        <xdr:cNvSpPr/>
      </xdr:nvSpPr>
      <xdr:spPr>
        <a:xfrm>
          <a:off x="6435586" y="15640049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110987</xdr:colOff>
      <xdr:row>149</xdr:row>
      <xdr:rowOff>152398</xdr:rowOff>
    </xdr:from>
    <xdr:to>
      <xdr:col>6</xdr:col>
      <xdr:colOff>718206</xdr:colOff>
      <xdr:row>149</xdr:row>
      <xdr:rowOff>507204</xdr:rowOff>
    </xdr:to>
    <xdr:sp macro="" textlink="">
      <xdr:nvSpPr>
        <xdr:cNvPr id="71" name="Oval 70">
          <a:extLst>
            <a:ext uri="{FF2B5EF4-FFF2-40B4-BE49-F238E27FC236}">
              <a16:creationId xmlns:a16="http://schemas.microsoft.com/office/drawing/2014/main" id="{CC423487-60A3-4D02-BA97-B34CAFDC6D4B}"/>
            </a:ext>
          </a:extLst>
        </xdr:cNvPr>
        <xdr:cNvSpPr/>
      </xdr:nvSpPr>
      <xdr:spPr>
        <a:xfrm>
          <a:off x="6430617" y="15704985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106018</xdr:colOff>
      <xdr:row>150</xdr:row>
      <xdr:rowOff>139146</xdr:rowOff>
    </xdr:from>
    <xdr:to>
      <xdr:col>6</xdr:col>
      <xdr:colOff>713237</xdr:colOff>
      <xdr:row>150</xdr:row>
      <xdr:rowOff>493952</xdr:rowOff>
    </xdr:to>
    <xdr:sp macro="" textlink="">
      <xdr:nvSpPr>
        <xdr:cNvPr id="72" name="Oval 71">
          <a:extLst>
            <a:ext uri="{FF2B5EF4-FFF2-40B4-BE49-F238E27FC236}">
              <a16:creationId xmlns:a16="http://schemas.microsoft.com/office/drawing/2014/main" id="{FBC2CEAF-9137-44F5-9FB3-E8450D9226B9}"/>
            </a:ext>
          </a:extLst>
        </xdr:cNvPr>
        <xdr:cNvSpPr/>
      </xdr:nvSpPr>
      <xdr:spPr>
        <a:xfrm>
          <a:off x="6425648" y="15766608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74543</xdr:colOff>
      <xdr:row>151</xdr:row>
      <xdr:rowOff>132522</xdr:rowOff>
    </xdr:from>
    <xdr:to>
      <xdr:col>6</xdr:col>
      <xdr:colOff>681762</xdr:colOff>
      <xdr:row>151</xdr:row>
      <xdr:rowOff>487328</xdr:rowOff>
    </xdr:to>
    <xdr:sp macro="" textlink="">
      <xdr:nvSpPr>
        <xdr:cNvPr id="73" name="Oval 72">
          <a:extLst>
            <a:ext uri="{FF2B5EF4-FFF2-40B4-BE49-F238E27FC236}">
              <a16:creationId xmlns:a16="http://schemas.microsoft.com/office/drawing/2014/main" id="{F43E8288-A41A-4614-A619-09D42BEBF003}"/>
            </a:ext>
          </a:extLst>
        </xdr:cNvPr>
        <xdr:cNvSpPr/>
      </xdr:nvSpPr>
      <xdr:spPr>
        <a:xfrm>
          <a:off x="6394173" y="15828893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173934</xdr:colOff>
      <xdr:row>153</xdr:row>
      <xdr:rowOff>124239</xdr:rowOff>
    </xdr:from>
    <xdr:to>
      <xdr:col>6</xdr:col>
      <xdr:colOff>781153</xdr:colOff>
      <xdr:row>153</xdr:row>
      <xdr:rowOff>479045</xdr:rowOff>
    </xdr:to>
    <xdr:sp macro="" textlink="">
      <xdr:nvSpPr>
        <xdr:cNvPr id="74" name="Oval 73">
          <a:extLst>
            <a:ext uri="{FF2B5EF4-FFF2-40B4-BE49-F238E27FC236}">
              <a16:creationId xmlns:a16="http://schemas.microsoft.com/office/drawing/2014/main" id="{90F024BF-CD70-4B9F-B77E-994816C7DA5B}"/>
            </a:ext>
          </a:extLst>
        </xdr:cNvPr>
        <xdr:cNvSpPr/>
      </xdr:nvSpPr>
      <xdr:spPr>
        <a:xfrm>
          <a:off x="6493564" y="15953960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135834</xdr:colOff>
      <xdr:row>154</xdr:row>
      <xdr:rowOff>127553</xdr:rowOff>
    </xdr:from>
    <xdr:to>
      <xdr:col>6</xdr:col>
      <xdr:colOff>743053</xdr:colOff>
      <xdr:row>154</xdr:row>
      <xdr:rowOff>482359</xdr:rowOff>
    </xdr:to>
    <xdr:sp macro="" textlink="">
      <xdr:nvSpPr>
        <xdr:cNvPr id="75" name="Oval 74">
          <a:extLst>
            <a:ext uri="{FF2B5EF4-FFF2-40B4-BE49-F238E27FC236}">
              <a16:creationId xmlns:a16="http://schemas.microsoft.com/office/drawing/2014/main" id="{91AD0187-3BC6-474E-AA41-41A66BC6C00F}"/>
            </a:ext>
          </a:extLst>
        </xdr:cNvPr>
        <xdr:cNvSpPr/>
      </xdr:nvSpPr>
      <xdr:spPr>
        <a:xfrm>
          <a:off x="6455464" y="16017240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130864</xdr:colOff>
      <xdr:row>155</xdr:row>
      <xdr:rowOff>147432</xdr:rowOff>
    </xdr:from>
    <xdr:to>
      <xdr:col>6</xdr:col>
      <xdr:colOff>738083</xdr:colOff>
      <xdr:row>155</xdr:row>
      <xdr:rowOff>502238</xdr:rowOff>
    </xdr:to>
    <xdr:sp macro="" textlink="">
      <xdr:nvSpPr>
        <xdr:cNvPr id="76" name="Oval 75">
          <a:extLst>
            <a:ext uri="{FF2B5EF4-FFF2-40B4-BE49-F238E27FC236}">
              <a16:creationId xmlns:a16="http://schemas.microsoft.com/office/drawing/2014/main" id="{618FFB8E-63B3-42D8-8AB7-AF6A0364B168}"/>
            </a:ext>
          </a:extLst>
        </xdr:cNvPr>
        <xdr:cNvSpPr/>
      </xdr:nvSpPr>
      <xdr:spPr>
        <a:xfrm>
          <a:off x="6450494" y="16082175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125895</xdr:colOff>
      <xdr:row>156</xdr:row>
      <xdr:rowOff>134180</xdr:rowOff>
    </xdr:from>
    <xdr:to>
      <xdr:col>6</xdr:col>
      <xdr:colOff>733114</xdr:colOff>
      <xdr:row>156</xdr:row>
      <xdr:rowOff>488986</xdr:rowOff>
    </xdr:to>
    <xdr:sp macro="" textlink="">
      <xdr:nvSpPr>
        <xdr:cNvPr id="77" name="Oval 76">
          <a:extLst>
            <a:ext uri="{FF2B5EF4-FFF2-40B4-BE49-F238E27FC236}">
              <a16:creationId xmlns:a16="http://schemas.microsoft.com/office/drawing/2014/main" id="{028E311C-A2FE-48E3-A1EE-BFD8A17666EB}"/>
            </a:ext>
          </a:extLst>
        </xdr:cNvPr>
        <xdr:cNvSpPr/>
      </xdr:nvSpPr>
      <xdr:spPr>
        <a:xfrm>
          <a:off x="6445525" y="16143798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49695</xdr:colOff>
      <xdr:row>158</xdr:row>
      <xdr:rowOff>140804</xdr:rowOff>
    </xdr:from>
    <xdr:to>
      <xdr:col>6</xdr:col>
      <xdr:colOff>656914</xdr:colOff>
      <xdr:row>158</xdr:row>
      <xdr:rowOff>495610</xdr:rowOff>
    </xdr:to>
    <xdr:sp macro="" textlink="">
      <xdr:nvSpPr>
        <xdr:cNvPr id="78" name="Oval 77">
          <a:extLst>
            <a:ext uri="{FF2B5EF4-FFF2-40B4-BE49-F238E27FC236}">
              <a16:creationId xmlns:a16="http://schemas.microsoft.com/office/drawing/2014/main" id="{EA36521F-B4A2-4626-84B7-50C44AC67408}"/>
            </a:ext>
          </a:extLst>
        </xdr:cNvPr>
        <xdr:cNvSpPr/>
      </xdr:nvSpPr>
      <xdr:spPr>
        <a:xfrm>
          <a:off x="6369325" y="16270356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110986</xdr:colOff>
      <xdr:row>159</xdr:row>
      <xdr:rowOff>119269</xdr:rowOff>
    </xdr:from>
    <xdr:to>
      <xdr:col>6</xdr:col>
      <xdr:colOff>718205</xdr:colOff>
      <xdr:row>159</xdr:row>
      <xdr:rowOff>474075</xdr:rowOff>
    </xdr:to>
    <xdr:sp macro="" textlink="">
      <xdr:nvSpPr>
        <xdr:cNvPr id="79" name="Oval 78">
          <a:extLst>
            <a:ext uri="{FF2B5EF4-FFF2-40B4-BE49-F238E27FC236}">
              <a16:creationId xmlns:a16="http://schemas.microsoft.com/office/drawing/2014/main" id="{367297C6-203D-4F80-8293-D8B5CBC198B2}"/>
            </a:ext>
          </a:extLst>
        </xdr:cNvPr>
        <xdr:cNvSpPr/>
      </xdr:nvSpPr>
      <xdr:spPr>
        <a:xfrm>
          <a:off x="6430616" y="16331150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89451</xdr:colOff>
      <xdr:row>160</xdr:row>
      <xdr:rowOff>155713</xdr:rowOff>
    </xdr:from>
    <xdr:to>
      <xdr:col>6</xdr:col>
      <xdr:colOff>696670</xdr:colOff>
      <xdr:row>160</xdr:row>
      <xdr:rowOff>510519</xdr:rowOff>
    </xdr:to>
    <xdr:sp macro="" textlink="">
      <xdr:nvSpPr>
        <xdr:cNvPr id="80" name="Oval 79">
          <a:extLst>
            <a:ext uri="{FF2B5EF4-FFF2-40B4-BE49-F238E27FC236}">
              <a16:creationId xmlns:a16="http://schemas.microsoft.com/office/drawing/2014/main" id="{8150BD3D-6346-46E3-93E8-4147FAC14449}"/>
            </a:ext>
          </a:extLst>
        </xdr:cNvPr>
        <xdr:cNvSpPr/>
      </xdr:nvSpPr>
      <xdr:spPr>
        <a:xfrm>
          <a:off x="6409081" y="16397743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162</xdr:row>
      <xdr:rowOff>91108</xdr:rowOff>
    </xdr:from>
    <xdr:to>
      <xdr:col>6</xdr:col>
      <xdr:colOff>723175</xdr:colOff>
      <xdr:row>162</xdr:row>
      <xdr:rowOff>445914</xdr:rowOff>
    </xdr:to>
    <xdr:sp macro="" textlink="">
      <xdr:nvSpPr>
        <xdr:cNvPr id="81" name="Oval 80">
          <a:extLst>
            <a:ext uri="{FF2B5EF4-FFF2-40B4-BE49-F238E27FC236}">
              <a16:creationId xmlns:a16="http://schemas.microsoft.com/office/drawing/2014/main" id="{DB8AEC07-AE4B-4F9D-AE35-8A976313EEE8}"/>
            </a:ext>
          </a:extLst>
        </xdr:cNvPr>
        <xdr:cNvSpPr/>
      </xdr:nvSpPr>
      <xdr:spPr>
        <a:xfrm>
          <a:off x="6435586" y="16517178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163</xdr:row>
      <xdr:rowOff>132522</xdr:rowOff>
    </xdr:from>
    <xdr:to>
      <xdr:col>6</xdr:col>
      <xdr:colOff>698328</xdr:colOff>
      <xdr:row>163</xdr:row>
      <xdr:rowOff>487328</xdr:rowOff>
    </xdr:to>
    <xdr:sp macro="" textlink="">
      <xdr:nvSpPr>
        <xdr:cNvPr id="82" name="Oval 81">
          <a:extLst>
            <a:ext uri="{FF2B5EF4-FFF2-40B4-BE49-F238E27FC236}">
              <a16:creationId xmlns:a16="http://schemas.microsoft.com/office/drawing/2014/main" id="{9513663F-0E7C-407C-A933-8738134E201A}"/>
            </a:ext>
          </a:extLst>
        </xdr:cNvPr>
        <xdr:cNvSpPr/>
      </xdr:nvSpPr>
      <xdr:spPr>
        <a:xfrm>
          <a:off x="6410739" y="16584267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164</xdr:row>
      <xdr:rowOff>132521</xdr:rowOff>
    </xdr:from>
    <xdr:to>
      <xdr:col>6</xdr:col>
      <xdr:colOff>714893</xdr:colOff>
      <xdr:row>164</xdr:row>
      <xdr:rowOff>487327</xdr:rowOff>
    </xdr:to>
    <xdr:sp macro="" textlink="">
      <xdr:nvSpPr>
        <xdr:cNvPr id="83" name="Oval 82">
          <a:extLst>
            <a:ext uri="{FF2B5EF4-FFF2-40B4-BE49-F238E27FC236}">
              <a16:creationId xmlns:a16="http://schemas.microsoft.com/office/drawing/2014/main" id="{7A325297-25F7-41B4-A31A-2CFA0A30BD9A}"/>
            </a:ext>
          </a:extLst>
        </xdr:cNvPr>
        <xdr:cNvSpPr/>
      </xdr:nvSpPr>
      <xdr:spPr>
        <a:xfrm>
          <a:off x="6427304" y="16647215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94422</xdr:colOff>
      <xdr:row>165</xdr:row>
      <xdr:rowOff>168963</xdr:rowOff>
    </xdr:from>
    <xdr:to>
      <xdr:col>6</xdr:col>
      <xdr:colOff>701641</xdr:colOff>
      <xdr:row>165</xdr:row>
      <xdr:rowOff>523769</xdr:rowOff>
    </xdr:to>
    <xdr:sp macro="" textlink="">
      <xdr:nvSpPr>
        <xdr:cNvPr id="84" name="Oval 83">
          <a:extLst>
            <a:ext uri="{FF2B5EF4-FFF2-40B4-BE49-F238E27FC236}">
              <a16:creationId xmlns:a16="http://schemas.microsoft.com/office/drawing/2014/main" id="{D4956EDC-A2FC-4E2D-8DD7-2B9D2B44FA26}"/>
            </a:ext>
          </a:extLst>
        </xdr:cNvPr>
        <xdr:cNvSpPr/>
      </xdr:nvSpPr>
      <xdr:spPr>
        <a:xfrm>
          <a:off x="6414052" y="16713807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166</xdr:row>
      <xdr:rowOff>140805</xdr:rowOff>
    </xdr:from>
    <xdr:to>
      <xdr:col>6</xdr:col>
      <xdr:colOff>723175</xdr:colOff>
      <xdr:row>166</xdr:row>
      <xdr:rowOff>495611</xdr:rowOff>
    </xdr:to>
    <xdr:sp macro="" textlink="">
      <xdr:nvSpPr>
        <xdr:cNvPr id="85" name="Oval 84">
          <a:extLst>
            <a:ext uri="{FF2B5EF4-FFF2-40B4-BE49-F238E27FC236}">
              <a16:creationId xmlns:a16="http://schemas.microsoft.com/office/drawing/2014/main" id="{38B78606-B2A2-4D15-AC09-86BB84E8DAC4}"/>
            </a:ext>
          </a:extLst>
        </xdr:cNvPr>
        <xdr:cNvSpPr/>
      </xdr:nvSpPr>
      <xdr:spPr>
        <a:xfrm>
          <a:off x="6435586" y="16773939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167</xdr:row>
      <xdr:rowOff>124239</xdr:rowOff>
    </xdr:from>
    <xdr:to>
      <xdr:col>6</xdr:col>
      <xdr:colOff>690045</xdr:colOff>
      <xdr:row>167</xdr:row>
      <xdr:rowOff>479045</xdr:rowOff>
    </xdr:to>
    <xdr:sp macro="" textlink="">
      <xdr:nvSpPr>
        <xdr:cNvPr id="86" name="Oval 85">
          <a:extLst>
            <a:ext uri="{FF2B5EF4-FFF2-40B4-BE49-F238E27FC236}">
              <a16:creationId xmlns:a16="http://schemas.microsoft.com/office/drawing/2014/main" id="{4426CADE-E7FB-46D6-AC73-4497E1021CDE}"/>
            </a:ext>
          </a:extLst>
        </xdr:cNvPr>
        <xdr:cNvSpPr/>
      </xdr:nvSpPr>
      <xdr:spPr>
        <a:xfrm>
          <a:off x="6402456" y="16835230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168</xdr:row>
      <xdr:rowOff>124239</xdr:rowOff>
    </xdr:from>
    <xdr:to>
      <xdr:col>6</xdr:col>
      <xdr:colOff>706610</xdr:colOff>
      <xdr:row>168</xdr:row>
      <xdr:rowOff>479045</xdr:rowOff>
    </xdr:to>
    <xdr:sp macro="" textlink="">
      <xdr:nvSpPr>
        <xdr:cNvPr id="87" name="Oval 86">
          <a:extLst>
            <a:ext uri="{FF2B5EF4-FFF2-40B4-BE49-F238E27FC236}">
              <a16:creationId xmlns:a16="http://schemas.microsoft.com/office/drawing/2014/main" id="{0E0E5745-EB85-498B-8E53-F71B3AED3BF9}"/>
            </a:ext>
          </a:extLst>
        </xdr:cNvPr>
        <xdr:cNvSpPr/>
      </xdr:nvSpPr>
      <xdr:spPr>
        <a:xfrm>
          <a:off x="6419021" y="16898178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169</xdr:row>
      <xdr:rowOff>140804</xdr:rowOff>
    </xdr:from>
    <xdr:to>
      <xdr:col>6</xdr:col>
      <xdr:colOff>698328</xdr:colOff>
      <xdr:row>169</xdr:row>
      <xdr:rowOff>495610</xdr:rowOff>
    </xdr:to>
    <xdr:sp macro="" textlink="">
      <xdr:nvSpPr>
        <xdr:cNvPr id="88" name="Oval 87">
          <a:extLst>
            <a:ext uri="{FF2B5EF4-FFF2-40B4-BE49-F238E27FC236}">
              <a16:creationId xmlns:a16="http://schemas.microsoft.com/office/drawing/2014/main" id="{02B5C2AB-CF32-41F7-8779-63E02F7FC0BD}"/>
            </a:ext>
          </a:extLst>
        </xdr:cNvPr>
        <xdr:cNvSpPr/>
      </xdr:nvSpPr>
      <xdr:spPr>
        <a:xfrm>
          <a:off x="6410739" y="16962782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170</xdr:row>
      <xdr:rowOff>115956</xdr:rowOff>
    </xdr:from>
    <xdr:to>
      <xdr:col>6</xdr:col>
      <xdr:colOff>698328</xdr:colOff>
      <xdr:row>170</xdr:row>
      <xdr:rowOff>470762</xdr:rowOff>
    </xdr:to>
    <xdr:sp macro="" textlink="">
      <xdr:nvSpPr>
        <xdr:cNvPr id="89" name="Oval 88">
          <a:extLst>
            <a:ext uri="{FF2B5EF4-FFF2-40B4-BE49-F238E27FC236}">
              <a16:creationId xmlns:a16="http://schemas.microsoft.com/office/drawing/2014/main" id="{A239A0FB-1701-40B9-B4FB-1A285FB488FA}"/>
            </a:ext>
          </a:extLst>
        </xdr:cNvPr>
        <xdr:cNvSpPr/>
      </xdr:nvSpPr>
      <xdr:spPr>
        <a:xfrm>
          <a:off x="6410739" y="17023245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172</xdr:row>
      <xdr:rowOff>132522</xdr:rowOff>
    </xdr:from>
    <xdr:to>
      <xdr:col>6</xdr:col>
      <xdr:colOff>731458</xdr:colOff>
      <xdr:row>172</xdr:row>
      <xdr:rowOff>487328</xdr:rowOff>
    </xdr:to>
    <xdr:sp macro="" textlink="">
      <xdr:nvSpPr>
        <xdr:cNvPr id="90" name="Oval 89">
          <a:extLst>
            <a:ext uri="{FF2B5EF4-FFF2-40B4-BE49-F238E27FC236}">
              <a16:creationId xmlns:a16="http://schemas.microsoft.com/office/drawing/2014/main" id="{183B941B-3A40-42C9-9919-2C44E82509C0}"/>
            </a:ext>
          </a:extLst>
        </xdr:cNvPr>
        <xdr:cNvSpPr/>
      </xdr:nvSpPr>
      <xdr:spPr>
        <a:xfrm>
          <a:off x="6443869" y="17150797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119270</xdr:colOff>
      <xdr:row>173</xdr:row>
      <xdr:rowOff>152400</xdr:rowOff>
    </xdr:from>
    <xdr:to>
      <xdr:col>6</xdr:col>
      <xdr:colOff>726489</xdr:colOff>
      <xdr:row>173</xdr:row>
      <xdr:rowOff>507206</xdr:rowOff>
    </xdr:to>
    <xdr:sp macro="" textlink="">
      <xdr:nvSpPr>
        <xdr:cNvPr id="91" name="Oval 90">
          <a:extLst>
            <a:ext uri="{FF2B5EF4-FFF2-40B4-BE49-F238E27FC236}">
              <a16:creationId xmlns:a16="http://schemas.microsoft.com/office/drawing/2014/main" id="{747A9168-F48F-4320-B94C-5E650A3FB8F4}"/>
            </a:ext>
          </a:extLst>
        </xdr:cNvPr>
        <xdr:cNvSpPr/>
      </xdr:nvSpPr>
      <xdr:spPr>
        <a:xfrm>
          <a:off x="6438900" y="17215733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174</xdr:row>
      <xdr:rowOff>124239</xdr:rowOff>
    </xdr:from>
    <xdr:to>
      <xdr:col>6</xdr:col>
      <xdr:colOff>698328</xdr:colOff>
      <xdr:row>174</xdr:row>
      <xdr:rowOff>479045</xdr:rowOff>
    </xdr:to>
    <xdr:sp macro="" textlink="">
      <xdr:nvSpPr>
        <xdr:cNvPr id="92" name="Oval 91">
          <a:extLst>
            <a:ext uri="{FF2B5EF4-FFF2-40B4-BE49-F238E27FC236}">
              <a16:creationId xmlns:a16="http://schemas.microsoft.com/office/drawing/2014/main" id="{59A96873-FEA6-4ADD-8BED-536CFF5B0BEA}"/>
            </a:ext>
          </a:extLst>
        </xdr:cNvPr>
        <xdr:cNvSpPr/>
      </xdr:nvSpPr>
      <xdr:spPr>
        <a:xfrm>
          <a:off x="6410739" y="17275865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175</xdr:row>
      <xdr:rowOff>140804</xdr:rowOff>
    </xdr:from>
    <xdr:to>
      <xdr:col>6</xdr:col>
      <xdr:colOff>723175</xdr:colOff>
      <xdr:row>175</xdr:row>
      <xdr:rowOff>495610</xdr:rowOff>
    </xdr:to>
    <xdr:sp macro="" textlink="">
      <xdr:nvSpPr>
        <xdr:cNvPr id="93" name="Oval 92">
          <a:extLst>
            <a:ext uri="{FF2B5EF4-FFF2-40B4-BE49-F238E27FC236}">
              <a16:creationId xmlns:a16="http://schemas.microsoft.com/office/drawing/2014/main" id="{F5651254-5295-4BA8-B7DA-BC3BBAFDA736}"/>
            </a:ext>
          </a:extLst>
        </xdr:cNvPr>
        <xdr:cNvSpPr/>
      </xdr:nvSpPr>
      <xdr:spPr>
        <a:xfrm>
          <a:off x="6435586" y="17340469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176</xdr:row>
      <xdr:rowOff>140805</xdr:rowOff>
    </xdr:from>
    <xdr:to>
      <xdr:col>6</xdr:col>
      <xdr:colOff>706610</xdr:colOff>
      <xdr:row>176</xdr:row>
      <xdr:rowOff>495611</xdr:rowOff>
    </xdr:to>
    <xdr:sp macro="" textlink="">
      <xdr:nvSpPr>
        <xdr:cNvPr id="94" name="Oval 93">
          <a:extLst>
            <a:ext uri="{FF2B5EF4-FFF2-40B4-BE49-F238E27FC236}">
              <a16:creationId xmlns:a16="http://schemas.microsoft.com/office/drawing/2014/main" id="{ADCF5A4F-D710-4B54-810C-BE362D6BCF5E}"/>
            </a:ext>
          </a:extLst>
        </xdr:cNvPr>
        <xdr:cNvSpPr/>
      </xdr:nvSpPr>
      <xdr:spPr>
        <a:xfrm>
          <a:off x="6419021" y="17403417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177</xdr:row>
      <xdr:rowOff>124239</xdr:rowOff>
    </xdr:from>
    <xdr:to>
      <xdr:col>6</xdr:col>
      <xdr:colOff>714893</xdr:colOff>
      <xdr:row>177</xdr:row>
      <xdr:rowOff>479045</xdr:rowOff>
    </xdr:to>
    <xdr:sp macro="" textlink="">
      <xdr:nvSpPr>
        <xdr:cNvPr id="95" name="Oval 94">
          <a:extLst>
            <a:ext uri="{FF2B5EF4-FFF2-40B4-BE49-F238E27FC236}">
              <a16:creationId xmlns:a16="http://schemas.microsoft.com/office/drawing/2014/main" id="{AD4B6766-8F53-4335-8320-2F66262717C9}"/>
            </a:ext>
          </a:extLst>
        </xdr:cNvPr>
        <xdr:cNvSpPr/>
      </xdr:nvSpPr>
      <xdr:spPr>
        <a:xfrm>
          <a:off x="6427304" y="17464708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157370</xdr:colOff>
      <xdr:row>178</xdr:row>
      <xdr:rowOff>124239</xdr:rowOff>
    </xdr:from>
    <xdr:to>
      <xdr:col>6</xdr:col>
      <xdr:colOff>764589</xdr:colOff>
      <xdr:row>178</xdr:row>
      <xdr:rowOff>479045</xdr:rowOff>
    </xdr:to>
    <xdr:sp macro="" textlink="">
      <xdr:nvSpPr>
        <xdr:cNvPr id="96" name="Oval 95">
          <a:extLst>
            <a:ext uri="{FF2B5EF4-FFF2-40B4-BE49-F238E27FC236}">
              <a16:creationId xmlns:a16="http://schemas.microsoft.com/office/drawing/2014/main" id="{95C6E58C-5321-40A9-82F4-264178EE8E74}"/>
            </a:ext>
          </a:extLst>
        </xdr:cNvPr>
        <xdr:cNvSpPr/>
      </xdr:nvSpPr>
      <xdr:spPr>
        <a:xfrm>
          <a:off x="6477000" y="17527656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179</xdr:row>
      <xdr:rowOff>157370</xdr:rowOff>
    </xdr:from>
    <xdr:to>
      <xdr:col>6</xdr:col>
      <xdr:colOff>706610</xdr:colOff>
      <xdr:row>179</xdr:row>
      <xdr:rowOff>512176</xdr:rowOff>
    </xdr:to>
    <xdr:sp macro="" textlink="">
      <xdr:nvSpPr>
        <xdr:cNvPr id="97" name="Oval 96">
          <a:extLst>
            <a:ext uri="{FF2B5EF4-FFF2-40B4-BE49-F238E27FC236}">
              <a16:creationId xmlns:a16="http://schemas.microsoft.com/office/drawing/2014/main" id="{57AEFCB7-02E9-4D0E-A79A-F89680ADDFA1}"/>
            </a:ext>
          </a:extLst>
        </xdr:cNvPr>
        <xdr:cNvSpPr/>
      </xdr:nvSpPr>
      <xdr:spPr>
        <a:xfrm>
          <a:off x="6419021" y="17593917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149087</xdr:colOff>
      <xdr:row>180</xdr:row>
      <xdr:rowOff>57978</xdr:rowOff>
    </xdr:from>
    <xdr:to>
      <xdr:col>6</xdr:col>
      <xdr:colOff>756306</xdr:colOff>
      <xdr:row>180</xdr:row>
      <xdr:rowOff>412784</xdr:rowOff>
    </xdr:to>
    <xdr:sp macro="" textlink="">
      <xdr:nvSpPr>
        <xdr:cNvPr id="98" name="Oval 97">
          <a:extLst>
            <a:ext uri="{FF2B5EF4-FFF2-40B4-BE49-F238E27FC236}">
              <a16:creationId xmlns:a16="http://schemas.microsoft.com/office/drawing/2014/main" id="{B6ABA426-DD30-46AE-9A1F-59703E79E5B0}"/>
            </a:ext>
          </a:extLst>
        </xdr:cNvPr>
        <xdr:cNvSpPr/>
      </xdr:nvSpPr>
      <xdr:spPr>
        <a:xfrm>
          <a:off x="6468717" y="17646926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181</xdr:row>
      <xdr:rowOff>115957</xdr:rowOff>
    </xdr:from>
    <xdr:to>
      <xdr:col>6</xdr:col>
      <xdr:colOff>706610</xdr:colOff>
      <xdr:row>181</xdr:row>
      <xdr:rowOff>470763</xdr:rowOff>
    </xdr:to>
    <xdr:sp macro="" textlink="">
      <xdr:nvSpPr>
        <xdr:cNvPr id="99" name="Oval 98">
          <a:extLst>
            <a:ext uri="{FF2B5EF4-FFF2-40B4-BE49-F238E27FC236}">
              <a16:creationId xmlns:a16="http://schemas.microsoft.com/office/drawing/2014/main" id="{6D4ED492-9743-4CB7-A479-F9174368ED7C}"/>
            </a:ext>
          </a:extLst>
        </xdr:cNvPr>
        <xdr:cNvSpPr/>
      </xdr:nvSpPr>
      <xdr:spPr>
        <a:xfrm>
          <a:off x="6419021" y="17701591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183</xdr:row>
      <xdr:rowOff>132522</xdr:rowOff>
    </xdr:from>
    <xdr:to>
      <xdr:col>6</xdr:col>
      <xdr:colOff>706610</xdr:colOff>
      <xdr:row>183</xdr:row>
      <xdr:rowOff>487328</xdr:rowOff>
    </xdr:to>
    <xdr:sp macro="" textlink="">
      <xdr:nvSpPr>
        <xdr:cNvPr id="100" name="Oval 99">
          <a:extLst>
            <a:ext uri="{FF2B5EF4-FFF2-40B4-BE49-F238E27FC236}">
              <a16:creationId xmlns:a16="http://schemas.microsoft.com/office/drawing/2014/main" id="{AB36228F-F311-4C1A-B8CC-3ED4D007CD32}"/>
            </a:ext>
          </a:extLst>
        </xdr:cNvPr>
        <xdr:cNvSpPr/>
      </xdr:nvSpPr>
      <xdr:spPr>
        <a:xfrm>
          <a:off x="6419021" y="17829143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91108</xdr:colOff>
      <xdr:row>184</xdr:row>
      <xdr:rowOff>173934</xdr:rowOff>
    </xdr:from>
    <xdr:to>
      <xdr:col>6</xdr:col>
      <xdr:colOff>698327</xdr:colOff>
      <xdr:row>184</xdr:row>
      <xdr:rowOff>528740</xdr:rowOff>
    </xdr:to>
    <xdr:sp macro="" textlink="">
      <xdr:nvSpPr>
        <xdr:cNvPr id="101" name="Oval 100">
          <a:extLst>
            <a:ext uri="{FF2B5EF4-FFF2-40B4-BE49-F238E27FC236}">
              <a16:creationId xmlns:a16="http://schemas.microsoft.com/office/drawing/2014/main" id="{58923BDC-6A18-43D7-A59F-418B3D61CFA2}"/>
            </a:ext>
          </a:extLst>
        </xdr:cNvPr>
        <xdr:cNvSpPr/>
      </xdr:nvSpPr>
      <xdr:spPr>
        <a:xfrm>
          <a:off x="6410738" y="17896232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66261</xdr:colOff>
      <xdr:row>185</xdr:row>
      <xdr:rowOff>124239</xdr:rowOff>
    </xdr:from>
    <xdr:to>
      <xdr:col>6</xdr:col>
      <xdr:colOff>673480</xdr:colOff>
      <xdr:row>185</xdr:row>
      <xdr:rowOff>479045</xdr:rowOff>
    </xdr:to>
    <xdr:sp macro="" textlink="">
      <xdr:nvSpPr>
        <xdr:cNvPr id="102" name="Oval 101">
          <a:extLst>
            <a:ext uri="{FF2B5EF4-FFF2-40B4-BE49-F238E27FC236}">
              <a16:creationId xmlns:a16="http://schemas.microsoft.com/office/drawing/2014/main" id="{DBC9DB1E-1347-4958-B70C-B2B1B7390F8C}"/>
            </a:ext>
          </a:extLst>
        </xdr:cNvPr>
        <xdr:cNvSpPr/>
      </xdr:nvSpPr>
      <xdr:spPr>
        <a:xfrm>
          <a:off x="6385891" y="17954210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74543</xdr:colOff>
      <xdr:row>186</xdr:row>
      <xdr:rowOff>132522</xdr:rowOff>
    </xdr:from>
    <xdr:to>
      <xdr:col>6</xdr:col>
      <xdr:colOff>681762</xdr:colOff>
      <xdr:row>186</xdr:row>
      <xdr:rowOff>487328</xdr:rowOff>
    </xdr:to>
    <xdr:sp macro="" textlink="">
      <xdr:nvSpPr>
        <xdr:cNvPr id="103" name="Oval 102">
          <a:extLst>
            <a:ext uri="{FF2B5EF4-FFF2-40B4-BE49-F238E27FC236}">
              <a16:creationId xmlns:a16="http://schemas.microsoft.com/office/drawing/2014/main" id="{C19ABC1E-94AD-4C13-914B-B90FC20C501B}"/>
            </a:ext>
          </a:extLst>
        </xdr:cNvPr>
        <xdr:cNvSpPr/>
      </xdr:nvSpPr>
      <xdr:spPr>
        <a:xfrm>
          <a:off x="6394173" y="18017987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187</xdr:row>
      <xdr:rowOff>149087</xdr:rowOff>
    </xdr:from>
    <xdr:to>
      <xdr:col>6</xdr:col>
      <xdr:colOff>731458</xdr:colOff>
      <xdr:row>187</xdr:row>
      <xdr:rowOff>503893</xdr:rowOff>
    </xdr:to>
    <xdr:sp macro="" textlink="">
      <xdr:nvSpPr>
        <xdr:cNvPr id="104" name="Oval 103">
          <a:extLst>
            <a:ext uri="{FF2B5EF4-FFF2-40B4-BE49-F238E27FC236}">
              <a16:creationId xmlns:a16="http://schemas.microsoft.com/office/drawing/2014/main" id="{2938380A-A16E-4561-8576-B510499E631C}"/>
            </a:ext>
          </a:extLst>
        </xdr:cNvPr>
        <xdr:cNvSpPr/>
      </xdr:nvSpPr>
      <xdr:spPr>
        <a:xfrm>
          <a:off x="6443869" y="18082591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188</xdr:row>
      <xdr:rowOff>107674</xdr:rowOff>
    </xdr:from>
    <xdr:to>
      <xdr:col>6</xdr:col>
      <xdr:colOff>731458</xdr:colOff>
      <xdr:row>188</xdr:row>
      <xdr:rowOff>462480</xdr:rowOff>
    </xdr:to>
    <xdr:sp macro="" textlink="">
      <xdr:nvSpPr>
        <xdr:cNvPr id="105" name="Oval 104">
          <a:extLst>
            <a:ext uri="{FF2B5EF4-FFF2-40B4-BE49-F238E27FC236}">
              <a16:creationId xmlns:a16="http://schemas.microsoft.com/office/drawing/2014/main" id="{84AE026B-658A-426A-B2AA-39552D512A1C}"/>
            </a:ext>
          </a:extLst>
        </xdr:cNvPr>
        <xdr:cNvSpPr/>
      </xdr:nvSpPr>
      <xdr:spPr>
        <a:xfrm>
          <a:off x="6443869" y="18141397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132522</xdr:colOff>
      <xdr:row>189</xdr:row>
      <xdr:rowOff>115956</xdr:rowOff>
    </xdr:from>
    <xdr:to>
      <xdr:col>6</xdr:col>
      <xdr:colOff>739741</xdr:colOff>
      <xdr:row>189</xdr:row>
      <xdr:rowOff>470762</xdr:rowOff>
    </xdr:to>
    <xdr:sp macro="" textlink="">
      <xdr:nvSpPr>
        <xdr:cNvPr id="106" name="Oval 105">
          <a:extLst>
            <a:ext uri="{FF2B5EF4-FFF2-40B4-BE49-F238E27FC236}">
              <a16:creationId xmlns:a16="http://schemas.microsoft.com/office/drawing/2014/main" id="{E197A505-2BD4-4A64-BFF5-0B7E421D5E68}"/>
            </a:ext>
          </a:extLst>
        </xdr:cNvPr>
        <xdr:cNvSpPr/>
      </xdr:nvSpPr>
      <xdr:spPr>
        <a:xfrm>
          <a:off x="6452152" y="18205173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190</xdr:row>
      <xdr:rowOff>132522</xdr:rowOff>
    </xdr:from>
    <xdr:to>
      <xdr:col>6</xdr:col>
      <xdr:colOff>690045</xdr:colOff>
      <xdr:row>190</xdr:row>
      <xdr:rowOff>487328</xdr:rowOff>
    </xdr:to>
    <xdr:sp macro="" textlink="">
      <xdr:nvSpPr>
        <xdr:cNvPr id="107" name="Oval 106">
          <a:extLst>
            <a:ext uri="{FF2B5EF4-FFF2-40B4-BE49-F238E27FC236}">
              <a16:creationId xmlns:a16="http://schemas.microsoft.com/office/drawing/2014/main" id="{6EAE61DE-0E98-4CA3-AA9B-892806B471CE}"/>
            </a:ext>
          </a:extLst>
        </xdr:cNvPr>
        <xdr:cNvSpPr/>
      </xdr:nvSpPr>
      <xdr:spPr>
        <a:xfrm>
          <a:off x="6402456" y="18269778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91108</xdr:colOff>
      <xdr:row>191</xdr:row>
      <xdr:rowOff>140805</xdr:rowOff>
    </xdr:from>
    <xdr:to>
      <xdr:col>6</xdr:col>
      <xdr:colOff>698327</xdr:colOff>
      <xdr:row>191</xdr:row>
      <xdr:rowOff>495611</xdr:rowOff>
    </xdr:to>
    <xdr:sp macro="" textlink="">
      <xdr:nvSpPr>
        <xdr:cNvPr id="108" name="Oval 107">
          <a:extLst>
            <a:ext uri="{FF2B5EF4-FFF2-40B4-BE49-F238E27FC236}">
              <a16:creationId xmlns:a16="http://schemas.microsoft.com/office/drawing/2014/main" id="{ED490DD3-EA83-40A1-B9EA-F6916EBC690A}"/>
            </a:ext>
          </a:extLst>
        </xdr:cNvPr>
        <xdr:cNvSpPr/>
      </xdr:nvSpPr>
      <xdr:spPr>
        <a:xfrm>
          <a:off x="6410738" y="18333554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107673</xdr:colOff>
      <xdr:row>192</xdr:row>
      <xdr:rowOff>124239</xdr:rowOff>
    </xdr:from>
    <xdr:to>
      <xdr:col>6</xdr:col>
      <xdr:colOff>714892</xdr:colOff>
      <xdr:row>192</xdr:row>
      <xdr:rowOff>479045</xdr:rowOff>
    </xdr:to>
    <xdr:sp macro="" textlink="">
      <xdr:nvSpPr>
        <xdr:cNvPr id="109" name="Oval 108">
          <a:extLst>
            <a:ext uri="{FF2B5EF4-FFF2-40B4-BE49-F238E27FC236}">
              <a16:creationId xmlns:a16="http://schemas.microsoft.com/office/drawing/2014/main" id="{289742BF-F990-4FB9-8648-90291AAB157E}"/>
            </a:ext>
          </a:extLst>
        </xdr:cNvPr>
        <xdr:cNvSpPr/>
      </xdr:nvSpPr>
      <xdr:spPr>
        <a:xfrm>
          <a:off x="6427303" y="18394845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57978</xdr:colOff>
      <xdr:row>193</xdr:row>
      <xdr:rowOff>149087</xdr:rowOff>
    </xdr:from>
    <xdr:to>
      <xdr:col>6</xdr:col>
      <xdr:colOff>665197</xdr:colOff>
      <xdr:row>193</xdr:row>
      <xdr:rowOff>503893</xdr:rowOff>
    </xdr:to>
    <xdr:sp macro="" textlink="">
      <xdr:nvSpPr>
        <xdr:cNvPr id="110" name="Oval 109">
          <a:extLst>
            <a:ext uri="{FF2B5EF4-FFF2-40B4-BE49-F238E27FC236}">
              <a16:creationId xmlns:a16="http://schemas.microsoft.com/office/drawing/2014/main" id="{87BEBD50-EB5F-4CA0-B6EF-24D5D629123A}"/>
            </a:ext>
          </a:extLst>
        </xdr:cNvPr>
        <xdr:cNvSpPr/>
      </xdr:nvSpPr>
      <xdr:spPr>
        <a:xfrm>
          <a:off x="6377608" y="18460278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194</xdr:row>
      <xdr:rowOff>3810000</xdr:rowOff>
    </xdr:from>
    <xdr:to>
      <xdr:col>6</xdr:col>
      <xdr:colOff>714893</xdr:colOff>
      <xdr:row>194</xdr:row>
      <xdr:rowOff>4164806</xdr:rowOff>
    </xdr:to>
    <xdr:sp macro="" textlink="">
      <xdr:nvSpPr>
        <xdr:cNvPr id="111" name="Oval 110">
          <a:extLst>
            <a:ext uri="{FF2B5EF4-FFF2-40B4-BE49-F238E27FC236}">
              <a16:creationId xmlns:a16="http://schemas.microsoft.com/office/drawing/2014/main" id="{D1A0F0A2-F8E3-418D-B2E8-F80D73231ABA}"/>
            </a:ext>
          </a:extLst>
        </xdr:cNvPr>
        <xdr:cNvSpPr/>
      </xdr:nvSpPr>
      <xdr:spPr>
        <a:xfrm>
          <a:off x="6427304" y="18889317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197</xdr:row>
      <xdr:rowOff>99392</xdr:rowOff>
    </xdr:from>
    <xdr:to>
      <xdr:col>6</xdr:col>
      <xdr:colOff>731458</xdr:colOff>
      <xdr:row>197</xdr:row>
      <xdr:rowOff>454198</xdr:rowOff>
    </xdr:to>
    <xdr:sp macro="" textlink="">
      <xdr:nvSpPr>
        <xdr:cNvPr id="112" name="Oval 111">
          <a:extLst>
            <a:ext uri="{FF2B5EF4-FFF2-40B4-BE49-F238E27FC236}">
              <a16:creationId xmlns:a16="http://schemas.microsoft.com/office/drawing/2014/main" id="{112E190C-CBC4-4F09-8B79-F8496C62B238}"/>
            </a:ext>
          </a:extLst>
        </xdr:cNvPr>
        <xdr:cNvSpPr/>
      </xdr:nvSpPr>
      <xdr:spPr>
        <a:xfrm>
          <a:off x="6443869" y="19380476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94422</xdr:colOff>
      <xdr:row>198</xdr:row>
      <xdr:rowOff>152401</xdr:rowOff>
    </xdr:from>
    <xdr:to>
      <xdr:col>6</xdr:col>
      <xdr:colOff>701641</xdr:colOff>
      <xdr:row>198</xdr:row>
      <xdr:rowOff>507207</xdr:rowOff>
    </xdr:to>
    <xdr:sp macro="" textlink="">
      <xdr:nvSpPr>
        <xdr:cNvPr id="113" name="Oval 112">
          <a:extLst>
            <a:ext uri="{FF2B5EF4-FFF2-40B4-BE49-F238E27FC236}">
              <a16:creationId xmlns:a16="http://schemas.microsoft.com/office/drawing/2014/main" id="{74471FA7-1AFC-4BB8-90B5-DA1C9A709538}"/>
            </a:ext>
          </a:extLst>
        </xdr:cNvPr>
        <xdr:cNvSpPr/>
      </xdr:nvSpPr>
      <xdr:spPr>
        <a:xfrm>
          <a:off x="6414052" y="19448724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147431</xdr:colOff>
      <xdr:row>199</xdr:row>
      <xdr:rowOff>122584</xdr:rowOff>
    </xdr:from>
    <xdr:to>
      <xdr:col>6</xdr:col>
      <xdr:colOff>754650</xdr:colOff>
      <xdr:row>199</xdr:row>
      <xdr:rowOff>477390</xdr:rowOff>
    </xdr:to>
    <xdr:sp macro="" textlink="">
      <xdr:nvSpPr>
        <xdr:cNvPr id="114" name="Oval 113">
          <a:extLst>
            <a:ext uri="{FF2B5EF4-FFF2-40B4-BE49-F238E27FC236}">
              <a16:creationId xmlns:a16="http://schemas.microsoft.com/office/drawing/2014/main" id="{983C7534-473C-4943-A4C2-C1D4BFC2BBE4}"/>
            </a:ext>
          </a:extLst>
        </xdr:cNvPr>
        <xdr:cNvSpPr/>
      </xdr:nvSpPr>
      <xdr:spPr>
        <a:xfrm>
          <a:off x="6467061" y="19508691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74544</xdr:colOff>
      <xdr:row>200</xdr:row>
      <xdr:rowOff>173934</xdr:rowOff>
    </xdr:from>
    <xdr:to>
      <xdr:col>6</xdr:col>
      <xdr:colOff>681763</xdr:colOff>
      <xdr:row>200</xdr:row>
      <xdr:rowOff>528740</xdr:rowOff>
    </xdr:to>
    <xdr:sp macro="" textlink="">
      <xdr:nvSpPr>
        <xdr:cNvPr id="115" name="Oval 114">
          <a:extLst>
            <a:ext uri="{FF2B5EF4-FFF2-40B4-BE49-F238E27FC236}">
              <a16:creationId xmlns:a16="http://schemas.microsoft.com/office/drawing/2014/main" id="{CDBC2E17-0234-4AD4-9FF4-FF049FF7BB1C}"/>
            </a:ext>
          </a:extLst>
        </xdr:cNvPr>
        <xdr:cNvSpPr/>
      </xdr:nvSpPr>
      <xdr:spPr>
        <a:xfrm>
          <a:off x="6394174" y="19576773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74544</xdr:colOff>
      <xdr:row>201</xdr:row>
      <xdr:rowOff>140804</xdr:rowOff>
    </xdr:from>
    <xdr:to>
      <xdr:col>6</xdr:col>
      <xdr:colOff>681763</xdr:colOff>
      <xdr:row>201</xdr:row>
      <xdr:rowOff>495610</xdr:rowOff>
    </xdr:to>
    <xdr:sp macro="" textlink="">
      <xdr:nvSpPr>
        <xdr:cNvPr id="116" name="Oval 115">
          <a:extLst>
            <a:ext uri="{FF2B5EF4-FFF2-40B4-BE49-F238E27FC236}">
              <a16:creationId xmlns:a16="http://schemas.microsoft.com/office/drawing/2014/main" id="{6F0FF7E9-21C8-4AC0-BF15-6E29B3CC56F6}"/>
            </a:ext>
          </a:extLst>
        </xdr:cNvPr>
        <xdr:cNvSpPr/>
      </xdr:nvSpPr>
      <xdr:spPr>
        <a:xfrm>
          <a:off x="6394174" y="19636408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140805</xdr:colOff>
      <xdr:row>202</xdr:row>
      <xdr:rowOff>1068456</xdr:rowOff>
    </xdr:from>
    <xdr:to>
      <xdr:col>6</xdr:col>
      <xdr:colOff>748024</xdr:colOff>
      <xdr:row>202</xdr:row>
      <xdr:rowOff>1423262</xdr:rowOff>
    </xdr:to>
    <xdr:sp macro="" textlink="">
      <xdr:nvSpPr>
        <xdr:cNvPr id="117" name="Oval 116">
          <a:extLst>
            <a:ext uri="{FF2B5EF4-FFF2-40B4-BE49-F238E27FC236}">
              <a16:creationId xmlns:a16="http://schemas.microsoft.com/office/drawing/2014/main" id="{B9055690-72F2-4B91-A307-1150FF653F55}"/>
            </a:ext>
          </a:extLst>
        </xdr:cNvPr>
        <xdr:cNvSpPr/>
      </xdr:nvSpPr>
      <xdr:spPr>
        <a:xfrm>
          <a:off x="6460435" y="19792121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203</xdr:row>
      <xdr:rowOff>1515717</xdr:rowOff>
    </xdr:from>
    <xdr:to>
      <xdr:col>6</xdr:col>
      <xdr:colOff>690045</xdr:colOff>
      <xdr:row>203</xdr:row>
      <xdr:rowOff>1870523</xdr:rowOff>
    </xdr:to>
    <xdr:sp macro="" textlink="">
      <xdr:nvSpPr>
        <xdr:cNvPr id="118" name="Oval 117">
          <a:extLst>
            <a:ext uri="{FF2B5EF4-FFF2-40B4-BE49-F238E27FC236}">
              <a16:creationId xmlns:a16="http://schemas.microsoft.com/office/drawing/2014/main" id="{8FAEC074-E8A4-422D-8EAA-3C7446DCA30F}"/>
            </a:ext>
          </a:extLst>
        </xdr:cNvPr>
        <xdr:cNvSpPr/>
      </xdr:nvSpPr>
      <xdr:spPr>
        <a:xfrm>
          <a:off x="6402456" y="20091952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91108</xdr:colOff>
      <xdr:row>205</xdr:row>
      <xdr:rowOff>1524000</xdr:rowOff>
    </xdr:from>
    <xdr:to>
      <xdr:col>6</xdr:col>
      <xdr:colOff>698327</xdr:colOff>
      <xdr:row>205</xdr:row>
      <xdr:rowOff>1878806</xdr:rowOff>
    </xdr:to>
    <xdr:sp macro="" textlink="">
      <xdr:nvSpPr>
        <xdr:cNvPr id="119" name="Oval 118">
          <a:extLst>
            <a:ext uri="{FF2B5EF4-FFF2-40B4-BE49-F238E27FC236}">
              <a16:creationId xmlns:a16="http://schemas.microsoft.com/office/drawing/2014/main" id="{D9A037DF-0AEB-4592-8DB0-EC1CDB1296B2}"/>
            </a:ext>
          </a:extLst>
        </xdr:cNvPr>
        <xdr:cNvSpPr/>
      </xdr:nvSpPr>
      <xdr:spPr>
        <a:xfrm>
          <a:off x="6410738" y="20696582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132522</xdr:colOff>
      <xdr:row>206</xdr:row>
      <xdr:rowOff>977348</xdr:rowOff>
    </xdr:from>
    <xdr:to>
      <xdr:col>6</xdr:col>
      <xdr:colOff>739741</xdr:colOff>
      <xdr:row>206</xdr:row>
      <xdr:rowOff>1332154</xdr:rowOff>
    </xdr:to>
    <xdr:sp macro="" textlink="">
      <xdr:nvSpPr>
        <xdr:cNvPr id="120" name="Oval 119">
          <a:extLst>
            <a:ext uri="{FF2B5EF4-FFF2-40B4-BE49-F238E27FC236}">
              <a16:creationId xmlns:a16="http://schemas.microsoft.com/office/drawing/2014/main" id="{D81BA741-0AD8-49B4-8A04-36B39250C1F4}"/>
            </a:ext>
          </a:extLst>
        </xdr:cNvPr>
        <xdr:cNvSpPr/>
      </xdr:nvSpPr>
      <xdr:spPr>
        <a:xfrm>
          <a:off x="6452152" y="20979847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207</xdr:row>
      <xdr:rowOff>438979</xdr:rowOff>
    </xdr:from>
    <xdr:to>
      <xdr:col>6</xdr:col>
      <xdr:colOff>690045</xdr:colOff>
      <xdr:row>207</xdr:row>
      <xdr:rowOff>793785</xdr:rowOff>
    </xdr:to>
    <xdr:sp macro="" textlink="">
      <xdr:nvSpPr>
        <xdr:cNvPr id="121" name="Oval 120">
          <a:extLst>
            <a:ext uri="{FF2B5EF4-FFF2-40B4-BE49-F238E27FC236}">
              <a16:creationId xmlns:a16="http://schemas.microsoft.com/office/drawing/2014/main" id="{1F77582C-1ED2-4DA7-8A88-EB98A7959195}"/>
            </a:ext>
          </a:extLst>
        </xdr:cNvPr>
        <xdr:cNvSpPr/>
      </xdr:nvSpPr>
      <xdr:spPr>
        <a:xfrm>
          <a:off x="6402456" y="21165378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132521</xdr:colOff>
      <xdr:row>208</xdr:row>
      <xdr:rowOff>753717</xdr:rowOff>
    </xdr:from>
    <xdr:to>
      <xdr:col>6</xdr:col>
      <xdr:colOff>739740</xdr:colOff>
      <xdr:row>208</xdr:row>
      <xdr:rowOff>1108523</xdr:rowOff>
    </xdr:to>
    <xdr:sp macro="" textlink="">
      <xdr:nvSpPr>
        <xdr:cNvPr id="122" name="Oval 121">
          <a:extLst>
            <a:ext uri="{FF2B5EF4-FFF2-40B4-BE49-F238E27FC236}">
              <a16:creationId xmlns:a16="http://schemas.microsoft.com/office/drawing/2014/main" id="{A647B20E-0BB6-4A8D-A84E-BD235F46E70B}"/>
            </a:ext>
          </a:extLst>
        </xdr:cNvPr>
        <xdr:cNvSpPr/>
      </xdr:nvSpPr>
      <xdr:spPr>
        <a:xfrm>
          <a:off x="6452151" y="21316950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66261</xdr:colOff>
      <xdr:row>204</xdr:row>
      <xdr:rowOff>1209260</xdr:rowOff>
    </xdr:from>
    <xdr:to>
      <xdr:col>6</xdr:col>
      <xdr:colOff>673480</xdr:colOff>
      <xdr:row>204</xdr:row>
      <xdr:rowOff>1564066</xdr:rowOff>
    </xdr:to>
    <xdr:sp macro="" textlink="">
      <xdr:nvSpPr>
        <xdr:cNvPr id="123" name="Oval 122">
          <a:extLst>
            <a:ext uri="{FF2B5EF4-FFF2-40B4-BE49-F238E27FC236}">
              <a16:creationId xmlns:a16="http://schemas.microsoft.com/office/drawing/2014/main" id="{A4F9CFBE-10C1-42E1-B190-B4B1FFDC1EED}"/>
            </a:ext>
          </a:extLst>
        </xdr:cNvPr>
        <xdr:cNvSpPr/>
      </xdr:nvSpPr>
      <xdr:spPr>
        <a:xfrm>
          <a:off x="6385891" y="20395923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74543</xdr:colOff>
      <xdr:row>11</xdr:row>
      <xdr:rowOff>132522</xdr:rowOff>
    </xdr:from>
    <xdr:to>
      <xdr:col>6</xdr:col>
      <xdr:colOff>681762</xdr:colOff>
      <xdr:row>11</xdr:row>
      <xdr:rowOff>487328</xdr:rowOff>
    </xdr:to>
    <xdr:sp macro="" textlink="">
      <xdr:nvSpPr>
        <xdr:cNvPr id="124" name="Oval 123">
          <a:extLst>
            <a:ext uri="{FF2B5EF4-FFF2-40B4-BE49-F238E27FC236}">
              <a16:creationId xmlns:a16="http://schemas.microsoft.com/office/drawing/2014/main" id="{B92464E7-14E1-4A22-8FAD-197DFFA917CE}"/>
            </a:ext>
          </a:extLst>
        </xdr:cNvPr>
        <xdr:cNvSpPr/>
      </xdr:nvSpPr>
      <xdr:spPr>
        <a:xfrm>
          <a:off x="6394173" y="516006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6</xdr:col>
      <xdr:colOff>74543</xdr:colOff>
      <xdr:row>12</xdr:row>
      <xdr:rowOff>132522</xdr:rowOff>
    </xdr:from>
    <xdr:to>
      <xdr:col>6</xdr:col>
      <xdr:colOff>681762</xdr:colOff>
      <xdr:row>12</xdr:row>
      <xdr:rowOff>487328</xdr:rowOff>
    </xdr:to>
    <xdr:sp macro="" textlink="">
      <xdr:nvSpPr>
        <xdr:cNvPr id="125" name="Oval 124">
          <a:extLst>
            <a:ext uri="{FF2B5EF4-FFF2-40B4-BE49-F238E27FC236}">
              <a16:creationId xmlns:a16="http://schemas.microsoft.com/office/drawing/2014/main" id="{E80E673C-C013-43C0-B0F2-343E1E29250B}"/>
            </a:ext>
          </a:extLst>
        </xdr:cNvPr>
        <xdr:cNvSpPr/>
      </xdr:nvSpPr>
      <xdr:spPr>
        <a:xfrm>
          <a:off x="6394173" y="578954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86139</xdr:colOff>
      <xdr:row>13</xdr:row>
      <xdr:rowOff>135835</xdr:rowOff>
    </xdr:from>
    <xdr:to>
      <xdr:col>6</xdr:col>
      <xdr:colOff>693358</xdr:colOff>
      <xdr:row>13</xdr:row>
      <xdr:rowOff>490641</xdr:rowOff>
    </xdr:to>
    <xdr:sp macro="" textlink="">
      <xdr:nvSpPr>
        <xdr:cNvPr id="126" name="Oval 125">
          <a:extLst>
            <a:ext uri="{FF2B5EF4-FFF2-40B4-BE49-F238E27FC236}">
              <a16:creationId xmlns:a16="http://schemas.microsoft.com/office/drawing/2014/main" id="{2E944033-9F22-44C0-A049-C70DC73BEB4D}"/>
            </a:ext>
          </a:extLst>
        </xdr:cNvPr>
        <xdr:cNvSpPr/>
      </xdr:nvSpPr>
      <xdr:spPr>
        <a:xfrm>
          <a:off x="6405769" y="642233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14</xdr:row>
      <xdr:rowOff>132522</xdr:rowOff>
    </xdr:from>
    <xdr:to>
      <xdr:col>6</xdr:col>
      <xdr:colOff>706610</xdr:colOff>
      <xdr:row>14</xdr:row>
      <xdr:rowOff>487328</xdr:rowOff>
    </xdr:to>
    <xdr:sp macro="" textlink="">
      <xdr:nvSpPr>
        <xdr:cNvPr id="127" name="Oval 126">
          <a:extLst>
            <a:ext uri="{FF2B5EF4-FFF2-40B4-BE49-F238E27FC236}">
              <a16:creationId xmlns:a16="http://schemas.microsoft.com/office/drawing/2014/main" id="{AC84574F-CFD8-463F-87A4-43CF456EA3D5}"/>
            </a:ext>
          </a:extLst>
        </xdr:cNvPr>
        <xdr:cNvSpPr/>
      </xdr:nvSpPr>
      <xdr:spPr>
        <a:xfrm>
          <a:off x="6419021" y="704850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15</xdr:row>
      <xdr:rowOff>115957</xdr:rowOff>
    </xdr:from>
    <xdr:to>
      <xdr:col>6</xdr:col>
      <xdr:colOff>723175</xdr:colOff>
      <xdr:row>15</xdr:row>
      <xdr:rowOff>470763</xdr:rowOff>
    </xdr:to>
    <xdr:sp macro="" textlink="">
      <xdr:nvSpPr>
        <xdr:cNvPr id="128" name="Oval 127">
          <a:extLst>
            <a:ext uri="{FF2B5EF4-FFF2-40B4-BE49-F238E27FC236}">
              <a16:creationId xmlns:a16="http://schemas.microsoft.com/office/drawing/2014/main" id="{37D07365-4C8C-440E-8539-58316EA64888}"/>
            </a:ext>
          </a:extLst>
        </xdr:cNvPr>
        <xdr:cNvSpPr/>
      </xdr:nvSpPr>
      <xdr:spPr>
        <a:xfrm>
          <a:off x="6435586" y="766141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124240</xdr:colOff>
      <xdr:row>16</xdr:row>
      <xdr:rowOff>157370</xdr:rowOff>
    </xdr:from>
    <xdr:to>
      <xdr:col>6</xdr:col>
      <xdr:colOff>731459</xdr:colOff>
      <xdr:row>16</xdr:row>
      <xdr:rowOff>512176</xdr:rowOff>
    </xdr:to>
    <xdr:sp macro="" textlink="">
      <xdr:nvSpPr>
        <xdr:cNvPr id="129" name="Oval 128">
          <a:extLst>
            <a:ext uri="{FF2B5EF4-FFF2-40B4-BE49-F238E27FC236}">
              <a16:creationId xmlns:a16="http://schemas.microsoft.com/office/drawing/2014/main" id="{7B3C287A-D3D7-497E-A817-A810E1C88CC0}"/>
            </a:ext>
          </a:extLst>
        </xdr:cNvPr>
        <xdr:cNvSpPr/>
      </xdr:nvSpPr>
      <xdr:spPr>
        <a:xfrm>
          <a:off x="6443870" y="833230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17</xdr:row>
      <xdr:rowOff>132521</xdr:rowOff>
    </xdr:from>
    <xdr:to>
      <xdr:col>6</xdr:col>
      <xdr:colOff>706610</xdr:colOff>
      <xdr:row>17</xdr:row>
      <xdr:rowOff>487327</xdr:rowOff>
    </xdr:to>
    <xdr:sp macro="" textlink="">
      <xdr:nvSpPr>
        <xdr:cNvPr id="130" name="Oval 129">
          <a:extLst>
            <a:ext uri="{FF2B5EF4-FFF2-40B4-BE49-F238E27FC236}">
              <a16:creationId xmlns:a16="http://schemas.microsoft.com/office/drawing/2014/main" id="{CCDFBB63-DD85-4383-936B-853F67F1B1BD}"/>
            </a:ext>
          </a:extLst>
        </xdr:cNvPr>
        <xdr:cNvSpPr/>
      </xdr:nvSpPr>
      <xdr:spPr>
        <a:xfrm>
          <a:off x="6419021" y="893693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19</xdr:row>
      <xdr:rowOff>173934</xdr:rowOff>
    </xdr:from>
    <xdr:to>
      <xdr:col>6</xdr:col>
      <xdr:colOff>714893</xdr:colOff>
      <xdr:row>19</xdr:row>
      <xdr:rowOff>528740</xdr:rowOff>
    </xdr:to>
    <xdr:sp macro="" textlink="">
      <xdr:nvSpPr>
        <xdr:cNvPr id="131" name="Oval 130">
          <a:extLst>
            <a:ext uri="{FF2B5EF4-FFF2-40B4-BE49-F238E27FC236}">
              <a16:creationId xmlns:a16="http://schemas.microsoft.com/office/drawing/2014/main" id="{F934F8B7-2ED1-441D-9BC2-7C6790DDBBC4}"/>
            </a:ext>
          </a:extLst>
        </xdr:cNvPr>
        <xdr:cNvSpPr/>
      </xdr:nvSpPr>
      <xdr:spPr>
        <a:xfrm>
          <a:off x="6427304" y="1023730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57978</xdr:colOff>
      <xdr:row>20</xdr:row>
      <xdr:rowOff>115957</xdr:rowOff>
    </xdr:from>
    <xdr:to>
      <xdr:col>6</xdr:col>
      <xdr:colOff>665197</xdr:colOff>
      <xdr:row>20</xdr:row>
      <xdr:rowOff>470763</xdr:rowOff>
    </xdr:to>
    <xdr:sp macro="" textlink="">
      <xdr:nvSpPr>
        <xdr:cNvPr id="132" name="Oval 131">
          <a:extLst>
            <a:ext uri="{FF2B5EF4-FFF2-40B4-BE49-F238E27FC236}">
              <a16:creationId xmlns:a16="http://schemas.microsoft.com/office/drawing/2014/main" id="{C16652FE-FEA8-437A-B06A-836A3D8165DE}"/>
            </a:ext>
          </a:extLst>
        </xdr:cNvPr>
        <xdr:cNvSpPr/>
      </xdr:nvSpPr>
      <xdr:spPr>
        <a:xfrm>
          <a:off x="6377608" y="1080880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21</xdr:row>
      <xdr:rowOff>115957</xdr:rowOff>
    </xdr:from>
    <xdr:to>
      <xdr:col>6</xdr:col>
      <xdr:colOff>723175</xdr:colOff>
      <xdr:row>21</xdr:row>
      <xdr:rowOff>470763</xdr:rowOff>
    </xdr:to>
    <xdr:sp macro="" textlink="">
      <xdr:nvSpPr>
        <xdr:cNvPr id="133" name="Oval 132">
          <a:extLst>
            <a:ext uri="{FF2B5EF4-FFF2-40B4-BE49-F238E27FC236}">
              <a16:creationId xmlns:a16="http://schemas.microsoft.com/office/drawing/2014/main" id="{32EEB5BA-D671-4F26-96B8-5864BCB83968}"/>
            </a:ext>
          </a:extLst>
        </xdr:cNvPr>
        <xdr:cNvSpPr/>
      </xdr:nvSpPr>
      <xdr:spPr>
        <a:xfrm>
          <a:off x="6435586" y="1143828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22</xdr:row>
      <xdr:rowOff>149087</xdr:rowOff>
    </xdr:from>
    <xdr:to>
      <xdr:col>6</xdr:col>
      <xdr:colOff>698328</xdr:colOff>
      <xdr:row>22</xdr:row>
      <xdr:rowOff>503893</xdr:rowOff>
    </xdr:to>
    <xdr:sp macro="" textlink="">
      <xdr:nvSpPr>
        <xdr:cNvPr id="134" name="Oval 133">
          <a:extLst>
            <a:ext uri="{FF2B5EF4-FFF2-40B4-BE49-F238E27FC236}">
              <a16:creationId xmlns:a16="http://schemas.microsoft.com/office/drawing/2014/main" id="{4D15A6DC-C108-4D19-BF99-8AAB444A7326}"/>
            </a:ext>
          </a:extLst>
        </xdr:cNvPr>
        <xdr:cNvSpPr/>
      </xdr:nvSpPr>
      <xdr:spPr>
        <a:xfrm>
          <a:off x="6410739" y="1210089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94422</xdr:colOff>
      <xdr:row>23</xdr:row>
      <xdr:rowOff>127552</xdr:rowOff>
    </xdr:from>
    <xdr:to>
      <xdr:col>6</xdr:col>
      <xdr:colOff>701641</xdr:colOff>
      <xdr:row>23</xdr:row>
      <xdr:rowOff>482358</xdr:rowOff>
    </xdr:to>
    <xdr:sp macro="" textlink="">
      <xdr:nvSpPr>
        <xdr:cNvPr id="135" name="Oval 134">
          <a:extLst>
            <a:ext uri="{FF2B5EF4-FFF2-40B4-BE49-F238E27FC236}">
              <a16:creationId xmlns:a16="http://schemas.microsoft.com/office/drawing/2014/main" id="{B4800338-62C9-4CCA-8CB2-43C6329071D5}"/>
            </a:ext>
          </a:extLst>
        </xdr:cNvPr>
        <xdr:cNvSpPr/>
      </xdr:nvSpPr>
      <xdr:spPr>
        <a:xfrm>
          <a:off x="6414052" y="1270883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149087</xdr:colOff>
      <xdr:row>24</xdr:row>
      <xdr:rowOff>165653</xdr:rowOff>
    </xdr:from>
    <xdr:to>
      <xdr:col>6</xdr:col>
      <xdr:colOff>756306</xdr:colOff>
      <xdr:row>24</xdr:row>
      <xdr:rowOff>520459</xdr:rowOff>
    </xdr:to>
    <xdr:sp macro="" textlink="">
      <xdr:nvSpPr>
        <xdr:cNvPr id="136" name="Oval 135">
          <a:extLst>
            <a:ext uri="{FF2B5EF4-FFF2-40B4-BE49-F238E27FC236}">
              <a16:creationId xmlns:a16="http://schemas.microsoft.com/office/drawing/2014/main" id="{A65BA898-A2FF-486C-94E1-433E098409CE}"/>
            </a:ext>
          </a:extLst>
        </xdr:cNvPr>
        <xdr:cNvSpPr/>
      </xdr:nvSpPr>
      <xdr:spPr>
        <a:xfrm>
          <a:off x="6468717" y="1337641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25</xdr:row>
      <xdr:rowOff>480391</xdr:rowOff>
    </xdr:from>
    <xdr:to>
      <xdr:col>6</xdr:col>
      <xdr:colOff>714893</xdr:colOff>
      <xdr:row>25</xdr:row>
      <xdr:rowOff>835197</xdr:rowOff>
    </xdr:to>
    <xdr:sp macro="" textlink="">
      <xdr:nvSpPr>
        <xdr:cNvPr id="137" name="Oval 136">
          <a:extLst>
            <a:ext uri="{FF2B5EF4-FFF2-40B4-BE49-F238E27FC236}">
              <a16:creationId xmlns:a16="http://schemas.microsoft.com/office/drawing/2014/main" id="{0CB131DC-AA68-4084-9D67-2FC6FE2D7189}"/>
            </a:ext>
          </a:extLst>
        </xdr:cNvPr>
        <xdr:cNvSpPr/>
      </xdr:nvSpPr>
      <xdr:spPr>
        <a:xfrm>
          <a:off x="6427304" y="1432063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132521</xdr:colOff>
      <xdr:row>26</xdr:row>
      <xdr:rowOff>604630</xdr:rowOff>
    </xdr:from>
    <xdr:to>
      <xdr:col>6</xdr:col>
      <xdr:colOff>739740</xdr:colOff>
      <xdr:row>26</xdr:row>
      <xdr:rowOff>959436</xdr:rowOff>
    </xdr:to>
    <xdr:sp macro="" textlink="">
      <xdr:nvSpPr>
        <xdr:cNvPr id="138" name="Oval 137">
          <a:extLst>
            <a:ext uri="{FF2B5EF4-FFF2-40B4-BE49-F238E27FC236}">
              <a16:creationId xmlns:a16="http://schemas.microsoft.com/office/drawing/2014/main" id="{153B35E5-948D-42EF-990B-A4105BAABEB6}"/>
            </a:ext>
          </a:extLst>
        </xdr:cNvPr>
        <xdr:cNvSpPr/>
      </xdr:nvSpPr>
      <xdr:spPr>
        <a:xfrm>
          <a:off x="6452151" y="1572867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27</xdr:row>
      <xdr:rowOff>554934</xdr:rowOff>
    </xdr:from>
    <xdr:to>
      <xdr:col>6</xdr:col>
      <xdr:colOff>706610</xdr:colOff>
      <xdr:row>27</xdr:row>
      <xdr:rowOff>909740</xdr:rowOff>
    </xdr:to>
    <xdr:sp macro="" textlink="">
      <xdr:nvSpPr>
        <xdr:cNvPr id="139" name="Oval 138">
          <a:extLst>
            <a:ext uri="{FF2B5EF4-FFF2-40B4-BE49-F238E27FC236}">
              <a16:creationId xmlns:a16="http://schemas.microsoft.com/office/drawing/2014/main" id="{37D76C47-B119-4F8D-8E79-AD37C6B4BD48}"/>
            </a:ext>
          </a:extLst>
        </xdr:cNvPr>
        <xdr:cNvSpPr/>
      </xdr:nvSpPr>
      <xdr:spPr>
        <a:xfrm>
          <a:off x="6419021" y="1730236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28</xdr:row>
      <xdr:rowOff>347870</xdr:rowOff>
    </xdr:from>
    <xdr:to>
      <xdr:col>6</xdr:col>
      <xdr:colOff>690045</xdr:colOff>
      <xdr:row>28</xdr:row>
      <xdr:rowOff>702676</xdr:rowOff>
    </xdr:to>
    <xdr:sp macro="" textlink="">
      <xdr:nvSpPr>
        <xdr:cNvPr id="140" name="Oval 139">
          <a:extLst>
            <a:ext uri="{FF2B5EF4-FFF2-40B4-BE49-F238E27FC236}">
              <a16:creationId xmlns:a16="http://schemas.microsoft.com/office/drawing/2014/main" id="{56672625-3F27-43C3-AEA2-274A8CDD90D7}"/>
            </a:ext>
          </a:extLst>
        </xdr:cNvPr>
        <xdr:cNvSpPr/>
      </xdr:nvSpPr>
      <xdr:spPr>
        <a:xfrm>
          <a:off x="6402456" y="1861930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29</xdr:row>
      <xdr:rowOff>405848</xdr:rowOff>
    </xdr:from>
    <xdr:to>
      <xdr:col>6</xdr:col>
      <xdr:colOff>714893</xdr:colOff>
      <xdr:row>29</xdr:row>
      <xdr:rowOff>760654</xdr:rowOff>
    </xdr:to>
    <xdr:sp macro="" textlink="">
      <xdr:nvSpPr>
        <xdr:cNvPr id="141" name="Oval 140">
          <a:extLst>
            <a:ext uri="{FF2B5EF4-FFF2-40B4-BE49-F238E27FC236}">
              <a16:creationId xmlns:a16="http://schemas.microsoft.com/office/drawing/2014/main" id="{1FC79E94-41D4-4647-A86C-AA07F173668B}"/>
            </a:ext>
          </a:extLst>
        </xdr:cNvPr>
        <xdr:cNvSpPr/>
      </xdr:nvSpPr>
      <xdr:spPr>
        <a:xfrm>
          <a:off x="6427304" y="1973745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30</xdr:row>
      <xdr:rowOff>538370</xdr:rowOff>
    </xdr:from>
    <xdr:to>
      <xdr:col>6</xdr:col>
      <xdr:colOff>706610</xdr:colOff>
      <xdr:row>30</xdr:row>
      <xdr:rowOff>893176</xdr:rowOff>
    </xdr:to>
    <xdr:sp macro="" textlink="">
      <xdr:nvSpPr>
        <xdr:cNvPr id="142" name="Oval 141">
          <a:extLst>
            <a:ext uri="{FF2B5EF4-FFF2-40B4-BE49-F238E27FC236}">
              <a16:creationId xmlns:a16="http://schemas.microsoft.com/office/drawing/2014/main" id="{23EA788C-9E5A-41A5-B760-758857C98034}"/>
            </a:ext>
          </a:extLst>
        </xdr:cNvPr>
        <xdr:cNvSpPr/>
      </xdr:nvSpPr>
      <xdr:spPr>
        <a:xfrm>
          <a:off x="6419021" y="2096328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115957</xdr:colOff>
      <xdr:row>31</xdr:row>
      <xdr:rowOff>438978</xdr:rowOff>
    </xdr:from>
    <xdr:to>
      <xdr:col>6</xdr:col>
      <xdr:colOff>723176</xdr:colOff>
      <xdr:row>31</xdr:row>
      <xdr:rowOff>793784</xdr:rowOff>
    </xdr:to>
    <xdr:sp macro="" textlink="">
      <xdr:nvSpPr>
        <xdr:cNvPr id="143" name="Oval 142">
          <a:extLst>
            <a:ext uri="{FF2B5EF4-FFF2-40B4-BE49-F238E27FC236}">
              <a16:creationId xmlns:a16="http://schemas.microsoft.com/office/drawing/2014/main" id="{947C4D3C-DA70-4601-A37C-4B9CFE5ECB48}"/>
            </a:ext>
          </a:extLst>
        </xdr:cNvPr>
        <xdr:cNvSpPr/>
      </xdr:nvSpPr>
      <xdr:spPr>
        <a:xfrm>
          <a:off x="6435587" y="2234647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32</xdr:row>
      <xdr:rowOff>472109</xdr:rowOff>
    </xdr:from>
    <xdr:to>
      <xdr:col>6</xdr:col>
      <xdr:colOff>714893</xdr:colOff>
      <xdr:row>32</xdr:row>
      <xdr:rowOff>826915</xdr:rowOff>
    </xdr:to>
    <xdr:sp macro="" textlink="">
      <xdr:nvSpPr>
        <xdr:cNvPr id="144" name="Oval 143">
          <a:extLst>
            <a:ext uri="{FF2B5EF4-FFF2-40B4-BE49-F238E27FC236}">
              <a16:creationId xmlns:a16="http://schemas.microsoft.com/office/drawing/2014/main" id="{C59532AC-1733-44D8-9167-B210E226212E}"/>
            </a:ext>
          </a:extLst>
        </xdr:cNvPr>
        <xdr:cNvSpPr/>
      </xdr:nvSpPr>
      <xdr:spPr>
        <a:xfrm>
          <a:off x="6427304" y="2363856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91108</xdr:colOff>
      <xdr:row>33</xdr:row>
      <xdr:rowOff>397565</xdr:rowOff>
    </xdr:from>
    <xdr:to>
      <xdr:col>6</xdr:col>
      <xdr:colOff>698327</xdr:colOff>
      <xdr:row>33</xdr:row>
      <xdr:rowOff>752371</xdr:rowOff>
    </xdr:to>
    <xdr:sp macro="" textlink="">
      <xdr:nvSpPr>
        <xdr:cNvPr id="145" name="Oval 144">
          <a:extLst>
            <a:ext uri="{FF2B5EF4-FFF2-40B4-BE49-F238E27FC236}">
              <a16:creationId xmlns:a16="http://schemas.microsoft.com/office/drawing/2014/main" id="{6B4C211B-E13D-43D8-9736-BC099B76A7AE}"/>
            </a:ext>
          </a:extLst>
        </xdr:cNvPr>
        <xdr:cNvSpPr/>
      </xdr:nvSpPr>
      <xdr:spPr>
        <a:xfrm>
          <a:off x="6410738" y="2489752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34</xdr:row>
      <xdr:rowOff>430695</xdr:rowOff>
    </xdr:from>
    <xdr:to>
      <xdr:col>6</xdr:col>
      <xdr:colOff>706610</xdr:colOff>
      <xdr:row>34</xdr:row>
      <xdr:rowOff>785501</xdr:rowOff>
    </xdr:to>
    <xdr:sp macro="" textlink="">
      <xdr:nvSpPr>
        <xdr:cNvPr id="146" name="Oval 145">
          <a:extLst>
            <a:ext uri="{FF2B5EF4-FFF2-40B4-BE49-F238E27FC236}">
              <a16:creationId xmlns:a16="http://schemas.microsoft.com/office/drawing/2014/main" id="{5152660C-CA55-4C10-A540-D5EEBE29FBFC}"/>
            </a:ext>
          </a:extLst>
        </xdr:cNvPr>
        <xdr:cNvSpPr/>
      </xdr:nvSpPr>
      <xdr:spPr>
        <a:xfrm>
          <a:off x="6419021" y="2618132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35</xdr:row>
      <xdr:rowOff>157370</xdr:rowOff>
    </xdr:from>
    <xdr:to>
      <xdr:col>6</xdr:col>
      <xdr:colOff>690045</xdr:colOff>
      <xdr:row>35</xdr:row>
      <xdr:rowOff>512176</xdr:rowOff>
    </xdr:to>
    <xdr:sp macro="" textlink="">
      <xdr:nvSpPr>
        <xdr:cNvPr id="147" name="Oval 146">
          <a:extLst>
            <a:ext uri="{FF2B5EF4-FFF2-40B4-BE49-F238E27FC236}">
              <a16:creationId xmlns:a16="http://schemas.microsoft.com/office/drawing/2014/main" id="{C73EEE3D-2BF7-4CCF-A5E7-37A0383B8764}"/>
            </a:ext>
          </a:extLst>
        </xdr:cNvPr>
        <xdr:cNvSpPr/>
      </xdr:nvSpPr>
      <xdr:spPr>
        <a:xfrm>
          <a:off x="6402456" y="2712554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36</xdr:row>
      <xdr:rowOff>107673</xdr:rowOff>
    </xdr:from>
    <xdr:to>
      <xdr:col>6</xdr:col>
      <xdr:colOff>690045</xdr:colOff>
      <xdr:row>36</xdr:row>
      <xdr:rowOff>462479</xdr:rowOff>
    </xdr:to>
    <xdr:sp macro="" textlink="">
      <xdr:nvSpPr>
        <xdr:cNvPr id="148" name="Oval 147">
          <a:extLst>
            <a:ext uri="{FF2B5EF4-FFF2-40B4-BE49-F238E27FC236}">
              <a16:creationId xmlns:a16="http://schemas.microsoft.com/office/drawing/2014/main" id="{605CEF24-84C4-4AB1-B68E-E9AF45573BE6}"/>
            </a:ext>
          </a:extLst>
        </xdr:cNvPr>
        <xdr:cNvSpPr/>
      </xdr:nvSpPr>
      <xdr:spPr>
        <a:xfrm>
          <a:off x="6402456" y="2770532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37</xdr:row>
      <xdr:rowOff>107674</xdr:rowOff>
    </xdr:from>
    <xdr:to>
      <xdr:col>6</xdr:col>
      <xdr:colOff>731458</xdr:colOff>
      <xdr:row>37</xdr:row>
      <xdr:rowOff>462480</xdr:rowOff>
    </xdr:to>
    <xdr:sp macro="" textlink="">
      <xdr:nvSpPr>
        <xdr:cNvPr id="149" name="Oval 148">
          <a:extLst>
            <a:ext uri="{FF2B5EF4-FFF2-40B4-BE49-F238E27FC236}">
              <a16:creationId xmlns:a16="http://schemas.microsoft.com/office/drawing/2014/main" id="{E19DA1DE-34FB-44B1-A13A-17DC748CAE1C}"/>
            </a:ext>
          </a:extLst>
        </xdr:cNvPr>
        <xdr:cNvSpPr/>
      </xdr:nvSpPr>
      <xdr:spPr>
        <a:xfrm>
          <a:off x="6443869" y="2833480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38</xdr:row>
      <xdr:rowOff>331304</xdr:rowOff>
    </xdr:from>
    <xdr:to>
      <xdr:col>6</xdr:col>
      <xdr:colOff>731458</xdr:colOff>
      <xdr:row>38</xdr:row>
      <xdr:rowOff>686110</xdr:rowOff>
    </xdr:to>
    <xdr:sp macro="" textlink="">
      <xdr:nvSpPr>
        <xdr:cNvPr id="150" name="Oval 149">
          <a:extLst>
            <a:ext uri="{FF2B5EF4-FFF2-40B4-BE49-F238E27FC236}">
              <a16:creationId xmlns:a16="http://schemas.microsoft.com/office/drawing/2014/main" id="{A55F12BC-BCEB-40A8-A9FD-916B5C1BD8B3}"/>
            </a:ext>
          </a:extLst>
        </xdr:cNvPr>
        <xdr:cNvSpPr/>
      </xdr:nvSpPr>
      <xdr:spPr>
        <a:xfrm>
          <a:off x="6443869" y="2918791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91108</xdr:colOff>
      <xdr:row>39</xdr:row>
      <xdr:rowOff>107674</xdr:rowOff>
    </xdr:from>
    <xdr:to>
      <xdr:col>6</xdr:col>
      <xdr:colOff>698327</xdr:colOff>
      <xdr:row>39</xdr:row>
      <xdr:rowOff>462480</xdr:rowOff>
    </xdr:to>
    <xdr:sp macro="" textlink="">
      <xdr:nvSpPr>
        <xdr:cNvPr id="151" name="Oval 150">
          <a:extLst>
            <a:ext uri="{FF2B5EF4-FFF2-40B4-BE49-F238E27FC236}">
              <a16:creationId xmlns:a16="http://schemas.microsoft.com/office/drawing/2014/main" id="{495CA7B3-B76B-4A5D-B0CC-F23E902CB9AD}"/>
            </a:ext>
          </a:extLst>
        </xdr:cNvPr>
        <xdr:cNvSpPr/>
      </xdr:nvSpPr>
      <xdr:spPr>
        <a:xfrm>
          <a:off x="6410738" y="3004930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41</xdr:row>
      <xdr:rowOff>2393674</xdr:rowOff>
    </xdr:from>
    <xdr:to>
      <xdr:col>6</xdr:col>
      <xdr:colOff>706610</xdr:colOff>
      <xdr:row>41</xdr:row>
      <xdr:rowOff>2748480</xdr:rowOff>
    </xdr:to>
    <xdr:sp macro="" textlink="">
      <xdr:nvSpPr>
        <xdr:cNvPr id="152" name="Oval 151">
          <a:extLst>
            <a:ext uri="{FF2B5EF4-FFF2-40B4-BE49-F238E27FC236}">
              <a16:creationId xmlns:a16="http://schemas.microsoft.com/office/drawing/2014/main" id="{0D37EB2B-FB48-45EE-A512-504EC4C0E13A}"/>
            </a:ext>
          </a:extLst>
        </xdr:cNvPr>
        <xdr:cNvSpPr/>
      </xdr:nvSpPr>
      <xdr:spPr>
        <a:xfrm>
          <a:off x="6419021" y="3359426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42</xdr:row>
      <xdr:rowOff>298174</xdr:rowOff>
    </xdr:from>
    <xdr:to>
      <xdr:col>6</xdr:col>
      <xdr:colOff>723175</xdr:colOff>
      <xdr:row>42</xdr:row>
      <xdr:rowOff>652980</xdr:rowOff>
    </xdr:to>
    <xdr:sp macro="" textlink="">
      <xdr:nvSpPr>
        <xdr:cNvPr id="153" name="Oval 152">
          <a:extLst>
            <a:ext uri="{FF2B5EF4-FFF2-40B4-BE49-F238E27FC236}">
              <a16:creationId xmlns:a16="http://schemas.microsoft.com/office/drawing/2014/main" id="{44A9C9FC-6F4B-46AA-97A0-7BBF42482843}"/>
            </a:ext>
          </a:extLst>
        </xdr:cNvPr>
        <xdr:cNvSpPr/>
      </xdr:nvSpPr>
      <xdr:spPr>
        <a:xfrm>
          <a:off x="6435586" y="3669195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66261</xdr:colOff>
      <xdr:row>44</xdr:row>
      <xdr:rowOff>248478</xdr:rowOff>
    </xdr:from>
    <xdr:to>
      <xdr:col>6</xdr:col>
      <xdr:colOff>673480</xdr:colOff>
      <xdr:row>44</xdr:row>
      <xdr:rowOff>603284</xdr:rowOff>
    </xdr:to>
    <xdr:sp macro="" textlink="">
      <xdr:nvSpPr>
        <xdr:cNvPr id="154" name="Oval 153">
          <a:extLst>
            <a:ext uri="{FF2B5EF4-FFF2-40B4-BE49-F238E27FC236}">
              <a16:creationId xmlns:a16="http://schemas.microsoft.com/office/drawing/2014/main" id="{0E907597-0E8C-4FE5-A572-FEFBFF627838}"/>
            </a:ext>
          </a:extLst>
        </xdr:cNvPr>
        <xdr:cNvSpPr/>
      </xdr:nvSpPr>
      <xdr:spPr>
        <a:xfrm>
          <a:off x="6385891" y="3824080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45</xdr:row>
      <xdr:rowOff>140805</xdr:rowOff>
    </xdr:from>
    <xdr:to>
      <xdr:col>6</xdr:col>
      <xdr:colOff>714893</xdr:colOff>
      <xdr:row>45</xdr:row>
      <xdr:rowOff>495611</xdr:rowOff>
    </xdr:to>
    <xdr:sp macro="" textlink="">
      <xdr:nvSpPr>
        <xdr:cNvPr id="155" name="Oval 154">
          <a:extLst>
            <a:ext uri="{FF2B5EF4-FFF2-40B4-BE49-F238E27FC236}">
              <a16:creationId xmlns:a16="http://schemas.microsoft.com/office/drawing/2014/main" id="{A071F830-6E59-421E-A44F-89504BEDB654}"/>
            </a:ext>
          </a:extLst>
        </xdr:cNvPr>
        <xdr:cNvSpPr/>
      </xdr:nvSpPr>
      <xdr:spPr>
        <a:xfrm>
          <a:off x="6427304" y="3901937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46</xdr:row>
      <xdr:rowOff>298174</xdr:rowOff>
    </xdr:from>
    <xdr:to>
      <xdr:col>6</xdr:col>
      <xdr:colOff>731458</xdr:colOff>
      <xdr:row>46</xdr:row>
      <xdr:rowOff>652980</xdr:rowOff>
    </xdr:to>
    <xdr:sp macro="" textlink="">
      <xdr:nvSpPr>
        <xdr:cNvPr id="156" name="Oval 155">
          <a:extLst>
            <a:ext uri="{FF2B5EF4-FFF2-40B4-BE49-F238E27FC236}">
              <a16:creationId xmlns:a16="http://schemas.microsoft.com/office/drawing/2014/main" id="{0861DF40-C5E7-425A-913B-0D54AC9E4DBC}"/>
            </a:ext>
          </a:extLst>
        </xdr:cNvPr>
        <xdr:cNvSpPr/>
      </xdr:nvSpPr>
      <xdr:spPr>
        <a:xfrm>
          <a:off x="6443869" y="3980621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132522</xdr:colOff>
      <xdr:row>47</xdr:row>
      <xdr:rowOff>720587</xdr:rowOff>
    </xdr:from>
    <xdr:to>
      <xdr:col>6</xdr:col>
      <xdr:colOff>739741</xdr:colOff>
      <xdr:row>47</xdr:row>
      <xdr:rowOff>1075393</xdr:rowOff>
    </xdr:to>
    <xdr:sp macro="" textlink="">
      <xdr:nvSpPr>
        <xdr:cNvPr id="157" name="Oval 156">
          <a:extLst>
            <a:ext uri="{FF2B5EF4-FFF2-40B4-BE49-F238E27FC236}">
              <a16:creationId xmlns:a16="http://schemas.microsoft.com/office/drawing/2014/main" id="{56492605-F8E7-49CC-9430-17784F9AE514}"/>
            </a:ext>
          </a:extLst>
        </xdr:cNvPr>
        <xdr:cNvSpPr/>
      </xdr:nvSpPr>
      <xdr:spPr>
        <a:xfrm>
          <a:off x="6452152" y="4113971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48</xdr:row>
      <xdr:rowOff>728870</xdr:rowOff>
    </xdr:from>
    <xdr:to>
      <xdr:col>6</xdr:col>
      <xdr:colOff>714893</xdr:colOff>
      <xdr:row>48</xdr:row>
      <xdr:rowOff>1083676</xdr:rowOff>
    </xdr:to>
    <xdr:sp macro="" textlink="">
      <xdr:nvSpPr>
        <xdr:cNvPr id="158" name="Oval 157">
          <a:extLst>
            <a:ext uri="{FF2B5EF4-FFF2-40B4-BE49-F238E27FC236}">
              <a16:creationId xmlns:a16="http://schemas.microsoft.com/office/drawing/2014/main" id="{3254A3F5-B7A6-469D-AF6C-1E6074876329}"/>
            </a:ext>
          </a:extLst>
        </xdr:cNvPr>
        <xdr:cNvSpPr/>
      </xdr:nvSpPr>
      <xdr:spPr>
        <a:xfrm>
          <a:off x="6427304" y="4298674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49</xdr:row>
      <xdr:rowOff>488674</xdr:rowOff>
    </xdr:from>
    <xdr:to>
      <xdr:col>6</xdr:col>
      <xdr:colOff>698328</xdr:colOff>
      <xdr:row>49</xdr:row>
      <xdr:rowOff>843480</xdr:rowOff>
    </xdr:to>
    <xdr:sp macro="" textlink="">
      <xdr:nvSpPr>
        <xdr:cNvPr id="159" name="Oval 158">
          <a:extLst>
            <a:ext uri="{FF2B5EF4-FFF2-40B4-BE49-F238E27FC236}">
              <a16:creationId xmlns:a16="http://schemas.microsoft.com/office/drawing/2014/main" id="{489D753C-0AD2-4D27-BA77-29D4D507FD0C}"/>
            </a:ext>
          </a:extLst>
        </xdr:cNvPr>
        <xdr:cNvSpPr/>
      </xdr:nvSpPr>
      <xdr:spPr>
        <a:xfrm>
          <a:off x="6410739" y="4458528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50</xdr:row>
      <xdr:rowOff>463826</xdr:rowOff>
    </xdr:from>
    <xdr:to>
      <xdr:col>6</xdr:col>
      <xdr:colOff>723175</xdr:colOff>
      <xdr:row>50</xdr:row>
      <xdr:rowOff>818632</xdr:rowOff>
    </xdr:to>
    <xdr:sp macro="" textlink="">
      <xdr:nvSpPr>
        <xdr:cNvPr id="160" name="Oval 159">
          <a:extLst>
            <a:ext uri="{FF2B5EF4-FFF2-40B4-BE49-F238E27FC236}">
              <a16:creationId xmlns:a16="http://schemas.microsoft.com/office/drawing/2014/main" id="{E56CAAA3-2C1C-4853-A741-43E7754E4E1A}"/>
            </a:ext>
          </a:extLst>
        </xdr:cNvPr>
        <xdr:cNvSpPr/>
      </xdr:nvSpPr>
      <xdr:spPr>
        <a:xfrm>
          <a:off x="6435586" y="4589393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149087</xdr:colOff>
      <xdr:row>51</xdr:row>
      <xdr:rowOff>422413</xdr:rowOff>
    </xdr:from>
    <xdr:to>
      <xdr:col>6</xdr:col>
      <xdr:colOff>756306</xdr:colOff>
      <xdr:row>51</xdr:row>
      <xdr:rowOff>777219</xdr:rowOff>
    </xdr:to>
    <xdr:sp macro="" textlink="">
      <xdr:nvSpPr>
        <xdr:cNvPr id="161" name="Oval 160">
          <a:extLst>
            <a:ext uri="{FF2B5EF4-FFF2-40B4-BE49-F238E27FC236}">
              <a16:creationId xmlns:a16="http://schemas.microsoft.com/office/drawing/2014/main" id="{E1F5AAA5-EF83-405F-A2A0-195966207445}"/>
            </a:ext>
          </a:extLst>
        </xdr:cNvPr>
        <xdr:cNvSpPr/>
      </xdr:nvSpPr>
      <xdr:spPr>
        <a:xfrm>
          <a:off x="6468717" y="4718602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52</xdr:row>
      <xdr:rowOff>405848</xdr:rowOff>
    </xdr:from>
    <xdr:to>
      <xdr:col>6</xdr:col>
      <xdr:colOff>698328</xdr:colOff>
      <xdr:row>52</xdr:row>
      <xdr:rowOff>760654</xdr:rowOff>
    </xdr:to>
    <xdr:sp macro="" textlink="">
      <xdr:nvSpPr>
        <xdr:cNvPr id="162" name="Oval 161">
          <a:extLst>
            <a:ext uri="{FF2B5EF4-FFF2-40B4-BE49-F238E27FC236}">
              <a16:creationId xmlns:a16="http://schemas.microsoft.com/office/drawing/2014/main" id="{10867215-A847-4C1D-968F-09CC9405A4A3}"/>
            </a:ext>
          </a:extLst>
        </xdr:cNvPr>
        <xdr:cNvSpPr/>
      </xdr:nvSpPr>
      <xdr:spPr>
        <a:xfrm>
          <a:off x="6410739" y="4842841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91108</xdr:colOff>
      <xdr:row>53</xdr:row>
      <xdr:rowOff>381000</xdr:rowOff>
    </xdr:from>
    <xdr:to>
      <xdr:col>6</xdr:col>
      <xdr:colOff>698327</xdr:colOff>
      <xdr:row>53</xdr:row>
      <xdr:rowOff>735806</xdr:rowOff>
    </xdr:to>
    <xdr:sp macro="" textlink="">
      <xdr:nvSpPr>
        <xdr:cNvPr id="163" name="Oval 162">
          <a:extLst>
            <a:ext uri="{FF2B5EF4-FFF2-40B4-BE49-F238E27FC236}">
              <a16:creationId xmlns:a16="http://schemas.microsoft.com/office/drawing/2014/main" id="{A4EE7FDE-2D1E-44D1-9EFB-26E663928CC0}"/>
            </a:ext>
          </a:extLst>
        </xdr:cNvPr>
        <xdr:cNvSpPr/>
      </xdr:nvSpPr>
      <xdr:spPr>
        <a:xfrm>
          <a:off x="6410738" y="4956313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54</xdr:row>
      <xdr:rowOff>1408043</xdr:rowOff>
    </xdr:from>
    <xdr:to>
      <xdr:col>6</xdr:col>
      <xdr:colOff>723175</xdr:colOff>
      <xdr:row>54</xdr:row>
      <xdr:rowOff>1762849</xdr:rowOff>
    </xdr:to>
    <xdr:sp macro="" textlink="">
      <xdr:nvSpPr>
        <xdr:cNvPr id="164" name="Oval 163">
          <a:extLst>
            <a:ext uri="{FF2B5EF4-FFF2-40B4-BE49-F238E27FC236}">
              <a16:creationId xmlns:a16="http://schemas.microsoft.com/office/drawing/2014/main" id="{93E800FE-8656-4E6D-A56A-4F7E3F953550}"/>
            </a:ext>
          </a:extLst>
        </xdr:cNvPr>
        <xdr:cNvSpPr/>
      </xdr:nvSpPr>
      <xdr:spPr>
        <a:xfrm>
          <a:off x="6435586" y="5174973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140804</xdr:colOff>
      <xdr:row>55</xdr:row>
      <xdr:rowOff>190500</xdr:rowOff>
    </xdr:from>
    <xdr:to>
      <xdr:col>6</xdr:col>
      <xdr:colOff>748023</xdr:colOff>
      <xdr:row>55</xdr:row>
      <xdr:rowOff>545306</xdr:rowOff>
    </xdr:to>
    <xdr:sp macro="" textlink="">
      <xdr:nvSpPr>
        <xdr:cNvPr id="165" name="Oval 164">
          <a:extLst>
            <a:ext uri="{FF2B5EF4-FFF2-40B4-BE49-F238E27FC236}">
              <a16:creationId xmlns:a16="http://schemas.microsoft.com/office/drawing/2014/main" id="{048EAAF3-9A11-4F03-9CB3-42DAAEF4BB53}"/>
            </a:ext>
          </a:extLst>
        </xdr:cNvPr>
        <xdr:cNvSpPr/>
      </xdr:nvSpPr>
      <xdr:spPr>
        <a:xfrm>
          <a:off x="6460434" y="5370443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56</xdr:row>
      <xdr:rowOff>430695</xdr:rowOff>
    </xdr:from>
    <xdr:to>
      <xdr:col>6</xdr:col>
      <xdr:colOff>698328</xdr:colOff>
      <xdr:row>56</xdr:row>
      <xdr:rowOff>785501</xdr:rowOff>
    </xdr:to>
    <xdr:sp macro="" textlink="">
      <xdr:nvSpPr>
        <xdr:cNvPr id="166" name="Oval 165">
          <a:extLst>
            <a:ext uri="{FF2B5EF4-FFF2-40B4-BE49-F238E27FC236}">
              <a16:creationId xmlns:a16="http://schemas.microsoft.com/office/drawing/2014/main" id="{D7D163F5-4770-4CCD-8C80-A43B0E23312D}"/>
            </a:ext>
          </a:extLst>
        </xdr:cNvPr>
        <xdr:cNvSpPr/>
      </xdr:nvSpPr>
      <xdr:spPr>
        <a:xfrm>
          <a:off x="6410739" y="5462380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149087</xdr:colOff>
      <xdr:row>57</xdr:row>
      <xdr:rowOff>554935</xdr:rowOff>
    </xdr:from>
    <xdr:to>
      <xdr:col>6</xdr:col>
      <xdr:colOff>756306</xdr:colOff>
      <xdr:row>57</xdr:row>
      <xdr:rowOff>909741</xdr:rowOff>
    </xdr:to>
    <xdr:sp macro="" textlink="">
      <xdr:nvSpPr>
        <xdr:cNvPr id="167" name="Oval 166">
          <a:extLst>
            <a:ext uri="{FF2B5EF4-FFF2-40B4-BE49-F238E27FC236}">
              <a16:creationId xmlns:a16="http://schemas.microsoft.com/office/drawing/2014/main" id="{155FCC2F-C220-4BF7-BE7B-A0925549E68F}"/>
            </a:ext>
          </a:extLst>
        </xdr:cNvPr>
        <xdr:cNvSpPr/>
      </xdr:nvSpPr>
      <xdr:spPr>
        <a:xfrm>
          <a:off x="6468717" y="5601528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58</xdr:row>
      <xdr:rowOff>265044</xdr:rowOff>
    </xdr:from>
    <xdr:to>
      <xdr:col>6</xdr:col>
      <xdr:colOff>698328</xdr:colOff>
      <xdr:row>58</xdr:row>
      <xdr:rowOff>619850</xdr:rowOff>
    </xdr:to>
    <xdr:sp macro="" textlink="">
      <xdr:nvSpPr>
        <xdr:cNvPr id="168" name="Oval 167">
          <a:extLst>
            <a:ext uri="{FF2B5EF4-FFF2-40B4-BE49-F238E27FC236}">
              <a16:creationId xmlns:a16="http://schemas.microsoft.com/office/drawing/2014/main" id="{64A48B71-EF4E-4773-978E-5EAFDE604A90}"/>
            </a:ext>
          </a:extLst>
        </xdr:cNvPr>
        <xdr:cNvSpPr/>
      </xdr:nvSpPr>
      <xdr:spPr>
        <a:xfrm>
          <a:off x="6410739" y="5725767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59</xdr:row>
      <xdr:rowOff>1068456</xdr:rowOff>
    </xdr:from>
    <xdr:to>
      <xdr:col>6</xdr:col>
      <xdr:colOff>731458</xdr:colOff>
      <xdr:row>59</xdr:row>
      <xdr:rowOff>1423262</xdr:rowOff>
    </xdr:to>
    <xdr:sp macro="" textlink="">
      <xdr:nvSpPr>
        <xdr:cNvPr id="169" name="Oval 168">
          <a:extLst>
            <a:ext uri="{FF2B5EF4-FFF2-40B4-BE49-F238E27FC236}">
              <a16:creationId xmlns:a16="http://schemas.microsoft.com/office/drawing/2014/main" id="{6D093AD9-60FE-4810-BC7C-278567EB30CF}"/>
            </a:ext>
          </a:extLst>
        </xdr:cNvPr>
        <xdr:cNvSpPr/>
      </xdr:nvSpPr>
      <xdr:spPr>
        <a:xfrm>
          <a:off x="6443869" y="5899702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60</xdr:row>
      <xdr:rowOff>281609</xdr:rowOff>
    </xdr:from>
    <xdr:to>
      <xdr:col>6</xdr:col>
      <xdr:colOff>731458</xdr:colOff>
      <xdr:row>60</xdr:row>
      <xdr:rowOff>636415</xdr:rowOff>
    </xdr:to>
    <xdr:sp macro="" textlink="">
      <xdr:nvSpPr>
        <xdr:cNvPr id="170" name="Oval 169">
          <a:extLst>
            <a:ext uri="{FF2B5EF4-FFF2-40B4-BE49-F238E27FC236}">
              <a16:creationId xmlns:a16="http://schemas.microsoft.com/office/drawing/2014/main" id="{8D3101FC-4CCD-4D74-92BE-6C757F1F4480}"/>
            </a:ext>
          </a:extLst>
        </xdr:cNvPr>
        <xdr:cNvSpPr/>
      </xdr:nvSpPr>
      <xdr:spPr>
        <a:xfrm>
          <a:off x="6443869" y="6076121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149087</xdr:colOff>
      <xdr:row>61</xdr:row>
      <xdr:rowOff>314739</xdr:rowOff>
    </xdr:from>
    <xdr:to>
      <xdr:col>6</xdr:col>
      <xdr:colOff>756306</xdr:colOff>
      <xdr:row>61</xdr:row>
      <xdr:rowOff>669545</xdr:rowOff>
    </xdr:to>
    <xdr:sp macro="" textlink="">
      <xdr:nvSpPr>
        <xdr:cNvPr id="171" name="Oval 170">
          <a:extLst>
            <a:ext uri="{FF2B5EF4-FFF2-40B4-BE49-F238E27FC236}">
              <a16:creationId xmlns:a16="http://schemas.microsoft.com/office/drawing/2014/main" id="{1E91B5C5-79C0-4886-A9F0-7C31E40D06F5}"/>
            </a:ext>
          </a:extLst>
        </xdr:cNvPr>
        <xdr:cNvSpPr/>
      </xdr:nvSpPr>
      <xdr:spPr>
        <a:xfrm>
          <a:off x="6468717" y="6175513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132521</xdr:colOff>
      <xdr:row>62</xdr:row>
      <xdr:rowOff>323022</xdr:rowOff>
    </xdr:from>
    <xdr:to>
      <xdr:col>6</xdr:col>
      <xdr:colOff>739740</xdr:colOff>
      <xdr:row>62</xdr:row>
      <xdr:rowOff>677828</xdr:rowOff>
    </xdr:to>
    <xdr:sp macro="" textlink="">
      <xdr:nvSpPr>
        <xdr:cNvPr id="172" name="Oval 171">
          <a:extLst>
            <a:ext uri="{FF2B5EF4-FFF2-40B4-BE49-F238E27FC236}">
              <a16:creationId xmlns:a16="http://schemas.microsoft.com/office/drawing/2014/main" id="{564735D1-1CBA-4DDC-8D0F-4F742D44D397}"/>
            </a:ext>
          </a:extLst>
        </xdr:cNvPr>
        <xdr:cNvSpPr/>
      </xdr:nvSpPr>
      <xdr:spPr>
        <a:xfrm>
          <a:off x="6452151" y="6272419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115957</xdr:colOff>
      <xdr:row>63</xdr:row>
      <xdr:rowOff>289891</xdr:rowOff>
    </xdr:from>
    <xdr:to>
      <xdr:col>6</xdr:col>
      <xdr:colOff>723176</xdr:colOff>
      <xdr:row>63</xdr:row>
      <xdr:rowOff>644697</xdr:rowOff>
    </xdr:to>
    <xdr:sp macro="" textlink="">
      <xdr:nvSpPr>
        <xdr:cNvPr id="173" name="Oval 172">
          <a:extLst>
            <a:ext uri="{FF2B5EF4-FFF2-40B4-BE49-F238E27FC236}">
              <a16:creationId xmlns:a16="http://schemas.microsoft.com/office/drawing/2014/main" id="{C7D790DA-CACE-4E69-9540-5ADDD3449674}"/>
            </a:ext>
          </a:extLst>
        </xdr:cNvPr>
        <xdr:cNvSpPr/>
      </xdr:nvSpPr>
      <xdr:spPr>
        <a:xfrm>
          <a:off x="6435587" y="6372639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64</xdr:row>
      <xdr:rowOff>579783</xdr:rowOff>
    </xdr:from>
    <xdr:to>
      <xdr:col>6</xdr:col>
      <xdr:colOff>714893</xdr:colOff>
      <xdr:row>64</xdr:row>
      <xdr:rowOff>934589</xdr:rowOff>
    </xdr:to>
    <xdr:sp macro="" textlink="">
      <xdr:nvSpPr>
        <xdr:cNvPr id="174" name="Oval 173">
          <a:extLst>
            <a:ext uri="{FF2B5EF4-FFF2-40B4-BE49-F238E27FC236}">
              <a16:creationId xmlns:a16="http://schemas.microsoft.com/office/drawing/2014/main" id="{8B974CA1-E37C-4D10-8A5B-7919D30E4F2D}"/>
            </a:ext>
          </a:extLst>
        </xdr:cNvPr>
        <xdr:cNvSpPr/>
      </xdr:nvSpPr>
      <xdr:spPr>
        <a:xfrm>
          <a:off x="6427304" y="6497706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65</xdr:row>
      <xdr:rowOff>256761</xdr:rowOff>
    </xdr:from>
    <xdr:to>
      <xdr:col>6</xdr:col>
      <xdr:colOff>698328</xdr:colOff>
      <xdr:row>65</xdr:row>
      <xdr:rowOff>611567</xdr:rowOff>
    </xdr:to>
    <xdr:sp macro="" textlink="">
      <xdr:nvSpPr>
        <xdr:cNvPr id="175" name="Oval 174">
          <a:extLst>
            <a:ext uri="{FF2B5EF4-FFF2-40B4-BE49-F238E27FC236}">
              <a16:creationId xmlns:a16="http://schemas.microsoft.com/office/drawing/2014/main" id="{D9009C97-5E06-490E-8010-3945C6AE8DF2}"/>
            </a:ext>
          </a:extLst>
        </xdr:cNvPr>
        <xdr:cNvSpPr/>
      </xdr:nvSpPr>
      <xdr:spPr>
        <a:xfrm>
          <a:off x="6410739" y="6621945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66</xdr:row>
      <xdr:rowOff>554934</xdr:rowOff>
    </xdr:from>
    <xdr:to>
      <xdr:col>6</xdr:col>
      <xdr:colOff>714893</xdr:colOff>
      <xdr:row>66</xdr:row>
      <xdr:rowOff>909740</xdr:rowOff>
    </xdr:to>
    <xdr:sp macro="" textlink="">
      <xdr:nvSpPr>
        <xdr:cNvPr id="176" name="Oval 175">
          <a:extLst>
            <a:ext uri="{FF2B5EF4-FFF2-40B4-BE49-F238E27FC236}">
              <a16:creationId xmlns:a16="http://schemas.microsoft.com/office/drawing/2014/main" id="{12F8F0E8-D832-416C-91EF-98501A7A789F}"/>
            </a:ext>
          </a:extLst>
        </xdr:cNvPr>
        <xdr:cNvSpPr/>
      </xdr:nvSpPr>
      <xdr:spPr>
        <a:xfrm>
          <a:off x="6427304" y="6737902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67</xdr:row>
      <xdr:rowOff>1002196</xdr:rowOff>
    </xdr:from>
    <xdr:to>
      <xdr:col>6</xdr:col>
      <xdr:colOff>731458</xdr:colOff>
      <xdr:row>67</xdr:row>
      <xdr:rowOff>1357002</xdr:rowOff>
    </xdr:to>
    <xdr:sp macro="" textlink="">
      <xdr:nvSpPr>
        <xdr:cNvPr id="177" name="Oval 176">
          <a:extLst>
            <a:ext uri="{FF2B5EF4-FFF2-40B4-BE49-F238E27FC236}">
              <a16:creationId xmlns:a16="http://schemas.microsoft.com/office/drawing/2014/main" id="{338FA57E-774A-48DA-9700-83DF644B49A3}"/>
            </a:ext>
          </a:extLst>
        </xdr:cNvPr>
        <xdr:cNvSpPr/>
      </xdr:nvSpPr>
      <xdr:spPr>
        <a:xfrm>
          <a:off x="6443869" y="6924260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68</xdr:row>
      <xdr:rowOff>1184413</xdr:rowOff>
    </xdr:from>
    <xdr:to>
      <xdr:col>6</xdr:col>
      <xdr:colOff>731458</xdr:colOff>
      <xdr:row>68</xdr:row>
      <xdr:rowOff>1539219</xdr:rowOff>
    </xdr:to>
    <xdr:sp macro="" textlink="">
      <xdr:nvSpPr>
        <xdr:cNvPr id="178" name="Oval 177">
          <a:extLst>
            <a:ext uri="{FF2B5EF4-FFF2-40B4-BE49-F238E27FC236}">
              <a16:creationId xmlns:a16="http://schemas.microsoft.com/office/drawing/2014/main" id="{5FB8F185-AD73-4C5D-95C7-4C6440B9B15D}"/>
            </a:ext>
          </a:extLst>
        </xdr:cNvPr>
        <xdr:cNvSpPr/>
      </xdr:nvSpPr>
      <xdr:spPr>
        <a:xfrm>
          <a:off x="6443869" y="7175223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115957</xdr:colOff>
      <xdr:row>69</xdr:row>
      <xdr:rowOff>190500</xdr:rowOff>
    </xdr:from>
    <xdr:to>
      <xdr:col>6</xdr:col>
      <xdr:colOff>723176</xdr:colOff>
      <xdr:row>69</xdr:row>
      <xdr:rowOff>545306</xdr:rowOff>
    </xdr:to>
    <xdr:sp macro="" textlink="">
      <xdr:nvSpPr>
        <xdr:cNvPr id="179" name="Oval 178">
          <a:extLst>
            <a:ext uri="{FF2B5EF4-FFF2-40B4-BE49-F238E27FC236}">
              <a16:creationId xmlns:a16="http://schemas.microsoft.com/office/drawing/2014/main" id="{5854DEBE-C6DA-48A4-A99C-A046115187B9}"/>
            </a:ext>
          </a:extLst>
        </xdr:cNvPr>
        <xdr:cNvSpPr/>
      </xdr:nvSpPr>
      <xdr:spPr>
        <a:xfrm>
          <a:off x="6435587" y="7346673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66260</xdr:colOff>
      <xdr:row>70</xdr:row>
      <xdr:rowOff>1482587</xdr:rowOff>
    </xdr:from>
    <xdr:to>
      <xdr:col>6</xdr:col>
      <xdr:colOff>673479</xdr:colOff>
      <xdr:row>70</xdr:row>
      <xdr:rowOff>1837393</xdr:rowOff>
    </xdr:to>
    <xdr:sp macro="" textlink="">
      <xdr:nvSpPr>
        <xdr:cNvPr id="180" name="Oval 179">
          <a:extLst>
            <a:ext uri="{FF2B5EF4-FFF2-40B4-BE49-F238E27FC236}">
              <a16:creationId xmlns:a16="http://schemas.microsoft.com/office/drawing/2014/main" id="{696242E4-BF0F-4BAA-9F00-7E7831FC2759}"/>
            </a:ext>
          </a:extLst>
        </xdr:cNvPr>
        <xdr:cNvSpPr/>
      </xdr:nvSpPr>
      <xdr:spPr>
        <a:xfrm>
          <a:off x="6385890" y="7553739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71</xdr:row>
      <xdr:rowOff>704021</xdr:rowOff>
    </xdr:from>
    <xdr:to>
      <xdr:col>6</xdr:col>
      <xdr:colOff>723175</xdr:colOff>
      <xdr:row>71</xdr:row>
      <xdr:rowOff>1058827</xdr:rowOff>
    </xdr:to>
    <xdr:sp macro="" textlink="">
      <xdr:nvSpPr>
        <xdr:cNvPr id="181" name="Oval 180">
          <a:extLst>
            <a:ext uri="{FF2B5EF4-FFF2-40B4-BE49-F238E27FC236}">
              <a16:creationId xmlns:a16="http://schemas.microsoft.com/office/drawing/2014/main" id="{3E9EC71E-98E8-4631-BC3E-2CBB8CB2DB99}"/>
            </a:ext>
          </a:extLst>
        </xdr:cNvPr>
        <xdr:cNvSpPr/>
      </xdr:nvSpPr>
      <xdr:spPr>
        <a:xfrm>
          <a:off x="6435586" y="7813813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9</xdr:col>
      <xdr:colOff>197643</xdr:colOff>
      <xdr:row>119</xdr:row>
      <xdr:rowOff>0</xdr:rowOff>
    </xdr:from>
    <xdr:ext cx="65" cy="172227"/>
    <xdr:sp macro="" textlink="">
      <xdr:nvSpPr>
        <xdr:cNvPr id="2" name="TekstniOkvir 1">
          <a:extLst>
            <a:ext uri="{FF2B5EF4-FFF2-40B4-BE49-F238E27FC236}">
              <a16:creationId xmlns:a16="http://schemas.microsoft.com/office/drawing/2014/main" id="{D45D7102-3840-4808-B47B-8001967EB408}"/>
            </a:ext>
          </a:extLst>
        </xdr:cNvPr>
        <xdr:cNvSpPr txBox="1"/>
      </xdr:nvSpPr>
      <xdr:spPr>
        <a:xfrm>
          <a:off x="10627518" y="1005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hr-HR" sz="1100"/>
        </a:p>
      </xdr:txBody>
    </xdr:sp>
    <xdr:clientData/>
  </xdr:oneCellAnchor>
  <xdr:twoCellAnchor>
    <xdr:from>
      <xdr:col>6</xdr:col>
      <xdr:colOff>115957</xdr:colOff>
      <xdr:row>55</xdr:row>
      <xdr:rowOff>124239</xdr:rowOff>
    </xdr:from>
    <xdr:to>
      <xdr:col>6</xdr:col>
      <xdr:colOff>723176</xdr:colOff>
      <xdr:row>55</xdr:row>
      <xdr:rowOff>479045</xdr:rowOff>
    </xdr:to>
    <xdr:sp macro="" textlink="">
      <xdr:nvSpPr>
        <xdr:cNvPr id="3" name="Oval 2">
          <a:extLst>
            <a:ext uri="{FF2B5EF4-FFF2-40B4-BE49-F238E27FC236}">
              <a16:creationId xmlns:a16="http://schemas.microsoft.com/office/drawing/2014/main" id="{1D3ADC25-4786-4F26-B738-D1472BBD0CC9}"/>
            </a:ext>
          </a:extLst>
        </xdr:cNvPr>
        <xdr:cNvSpPr/>
      </xdr:nvSpPr>
      <xdr:spPr>
        <a:xfrm>
          <a:off x="6450082" y="11811993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102705</xdr:colOff>
      <xdr:row>187</xdr:row>
      <xdr:rowOff>135835</xdr:rowOff>
    </xdr:from>
    <xdr:to>
      <xdr:col>6</xdr:col>
      <xdr:colOff>709924</xdr:colOff>
      <xdr:row>187</xdr:row>
      <xdr:rowOff>490641</xdr:rowOff>
    </xdr:to>
    <xdr:sp macro="" textlink="">
      <xdr:nvSpPr>
        <xdr:cNvPr id="4" name="Oval 3">
          <a:extLst>
            <a:ext uri="{FF2B5EF4-FFF2-40B4-BE49-F238E27FC236}">
              <a16:creationId xmlns:a16="http://schemas.microsoft.com/office/drawing/2014/main" id="{BB2B8A96-715B-4590-9BBC-7CF1A5F37DBF}"/>
            </a:ext>
          </a:extLst>
        </xdr:cNvPr>
        <xdr:cNvSpPr/>
      </xdr:nvSpPr>
      <xdr:spPr>
        <a:xfrm>
          <a:off x="6436830" y="11624558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81170</xdr:colOff>
      <xdr:row>186</xdr:row>
      <xdr:rowOff>130865</xdr:rowOff>
    </xdr:from>
    <xdr:to>
      <xdr:col>6</xdr:col>
      <xdr:colOff>688389</xdr:colOff>
      <xdr:row>186</xdr:row>
      <xdr:rowOff>485671</xdr:rowOff>
    </xdr:to>
    <xdr:sp macro="" textlink="">
      <xdr:nvSpPr>
        <xdr:cNvPr id="5" name="Oval 4">
          <a:extLst>
            <a:ext uri="{FF2B5EF4-FFF2-40B4-BE49-F238E27FC236}">
              <a16:creationId xmlns:a16="http://schemas.microsoft.com/office/drawing/2014/main" id="{26E0F75D-1EF7-43CF-A46A-502C14E62C5D}"/>
            </a:ext>
          </a:extLst>
        </xdr:cNvPr>
        <xdr:cNvSpPr/>
      </xdr:nvSpPr>
      <xdr:spPr>
        <a:xfrm>
          <a:off x="6415295" y="11561196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76201</xdr:colOff>
      <xdr:row>185</xdr:row>
      <xdr:rowOff>101048</xdr:rowOff>
    </xdr:from>
    <xdr:to>
      <xdr:col>6</xdr:col>
      <xdr:colOff>683420</xdr:colOff>
      <xdr:row>185</xdr:row>
      <xdr:rowOff>455854</xdr:rowOff>
    </xdr:to>
    <xdr:sp macro="" textlink="">
      <xdr:nvSpPr>
        <xdr:cNvPr id="6" name="Oval 5">
          <a:extLst>
            <a:ext uri="{FF2B5EF4-FFF2-40B4-BE49-F238E27FC236}">
              <a16:creationId xmlns:a16="http://schemas.microsoft.com/office/drawing/2014/main" id="{DCFA9B51-C083-4E5C-9C77-68E14F288593}"/>
            </a:ext>
          </a:extLst>
        </xdr:cNvPr>
        <xdr:cNvSpPr/>
      </xdr:nvSpPr>
      <xdr:spPr>
        <a:xfrm>
          <a:off x="6410326" y="11502017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112645</xdr:colOff>
      <xdr:row>184</xdr:row>
      <xdr:rowOff>443947</xdr:rowOff>
    </xdr:from>
    <xdr:to>
      <xdr:col>6</xdr:col>
      <xdr:colOff>719864</xdr:colOff>
      <xdr:row>184</xdr:row>
      <xdr:rowOff>798753</xdr:rowOff>
    </xdr:to>
    <xdr:sp macro="" textlink="">
      <xdr:nvSpPr>
        <xdr:cNvPr id="7" name="Oval 6">
          <a:extLst>
            <a:ext uri="{FF2B5EF4-FFF2-40B4-BE49-F238E27FC236}">
              <a16:creationId xmlns:a16="http://schemas.microsoft.com/office/drawing/2014/main" id="{6608BA9B-31BF-4D41-960D-1A26B9CBAD1B}"/>
            </a:ext>
          </a:extLst>
        </xdr:cNvPr>
        <xdr:cNvSpPr/>
      </xdr:nvSpPr>
      <xdr:spPr>
        <a:xfrm>
          <a:off x="6446770" y="11407719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107675</xdr:colOff>
      <xdr:row>183</xdr:row>
      <xdr:rowOff>1350064</xdr:rowOff>
    </xdr:from>
    <xdr:to>
      <xdr:col>6</xdr:col>
      <xdr:colOff>714894</xdr:colOff>
      <xdr:row>183</xdr:row>
      <xdr:rowOff>1704870</xdr:rowOff>
    </xdr:to>
    <xdr:sp macro="" textlink="">
      <xdr:nvSpPr>
        <xdr:cNvPr id="8" name="Oval 7">
          <a:extLst>
            <a:ext uri="{FF2B5EF4-FFF2-40B4-BE49-F238E27FC236}">
              <a16:creationId xmlns:a16="http://schemas.microsoft.com/office/drawing/2014/main" id="{E5C4DDC8-217D-47C2-B4FF-DE97F9C635F0}"/>
            </a:ext>
          </a:extLst>
        </xdr:cNvPr>
        <xdr:cNvSpPr/>
      </xdr:nvSpPr>
      <xdr:spPr>
        <a:xfrm>
          <a:off x="6441800" y="11199246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144118</xdr:colOff>
      <xdr:row>182</xdr:row>
      <xdr:rowOff>525120</xdr:rowOff>
    </xdr:from>
    <xdr:to>
      <xdr:col>6</xdr:col>
      <xdr:colOff>751337</xdr:colOff>
      <xdr:row>182</xdr:row>
      <xdr:rowOff>879926</xdr:rowOff>
    </xdr:to>
    <xdr:sp macro="" textlink="">
      <xdr:nvSpPr>
        <xdr:cNvPr id="9" name="Oval 8">
          <a:extLst>
            <a:ext uri="{FF2B5EF4-FFF2-40B4-BE49-F238E27FC236}">
              <a16:creationId xmlns:a16="http://schemas.microsoft.com/office/drawing/2014/main" id="{2CA084CE-B8E8-4DB5-A34D-0EEE68165094}"/>
            </a:ext>
          </a:extLst>
        </xdr:cNvPr>
        <xdr:cNvSpPr/>
      </xdr:nvSpPr>
      <xdr:spPr>
        <a:xfrm>
          <a:off x="6478243" y="10974829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147428</xdr:colOff>
      <xdr:row>181</xdr:row>
      <xdr:rowOff>155709</xdr:rowOff>
    </xdr:from>
    <xdr:to>
      <xdr:col>6</xdr:col>
      <xdr:colOff>754647</xdr:colOff>
      <xdr:row>181</xdr:row>
      <xdr:rowOff>510515</xdr:rowOff>
    </xdr:to>
    <xdr:sp macro="" textlink="">
      <xdr:nvSpPr>
        <xdr:cNvPr id="10" name="Oval 9">
          <a:extLst>
            <a:ext uri="{FF2B5EF4-FFF2-40B4-BE49-F238E27FC236}">
              <a16:creationId xmlns:a16="http://schemas.microsoft.com/office/drawing/2014/main" id="{FB4BB56A-4D8F-4B2C-8C29-DF9D1C8CA674}"/>
            </a:ext>
          </a:extLst>
        </xdr:cNvPr>
        <xdr:cNvSpPr/>
      </xdr:nvSpPr>
      <xdr:spPr>
        <a:xfrm>
          <a:off x="6481553" y="10875023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142455</xdr:colOff>
      <xdr:row>180</xdr:row>
      <xdr:rowOff>183868</xdr:rowOff>
    </xdr:from>
    <xdr:to>
      <xdr:col>6</xdr:col>
      <xdr:colOff>749674</xdr:colOff>
      <xdr:row>180</xdr:row>
      <xdr:rowOff>538674</xdr:rowOff>
    </xdr:to>
    <xdr:sp macro="" textlink="">
      <xdr:nvSpPr>
        <xdr:cNvPr id="11" name="Oval 10">
          <a:extLst>
            <a:ext uri="{FF2B5EF4-FFF2-40B4-BE49-F238E27FC236}">
              <a16:creationId xmlns:a16="http://schemas.microsoft.com/office/drawing/2014/main" id="{C14EED93-57F7-4C75-B7B0-77B1F83FE50E}"/>
            </a:ext>
          </a:extLst>
        </xdr:cNvPr>
        <xdr:cNvSpPr/>
      </xdr:nvSpPr>
      <xdr:spPr>
        <a:xfrm>
          <a:off x="6476580" y="10809259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154047</xdr:colOff>
      <xdr:row>179</xdr:row>
      <xdr:rowOff>154048</xdr:rowOff>
    </xdr:from>
    <xdr:to>
      <xdr:col>6</xdr:col>
      <xdr:colOff>761266</xdr:colOff>
      <xdr:row>179</xdr:row>
      <xdr:rowOff>508854</xdr:rowOff>
    </xdr:to>
    <xdr:sp macro="" textlink="">
      <xdr:nvSpPr>
        <xdr:cNvPr id="12" name="Oval 11">
          <a:extLst>
            <a:ext uri="{FF2B5EF4-FFF2-40B4-BE49-F238E27FC236}">
              <a16:creationId xmlns:a16="http://schemas.microsoft.com/office/drawing/2014/main" id="{B760B23C-FC9D-4620-9A2A-5336BD9B0310}"/>
            </a:ext>
          </a:extLst>
        </xdr:cNvPr>
        <xdr:cNvSpPr/>
      </xdr:nvSpPr>
      <xdr:spPr>
        <a:xfrm>
          <a:off x="6488172" y="10743412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140792</xdr:colOff>
      <xdr:row>178</xdr:row>
      <xdr:rowOff>149074</xdr:rowOff>
    </xdr:from>
    <xdr:to>
      <xdr:col>6</xdr:col>
      <xdr:colOff>748011</xdr:colOff>
      <xdr:row>178</xdr:row>
      <xdr:rowOff>503880</xdr:rowOff>
    </xdr:to>
    <xdr:sp macro="" textlink="">
      <xdr:nvSpPr>
        <xdr:cNvPr id="13" name="Oval 12">
          <a:extLst>
            <a:ext uri="{FF2B5EF4-FFF2-40B4-BE49-F238E27FC236}">
              <a16:creationId xmlns:a16="http://schemas.microsoft.com/office/drawing/2014/main" id="{69232254-FF9E-4C1C-B523-DB68FA0BD244}"/>
            </a:ext>
          </a:extLst>
        </xdr:cNvPr>
        <xdr:cNvSpPr/>
      </xdr:nvSpPr>
      <xdr:spPr>
        <a:xfrm>
          <a:off x="6474917" y="10680049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110977</xdr:colOff>
      <xdr:row>73</xdr:row>
      <xdr:rowOff>715607</xdr:rowOff>
    </xdr:from>
    <xdr:to>
      <xdr:col>6</xdr:col>
      <xdr:colOff>718196</xdr:colOff>
      <xdr:row>73</xdr:row>
      <xdr:rowOff>1070413</xdr:rowOff>
    </xdr:to>
    <xdr:sp macro="" textlink="">
      <xdr:nvSpPr>
        <xdr:cNvPr id="14" name="Oval 13">
          <a:extLst>
            <a:ext uri="{FF2B5EF4-FFF2-40B4-BE49-F238E27FC236}">
              <a16:creationId xmlns:a16="http://schemas.microsoft.com/office/drawing/2014/main" id="{5990B551-AB0B-41E1-90EE-B7DE8425711B}"/>
            </a:ext>
          </a:extLst>
        </xdr:cNvPr>
        <xdr:cNvSpPr/>
      </xdr:nvSpPr>
      <xdr:spPr>
        <a:xfrm>
          <a:off x="6445102" y="10493815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106008</xdr:colOff>
      <xdr:row>71</xdr:row>
      <xdr:rowOff>329637</xdr:rowOff>
    </xdr:from>
    <xdr:to>
      <xdr:col>6</xdr:col>
      <xdr:colOff>713227</xdr:colOff>
      <xdr:row>71</xdr:row>
      <xdr:rowOff>684443</xdr:rowOff>
    </xdr:to>
    <xdr:sp macro="" textlink="">
      <xdr:nvSpPr>
        <xdr:cNvPr id="15" name="Oval 14">
          <a:extLst>
            <a:ext uri="{FF2B5EF4-FFF2-40B4-BE49-F238E27FC236}">
              <a16:creationId xmlns:a16="http://schemas.microsoft.com/office/drawing/2014/main" id="{49C2AF32-CD59-4D9C-92F2-12D87D545EA1}"/>
            </a:ext>
          </a:extLst>
        </xdr:cNvPr>
        <xdr:cNvSpPr/>
      </xdr:nvSpPr>
      <xdr:spPr>
        <a:xfrm>
          <a:off x="6440133" y="10295198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109321</xdr:colOff>
      <xdr:row>77</xdr:row>
      <xdr:rowOff>1285451</xdr:rowOff>
    </xdr:from>
    <xdr:to>
      <xdr:col>6</xdr:col>
      <xdr:colOff>716540</xdr:colOff>
      <xdr:row>77</xdr:row>
      <xdr:rowOff>1640257</xdr:rowOff>
    </xdr:to>
    <xdr:sp macro="" textlink="">
      <xdr:nvSpPr>
        <xdr:cNvPr id="16" name="Oval 15">
          <a:extLst>
            <a:ext uri="{FF2B5EF4-FFF2-40B4-BE49-F238E27FC236}">
              <a16:creationId xmlns:a16="http://schemas.microsoft.com/office/drawing/2014/main" id="{C3A20004-E490-4AB8-996D-555AFE3481D8}"/>
            </a:ext>
          </a:extLst>
        </xdr:cNvPr>
        <xdr:cNvSpPr/>
      </xdr:nvSpPr>
      <xdr:spPr>
        <a:xfrm>
          <a:off x="6443446" y="10034545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104351</xdr:colOff>
      <xdr:row>76</xdr:row>
      <xdr:rowOff>1313611</xdr:rowOff>
    </xdr:from>
    <xdr:to>
      <xdr:col>6</xdr:col>
      <xdr:colOff>711570</xdr:colOff>
      <xdr:row>76</xdr:row>
      <xdr:rowOff>1668417</xdr:rowOff>
    </xdr:to>
    <xdr:sp macro="" textlink="">
      <xdr:nvSpPr>
        <xdr:cNvPr id="17" name="Oval 16">
          <a:extLst>
            <a:ext uri="{FF2B5EF4-FFF2-40B4-BE49-F238E27FC236}">
              <a16:creationId xmlns:a16="http://schemas.microsoft.com/office/drawing/2014/main" id="{9B144451-3BEC-42E5-9676-AF48B13BE92C}"/>
            </a:ext>
          </a:extLst>
        </xdr:cNvPr>
        <xdr:cNvSpPr/>
      </xdr:nvSpPr>
      <xdr:spPr>
        <a:xfrm>
          <a:off x="6438476" y="9737323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115946</xdr:colOff>
      <xdr:row>83</xdr:row>
      <xdr:rowOff>414120</xdr:rowOff>
    </xdr:from>
    <xdr:to>
      <xdr:col>6</xdr:col>
      <xdr:colOff>723165</xdr:colOff>
      <xdr:row>83</xdr:row>
      <xdr:rowOff>768926</xdr:rowOff>
    </xdr:to>
    <xdr:sp macro="" textlink="">
      <xdr:nvSpPr>
        <xdr:cNvPr id="18" name="Oval 17">
          <a:extLst>
            <a:ext uri="{FF2B5EF4-FFF2-40B4-BE49-F238E27FC236}">
              <a16:creationId xmlns:a16="http://schemas.microsoft.com/office/drawing/2014/main" id="{05B37BAF-E8A8-4210-BD28-81B0FBA4D227}"/>
            </a:ext>
          </a:extLst>
        </xdr:cNvPr>
        <xdr:cNvSpPr/>
      </xdr:nvSpPr>
      <xdr:spPr>
        <a:xfrm>
          <a:off x="6450071" y="9533074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94411</xdr:colOff>
      <xdr:row>82</xdr:row>
      <xdr:rowOff>1411346</xdr:rowOff>
    </xdr:from>
    <xdr:to>
      <xdr:col>6</xdr:col>
      <xdr:colOff>701630</xdr:colOff>
      <xdr:row>82</xdr:row>
      <xdr:rowOff>1766152</xdr:rowOff>
    </xdr:to>
    <xdr:sp macro="" textlink="">
      <xdr:nvSpPr>
        <xdr:cNvPr id="19" name="Oval 18">
          <a:extLst>
            <a:ext uri="{FF2B5EF4-FFF2-40B4-BE49-F238E27FC236}">
              <a16:creationId xmlns:a16="http://schemas.microsoft.com/office/drawing/2014/main" id="{52279454-B862-45F7-A27D-AF3CDFAAA2D2}"/>
            </a:ext>
          </a:extLst>
        </xdr:cNvPr>
        <xdr:cNvSpPr/>
      </xdr:nvSpPr>
      <xdr:spPr>
        <a:xfrm>
          <a:off x="6428536" y="9321329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114289</xdr:colOff>
      <xdr:row>88</xdr:row>
      <xdr:rowOff>453877</xdr:rowOff>
    </xdr:from>
    <xdr:to>
      <xdr:col>6</xdr:col>
      <xdr:colOff>721508</xdr:colOff>
      <xdr:row>88</xdr:row>
      <xdr:rowOff>808683</xdr:rowOff>
    </xdr:to>
    <xdr:sp macro="" textlink="">
      <xdr:nvSpPr>
        <xdr:cNvPr id="20" name="Oval 19">
          <a:extLst>
            <a:ext uri="{FF2B5EF4-FFF2-40B4-BE49-F238E27FC236}">
              <a16:creationId xmlns:a16="http://schemas.microsoft.com/office/drawing/2014/main" id="{837EF265-8B4B-40C3-8BCC-535327D3AC9A}"/>
            </a:ext>
          </a:extLst>
        </xdr:cNvPr>
        <xdr:cNvSpPr/>
      </xdr:nvSpPr>
      <xdr:spPr>
        <a:xfrm>
          <a:off x="6448414" y="9098900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84472</xdr:colOff>
      <xdr:row>81</xdr:row>
      <xdr:rowOff>332951</xdr:rowOff>
    </xdr:from>
    <xdr:to>
      <xdr:col>6</xdr:col>
      <xdr:colOff>691691</xdr:colOff>
      <xdr:row>81</xdr:row>
      <xdr:rowOff>687757</xdr:rowOff>
    </xdr:to>
    <xdr:sp macro="" textlink="">
      <xdr:nvSpPr>
        <xdr:cNvPr id="21" name="Oval 20">
          <a:extLst>
            <a:ext uri="{FF2B5EF4-FFF2-40B4-BE49-F238E27FC236}">
              <a16:creationId xmlns:a16="http://schemas.microsoft.com/office/drawing/2014/main" id="{8F370214-BB88-4FB7-AF11-234963B62EDE}"/>
            </a:ext>
          </a:extLst>
        </xdr:cNvPr>
        <xdr:cNvSpPr/>
      </xdr:nvSpPr>
      <xdr:spPr>
        <a:xfrm>
          <a:off x="6418597" y="8987747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104350</xdr:colOff>
      <xdr:row>80</xdr:row>
      <xdr:rowOff>452221</xdr:rowOff>
    </xdr:from>
    <xdr:to>
      <xdr:col>6</xdr:col>
      <xdr:colOff>711569</xdr:colOff>
      <xdr:row>80</xdr:row>
      <xdr:rowOff>807027</xdr:rowOff>
    </xdr:to>
    <xdr:sp macro="" textlink="">
      <xdr:nvSpPr>
        <xdr:cNvPr id="22" name="Oval 21">
          <a:extLst>
            <a:ext uri="{FF2B5EF4-FFF2-40B4-BE49-F238E27FC236}">
              <a16:creationId xmlns:a16="http://schemas.microsoft.com/office/drawing/2014/main" id="{39874988-286F-485E-A82F-87EDA0C46839}"/>
            </a:ext>
          </a:extLst>
        </xdr:cNvPr>
        <xdr:cNvSpPr/>
      </xdr:nvSpPr>
      <xdr:spPr>
        <a:xfrm>
          <a:off x="6438475" y="8873944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99380</xdr:colOff>
      <xdr:row>173</xdr:row>
      <xdr:rowOff>140795</xdr:rowOff>
    </xdr:from>
    <xdr:to>
      <xdr:col>6</xdr:col>
      <xdr:colOff>706599</xdr:colOff>
      <xdr:row>173</xdr:row>
      <xdr:rowOff>495601</xdr:rowOff>
    </xdr:to>
    <xdr:sp macro="" textlink="">
      <xdr:nvSpPr>
        <xdr:cNvPr id="23" name="Oval 22">
          <a:extLst>
            <a:ext uri="{FF2B5EF4-FFF2-40B4-BE49-F238E27FC236}">
              <a16:creationId xmlns:a16="http://schemas.microsoft.com/office/drawing/2014/main" id="{E0851E5A-ED4F-44B5-89AC-61B460A1429F}"/>
            </a:ext>
          </a:extLst>
        </xdr:cNvPr>
        <xdr:cNvSpPr/>
      </xdr:nvSpPr>
      <xdr:spPr>
        <a:xfrm>
          <a:off x="6433505" y="8719929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119258</xdr:colOff>
      <xdr:row>172</xdr:row>
      <xdr:rowOff>284913</xdr:rowOff>
    </xdr:from>
    <xdr:to>
      <xdr:col>6</xdr:col>
      <xdr:colOff>726477</xdr:colOff>
      <xdr:row>172</xdr:row>
      <xdr:rowOff>639719</xdr:rowOff>
    </xdr:to>
    <xdr:sp macro="" textlink="">
      <xdr:nvSpPr>
        <xdr:cNvPr id="24" name="Oval 23">
          <a:extLst>
            <a:ext uri="{FF2B5EF4-FFF2-40B4-BE49-F238E27FC236}">
              <a16:creationId xmlns:a16="http://schemas.microsoft.com/office/drawing/2014/main" id="{778DC9BC-388F-4331-B206-8F406406B497}"/>
            </a:ext>
          </a:extLst>
        </xdr:cNvPr>
        <xdr:cNvSpPr/>
      </xdr:nvSpPr>
      <xdr:spPr>
        <a:xfrm>
          <a:off x="6453383" y="8644806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81158</xdr:colOff>
      <xdr:row>171</xdr:row>
      <xdr:rowOff>130856</xdr:rowOff>
    </xdr:from>
    <xdr:to>
      <xdr:col>6</xdr:col>
      <xdr:colOff>688377</xdr:colOff>
      <xdr:row>171</xdr:row>
      <xdr:rowOff>485662</xdr:rowOff>
    </xdr:to>
    <xdr:sp macro="" textlink="">
      <xdr:nvSpPr>
        <xdr:cNvPr id="25" name="Oval 24">
          <a:extLst>
            <a:ext uri="{FF2B5EF4-FFF2-40B4-BE49-F238E27FC236}">
              <a16:creationId xmlns:a16="http://schemas.microsoft.com/office/drawing/2014/main" id="{1D146117-8F81-47E6-992D-61F17488CACD}"/>
            </a:ext>
          </a:extLst>
        </xdr:cNvPr>
        <xdr:cNvSpPr/>
      </xdr:nvSpPr>
      <xdr:spPr>
        <a:xfrm>
          <a:off x="6415283" y="8566535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142450</xdr:colOff>
      <xdr:row>169</xdr:row>
      <xdr:rowOff>109321</xdr:rowOff>
    </xdr:from>
    <xdr:to>
      <xdr:col>6</xdr:col>
      <xdr:colOff>749669</xdr:colOff>
      <xdr:row>169</xdr:row>
      <xdr:rowOff>464127</xdr:rowOff>
    </xdr:to>
    <xdr:sp macro="" textlink="">
      <xdr:nvSpPr>
        <xdr:cNvPr id="26" name="Oval 25">
          <a:extLst>
            <a:ext uri="{FF2B5EF4-FFF2-40B4-BE49-F238E27FC236}">
              <a16:creationId xmlns:a16="http://schemas.microsoft.com/office/drawing/2014/main" id="{A2EC56E1-77B8-4F2F-BDA8-B387B083F2F6}"/>
            </a:ext>
          </a:extLst>
        </xdr:cNvPr>
        <xdr:cNvSpPr/>
      </xdr:nvSpPr>
      <xdr:spPr>
        <a:xfrm>
          <a:off x="6476575" y="8438652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129198</xdr:colOff>
      <xdr:row>1</xdr:row>
      <xdr:rowOff>518483</xdr:rowOff>
    </xdr:from>
    <xdr:to>
      <xdr:col>6</xdr:col>
      <xdr:colOff>736417</xdr:colOff>
      <xdr:row>1</xdr:row>
      <xdr:rowOff>873289</xdr:rowOff>
    </xdr:to>
    <xdr:sp macro="" textlink="">
      <xdr:nvSpPr>
        <xdr:cNvPr id="27" name="Oval 26">
          <a:extLst>
            <a:ext uri="{FF2B5EF4-FFF2-40B4-BE49-F238E27FC236}">
              <a16:creationId xmlns:a16="http://schemas.microsoft.com/office/drawing/2014/main" id="{BEC812CF-4FE4-4624-A59A-3FC7B998F9C2}"/>
            </a:ext>
          </a:extLst>
        </xdr:cNvPr>
        <xdr:cNvSpPr/>
      </xdr:nvSpPr>
      <xdr:spPr>
        <a:xfrm>
          <a:off x="6463323" y="8334788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132511</xdr:colOff>
      <xdr:row>168</xdr:row>
      <xdr:rowOff>314730</xdr:rowOff>
    </xdr:from>
    <xdr:to>
      <xdr:col>6</xdr:col>
      <xdr:colOff>739730</xdr:colOff>
      <xdr:row>168</xdr:row>
      <xdr:rowOff>669536</xdr:rowOff>
    </xdr:to>
    <xdr:sp macro="" textlink="">
      <xdr:nvSpPr>
        <xdr:cNvPr id="28" name="Oval 27">
          <a:extLst>
            <a:ext uri="{FF2B5EF4-FFF2-40B4-BE49-F238E27FC236}">
              <a16:creationId xmlns:a16="http://schemas.microsoft.com/office/drawing/2014/main" id="{86D817E4-837F-4C3F-879C-DE797FB8A46B}"/>
            </a:ext>
          </a:extLst>
        </xdr:cNvPr>
        <xdr:cNvSpPr/>
      </xdr:nvSpPr>
      <xdr:spPr>
        <a:xfrm>
          <a:off x="6466636" y="8219163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110976</xdr:colOff>
      <xdr:row>27</xdr:row>
      <xdr:rowOff>1138021</xdr:rowOff>
    </xdr:from>
    <xdr:to>
      <xdr:col>6</xdr:col>
      <xdr:colOff>718195</xdr:colOff>
      <xdr:row>27</xdr:row>
      <xdr:rowOff>1492827</xdr:rowOff>
    </xdr:to>
    <xdr:sp macro="" textlink="">
      <xdr:nvSpPr>
        <xdr:cNvPr id="29" name="Oval 28">
          <a:extLst>
            <a:ext uri="{FF2B5EF4-FFF2-40B4-BE49-F238E27FC236}">
              <a16:creationId xmlns:a16="http://schemas.microsoft.com/office/drawing/2014/main" id="{5DAC19D7-1968-414B-9BC3-647EC5B64C63}"/>
            </a:ext>
          </a:extLst>
        </xdr:cNvPr>
        <xdr:cNvSpPr/>
      </xdr:nvSpPr>
      <xdr:spPr>
        <a:xfrm>
          <a:off x="6445101" y="8038602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52</xdr:row>
      <xdr:rowOff>3768587</xdr:rowOff>
    </xdr:from>
    <xdr:to>
      <xdr:col>6</xdr:col>
      <xdr:colOff>714893</xdr:colOff>
      <xdr:row>52</xdr:row>
      <xdr:rowOff>4123393</xdr:rowOff>
    </xdr:to>
    <xdr:sp macro="" textlink="">
      <xdr:nvSpPr>
        <xdr:cNvPr id="30" name="Oval 29">
          <a:extLst>
            <a:ext uri="{FF2B5EF4-FFF2-40B4-BE49-F238E27FC236}">
              <a16:creationId xmlns:a16="http://schemas.microsoft.com/office/drawing/2014/main" id="{43E23DDB-F946-4FB4-BAC3-C6B9E771D896}"/>
            </a:ext>
          </a:extLst>
        </xdr:cNvPr>
        <xdr:cNvSpPr/>
      </xdr:nvSpPr>
      <xdr:spPr>
        <a:xfrm>
          <a:off x="6441799" y="12239293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115957</xdr:colOff>
      <xdr:row>90</xdr:row>
      <xdr:rowOff>314739</xdr:rowOff>
    </xdr:from>
    <xdr:to>
      <xdr:col>6</xdr:col>
      <xdr:colOff>723176</xdr:colOff>
      <xdr:row>90</xdr:row>
      <xdr:rowOff>669545</xdr:rowOff>
    </xdr:to>
    <xdr:sp macro="" textlink="">
      <xdr:nvSpPr>
        <xdr:cNvPr id="31" name="Oval 30">
          <a:extLst>
            <a:ext uri="{FF2B5EF4-FFF2-40B4-BE49-F238E27FC236}">
              <a16:creationId xmlns:a16="http://schemas.microsoft.com/office/drawing/2014/main" id="{4ACC6D37-1F15-48F1-877A-8772B6919874}"/>
            </a:ext>
          </a:extLst>
        </xdr:cNvPr>
        <xdr:cNvSpPr/>
      </xdr:nvSpPr>
      <xdr:spPr>
        <a:xfrm>
          <a:off x="6450082" y="12685436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132522</xdr:colOff>
      <xdr:row>91</xdr:row>
      <xdr:rowOff>124239</xdr:rowOff>
    </xdr:from>
    <xdr:to>
      <xdr:col>6</xdr:col>
      <xdr:colOff>739741</xdr:colOff>
      <xdr:row>91</xdr:row>
      <xdr:rowOff>479045</xdr:rowOff>
    </xdr:to>
    <xdr:sp macro="" textlink="">
      <xdr:nvSpPr>
        <xdr:cNvPr id="32" name="Oval 31">
          <a:extLst>
            <a:ext uri="{FF2B5EF4-FFF2-40B4-BE49-F238E27FC236}">
              <a16:creationId xmlns:a16="http://schemas.microsoft.com/office/drawing/2014/main" id="{EBC8A54A-47C8-47EE-A9AD-3A6771F532B5}"/>
            </a:ext>
          </a:extLst>
        </xdr:cNvPr>
        <xdr:cNvSpPr/>
      </xdr:nvSpPr>
      <xdr:spPr>
        <a:xfrm>
          <a:off x="6466647" y="12771161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102704</xdr:colOff>
      <xdr:row>2</xdr:row>
      <xdr:rowOff>135835</xdr:rowOff>
    </xdr:from>
    <xdr:to>
      <xdr:col>6</xdr:col>
      <xdr:colOff>709923</xdr:colOff>
      <xdr:row>2</xdr:row>
      <xdr:rowOff>490641</xdr:rowOff>
    </xdr:to>
    <xdr:sp macro="" textlink="">
      <xdr:nvSpPr>
        <xdr:cNvPr id="33" name="Oval 32">
          <a:extLst>
            <a:ext uri="{FF2B5EF4-FFF2-40B4-BE49-F238E27FC236}">
              <a16:creationId xmlns:a16="http://schemas.microsoft.com/office/drawing/2014/main" id="{0392BED8-BCE2-47AA-9E6A-A41A1D5B9896}"/>
            </a:ext>
          </a:extLst>
        </xdr:cNvPr>
        <xdr:cNvSpPr/>
      </xdr:nvSpPr>
      <xdr:spPr>
        <a:xfrm>
          <a:off x="6436829" y="12835186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56</xdr:row>
      <xdr:rowOff>240196</xdr:rowOff>
    </xdr:from>
    <xdr:to>
      <xdr:col>6</xdr:col>
      <xdr:colOff>706610</xdr:colOff>
      <xdr:row>56</xdr:row>
      <xdr:rowOff>595002</xdr:rowOff>
    </xdr:to>
    <xdr:sp macro="" textlink="">
      <xdr:nvSpPr>
        <xdr:cNvPr id="34" name="Oval 33">
          <a:extLst>
            <a:ext uri="{FF2B5EF4-FFF2-40B4-BE49-F238E27FC236}">
              <a16:creationId xmlns:a16="http://schemas.microsoft.com/office/drawing/2014/main" id="{3B2EE1DF-4623-4B2D-A535-EB9EFBD00F6A}"/>
            </a:ext>
          </a:extLst>
        </xdr:cNvPr>
        <xdr:cNvSpPr/>
      </xdr:nvSpPr>
      <xdr:spPr>
        <a:xfrm>
          <a:off x="6433516" y="12908487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89</xdr:row>
      <xdr:rowOff>256761</xdr:rowOff>
    </xdr:from>
    <xdr:to>
      <xdr:col>6</xdr:col>
      <xdr:colOff>698328</xdr:colOff>
      <xdr:row>89</xdr:row>
      <xdr:rowOff>611567</xdr:rowOff>
    </xdr:to>
    <xdr:sp macro="" textlink="">
      <xdr:nvSpPr>
        <xdr:cNvPr id="35" name="Oval 34">
          <a:extLst>
            <a:ext uri="{FF2B5EF4-FFF2-40B4-BE49-F238E27FC236}">
              <a16:creationId xmlns:a16="http://schemas.microsoft.com/office/drawing/2014/main" id="{61E42BC9-E381-4641-8528-FC429AF87355}"/>
            </a:ext>
          </a:extLst>
        </xdr:cNvPr>
        <xdr:cNvSpPr/>
      </xdr:nvSpPr>
      <xdr:spPr>
        <a:xfrm>
          <a:off x="6425234" y="12998726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102705</xdr:colOff>
      <xdr:row>53</xdr:row>
      <xdr:rowOff>309770</xdr:rowOff>
    </xdr:from>
    <xdr:to>
      <xdr:col>6</xdr:col>
      <xdr:colOff>709924</xdr:colOff>
      <xdr:row>53</xdr:row>
      <xdr:rowOff>664576</xdr:rowOff>
    </xdr:to>
    <xdr:sp macro="" textlink="">
      <xdr:nvSpPr>
        <xdr:cNvPr id="36" name="Oval 35">
          <a:extLst>
            <a:ext uri="{FF2B5EF4-FFF2-40B4-BE49-F238E27FC236}">
              <a16:creationId xmlns:a16="http://schemas.microsoft.com/office/drawing/2014/main" id="{E94DCC0E-2E17-4730-81B7-EC80A1EE99BD}"/>
            </a:ext>
          </a:extLst>
        </xdr:cNvPr>
        <xdr:cNvSpPr/>
      </xdr:nvSpPr>
      <xdr:spPr>
        <a:xfrm>
          <a:off x="6436830" y="13087847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114301</xdr:colOff>
      <xdr:row>25</xdr:row>
      <xdr:rowOff>114300</xdr:rowOff>
    </xdr:from>
    <xdr:to>
      <xdr:col>6</xdr:col>
      <xdr:colOff>721520</xdr:colOff>
      <xdr:row>25</xdr:row>
      <xdr:rowOff>469106</xdr:rowOff>
    </xdr:to>
    <xdr:sp macro="" textlink="">
      <xdr:nvSpPr>
        <xdr:cNvPr id="37" name="Oval 36">
          <a:extLst>
            <a:ext uri="{FF2B5EF4-FFF2-40B4-BE49-F238E27FC236}">
              <a16:creationId xmlns:a16="http://schemas.microsoft.com/office/drawing/2014/main" id="{CE514082-C454-4E05-B4A0-B747656A7872}"/>
            </a:ext>
          </a:extLst>
        </xdr:cNvPr>
        <xdr:cNvSpPr/>
      </xdr:nvSpPr>
      <xdr:spPr>
        <a:xfrm>
          <a:off x="6448426" y="13165455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4</xdr:row>
      <xdr:rowOff>223630</xdr:rowOff>
    </xdr:from>
    <xdr:to>
      <xdr:col>6</xdr:col>
      <xdr:colOff>723175</xdr:colOff>
      <xdr:row>4</xdr:row>
      <xdr:rowOff>578436</xdr:rowOff>
    </xdr:to>
    <xdr:sp macro="" textlink="">
      <xdr:nvSpPr>
        <xdr:cNvPr id="38" name="Oval 37">
          <a:extLst>
            <a:ext uri="{FF2B5EF4-FFF2-40B4-BE49-F238E27FC236}">
              <a16:creationId xmlns:a16="http://schemas.microsoft.com/office/drawing/2014/main" id="{5A6F2FE8-1B0B-469E-BE53-991C64B3C3FA}"/>
            </a:ext>
          </a:extLst>
        </xdr:cNvPr>
        <xdr:cNvSpPr/>
      </xdr:nvSpPr>
      <xdr:spPr>
        <a:xfrm>
          <a:off x="6450081" y="13302118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69574</xdr:colOff>
      <xdr:row>69</xdr:row>
      <xdr:rowOff>110987</xdr:rowOff>
    </xdr:from>
    <xdr:to>
      <xdr:col>6</xdr:col>
      <xdr:colOff>676793</xdr:colOff>
      <xdr:row>69</xdr:row>
      <xdr:rowOff>465793</xdr:rowOff>
    </xdr:to>
    <xdr:sp macro="" textlink="">
      <xdr:nvSpPr>
        <xdr:cNvPr id="39" name="Oval 38">
          <a:extLst>
            <a:ext uri="{FF2B5EF4-FFF2-40B4-BE49-F238E27FC236}">
              <a16:creationId xmlns:a16="http://schemas.microsoft.com/office/drawing/2014/main" id="{DE5A03E6-DA45-49AB-AD65-A6E72126C90A}"/>
            </a:ext>
          </a:extLst>
        </xdr:cNvPr>
        <xdr:cNvSpPr/>
      </xdr:nvSpPr>
      <xdr:spPr>
        <a:xfrm>
          <a:off x="6403699" y="13376578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122583</xdr:colOff>
      <xdr:row>70</xdr:row>
      <xdr:rowOff>139147</xdr:rowOff>
    </xdr:from>
    <xdr:to>
      <xdr:col>6</xdr:col>
      <xdr:colOff>729802</xdr:colOff>
      <xdr:row>70</xdr:row>
      <xdr:rowOff>493953</xdr:rowOff>
    </xdr:to>
    <xdr:sp macro="" textlink="">
      <xdr:nvSpPr>
        <xdr:cNvPr id="40" name="Oval 39">
          <a:extLst>
            <a:ext uri="{FF2B5EF4-FFF2-40B4-BE49-F238E27FC236}">
              <a16:creationId xmlns:a16="http://schemas.microsoft.com/office/drawing/2014/main" id="{31F113BF-E959-428E-B4D9-BB3A7327EA0B}"/>
            </a:ext>
          </a:extLst>
        </xdr:cNvPr>
        <xdr:cNvSpPr/>
      </xdr:nvSpPr>
      <xdr:spPr>
        <a:xfrm>
          <a:off x="6456708" y="13442259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84483</xdr:colOff>
      <xdr:row>32</xdr:row>
      <xdr:rowOff>125895</xdr:rowOff>
    </xdr:from>
    <xdr:to>
      <xdr:col>6</xdr:col>
      <xdr:colOff>691702</xdr:colOff>
      <xdr:row>32</xdr:row>
      <xdr:rowOff>480701</xdr:rowOff>
    </xdr:to>
    <xdr:sp macro="" textlink="">
      <xdr:nvSpPr>
        <xdr:cNvPr id="41" name="Oval 40">
          <a:extLst>
            <a:ext uri="{FF2B5EF4-FFF2-40B4-BE49-F238E27FC236}">
              <a16:creationId xmlns:a16="http://schemas.microsoft.com/office/drawing/2014/main" id="{0F568BEC-B904-44C0-8027-462E5973D376}"/>
            </a:ext>
          </a:extLst>
        </xdr:cNvPr>
        <xdr:cNvSpPr/>
      </xdr:nvSpPr>
      <xdr:spPr>
        <a:xfrm>
          <a:off x="6418608" y="13503799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87796</xdr:colOff>
      <xdr:row>33</xdr:row>
      <xdr:rowOff>377687</xdr:rowOff>
    </xdr:from>
    <xdr:to>
      <xdr:col>6</xdr:col>
      <xdr:colOff>695015</xdr:colOff>
      <xdr:row>33</xdr:row>
      <xdr:rowOff>732493</xdr:rowOff>
    </xdr:to>
    <xdr:sp macro="" textlink="">
      <xdr:nvSpPr>
        <xdr:cNvPr id="42" name="Oval 41">
          <a:extLst>
            <a:ext uri="{FF2B5EF4-FFF2-40B4-BE49-F238E27FC236}">
              <a16:creationId xmlns:a16="http://schemas.microsoft.com/office/drawing/2014/main" id="{B85FA4C1-D24D-45AC-B065-6E45E6762A9A}"/>
            </a:ext>
          </a:extLst>
        </xdr:cNvPr>
        <xdr:cNvSpPr/>
      </xdr:nvSpPr>
      <xdr:spPr>
        <a:xfrm>
          <a:off x="6421921" y="13591843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140805</xdr:colOff>
      <xdr:row>31</xdr:row>
      <xdr:rowOff>107674</xdr:rowOff>
    </xdr:from>
    <xdr:to>
      <xdr:col>6</xdr:col>
      <xdr:colOff>748024</xdr:colOff>
      <xdr:row>31</xdr:row>
      <xdr:rowOff>462480</xdr:rowOff>
    </xdr:to>
    <xdr:sp macro="" textlink="">
      <xdr:nvSpPr>
        <xdr:cNvPr id="43" name="Oval 42">
          <a:extLst>
            <a:ext uri="{FF2B5EF4-FFF2-40B4-BE49-F238E27FC236}">
              <a16:creationId xmlns:a16="http://schemas.microsoft.com/office/drawing/2014/main" id="{612F6721-CDEE-423B-BD5A-C6B149F51DD3}"/>
            </a:ext>
          </a:extLst>
        </xdr:cNvPr>
        <xdr:cNvSpPr/>
      </xdr:nvSpPr>
      <xdr:spPr>
        <a:xfrm>
          <a:off x="6474930" y="13667712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99392</xdr:colOff>
      <xdr:row>5</xdr:row>
      <xdr:rowOff>364435</xdr:rowOff>
    </xdr:from>
    <xdr:to>
      <xdr:col>6</xdr:col>
      <xdr:colOff>706611</xdr:colOff>
      <xdr:row>5</xdr:row>
      <xdr:rowOff>719241</xdr:rowOff>
    </xdr:to>
    <xdr:sp macro="" textlink="">
      <xdr:nvSpPr>
        <xdr:cNvPr id="44" name="Oval 43">
          <a:extLst>
            <a:ext uri="{FF2B5EF4-FFF2-40B4-BE49-F238E27FC236}">
              <a16:creationId xmlns:a16="http://schemas.microsoft.com/office/drawing/2014/main" id="{68FA9EF0-8A4B-4182-9BD1-7251F6F18909}"/>
            </a:ext>
          </a:extLst>
        </xdr:cNvPr>
        <xdr:cNvSpPr/>
      </xdr:nvSpPr>
      <xdr:spPr>
        <a:xfrm>
          <a:off x="6433517" y="13850551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102705</xdr:colOff>
      <xdr:row>6</xdr:row>
      <xdr:rowOff>309770</xdr:rowOff>
    </xdr:from>
    <xdr:to>
      <xdr:col>6</xdr:col>
      <xdr:colOff>709924</xdr:colOff>
      <xdr:row>6</xdr:row>
      <xdr:rowOff>664576</xdr:rowOff>
    </xdr:to>
    <xdr:sp macro="" textlink="">
      <xdr:nvSpPr>
        <xdr:cNvPr id="45" name="Oval 44">
          <a:extLst>
            <a:ext uri="{FF2B5EF4-FFF2-40B4-BE49-F238E27FC236}">
              <a16:creationId xmlns:a16="http://schemas.microsoft.com/office/drawing/2014/main" id="{C43B2409-5CA7-4E2F-8944-BE098D2DE383}"/>
            </a:ext>
          </a:extLst>
        </xdr:cNvPr>
        <xdr:cNvSpPr/>
      </xdr:nvSpPr>
      <xdr:spPr>
        <a:xfrm>
          <a:off x="6436830" y="13955574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130866</xdr:colOff>
      <xdr:row>7</xdr:row>
      <xdr:rowOff>362779</xdr:rowOff>
    </xdr:from>
    <xdr:to>
      <xdr:col>6</xdr:col>
      <xdr:colOff>738085</xdr:colOff>
      <xdr:row>7</xdr:row>
      <xdr:rowOff>717585</xdr:rowOff>
    </xdr:to>
    <xdr:sp macro="" textlink="">
      <xdr:nvSpPr>
        <xdr:cNvPr id="46" name="Oval 45">
          <a:extLst>
            <a:ext uri="{FF2B5EF4-FFF2-40B4-BE49-F238E27FC236}">
              <a16:creationId xmlns:a16="http://schemas.microsoft.com/office/drawing/2014/main" id="{8ECC7338-9005-4D91-9D34-757D80D25A76}"/>
            </a:ext>
          </a:extLst>
        </xdr:cNvPr>
        <xdr:cNvSpPr/>
      </xdr:nvSpPr>
      <xdr:spPr>
        <a:xfrm>
          <a:off x="6464991" y="14062792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59636</xdr:colOff>
      <xdr:row>8</xdr:row>
      <xdr:rowOff>332961</xdr:rowOff>
    </xdr:from>
    <xdr:to>
      <xdr:col>6</xdr:col>
      <xdr:colOff>666855</xdr:colOff>
      <xdr:row>8</xdr:row>
      <xdr:rowOff>687767</xdr:rowOff>
    </xdr:to>
    <xdr:sp macro="" textlink="">
      <xdr:nvSpPr>
        <xdr:cNvPr id="47" name="Oval 46">
          <a:extLst>
            <a:ext uri="{FF2B5EF4-FFF2-40B4-BE49-F238E27FC236}">
              <a16:creationId xmlns:a16="http://schemas.microsoft.com/office/drawing/2014/main" id="{7A1D1670-936B-4DBD-909D-CC01CB11282E}"/>
            </a:ext>
          </a:extLst>
        </xdr:cNvPr>
        <xdr:cNvSpPr/>
      </xdr:nvSpPr>
      <xdr:spPr>
        <a:xfrm>
          <a:off x="6393761" y="14168396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112645</xdr:colOff>
      <xdr:row>72</xdr:row>
      <xdr:rowOff>178904</xdr:rowOff>
    </xdr:from>
    <xdr:to>
      <xdr:col>6</xdr:col>
      <xdr:colOff>719864</xdr:colOff>
      <xdr:row>72</xdr:row>
      <xdr:rowOff>533710</xdr:rowOff>
    </xdr:to>
    <xdr:sp macro="" textlink="">
      <xdr:nvSpPr>
        <xdr:cNvPr id="48" name="Oval 47">
          <a:extLst>
            <a:ext uri="{FF2B5EF4-FFF2-40B4-BE49-F238E27FC236}">
              <a16:creationId xmlns:a16="http://schemas.microsoft.com/office/drawing/2014/main" id="{DF0514C3-BA47-4541-AC69-1D8375FA1786}"/>
            </a:ext>
          </a:extLst>
        </xdr:cNvPr>
        <xdr:cNvSpPr/>
      </xdr:nvSpPr>
      <xdr:spPr>
        <a:xfrm>
          <a:off x="6446770" y="14253955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26</xdr:row>
      <xdr:rowOff>173935</xdr:rowOff>
    </xdr:from>
    <xdr:to>
      <xdr:col>6</xdr:col>
      <xdr:colOff>714893</xdr:colOff>
      <xdr:row>26</xdr:row>
      <xdr:rowOff>528741</xdr:rowOff>
    </xdr:to>
    <xdr:sp macro="" textlink="">
      <xdr:nvSpPr>
        <xdr:cNvPr id="49" name="Oval 48">
          <a:extLst>
            <a:ext uri="{FF2B5EF4-FFF2-40B4-BE49-F238E27FC236}">
              <a16:creationId xmlns:a16="http://schemas.microsoft.com/office/drawing/2014/main" id="{CD265653-DDD2-45D4-9ED7-F815527A2CB4}"/>
            </a:ext>
          </a:extLst>
        </xdr:cNvPr>
        <xdr:cNvSpPr/>
      </xdr:nvSpPr>
      <xdr:spPr>
        <a:xfrm>
          <a:off x="6441799" y="14390618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102705</xdr:colOff>
      <xdr:row>9</xdr:row>
      <xdr:rowOff>185531</xdr:rowOff>
    </xdr:from>
    <xdr:to>
      <xdr:col>6</xdr:col>
      <xdr:colOff>709924</xdr:colOff>
      <xdr:row>9</xdr:row>
      <xdr:rowOff>540337</xdr:rowOff>
    </xdr:to>
    <xdr:sp macro="" textlink="">
      <xdr:nvSpPr>
        <xdr:cNvPr id="50" name="Oval 49">
          <a:extLst>
            <a:ext uri="{FF2B5EF4-FFF2-40B4-BE49-F238E27FC236}">
              <a16:creationId xmlns:a16="http://schemas.microsoft.com/office/drawing/2014/main" id="{16C9BB09-F7EF-408A-B538-9848825036EF}"/>
            </a:ext>
          </a:extLst>
        </xdr:cNvPr>
        <xdr:cNvSpPr/>
      </xdr:nvSpPr>
      <xdr:spPr>
        <a:xfrm>
          <a:off x="6436830" y="14323198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72887</xdr:colOff>
      <xdr:row>10</xdr:row>
      <xdr:rowOff>147430</xdr:rowOff>
    </xdr:from>
    <xdr:to>
      <xdr:col>6</xdr:col>
      <xdr:colOff>680106</xdr:colOff>
      <xdr:row>10</xdr:row>
      <xdr:rowOff>502236</xdr:rowOff>
    </xdr:to>
    <xdr:sp macro="" textlink="">
      <xdr:nvSpPr>
        <xdr:cNvPr id="51" name="Oval 50">
          <a:extLst>
            <a:ext uri="{FF2B5EF4-FFF2-40B4-BE49-F238E27FC236}">
              <a16:creationId xmlns:a16="http://schemas.microsoft.com/office/drawing/2014/main" id="{F18847CF-178D-49B1-BB2A-95567F240CCF}"/>
            </a:ext>
          </a:extLst>
        </xdr:cNvPr>
        <xdr:cNvSpPr/>
      </xdr:nvSpPr>
      <xdr:spPr>
        <a:xfrm>
          <a:off x="6407012" y="14450833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99392</xdr:colOff>
      <xdr:row>11</xdr:row>
      <xdr:rowOff>115957</xdr:rowOff>
    </xdr:from>
    <xdr:to>
      <xdr:col>6</xdr:col>
      <xdr:colOff>706611</xdr:colOff>
      <xdr:row>11</xdr:row>
      <xdr:rowOff>470763</xdr:rowOff>
    </xdr:to>
    <xdr:sp macro="" textlink="">
      <xdr:nvSpPr>
        <xdr:cNvPr id="52" name="Oval 51">
          <a:extLst>
            <a:ext uri="{FF2B5EF4-FFF2-40B4-BE49-F238E27FC236}">
              <a16:creationId xmlns:a16="http://schemas.microsoft.com/office/drawing/2014/main" id="{05659044-4A57-4477-9DD3-E4F91AA2775D}"/>
            </a:ext>
          </a:extLst>
        </xdr:cNvPr>
        <xdr:cNvSpPr/>
      </xdr:nvSpPr>
      <xdr:spPr>
        <a:xfrm>
          <a:off x="6433517" y="14510550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94422</xdr:colOff>
      <xdr:row>12</xdr:row>
      <xdr:rowOff>127553</xdr:rowOff>
    </xdr:from>
    <xdr:to>
      <xdr:col>6</xdr:col>
      <xdr:colOff>701641</xdr:colOff>
      <xdr:row>12</xdr:row>
      <xdr:rowOff>482359</xdr:rowOff>
    </xdr:to>
    <xdr:sp macro="" textlink="">
      <xdr:nvSpPr>
        <xdr:cNvPr id="53" name="Oval 52">
          <a:extLst>
            <a:ext uri="{FF2B5EF4-FFF2-40B4-BE49-F238E27FC236}">
              <a16:creationId xmlns:a16="http://schemas.microsoft.com/office/drawing/2014/main" id="{80581B74-CA34-463C-8B57-5BB1DB36B022}"/>
            </a:ext>
          </a:extLst>
        </xdr:cNvPr>
        <xdr:cNvSpPr/>
      </xdr:nvSpPr>
      <xdr:spPr>
        <a:xfrm>
          <a:off x="6428547" y="14574575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114300</xdr:colOff>
      <xdr:row>13</xdr:row>
      <xdr:rowOff>114301</xdr:rowOff>
    </xdr:from>
    <xdr:to>
      <xdr:col>6</xdr:col>
      <xdr:colOff>721519</xdr:colOff>
      <xdr:row>13</xdr:row>
      <xdr:rowOff>469107</xdr:rowOff>
    </xdr:to>
    <xdr:sp macro="" textlink="">
      <xdr:nvSpPr>
        <xdr:cNvPr id="54" name="Oval 53">
          <a:extLst>
            <a:ext uri="{FF2B5EF4-FFF2-40B4-BE49-F238E27FC236}">
              <a16:creationId xmlns:a16="http://schemas.microsoft.com/office/drawing/2014/main" id="{142096CC-2231-49EA-A919-CEAB0E7C41C3}"/>
            </a:ext>
          </a:extLst>
        </xdr:cNvPr>
        <xdr:cNvSpPr/>
      </xdr:nvSpPr>
      <xdr:spPr>
        <a:xfrm>
          <a:off x="6448425" y="14636115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117613</xdr:colOff>
      <xdr:row>14</xdr:row>
      <xdr:rowOff>142462</xdr:rowOff>
    </xdr:from>
    <xdr:to>
      <xdr:col>6</xdr:col>
      <xdr:colOff>724832</xdr:colOff>
      <xdr:row>14</xdr:row>
      <xdr:rowOff>497268</xdr:rowOff>
    </xdr:to>
    <xdr:sp macro="" textlink="">
      <xdr:nvSpPr>
        <xdr:cNvPr id="55" name="Oval 54">
          <a:extLst>
            <a:ext uri="{FF2B5EF4-FFF2-40B4-BE49-F238E27FC236}">
              <a16:creationId xmlns:a16="http://schemas.microsoft.com/office/drawing/2014/main" id="{4D78AABF-0FE2-4DCC-97D4-90CE7B3E2013}"/>
            </a:ext>
          </a:extLst>
        </xdr:cNvPr>
        <xdr:cNvSpPr/>
      </xdr:nvSpPr>
      <xdr:spPr>
        <a:xfrm>
          <a:off x="6451738" y="14701796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129208</xdr:colOff>
      <xdr:row>15</xdr:row>
      <xdr:rowOff>129209</xdr:rowOff>
    </xdr:from>
    <xdr:to>
      <xdr:col>6</xdr:col>
      <xdr:colOff>736427</xdr:colOff>
      <xdr:row>15</xdr:row>
      <xdr:rowOff>484015</xdr:rowOff>
    </xdr:to>
    <xdr:sp macro="" textlink="">
      <xdr:nvSpPr>
        <xdr:cNvPr id="56" name="Oval 55">
          <a:extLst>
            <a:ext uri="{FF2B5EF4-FFF2-40B4-BE49-F238E27FC236}">
              <a16:creationId xmlns:a16="http://schemas.microsoft.com/office/drawing/2014/main" id="{1A33F461-4E8A-4478-ADFC-E64C5687CB14}"/>
            </a:ext>
          </a:extLst>
        </xdr:cNvPr>
        <xdr:cNvSpPr/>
      </xdr:nvSpPr>
      <xdr:spPr>
        <a:xfrm>
          <a:off x="6463333" y="14763335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16</xdr:row>
      <xdr:rowOff>115957</xdr:rowOff>
    </xdr:from>
    <xdr:to>
      <xdr:col>6</xdr:col>
      <xdr:colOff>714893</xdr:colOff>
      <xdr:row>16</xdr:row>
      <xdr:rowOff>470763</xdr:rowOff>
    </xdr:to>
    <xdr:sp macro="" textlink="">
      <xdr:nvSpPr>
        <xdr:cNvPr id="57" name="Oval 56">
          <a:extLst>
            <a:ext uri="{FF2B5EF4-FFF2-40B4-BE49-F238E27FC236}">
              <a16:creationId xmlns:a16="http://schemas.microsoft.com/office/drawing/2014/main" id="{316B2F15-7D8C-4F22-942B-328D7B1DFA2B}"/>
            </a:ext>
          </a:extLst>
        </xdr:cNvPr>
        <xdr:cNvSpPr/>
      </xdr:nvSpPr>
      <xdr:spPr>
        <a:xfrm>
          <a:off x="6441799" y="14824875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102705</xdr:colOff>
      <xdr:row>17</xdr:row>
      <xdr:rowOff>144119</xdr:rowOff>
    </xdr:from>
    <xdr:to>
      <xdr:col>6</xdr:col>
      <xdr:colOff>709924</xdr:colOff>
      <xdr:row>17</xdr:row>
      <xdr:rowOff>498925</xdr:rowOff>
    </xdr:to>
    <xdr:sp macro="" textlink="">
      <xdr:nvSpPr>
        <xdr:cNvPr id="58" name="Oval 57">
          <a:extLst>
            <a:ext uri="{FF2B5EF4-FFF2-40B4-BE49-F238E27FC236}">
              <a16:creationId xmlns:a16="http://schemas.microsoft.com/office/drawing/2014/main" id="{49274E41-2533-4311-A95D-1DDAF47462DF}"/>
            </a:ext>
          </a:extLst>
        </xdr:cNvPr>
        <xdr:cNvSpPr/>
      </xdr:nvSpPr>
      <xdr:spPr>
        <a:xfrm>
          <a:off x="6436830" y="14890556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106018</xdr:colOff>
      <xdr:row>18</xdr:row>
      <xdr:rowOff>155714</xdr:rowOff>
    </xdr:from>
    <xdr:to>
      <xdr:col>6</xdr:col>
      <xdr:colOff>713237</xdr:colOff>
      <xdr:row>18</xdr:row>
      <xdr:rowOff>510520</xdr:rowOff>
    </xdr:to>
    <xdr:sp macro="" textlink="">
      <xdr:nvSpPr>
        <xdr:cNvPr id="59" name="Oval 58">
          <a:extLst>
            <a:ext uri="{FF2B5EF4-FFF2-40B4-BE49-F238E27FC236}">
              <a16:creationId xmlns:a16="http://schemas.microsoft.com/office/drawing/2014/main" id="{20725E0E-10EE-46A0-9022-FE12718F39C7}"/>
            </a:ext>
          </a:extLst>
        </xdr:cNvPr>
        <xdr:cNvSpPr/>
      </xdr:nvSpPr>
      <xdr:spPr>
        <a:xfrm>
          <a:off x="6440143" y="14954581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101049</xdr:colOff>
      <xdr:row>28</xdr:row>
      <xdr:rowOff>332961</xdr:rowOff>
    </xdr:from>
    <xdr:to>
      <xdr:col>6</xdr:col>
      <xdr:colOff>708268</xdr:colOff>
      <xdr:row>28</xdr:row>
      <xdr:rowOff>687767</xdr:rowOff>
    </xdr:to>
    <xdr:sp macro="" textlink="">
      <xdr:nvSpPr>
        <xdr:cNvPr id="60" name="Oval 59">
          <a:extLst>
            <a:ext uri="{FF2B5EF4-FFF2-40B4-BE49-F238E27FC236}">
              <a16:creationId xmlns:a16="http://schemas.microsoft.com/office/drawing/2014/main" id="{D29371B6-3350-4220-9BB4-28F136EFA59E}"/>
            </a:ext>
          </a:extLst>
        </xdr:cNvPr>
        <xdr:cNvSpPr/>
      </xdr:nvSpPr>
      <xdr:spPr>
        <a:xfrm>
          <a:off x="6435174" y="15035171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96079</xdr:colOff>
      <xdr:row>19</xdr:row>
      <xdr:rowOff>129208</xdr:rowOff>
    </xdr:from>
    <xdr:to>
      <xdr:col>6</xdr:col>
      <xdr:colOff>703298</xdr:colOff>
      <xdr:row>19</xdr:row>
      <xdr:rowOff>484014</xdr:rowOff>
    </xdr:to>
    <xdr:sp macro="" textlink="">
      <xdr:nvSpPr>
        <xdr:cNvPr id="61" name="Oval 60">
          <a:extLst>
            <a:ext uri="{FF2B5EF4-FFF2-40B4-BE49-F238E27FC236}">
              <a16:creationId xmlns:a16="http://schemas.microsoft.com/office/drawing/2014/main" id="{A7D134CF-000A-42A0-8663-6A8BAB9D7650}"/>
            </a:ext>
          </a:extLst>
        </xdr:cNvPr>
        <xdr:cNvSpPr/>
      </xdr:nvSpPr>
      <xdr:spPr>
        <a:xfrm>
          <a:off x="6430204" y="15120523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107675</xdr:colOff>
      <xdr:row>20</xdr:row>
      <xdr:rowOff>132521</xdr:rowOff>
    </xdr:from>
    <xdr:to>
      <xdr:col>6</xdr:col>
      <xdr:colOff>714894</xdr:colOff>
      <xdr:row>20</xdr:row>
      <xdr:rowOff>487327</xdr:rowOff>
    </xdr:to>
    <xdr:sp macro="" textlink="">
      <xdr:nvSpPr>
        <xdr:cNvPr id="62" name="Oval 61">
          <a:extLst>
            <a:ext uri="{FF2B5EF4-FFF2-40B4-BE49-F238E27FC236}">
              <a16:creationId xmlns:a16="http://schemas.microsoft.com/office/drawing/2014/main" id="{3CF0A28A-2030-4648-BAFE-AC235775A54C}"/>
            </a:ext>
          </a:extLst>
        </xdr:cNvPr>
        <xdr:cNvSpPr/>
      </xdr:nvSpPr>
      <xdr:spPr>
        <a:xfrm>
          <a:off x="6441800" y="15289447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102705</xdr:colOff>
      <xdr:row>29</xdr:row>
      <xdr:rowOff>359465</xdr:rowOff>
    </xdr:from>
    <xdr:to>
      <xdr:col>6</xdr:col>
      <xdr:colOff>709924</xdr:colOff>
      <xdr:row>29</xdr:row>
      <xdr:rowOff>714271</xdr:rowOff>
    </xdr:to>
    <xdr:sp macro="" textlink="">
      <xdr:nvSpPr>
        <xdr:cNvPr id="63" name="Oval 62">
          <a:extLst>
            <a:ext uri="{FF2B5EF4-FFF2-40B4-BE49-F238E27FC236}">
              <a16:creationId xmlns:a16="http://schemas.microsoft.com/office/drawing/2014/main" id="{EA58CB6B-EC8F-492A-A829-5544327E9DCA}"/>
            </a:ext>
          </a:extLst>
        </xdr:cNvPr>
        <xdr:cNvSpPr/>
      </xdr:nvSpPr>
      <xdr:spPr>
        <a:xfrm>
          <a:off x="6436830" y="15206414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34</xdr:row>
      <xdr:rowOff>149087</xdr:rowOff>
    </xdr:from>
    <xdr:to>
      <xdr:col>6</xdr:col>
      <xdr:colOff>690045</xdr:colOff>
      <xdr:row>34</xdr:row>
      <xdr:rowOff>503893</xdr:rowOff>
    </xdr:to>
    <xdr:sp macro="" textlink="">
      <xdr:nvSpPr>
        <xdr:cNvPr id="64" name="Oval 63">
          <a:extLst>
            <a:ext uri="{FF2B5EF4-FFF2-40B4-BE49-F238E27FC236}">
              <a16:creationId xmlns:a16="http://schemas.microsoft.com/office/drawing/2014/main" id="{B32C2918-509E-47AA-AD6B-70F6F627036E}"/>
            </a:ext>
          </a:extLst>
        </xdr:cNvPr>
        <xdr:cNvSpPr/>
      </xdr:nvSpPr>
      <xdr:spPr>
        <a:xfrm>
          <a:off x="6416951" y="15353968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119269</xdr:colOff>
      <xdr:row>35</xdr:row>
      <xdr:rowOff>127552</xdr:rowOff>
    </xdr:from>
    <xdr:to>
      <xdr:col>6</xdr:col>
      <xdr:colOff>726488</xdr:colOff>
      <xdr:row>35</xdr:row>
      <xdr:rowOff>482358</xdr:rowOff>
    </xdr:to>
    <xdr:sp macro="" textlink="">
      <xdr:nvSpPr>
        <xdr:cNvPr id="65" name="Oval 64">
          <a:extLst>
            <a:ext uri="{FF2B5EF4-FFF2-40B4-BE49-F238E27FC236}">
              <a16:creationId xmlns:a16="http://schemas.microsoft.com/office/drawing/2014/main" id="{83EC23C0-DDB6-4307-9974-D1AEED9BB4C5}"/>
            </a:ext>
          </a:extLst>
        </xdr:cNvPr>
        <xdr:cNvSpPr/>
      </xdr:nvSpPr>
      <xdr:spPr>
        <a:xfrm>
          <a:off x="6453394" y="15414680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97734</xdr:colOff>
      <xdr:row>36</xdr:row>
      <xdr:rowOff>163995</xdr:rowOff>
    </xdr:from>
    <xdr:to>
      <xdr:col>6</xdr:col>
      <xdr:colOff>704953</xdr:colOff>
      <xdr:row>36</xdr:row>
      <xdr:rowOff>518801</xdr:rowOff>
    </xdr:to>
    <xdr:sp macro="" textlink="">
      <xdr:nvSpPr>
        <xdr:cNvPr id="66" name="Oval 65">
          <a:extLst>
            <a:ext uri="{FF2B5EF4-FFF2-40B4-BE49-F238E27FC236}">
              <a16:creationId xmlns:a16="http://schemas.microsoft.com/office/drawing/2014/main" id="{E3B4BD2B-B89E-476F-A598-00430B90382C}"/>
            </a:ext>
          </a:extLst>
        </xdr:cNvPr>
        <xdr:cNvSpPr/>
      </xdr:nvSpPr>
      <xdr:spPr>
        <a:xfrm>
          <a:off x="6431859" y="15481189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101047</xdr:colOff>
      <xdr:row>21</xdr:row>
      <xdr:rowOff>109329</xdr:rowOff>
    </xdr:from>
    <xdr:to>
      <xdr:col>6</xdr:col>
      <xdr:colOff>708266</xdr:colOff>
      <xdr:row>21</xdr:row>
      <xdr:rowOff>464135</xdr:rowOff>
    </xdr:to>
    <xdr:sp macro="" textlink="">
      <xdr:nvSpPr>
        <xdr:cNvPr id="67" name="Oval 66">
          <a:extLst>
            <a:ext uri="{FF2B5EF4-FFF2-40B4-BE49-F238E27FC236}">
              <a16:creationId xmlns:a16="http://schemas.microsoft.com/office/drawing/2014/main" id="{4E44422D-B162-4CC4-B80E-D1CC8FAC4E6D}"/>
            </a:ext>
          </a:extLst>
        </xdr:cNvPr>
        <xdr:cNvSpPr/>
      </xdr:nvSpPr>
      <xdr:spPr>
        <a:xfrm>
          <a:off x="6435172" y="15538587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112643</xdr:colOff>
      <xdr:row>37</xdr:row>
      <xdr:rowOff>129207</xdr:rowOff>
    </xdr:from>
    <xdr:to>
      <xdr:col>6</xdr:col>
      <xdr:colOff>719862</xdr:colOff>
      <xdr:row>37</xdr:row>
      <xdr:rowOff>484013</xdr:rowOff>
    </xdr:to>
    <xdr:sp macro="" textlink="">
      <xdr:nvSpPr>
        <xdr:cNvPr id="68" name="Oval 67">
          <a:extLst>
            <a:ext uri="{FF2B5EF4-FFF2-40B4-BE49-F238E27FC236}">
              <a16:creationId xmlns:a16="http://schemas.microsoft.com/office/drawing/2014/main" id="{09AC0A53-3D1A-4D9E-A5FE-D161005A3F37}"/>
            </a:ext>
          </a:extLst>
        </xdr:cNvPr>
        <xdr:cNvSpPr/>
      </xdr:nvSpPr>
      <xdr:spPr>
        <a:xfrm>
          <a:off x="6446768" y="15603440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38</xdr:row>
      <xdr:rowOff>132520</xdr:rowOff>
    </xdr:from>
    <xdr:to>
      <xdr:col>6</xdr:col>
      <xdr:colOff>723175</xdr:colOff>
      <xdr:row>38</xdr:row>
      <xdr:rowOff>487326</xdr:rowOff>
    </xdr:to>
    <xdr:sp macro="" textlink="">
      <xdr:nvSpPr>
        <xdr:cNvPr id="69" name="Oval 68">
          <a:extLst>
            <a:ext uri="{FF2B5EF4-FFF2-40B4-BE49-F238E27FC236}">
              <a16:creationId xmlns:a16="http://schemas.microsoft.com/office/drawing/2014/main" id="{B8377FE6-0727-4977-8987-7C41EEC53358}"/>
            </a:ext>
          </a:extLst>
        </xdr:cNvPr>
        <xdr:cNvSpPr/>
      </xdr:nvSpPr>
      <xdr:spPr>
        <a:xfrm>
          <a:off x="6450081" y="15666637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110987</xdr:colOff>
      <xdr:row>22</xdr:row>
      <xdr:rowOff>152398</xdr:rowOff>
    </xdr:from>
    <xdr:to>
      <xdr:col>6</xdr:col>
      <xdr:colOff>718206</xdr:colOff>
      <xdr:row>22</xdr:row>
      <xdr:rowOff>507204</xdr:rowOff>
    </xdr:to>
    <xdr:sp macro="" textlink="">
      <xdr:nvSpPr>
        <xdr:cNvPr id="70" name="Oval 69">
          <a:extLst>
            <a:ext uri="{FF2B5EF4-FFF2-40B4-BE49-F238E27FC236}">
              <a16:creationId xmlns:a16="http://schemas.microsoft.com/office/drawing/2014/main" id="{D0F4B7D5-86EF-445B-B075-0123A715C75A}"/>
            </a:ext>
          </a:extLst>
        </xdr:cNvPr>
        <xdr:cNvSpPr/>
      </xdr:nvSpPr>
      <xdr:spPr>
        <a:xfrm>
          <a:off x="6445112" y="15731489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106018</xdr:colOff>
      <xdr:row>23</xdr:row>
      <xdr:rowOff>139146</xdr:rowOff>
    </xdr:from>
    <xdr:to>
      <xdr:col>6</xdr:col>
      <xdr:colOff>713237</xdr:colOff>
      <xdr:row>23</xdr:row>
      <xdr:rowOff>493952</xdr:rowOff>
    </xdr:to>
    <xdr:sp macro="" textlink="">
      <xdr:nvSpPr>
        <xdr:cNvPr id="71" name="Oval 70">
          <a:extLst>
            <a:ext uri="{FF2B5EF4-FFF2-40B4-BE49-F238E27FC236}">
              <a16:creationId xmlns:a16="http://schemas.microsoft.com/office/drawing/2014/main" id="{8F083C54-9AD0-4137-803D-26E87AB019DB}"/>
            </a:ext>
          </a:extLst>
        </xdr:cNvPr>
        <xdr:cNvSpPr/>
      </xdr:nvSpPr>
      <xdr:spPr>
        <a:xfrm>
          <a:off x="6440143" y="15793029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74543</xdr:colOff>
      <xdr:row>24</xdr:row>
      <xdr:rowOff>132522</xdr:rowOff>
    </xdr:from>
    <xdr:to>
      <xdr:col>6</xdr:col>
      <xdr:colOff>681762</xdr:colOff>
      <xdr:row>24</xdr:row>
      <xdr:rowOff>487328</xdr:rowOff>
    </xdr:to>
    <xdr:sp macro="" textlink="">
      <xdr:nvSpPr>
        <xdr:cNvPr id="72" name="Oval 71">
          <a:extLst>
            <a:ext uri="{FF2B5EF4-FFF2-40B4-BE49-F238E27FC236}">
              <a16:creationId xmlns:a16="http://schemas.microsoft.com/office/drawing/2014/main" id="{86B870A0-0B97-4898-BEB5-215BDBA3CDDD}"/>
            </a:ext>
          </a:extLst>
        </xdr:cNvPr>
        <xdr:cNvSpPr/>
      </xdr:nvSpPr>
      <xdr:spPr>
        <a:xfrm>
          <a:off x="6408668" y="15855232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173934</xdr:colOff>
      <xdr:row>64</xdr:row>
      <xdr:rowOff>124239</xdr:rowOff>
    </xdr:from>
    <xdr:to>
      <xdr:col>6</xdr:col>
      <xdr:colOff>781153</xdr:colOff>
      <xdr:row>64</xdr:row>
      <xdr:rowOff>479045</xdr:rowOff>
    </xdr:to>
    <xdr:sp macro="" textlink="">
      <xdr:nvSpPr>
        <xdr:cNvPr id="73" name="Oval 72">
          <a:extLst>
            <a:ext uri="{FF2B5EF4-FFF2-40B4-BE49-F238E27FC236}">
              <a16:creationId xmlns:a16="http://schemas.microsoft.com/office/drawing/2014/main" id="{99481EC4-0733-4535-8DD9-A077E90BC2FA}"/>
            </a:ext>
          </a:extLst>
        </xdr:cNvPr>
        <xdr:cNvSpPr/>
      </xdr:nvSpPr>
      <xdr:spPr>
        <a:xfrm>
          <a:off x="6508059" y="15980133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135834</xdr:colOff>
      <xdr:row>65</xdr:row>
      <xdr:rowOff>127553</xdr:rowOff>
    </xdr:from>
    <xdr:to>
      <xdr:col>6</xdr:col>
      <xdr:colOff>743053</xdr:colOff>
      <xdr:row>65</xdr:row>
      <xdr:rowOff>482359</xdr:rowOff>
    </xdr:to>
    <xdr:sp macro="" textlink="">
      <xdr:nvSpPr>
        <xdr:cNvPr id="74" name="Oval 73">
          <a:extLst>
            <a:ext uri="{FF2B5EF4-FFF2-40B4-BE49-F238E27FC236}">
              <a16:creationId xmlns:a16="http://schemas.microsoft.com/office/drawing/2014/main" id="{8D7FE3E7-D185-4B08-9584-616E9D40508D}"/>
            </a:ext>
          </a:extLst>
        </xdr:cNvPr>
        <xdr:cNvSpPr/>
      </xdr:nvSpPr>
      <xdr:spPr>
        <a:xfrm>
          <a:off x="6469959" y="16043330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130864</xdr:colOff>
      <xdr:row>39</xdr:row>
      <xdr:rowOff>147432</xdr:rowOff>
    </xdr:from>
    <xdr:to>
      <xdr:col>6</xdr:col>
      <xdr:colOff>738083</xdr:colOff>
      <xdr:row>39</xdr:row>
      <xdr:rowOff>502238</xdr:rowOff>
    </xdr:to>
    <xdr:sp macro="" textlink="">
      <xdr:nvSpPr>
        <xdr:cNvPr id="75" name="Oval 74">
          <a:extLst>
            <a:ext uri="{FF2B5EF4-FFF2-40B4-BE49-F238E27FC236}">
              <a16:creationId xmlns:a16="http://schemas.microsoft.com/office/drawing/2014/main" id="{130EDED8-0E9D-4AA5-B6AC-CD4A3A35DFD6}"/>
            </a:ext>
          </a:extLst>
        </xdr:cNvPr>
        <xdr:cNvSpPr/>
      </xdr:nvSpPr>
      <xdr:spPr>
        <a:xfrm>
          <a:off x="6464989" y="16108183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125895</xdr:colOff>
      <xdr:row>40</xdr:row>
      <xdr:rowOff>134180</xdr:rowOff>
    </xdr:from>
    <xdr:to>
      <xdr:col>6</xdr:col>
      <xdr:colOff>733114</xdr:colOff>
      <xdr:row>40</xdr:row>
      <xdr:rowOff>488986</xdr:rowOff>
    </xdr:to>
    <xdr:sp macro="" textlink="">
      <xdr:nvSpPr>
        <xdr:cNvPr id="76" name="Oval 75">
          <a:extLst>
            <a:ext uri="{FF2B5EF4-FFF2-40B4-BE49-F238E27FC236}">
              <a16:creationId xmlns:a16="http://schemas.microsoft.com/office/drawing/2014/main" id="{9F616580-3996-4E66-B02E-F6E527D201E8}"/>
            </a:ext>
          </a:extLst>
        </xdr:cNvPr>
        <xdr:cNvSpPr/>
      </xdr:nvSpPr>
      <xdr:spPr>
        <a:xfrm>
          <a:off x="6460020" y="16169723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49695</xdr:colOff>
      <xdr:row>41</xdr:row>
      <xdr:rowOff>140804</xdr:rowOff>
    </xdr:from>
    <xdr:to>
      <xdr:col>6</xdr:col>
      <xdr:colOff>656914</xdr:colOff>
      <xdr:row>41</xdr:row>
      <xdr:rowOff>495610</xdr:rowOff>
    </xdr:to>
    <xdr:sp macro="" textlink="">
      <xdr:nvSpPr>
        <xdr:cNvPr id="77" name="Oval 76">
          <a:extLst>
            <a:ext uri="{FF2B5EF4-FFF2-40B4-BE49-F238E27FC236}">
              <a16:creationId xmlns:a16="http://schemas.microsoft.com/office/drawing/2014/main" id="{82151A2A-2628-41D9-ABCA-29E1A8D9A764}"/>
            </a:ext>
          </a:extLst>
        </xdr:cNvPr>
        <xdr:cNvSpPr/>
      </xdr:nvSpPr>
      <xdr:spPr>
        <a:xfrm>
          <a:off x="6383820" y="16296115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110986</xdr:colOff>
      <xdr:row>42</xdr:row>
      <xdr:rowOff>119269</xdr:rowOff>
    </xdr:from>
    <xdr:to>
      <xdr:col>6</xdr:col>
      <xdr:colOff>718205</xdr:colOff>
      <xdr:row>42</xdr:row>
      <xdr:rowOff>474075</xdr:rowOff>
    </xdr:to>
    <xdr:sp macro="" textlink="">
      <xdr:nvSpPr>
        <xdr:cNvPr id="78" name="Oval 77">
          <a:extLst>
            <a:ext uri="{FF2B5EF4-FFF2-40B4-BE49-F238E27FC236}">
              <a16:creationId xmlns:a16="http://schemas.microsoft.com/office/drawing/2014/main" id="{0BEB707F-9D61-4D12-95AC-54354017A907}"/>
            </a:ext>
          </a:extLst>
        </xdr:cNvPr>
        <xdr:cNvSpPr/>
      </xdr:nvSpPr>
      <xdr:spPr>
        <a:xfrm>
          <a:off x="6445111" y="16356826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89451</xdr:colOff>
      <xdr:row>43</xdr:row>
      <xdr:rowOff>155713</xdr:rowOff>
    </xdr:from>
    <xdr:to>
      <xdr:col>6</xdr:col>
      <xdr:colOff>696670</xdr:colOff>
      <xdr:row>43</xdr:row>
      <xdr:rowOff>510519</xdr:rowOff>
    </xdr:to>
    <xdr:sp macro="" textlink="">
      <xdr:nvSpPr>
        <xdr:cNvPr id="79" name="Oval 78">
          <a:extLst>
            <a:ext uri="{FF2B5EF4-FFF2-40B4-BE49-F238E27FC236}">
              <a16:creationId xmlns:a16="http://schemas.microsoft.com/office/drawing/2014/main" id="{E34D4BB7-8589-4268-B133-ADBDC435631D}"/>
            </a:ext>
          </a:extLst>
        </xdr:cNvPr>
        <xdr:cNvSpPr/>
      </xdr:nvSpPr>
      <xdr:spPr>
        <a:xfrm>
          <a:off x="6423576" y="16423336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63</xdr:row>
      <xdr:rowOff>91108</xdr:rowOff>
    </xdr:from>
    <xdr:to>
      <xdr:col>6</xdr:col>
      <xdr:colOff>723175</xdr:colOff>
      <xdr:row>63</xdr:row>
      <xdr:rowOff>445914</xdr:rowOff>
    </xdr:to>
    <xdr:sp macro="" textlink="">
      <xdr:nvSpPr>
        <xdr:cNvPr id="80" name="Oval 79">
          <a:extLst>
            <a:ext uri="{FF2B5EF4-FFF2-40B4-BE49-F238E27FC236}">
              <a16:creationId xmlns:a16="http://schemas.microsoft.com/office/drawing/2014/main" id="{DA9BFA57-1819-47DA-826D-BC640FEC06BA}"/>
            </a:ext>
          </a:extLst>
        </xdr:cNvPr>
        <xdr:cNvSpPr/>
      </xdr:nvSpPr>
      <xdr:spPr>
        <a:xfrm>
          <a:off x="6450081" y="16542605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57</xdr:row>
      <xdr:rowOff>132522</xdr:rowOff>
    </xdr:from>
    <xdr:to>
      <xdr:col>6</xdr:col>
      <xdr:colOff>698328</xdr:colOff>
      <xdr:row>57</xdr:row>
      <xdr:rowOff>487328</xdr:rowOff>
    </xdr:to>
    <xdr:sp macro="" textlink="">
      <xdr:nvSpPr>
        <xdr:cNvPr id="81" name="Oval 80">
          <a:extLst>
            <a:ext uri="{FF2B5EF4-FFF2-40B4-BE49-F238E27FC236}">
              <a16:creationId xmlns:a16="http://schemas.microsoft.com/office/drawing/2014/main" id="{DF590555-208D-4BE1-A779-5DE77AD27C5C}"/>
            </a:ext>
          </a:extLst>
        </xdr:cNvPr>
        <xdr:cNvSpPr/>
      </xdr:nvSpPr>
      <xdr:spPr>
        <a:xfrm>
          <a:off x="6425234" y="16609612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58</xdr:row>
      <xdr:rowOff>132521</xdr:rowOff>
    </xdr:from>
    <xdr:to>
      <xdr:col>6</xdr:col>
      <xdr:colOff>714893</xdr:colOff>
      <xdr:row>58</xdr:row>
      <xdr:rowOff>487327</xdr:rowOff>
    </xdr:to>
    <xdr:sp macro="" textlink="">
      <xdr:nvSpPr>
        <xdr:cNvPr id="82" name="Oval 81">
          <a:extLst>
            <a:ext uri="{FF2B5EF4-FFF2-40B4-BE49-F238E27FC236}">
              <a16:creationId xmlns:a16="http://schemas.microsoft.com/office/drawing/2014/main" id="{C5D36FB0-BD2F-40E0-9088-DC7891B3C4E7}"/>
            </a:ext>
          </a:extLst>
        </xdr:cNvPr>
        <xdr:cNvSpPr/>
      </xdr:nvSpPr>
      <xdr:spPr>
        <a:xfrm>
          <a:off x="6441799" y="16672477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94422</xdr:colOff>
      <xdr:row>59</xdr:row>
      <xdr:rowOff>168963</xdr:rowOff>
    </xdr:from>
    <xdr:to>
      <xdr:col>6</xdr:col>
      <xdr:colOff>701641</xdr:colOff>
      <xdr:row>59</xdr:row>
      <xdr:rowOff>523769</xdr:rowOff>
    </xdr:to>
    <xdr:sp macro="" textlink="">
      <xdr:nvSpPr>
        <xdr:cNvPr id="83" name="Oval 82">
          <a:extLst>
            <a:ext uri="{FF2B5EF4-FFF2-40B4-BE49-F238E27FC236}">
              <a16:creationId xmlns:a16="http://schemas.microsoft.com/office/drawing/2014/main" id="{01A9CBAF-D43F-4BC2-A34F-2284AD6F1953}"/>
            </a:ext>
          </a:extLst>
        </xdr:cNvPr>
        <xdr:cNvSpPr/>
      </xdr:nvSpPr>
      <xdr:spPr>
        <a:xfrm>
          <a:off x="6428547" y="16738986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60</xdr:row>
      <xdr:rowOff>140805</xdr:rowOff>
    </xdr:from>
    <xdr:to>
      <xdr:col>6</xdr:col>
      <xdr:colOff>723175</xdr:colOff>
      <xdr:row>60</xdr:row>
      <xdr:rowOff>495611</xdr:rowOff>
    </xdr:to>
    <xdr:sp macro="" textlink="">
      <xdr:nvSpPr>
        <xdr:cNvPr id="84" name="Oval 83">
          <a:extLst>
            <a:ext uri="{FF2B5EF4-FFF2-40B4-BE49-F238E27FC236}">
              <a16:creationId xmlns:a16="http://schemas.microsoft.com/office/drawing/2014/main" id="{1E33042A-61B3-46BD-B9C9-754493CCF743}"/>
            </a:ext>
          </a:extLst>
        </xdr:cNvPr>
        <xdr:cNvSpPr/>
      </xdr:nvSpPr>
      <xdr:spPr>
        <a:xfrm>
          <a:off x="6450081" y="16799035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61</xdr:row>
      <xdr:rowOff>124239</xdr:rowOff>
    </xdr:from>
    <xdr:to>
      <xdr:col>6</xdr:col>
      <xdr:colOff>690045</xdr:colOff>
      <xdr:row>61</xdr:row>
      <xdr:rowOff>479045</xdr:rowOff>
    </xdr:to>
    <xdr:sp macro="" textlink="">
      <xdr:nvSpPr>
        <xdr:cNvPr id="85" name="Oval 84">
          <a:extLst>
            <a:ext uri="{FF2B5EF4-FFF2-40B4-BE49-F238E27FC236}">
              <a16:creationId xmlns:a16="http://schemas.microsoft.com/office/drawing/2014/main" id="{7812C3CA-7872-4EF7-ABCD-6970C8C19BA8}"/>
            </a:ext>
          </a:extLst>
        </xdr:cNvPr>
        <xdr:cNvSpPr/>
      </xdr:nvSpPr>
      <xdr:spPr>
        <a:xfrm>
          <a:off x="6416951" y="16860243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85</xdr:row>
      <xdr:rowOff>124239</xdr:rowOff>
    </xdr:from>
    <xdr:to>
      <xdr:col>6</xdr:col>
      <xdr:colOff>706610</xdr:colOff>
      <xdr:row>85</xdr:row>
      <xdr:rowOff>479045</xdr:rowOff>
    </xdr:to>
    <xdr:sp macro="" textlink="">
      <xdr:nvSpPr>
        <xdr:cNvPr id="86" name="Oval 85">
          <a:extLst>
            <a:ext uri="{FF2B5EF4-FFF2-40B4-BE49-F238E27FC236}">
              <a16:creationId xmlns:a16="http://schemas.microsoft.com/office/drawing/2014/main" id="{BA3A59F8-6DFF-450E-889E-8DA15C66AFD5}"/>
            </a:ext>
          </a:extLst>
        </xdr:cNvPr>
        <xdr:cNvSpPr/>
      </xdr:nvSpPr>
      <xdr:spPr>
        <a:xfrm>
          <a:off x="6433516" y="16923108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86</xdr:row>
      <xdr:rowOff>140804</xdr:rowOff>
    </xdr:from>
    <xdr:to>
      <xdr:col>6</xdr:col>
      <xdr:colOff>698328</xdr:colOff>
      <xdr:row>86</xdr:row>
      <xdr:rowOff>495610</xdr:rowOff>
    </xdr:to>
    <xdr:sp macro="" textlink="">
      <xdr:nvSpPr>
        <xdr:cNvPr id="87" name="Oval 86">
          <a:extLst>
            <a:ext uri="{FF2B5EF4-FFF2-40B4-BE49-F238E27FC236}">
              <a16:creationId xmlns:a16="http://schemas.microsoft.com/office/drawing/2014/main" id="{55D1CD3E-3A0E-44C4-80DF-D33D629F19B5}"/>
            </a:ext>
          </a:extLst>
        </xdr:cNvPr>
        <xdr:cNvSpPr/>
      </xdr:nvSpPr>
      <xdr:spPr>
        <a:xfrm>
          <a:off x="6425234" y="16987630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87</xdr:row>
      <xdr:rowOff>115956</xdr:rowOff>
    </xdr:from>
    <xdr:to>
      <xdr:col>6</xdr:col>
      <xdr:colOff>698328</xdr:colOff>
      <xdr:row>87</xdr:row>
      <xdr:rowOff>470762</xdr:rowOff>
    </xdr:to>
    <xdr:sp macro="" textlink="">
      <xdr:nvSpPr>
        <xdr:cNvPr id="88" name="Oval 87">
          <a:extLst>
            <a:ext uri="{FF2B5EF4-FFF2-40B4-BE49-F238E27FC236}">
              <a16:creationId xmlns:a16="http://schemas.microsoft.com/office/drawing/2014/main" id="{871BB53E-F55C-43CC-876E-36ED1823BAAC}"/>
            </a:ext>
          </a:extLst>
        </xdr:cNvPr>
        <xdr:cNvSpPr/>
      </xdr:nvSpPr>
      <xdr:spPr>
        <a:xfrm>
          <a:off x="6425234" y="17048010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66</xdr:row>
      <xdr:rowOff>132522</xdr:rowOff>
    </xdr:from>
    <xdr:to>
      <xdr:col>6</xdr:col>
      <xdr:colOff>731458</xdr:colOff>
      <xdr:row>66</xdr:row>
      <xdr:rowOff>487328</xdr:rowOff>
    </xdr:to>
    <xdr:sp macro="" textlink="">
      <xdr:nvSpPr>
        <xdr:cNvPr id="89" name="Oval 88">
          <a:extLst>
            <a:ext uri="{FF2B5EF4-FFF2-40B4-BE49-F238E27FC236}">
              <a16:creationId xmlns:a16="http://schemas.microsoft.com/office/drawing/2014/main" id="{3BBA6503-B6D9-4ECE-B5A0-AF28C69BA75E}"/>
            </a:ext>
          </a:extLst>
        </xdr:cNvPr>
        <xdr:cNvSpPr/>
      </xdr:nvSpPr>
      <xdr:spPr>
        <a:xfrm>
          <a:off x="6458364" y="17175397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119270</xdr:colOff>
      <xdr:row>51</xdr:row>
      <xdr:rowOff>152400</xdr:rowOff>
    </xdr:from>
    <xdr:to>
      <xdr:col>6</xdr:col>
      <xdr:colOff>726489</xdr:colOff>
      <xdr:row>51</xdr:row>
      <xdr:rowOff>507206</xdr:rowOff>
    </xdr:to>
    <xdr:sp macro="" textlink="">
      <xdr:nvSpPr>
        <xdr:cNvPr id="90" name="Oval 89">
          <a:extLst>
            <a:ext uri="{FF2B5EF4-FFF2-40B4-BE49-F238E27FC236}">
              <a16:creationId xmlns:a16="http://schemas.microsoft.com/office/drawing/2014/main" id="{AE74D580-3E39-4687-810B-1535C4DE3572}"/>
            </a:ext>
          </a:extLst>
        </xdr:cNvPr>
        <xdr:cNvSpPr/>
      </xdr:nvSpPr>
      <xdr:spPr>
        <a:xfrm>
          <a:off x="6453395" y="17240250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84</xdr:row>
      <xdr:rowOff>124239</xdr:rowOff>
    </xdr:from>
    <xdr:to>
      <xdr:col>6</xdr:col>
      <xdr:colOff>698328</xdr:colOff>
      <xdr:row>84</xdr:row>
      <xdr:rowOff>479045</xdr:rowOff>
    </xdr:to>
    <xdr:sp macro="" textlink="">
      <xdr:nvSpPr>
        <xdr:cNvPr id="91" name="Oval 90">
          <a:extLst>
            <a:ext uri="{FF2B5EF4-FFF2-40B4-BE49-F238E27FC236}">
              <a16:creationId xmlns:a16="http://schemas.microsoft.com/office/drawing/2014/main" id="{E25EF8AE-5756-400D-BF56-ADF6C238515B}"/>
            </a:ext>
          </a:extLst>
        </xdr:cNvPr>
        <xdr:cNvSpPr/>
      </xdr:nvSpPr>
      <xdr:spPr>
        <a:xfrm>
          <a:off x="6425234" y="17300298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75</xdr:row>
      <xdr:rowOff>140804</xdr:rowOff>
    </xdr:from>
    <xdr:to>
      <xdr:col>6</xdr:col>
      <xdr:colOff>723175</xdr:colOff>
      <xdr:row>75</xdr:row>
      <xdr:rowOff>495610</xdr:rowOff>
    </xdr:to>
    <xdr:sp macro="" textlink="">
      <xdr:nvSpPr>
        <xdr:cNvPr id="92" name="Oval 91">
          <a:extLst>
            <a:ext uri="{FF2B5EF4-FFF2-40B4-BE49-F238E27FC236}">
              <a16:creationId xmlns:a16="http://schemas.microsoft.com/office/drawing/2014/main" id="{EB368F23-0D50-4B16-AF84-5D2EC6C864EA}"/>
            </a:ext>
          </a:extLst>
        </xdr:cNvPr>
        <xdr:cNvSpPr/>
      </xdr:nvSpPr>
      <xdr:spPr>
        <a:xfrm>
          <a:off x="6450081" y="17364820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92</xdr:row>
      <xdr:rowOff>140805</xdr:rowOff>
    </xdr:from>
    <xdr:to>
      <xdr:col>6</xdr:col>
      <xdr:colOff>706610</xdr:colOff>
      <xdr:row>92</xdr:row>
      <xdr:rowOff>495611</xdr:rowOff>
    </xdr:to>
    <xdr:sp macro="" textlink="">
      <xdr:nvSpPr>
        <xdr:cNvPr id="93" name="Oval 92">
          <a:extLst>
            <a:ext uri="{FF2B5EF4-FFF2-40B4-BE49-F238E27FC236}">
              <a16:creationId xmlns:a16="http://schemas.microsoft.com/office/drawing/2014/main" id="{88E9C739-7C48-48F3-9B8D-F99F348ED9C1}"/>
            </a:ext>
          </a:extLst>
        </xdr:cNvPr>
        <xdr:cNvSpPr/>
      </xdr:nvSpPr>
      <xdr:spPr>
        <a:xfrm>
          <a:off x="6433516" y="17427685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93</xdr:row>
      <xdr:rowOff>124239</xdr:rowOff>
    </xdr:from>
    <xdr:to>
      <xdr:col>6</xdr:col>
      <xdr:colOff>714893</xdr:colOff>
      <xdr:row>93</xdr:row>
      <xdr:rowOff>479045</xdr:rowOff>
    </xdr:to>
    <xdr:sp macro="" textlink="">
      <xdr:nvSpPr>
        <xdr:cNvPr id="94" name="Oval 93">
          <a:extLst>
            <a:ext uri="{FF2B5EF4-FFF2-40B4-BE49-F238E27FC236}">
              <a16:creationId xmlns:a16="http://schemas.microsoft.com/office/drawing/2014/main" id="{94C08813-E908-46EA-8172-9FBD75F0A5BE}"/>
            </a:ext>
          </a:extLst>
        </xdr:cNvPr>
        <xdr:cNvSpPr/>
      </xdr:nvSpPr>
      <xdr:spPr>
        <a:xfrm>
          <a:off x="6441799" y="17488893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157370</xdr:colOff>
      <xdr:row>197</xdr:row>
      <xdr:rowOff>124239</xdr:rowOff>
    </xdr:from>
    <xdr:to>
      <xdr:col>6</xdr:col>
      <xdr:colOff>764589</xdr:colOff>
      <xdr:row>197</xdr:row>
      <xdr:rowOff>479045</xdr:rowOff>
    </xdr:to>
    <xdr:sp macro="" textlink="">
      <xdr:nvSpPr>
        <xdr:cNvPr id="95" name="Oval 94">
          <a:extLst>
            <a:ext uri="{FF2B5EF4-FFF2-40B4-BE49-F238E27FC236}">
              <a16:creationId xmlns:a16="http://schemas.microsoft.com/office/drawing/2014/main" id="{AA518B4F-A0A0-4B92-A578-BFDC943F6DDA}"/>
            </a:ext>
          </a:extLst>
        </xdr:cNvPr>
        <xdr:cNvSpPr/>
      </xdr:nvSpPr>
      <xdr:spPr>
        <a:xfrm>
          <a:off x="6491495" y="17551758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3</xdr:row>
      <xdr:rowOff>157370</xdr:rowOff>
    </xdr:from>
    <xdr:to>
      <xdr:col>6</xdr:col>
      <xdr:colOff>706610</xdr:colOff>
      <xdr:row>3</xdr:row>
      <xdr:rowOff>512176</xdr:rowOff>
    </xdr:to>
    <xdr:sp macro="" textlink="">
      <xdr:nvSpPr>
        <xdr:cNvPr id="96" name="Oval 95">
          <a:extLst>
            <a:ext uri="{FF2B5EF4-FFF2-40B4-BE49-F238E27FC236}">
              <a16:creationId xmlns:a16="http://schemas.microsoft.com/office/drawing/2014/main" id="{C00F8B4A-8BB0-411C-A171-F52D79F4EFE8}"/>
            </a:ext>
          </a:extLst>
        </xdr:cNvPr>
        <xdr:cNvSpPr/>
      </xdr:nvSpPr>
      <xdr:spPr>
        <a:xfrm>
          <a:off x="6433516" y="17617937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149087</xdr:colOff>
      <xdr:row>44</xdr:row>
      <xdr:rowOff>57978</xdr:rowOff>
    </xdr:from>
    <xdr:to>
      <xdr:col>6</xdr:col>
      <xdr:colOff>756306</xdr:colOff>
      <xdr:row>44</xdr:row>
      <xdr:rowOff>412784</xdr:rowOff>
    </xdr:to>
    <xdr:sp macro="" textlink="">
      <xdr:nvSpPr>
        <xdr:cNvPr id="97" name="Oval 96">
          <a:extLst>
            <a:ext uri="{FF2B5EF4-FFF2-40B4-BE49-F238E27FC236}">
              <a16:creationId xmlns:a16="http://schemas.microsoft.com/office/drawing/2014/main" id="{1E7CBDC8-1FE1-49C1-A372-DA0D79FEF4D3}"/>
            </a:ext>
          </a:extLst>
        </xdr:cNvPr>
        <xdr:cNvSpPr/>
      </xdr:nvSpPr>
      <xdr:spPr>
        <a:xfrm>
          <a:off x="6483212" y="17670862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62</xdr:row>
      <xdr:rowOff>115957</xdr:rowOff>
    </xdr:from>
    <xdr:to>
      <xdr:col>6</xdr:col>
      <xdr:colOff>706610</xdr:colOff>
      <xdr:row>62</xdr:row>
      <xdr:rowOff>470763</xdr:rowOff>
    </xdr:to>
    <xdr:sp macro="" textlink="">
      <xdr:nvSpPr>
        <xdr:cNvPr id="98" name="Oval 97">
          <a:extLst>
            <a:ext uri="{FF2B5EF4-FFF2-40B4-BE49-F238E27FC236}">
              <a16:creationId xmlns:a16="http://schemas.microsoft.com/office/drawing/2014/main" id="{5E1DA4F8-62C1-4F75-BE1A-4EE77E81A4DB}"/>
            </a:ext>
          </a:extLst>
        </xdr:cNvPr>
        <xdr:cNvSpPr/>
      </xdr:nvSpPr>
      <xdr:spPr>
        <a:xfrm>
          <a:off x="6433516" y="17725238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45</xdr:row>
      <xdr:rowOff>132522</xdr:rowOff>
    </xdr:from>
    <xdr:to>
      <xdr:col>6</xdr:col>
      <xdr:colOff>706610</xdr:colOff>
      <xdr:row>45</xdr:row>
      <xdr:rowOff>487328</xdr:rowOff>
    </xdr:to>
    <xdr:sp macro="" textlink="">
      <xdr:nvSpPr>
        <xdr:cNvPr id="99" name="Oval 98">
          <a:extLst>
            <a:ext uri="{FF2B5EF4-FFF2-40B4-BE49-F238E27FC236}">
              <a16:creationId xmlns:a16="http://schemas.microsoft.com/office/drawing/2014/main" id="{5E377329-903E-4FA0-B7C1-059AF5B34838}"/>
            </a:ext>
          </a:extLst>
        </xdr:cNvPr>
        <xdr:cNvSpPr/>
      </xdr:nvSpPr>
      <xdr:spPr>
        <a:xfrm>
          <a:off x="6433516" y="17852624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91108</xdr:colOff>
      <xdr:row>46</xdr:row>
      <xdr:rowOff>173934</xdr:rowOff>
    </xdr:from>
    <xdr:to>
      <xdr:col>6</xdr:col>
      <xdr:colOff>698327</xdr:colOff>
      <xdr:row>46</xdr:row>
      <xdr:rowOff>528740</xdr:rowOff>
    </xdr:to>
    <xdr:sp macro="" textlink="">
      <xdr:nvSpPr>
        <xdr:cNvPr id="100" name="Oval 99">
          <a:extLst>
            <a:ext uri="{FF2B5EF4-FFF2-40B4-BE49-F238E27FC236}">
              <a16:creationId xmlns:a16="http://schemas.microsoft.com/office/drawing/2014/main" id="{E36DBC2A-EB59-441C-B4A5-FCF7205E94AA}"/>
            </a:ext>
          </a:extLst>
        </xdr:cNvPr>
        <xdr:cNvSpPr/>
      </xdr:nvSpPr>
      <xdr:spPr>
        <a:xfrm>
          <a:off x="6425233" y="17919630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66261</xdr:colOff>
      <xdr:row>0</xdr:row>
      <xdr:rowOff>124239</xdr:rowOff>
    </xdr:from>
    <xdr:to>
      <xdr:col>6</xdr:col>
      <xdr:colOff>673480</xdr:colOff>
      <xdr:row>0</xdr:row>
      <xdr:rowOff>479045</xdr:rowOff>
    </xdr:to>
    <xdr:sp macro="" textlink="">
      <xdr:nvSpPr>
        <xdr:cNvPr id="101" name="Oval 100">
          <a:extLst>
            <a:ext uri="{FF2B5EF4-FFF2-40B4-BE49-F238E27FC236}">
              <a16:creationId xmlns:a16="http://schemas.microsoft.com/office/drawing/2014/main" id="{07D4DF8B-5F8B-40C1-8613-912340D451B6}"/>
            </a:ext>
          </a:extLst>
        </xdr:cNvPr>
        <xdr:cNvSpPr/>
      </xdr:nvSpPr>
      <xdr:spPr>
        <a:xfrm>
          <a:off x="6400386" y="17977526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74543</xdr:colOff>
      <xdr:row>47</xdr:row>
      <xdr:rowOff>132522</xdr:rowOff>
    </xdr:from>
    <xdr:to>
      <xdr:col>6</xdr:col>
      <xdr:colOff>681762</xdr:colOff>
      <xdr:row>47</xdr:row>
      <xdr:rowOff>487328</xdr:rowOff>
    </xdr:to>
    <xdr:sp macro="" textlink="">
      <xdr:nvSpPr>
        <xdr:cNvPr id="102" name="Oval 101">
          <a:extLst>
            <a:ext uri="{FF2B5EF4-FFF2-40B4-BE49-F238E27FC236}">
              <a16:creationId xmlns:a16="http://schemas.microsoft.com/office/drawing/2014/main" id="{DDC4B848-0652-4D8A-BAA0-DF94A44B9C7A}"/>
            </a:ext>
          </a:extLst>
        </xdr:cNvPr>
        <xdr:cNvSpPr/>
      </xdr:nvSpPr>
      <xdr:spPr>
        <a:xfrm>
          <a:off x="6408668" y="18041219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48</xdr:row>
      <xdr:rowOff>149087</xdr:rowOff>
    </xdr:from>
    <xdr:to>
      <xdr:col>6</xdr:col>
      <xdr:colOff>731458</xdr:colOff>
      <xdr:row>48</xdr:row>
      <xdr:rowOff>503893</xdr:rowOff>
    </xdr:to>
    <xdr:sp macro="" textlink="">
      <xdr:nvSpPr>
        <xdr:cNvPr id="103" name="Oval 102">
          <a:extLst>
            <a:ext uri="{FF2B5EF4-FFF2-40B4-BE49-F238E27FC236}">
              <a16:creationId xmlns:a16="http://schemas.microsoft.com/office/drawing/2014/main" id="{C2AF5190-BD4F-4641-96F7-BD173E423F0A}"/>
            </a:ext>
          </a:extLst>
        </xdr:cNvPr>
        <xdr:cNvSpPr/>
      </xdr:nvSpPr>
      <xdr:spPr>
        <a:xfrm>
          <a:off x="6458364" y="18105741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49</xdr:row>
      <xdr:rowOff>107674</xdr:rowOff>
    </xdr:from>
    <xdr:to>
      <xdr:col>6</xdr:col>
      <xdr:colOff>731458</xdr:colOff>
      <xdr:row>49</xdr:row>
      <xdr:rowOff>462480</xdr:rowOff>
    </xdr:to>
    <xdr:sp macro="" textlink="">
      <xdr:nvSpPr>
        <xdr:cNvPr id="104" name="Oval 103">
          <a:extLst>
            <a:ext uri="{FF2B5EF4-FFF2-40B4-BE49-F238E27FC236}">
              <a16:creationId xmlns:a16="http://schemas.microsoft.com/office/drawing/2014/main" id="{A1CB9514-C41F-452A-954B-484006052738}"/>
            </a:ext>
          </a:extLst>
        </xdr:cNvPr>
        <xdr:cNvSpPr/>
      </xdr:nvSpPr>
      <xdr:spPr>
        <a:xfrm>
          <a:off x="6458364" y="18164464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132522</xdr:colOff>
      <xdr:row>94</xdr:row>
      <xdr:rowOff>115956</xdr:rowOff>
    </xdr:from>
    <xdr:to>
      <xdr:col>6</xdr:col>
      <xdr:colOff>739741</xdr:colOff>
      <xdr:row>94</xdr:row>
      <xdr:rowOff>470762</xdr:rowOff>
    </xdr:to>
    <xdr:sp macro="" textlink="">
      <xdr:nvSpPr>
        <xdr:cNvPr id="105" name="Oval 104">
          <a:extLst>
            <a:ext uri="{FF2B5EF4-FFF2-40B4-BE49-F238E27FC236}">
              <a16:creationId xmlns:a16="http://schemas.microsoft.com/office/drawing/2014/main" id="{F6D93BDC-31FE-422D-A3BC-00FF2C821187}"/>
            </a:ext>
          </a:extLst>
        </xdr:cNvPr>
        <xdr:cNvSpPr/>
      </xdr:nvSpPr>
      <xdr:spPr>
        <a:xfrm>
          <a:off x="6466647" y="18228158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95</xdr:row>
      <xdr:rowOff>132522</xdr:rowOff>
    </xdr:from>
    <xdr:to>
      <xdr:col>6</xdr:col>
      <xdr:colOff>690045</xdr:colOff>
      <xdr:row>95</xdr:row>
      <xdr:rowOff>487328</xdr:rowOff>
    </xdr:to>
    <xdr:sp macro="" textlink="">
      <xdr:nvSpPr>
        <xdr:cNvPr id="106" name="Oval 105">
          <a:extLst>
            <a:ext uri="{FF2B5EF4-FFF2-40B4-BE49-F238E27FC236}">
              <a16:creationId xmlns:a16="http://schemas.microsoft.com/office/drawing/2014/main" id="{7B05E029-E50E-4167-9AF3-4E512A947E54}"/>
            </a:ext>
          </a:extLst>
        </xdr:cNvPr>
        <xdr:cNvSpPr/>
      </xdr:nvSpPr>
      <xdr:spPr>
        <a:xfrm>
          <a:off x="6416951" y="18292679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91108</xdr:colOff>
      <xdr:row>50</xdr:row>
      <xdr:rowOff>140805</xdr:rowOff>
    </xdr:from>
    <xdr:to>
      <xdr:col>6</xdr:col>
      <xdr:colOff>698327</xdr:colOff>
      <xdr:row>50</xdr:row>
      <xdr:rowOff>495611</xdr:rowOff>
    </xdr:to>
    <xdr:sp macro="" textlink="">
      <xdr:nvSpPr>
        <xdr:cNvPr id="107" name="Oval 106">
          <a:extLst>
            <a:ext uri="{FF2B5EF4-FFF2-40B4-BE49-F238E27FC236}">
              <a16:creationId xmlns:a16="http://schemas.microsoft.com/office/drawing/2014/main" id="{A4C82F7B-D367-4E87-9AE6-815FBC5FFFBC}"/>
            </a:ext>
          </a:extLst>
        </xdr:cNvPr>
        <xdr:cNvSpPr/>
      </xdr:nvSpPr>
      <xdr:spPr>
        <a:xfrm>
          <a:off x="6425233" y="18356373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107673</xdr:colOff>
      <xdr:row>96</xdr:row>
      <xdr:rowOff>124239</xdr:rowOff>
    </xdr:from>
    <xdr:to>
      <xdr:col>6</xdr:col>
      <xdr:colOff>714892</xdr:colOff>
      <xdr:row>96</xdr:row>
      <xdr:rowOff>479045</xdr:rowOff>
    </xdr:to>
    <xdr:sp macro="" textlink="">
      <xdr:nvSpPr>
        <xdr:cNvPr id="108" name="Oval 107">
          <a:extLst>
            <a:ext uri="{FF2B5EF4-FFF2-40B4-BE49-F238E27FC236}">
              <a16:creationId xmlns:a16="http://schemas.microsoft.com/office/drawing/2014/main" id="{5873BD3E-F3EC-43C7-9280-45B864BD7F33}"/>
            </a:ext>
          </a:extLst>
        </xdr:cNvPr>
        <xdr:cNvSpPr/>
      </xdr:nvSpPr>
      <xdr:spPr>
        <a:xfrm>
          <a:off x="6441798" y="18417581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57978</xdr:colOff>
      <xdr:row>97</xdr:row>
      <xdr:rowOff>149087</xdr:rowOff>
    </xdr:from>
    <xdr:to>
      <xdr:col>6</xdr:col>
      <xdr:colOff>665197</xdr:colOff>
      <xdr:row>97</xdr:row>
      <xdr:rowOff>503893</xdr:rowOff>
    </xdr:to>
    <xdr:sp macro="" textlink="">
      <xdr:nvSpPr>
        <xdr:cNvPr id="109" name="Oval 108">
          <a:extLst>
            <a:ext uri="{FF2B5EF4-FFF2-40B4-BE49-F238E27FC236}">
              <a16:creationId xmlns:a16="http://schemas.microsoft.com/office/drawing/2014/main" id="{2BB50507-9183-40F5-92B5-C69BFEFF259A}"/>
            </a:ext>
          </a:extLst>
        </xdr:cNvPr>
        <xdr:cNvSpPr/>
      </xdr:nvSpPr>
      <xdr:spPr>
        <a:xfrm>
          <a:off x="6392103" y="18482931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54</xdr:row>
      <xdr:rowOff>3810000</xdr:rowOff>
    </xdr:from>
    <xdr:to>
      <xdr:col>6</xdr:col>
      <xdr:colOff>714893</xdr:colOff>
      <xdr:row>54</xdr:row>
      <xdr:rowOff>4164806</xdr:rowOff>
    </xdr:to>
    <xdr:sp macro="" textlink="">
      <xdr:nvSpPr>
        <xdr:cNvPr id="110" name="Oval 109">
          <a:extLst>
            <a:ext uri="{FF2B5EF4-FFF2-40B4-BE49-F238E27FC236}">
              <a16:creationId xmlns:a16="http://schemas.microsoft.com/office/drawing/2014/main" id="{E3F6D5E1-7A4A-4443-8BDB-F99F51FCFB5A}"/>
            </a:ext>
          </a:extLst>
        </xdr:cNvPr>
        <xdr:cNvSpPr/>
      </xdr:nvSpPr>
      <xdr:spPr>
        <a:xfrm>
          <a:off x="6441799" y="18911887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78</xdr:row>
      <xdr:rowOff>99392</xdr:rowOff>
    </xdr:from>
    <xdr:to>
      <xdr:col>6</xdr:col>
      <xdr:colOff>731458</xdr:colOff>
      <xdr:row>78</xdr:row>
      <xdr:rowOff>454198</xdr:rowOff>
    </xdr:to>
    <xdr:sp macro="" textlink="">
      <xdr:nvSpPr>
        <xdr:cNvPr id="111" name="Oval 110">
          <a:extLst>
            <a:ext uri="{FF2B5EF4-FFF2-40B4-BE49-F238E27FC236}">
              <a16:creationId xmlns:a16="http://schemas.microsoft.com/office/drawing/2014/main" id="{0B3759A2-78D4-485A-A685-CBBD6415C762}"/>
            </a:ext>
          </a:extLst>
        </xdr:cNvPr>
        <xdr:cNvSpPr/>
      </xdr:nvSpPr>
      <xdr:spPr>
        <a:xfrm>
          <a:off x="6458364" y="19402839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94422</xdr:colOff>
      <xdr:row>201</xdr:row>
      <xdr:rowOff>152401</xdr:rowOff>
    </xdr:from>
    <xdr:to>
      <xdr:col>6</xdr:col>
      <xdr:colOff>701641</xdr:colOff>
      <xdr:row>201</xdr:row>
      <xdr:rowOff>507207</xdr:rowOff>
    </xdr:to>
    <xdr:sp macro="" textlink="">
      <xdr:nvSpPr>
        <xdr:cNvPr id="112" name="Oval 111">
          <a:extLst>
            <a:ext uri="{FF2B5EF4-FFF2-40B4-BE49-F238E27FC236}">
              <a16:creationId xmlns:a16="http://schemas.microsoft.com/office/drawing/2014/main" id="{AEB0E94D-A0AE-46DE-B561-D03C9FE121D7}"/>
            </a:ext>
          </a:extLst>
        </xdr:cNvPr>
        <xdr:cNvSpPr/>
      </xdr:nvSpPr>
      <xdr:spPr>
        <a:xfrm>
          <a:off x="6428547" y="19471005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147431</xdr:colOff>
      <xdr:row>98</xdr:row>
      <xdr:rowOff>122584</xdr:rowOff>
    </xdr:from>
    <xdr:to>
      <xdr:col>6</xdr:col>
      <xdr:colOff>754650</xdr:colOff>
      <xdr:row>98</xdr:row>
      <xdr:rowOff>477390</xdr:rowOff>
    </xdr:to>
    <xdr:sp macro="" textlink="">
      <xdr:nvSpPr>
        <xdr:cNvPr id="113" name="Oval 112">
          <a:extLst>
            <a:ext uri="{FF2B5EF4-FFF2-40B4-BE49-F238E27FC236}">
              <a16:creationId xmlns:a16="http://schemas.microsoft.com/office/drawing/2014/main" id="{F3DC3DD9-BF55-4E7F-B201-8FB3EF857E6A}"/>
            </a:ext>
          </a:extLst>
        </xdr:cNvPr>
        <xdr:cNvSpPr/>
      </xdr:nvSpPr>
      <xdr:spPr>
        <a:xfrm>
          <a:off x="6481556" y="19530888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74544</xdr:colOff>
      <xdr:row>99</xdr:row>
      <xdr:rowOff>173934</xdr:rowOff>
    </xdr:from>
    <xdr:to>
      <xdr:col>6</xdr:col>
      <xdr:colOff>681763</xdr:colOff>
      <xdr:row>99</xdr:row>
      <xdr:rowOff>528740</xdr:rowOff>
    </xdr:to>
    <xdr:sp macro="" textlink="">
      <xdr:nvSpPr>
        <xdr:cNvPr id="114" name="Oval 113">
          <a:extLst>
            <a:ext uri="{FF2B5EF4-FFF2-40B4-BE49-F238E27FC236}">
              <a16:creationId xmlns:a16="http://schemas.microsoft.com/office/drawing/2014/main" id="{B6AC7725-D550-45F3-9C8C-BB09AD11E435}"/>
            </a:ext>
          </a:extLst>
        </xdr:cNvPr>
        <xdr:cNvSpPr/>
      </xdr:nvSpPr>
      <xdr:spPr>
        <a:xfrm>
          <a:off x="6408669" y="19598888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74544</xdr:colOff>
      <xdr:row>100</xdr:row>
      <xdr:rowOff>140804</xdr:rowOff>
    </xdr:from>
    <xdr:to>
      <xdr:col>6</xdr:col>
      <xdr:colOff>681763</xdr:colOff>
      <xdr:row>100</xdr:row>
      <xdr:rowOff>495610</xdr:rowOff>
    </xdr:to>
    <xdr:sp macro="" textlink="">
      <xdr:nvSpPr>
        <xdr:cNvPr id="115" name="Oval 114">
          <a:extLst>
            <a:ext uri="{FF2B5EF4-FFF2-40B4-BE49-F238E27FC236}">
              <a16:creationId xmlns:a16="http://schemas.microsoft.com/office/drawing/2014/main" id="{7683A1F6-55A3-40E6-8711-69F4C26FC120}"/>
            </a:ext>
          </a:extLst>
        </xdr:cNvPr>
        <xdr:cNvSpPr/>
      </xdr:nvSpPr>
      <xdr:spPr>
        <a:xfrm>
          <a:off x="6408669" y="19658440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140805</xdr:colOff>
      <xdr:row>202</xdr:row>
      <xdr:rowOff>1068456</xdr:rowOff>
    </xdr:from>
    <xdr:to>
      <xdr:col>6</xdr:col>
      <xdr:colOff>748024</xdr:colOff>
      <xdr:row>202</xdr:row>
      <xdr:rowOff>1423262</xdr:rowOff>
    </xdr:to>
    <xdr:sp macro="" textlink="">
      <xdr:nvSpPr>
        <xdr:cNvPr id="116" name="Oval 115">
          <a:extLst>
            <a:ext uri="{FF2B5EF4-FFF2-40B4-BE49-F238E27FC236}">
              <a16:creationId xmlns:a16="http://schemas.microsoft.com/office/drawing/2014/main" id="{4E4AA9D5-D7E7-4D48-8DC9-898B4F2152DD}"/>
            </a:ext>
          </a:extLst>
        </xdr:cNvPr>
        <xdr:cNvSpPr/>
      </xdr:nvSpPr>
      <xdr:spPr>
        <a:xfrm>
          <a:off x="6474930" y="19814070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203</xdr:row>
      <xdr:rowOff>1515717</xdr:rowOff>
    </xdr:from>
    <xdr:to>
      <xdr:col>6</xdr:col>
      <xdr:colOff>690045</xdr:colOff>
      <xdr:row>203</xdr:row>
      <xdr:rowOff>1870523</xdr:rowOff>
    </xdr:to>
    <xdr:sp macro="" textlink="">
      <xdr:nvSpPr>
        <xdr:cNvPr id="117" name="Oval 116">
          <a:extLst>
            <a:ext uri="{FF2B5EF4-FFF2-40B4-BE49-F238E27FC236}">
              <a16:creationId xmlns:a16="http://schemas.microsoft.com/office/drawing/2014/main" id="{9FF2D6B0-245D-4A25-9061-42DC796A5DB1}"/>
            </a:ext>
          </a:extLst>
        </xdr:cNvPr>
        <xdr:cNvSpPr/>
      </xdr:nvSpPr>
      <xdr:spPr>
        <a:xfrm>
          <a:off x="6416951" y="20114066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91108</xdr:colOff>
      <xdr:row>205</xdr:row>
      <xdr:rowOff>1524000</xdr:rowOff>
    </xdr:from>
    <xdr:to>
      <xdr:col>6</xdr:col>
      <xdr:colOff>698327</xdr:colOff>
      <xdr:row>205</xdr:row>
      <xdr:rowOff>1878806</xdr:rowOff>
    </xdr:to>
    <xdr:sp macro="" textlink="">
      <xdr:nvSpPr>
        <xdr:cNvPr id="118" name="Oval 117">
          <a:extLst>
            <a:ext uri="{FF2B5EF4-FFF2-40B4-BE49-F238E27FC236}">
              <a16:creationId xmlns:a16="http://schemas.microsoft.com/office/drawing/2014/main" id="{C80F0B11-4DF0-4EAF-81F3-7681E60FD49D}"/>
            </a:ext>
          </a:extLst>
        </xdr:cNvPr>
        <xdr:cNvSpPr/>
      </xdr:nvSpPr>
      <xdr:spPr>
        <a:xfrm>
          <a:off x="6425233" y="20718780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132522</xdr:colOff>
      <xdr:row>206</xdr:row>
      <xdr:rowOff>977348</xdr:rowOff>
    </xdr:from>
    <xdr:to>
      <xdr:col>6</xdr:col>
      <xdr:colOff>739741</xdr:colOff>
      <xdr:row>206</xdr:row>
      <xdr:rowOff>1332154</xdr:rowOff>
    </xdr:to>
    <xdr:sp macro="" textlink="">
      <xdr:nvSpPr>
        <xdr:cNvPr id="119" name="Oval 118">
          <a:extLst>
            <a:ext uri="{FF2B5EF4-FFF2-40B4-BE49-F238E27FC236}">
              <a16:creationId xmlns:a16="http://schemas.microsoft.com/office/drawing/2014/main" id="{7F57283C-E3CD-403F-99BF-96B9D88C1095}"/>
            </a:ext>
          </a:extLst>
        </xdr:cNvPr>
        <xdr:cNvSpPr/>
      </xdr:nvSpPr>
      <xdr:spPr>
        <a:xfrm>
          <a:off x="6466647" y="21002252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207</xdr:row>
      <xdr:rowOff>438979</xdr:rowOff>
    </xdr:from>
    <xdr:to>
      <xdr:col>6</xdr:col>
      <xdr:colOff>690045</xdr:colOff>
      <xdr:row>207</xdr:row>
      <xdr:rowOff>793785</xdr:rowOff>
    </xdr:to>
    <xdr:sp macro="" textlink="">
      <xdr:nvSpPr>
        <xdr:cNvPr id="120" name="Oval 119">
          <a:extLst>
            <a:ext uri="{FF2B5EF4-FFF2-40B4-BE49-F238E27FC236}">
              <a16:creationId xmlns:a16="http://schemas.microsoft.com/office/drawing/2014/main" id="{BE089C98-C37B-4F44-AE2B-1E368CD6A802}"/>
            </a:ext>
          </a:extLst>
        </xdr:cNvPr>
        <xdr:cNvSpPr/>
      </xdr:nvSpPr>
      <xdr:spPr>
        <a:xfrm>
          <a:off x="6416951" y="21187492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132521</xdr:colOff>
      <xdr:row>208</xdr:row>
      <xdr:rowOff>753717</xdr:rowOff>
    </xdr:from>
    <xdr:to>
      <xdr:col>6</xdr:col>
      <xdr:colOff>739740</xdr:colOff>
      <xdr:row>208</xdr:row>
      <xdr:rowOff>1108523</xdr:rowOff>
    </xdr:to>
    <xdr:sp macro="" textlink="">
      <xdr:nvSpPr>
        <xdr:cNvPr id="121" name="Oval 120">
          <a:extLst>
            <a:ext uri="{FF2B5EF4-FFF2-40B4-BE49-F238E27FC236}">
              <a16:creationId xmlns:a16="http://schemas.microsoft.com/office/drawing/2014/main" id="{164318ED-6C72-4FD2-B189-130A3592FA42}"/>
            </a:ext>
          </a:extLst>
        </xdr:cNvPr>
        <xdr:cNvSpPr/>
      </xdr:nvSpPr>
      <xdr:spPr>
        <a:xfrm>
          <a:off x="6466646" y="21338981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66261</xdr:colOff>
      <xdr:row>204</xdr:row>
      <xdr:rowOff>1209260</xdr:rowOff>
    </xdr:from>
    <xdr:to>
      <xdr:col>6</xdr:col>
      <xdr:colOff>673480</xdr:colOff>
      <xdr:row>204</xdr:row>
      <xdr:rowOff>1564066</xdr:rowOff>
    </xdr:to>
    <xdr:sp macro="" textlink="">
      <xdr:nvSpPr>
        <xdr:cNvPr id="122" name="Oval 121">
          <a:extLst>
            <a:ext uri="{FF2B5EF4-FFF2-40B4-BE49-F238E27FC236}">
              <a16:creationId xmlns:a16="http://schemas.microsoft.com/office/drawing/2014/main" id="{5B68E90E-FFB9-400A-81A6-9908D7E6B9A9}"/>
            </a:ext>
          </a:extLst>
        </xdr:cNvPr>
        <xdr:cNvSpPr/>
      </xdr:nvSpPr>
      <xdr:spPr>
        <a:xfrm>
          <a:off x="6400386" y="20417748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74543</xdr:colOff>
      <xdr:row>111</xdr:row>
      <xdr:rowOff>132522</xdr:rowOff>
    </xdr:from>
    <xdr:to>
      <xdr:col>6</xdr:col>
      <xdr:colOff>681762</xdr:colOff>
      <xdr:row>111</xdr:row>
      <xdr:rowOff>487328</xdr:rowOff>
    </xdr:to>
    <xdr:sp macro="" textlink="">
      <xdr:nvSpPr>
        <xdr:cNvPr id="123" name="Oval 122">
          <a:extLst>
            <a:ext uri="{FF2B5EF4-FFF2-40B4-BE49-F238E27FC236}">
              <a16:creationId xmlns:a16="http://schemas.microsoft.com/office/drawing/2014/main" id="{53154B2A-D40A-4243-8672-AB1F2282C708}"/>
            </a:ext>
          </a:extLst>
        </xdr:cNvPr>
        <xdr:cNvSpPr/>
      </xdr:nvSpPr>
      <xdr:spPr>
        <a:xfrm>
          <a:off x="6408668" y="516172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6</xdr:col>
      <xdr:colOff>74543</xdr:colOff>
      <xdr:row>112</xdr:row>
      <xdr:rowOff>132522</xdr:rowOff>
    </xdr:from>
    <xdr:to>
      <xdr:col>6</xdr:col>
      <xdr:colOff>681762</xdr:colOff>
      <xdr:row>112</xdr:row>
      <xdr:rowOff>487328</xdr:rowOff>
    </xdr:to>
    <xdr:sp macro="" textlink="">
      <xdr:nvSpPr>
        <xdr:cNvPr id="124" name="Oval 123">
          <a:extLst>
            <a:ext uri="{FF2B5EF4-FFF2-40B4-BE49-F238E27FC236}">
              <a16:creationId xmlns:a16="http://schemas.microsoft.com/office/drawing/2014/main" id="{FA70282B-AEF9-49E4-8C68-A6BF026C5851}"/>
            </a:ext>
          </a:extLst>
        </xdr:cNvPr>
        <xdr:cNvSpPr/>
      </xdr:nvSpPr>
      <xdr:spPr>
        <a:xfrm>
          <a:off x="6408668" y="579037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86139</xdr:colOff>
      <xdr:row>113</xdr:row>
      <xdr:rowOff>135835</xdr:rowOff>
    </xdr:from>
    <xdr:to>
      <xdr:col>6</xdr:col>
      <xdr:colOff>693358</xdr:colOff>
      <xdr:row>113</xdr:row>
      <xdr:rowOff>490641</xdr:rowOff>
    </xdr:to>
    <xdr:sp macro="" textlink="">
      <xdr:nvSpPr>
        <xdr:cNvPr id="125" name="Oval 124">
          <a:extLst>
            <a:ext uri="{FF2B5EF4-FFF2-40B4-BE49-F238E27FC236}">
              <a16:creationId xmlns:a16="http://schemas.microsoft.com/office/drawing/2014/main" id="{C64E072F-AAEF-4A70-A40E-0C51F6BA1C99}"/>
            </a:ext>
          </a:extLst>
        </xdr:cNvPr>
        <xdr:cNvSpPr/>
      </xdr:nvSpPr>
      <xdr:spPr>
        <a:xfrm>
          <a:off x="6420264" y="642233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114</xdr:row>
      <xdr:rowOff>132522</xdr:rowOff>
    </xdr:from>
    <xdr:to>
      <xdr:col>6</xdr:col>
      <xdr:colOff>706610</xdr:colOff>
      <xdr:row>114</xdr:row>
      <xdr:rowOff>487328</xdr:rowOff>
    </xdr:to>
    <xdr:sp macro="" textlink="">
      <xdr:nvSpPr>
        <xdr:cNvPr id="126" name="Oval 125">
          <a:extLst>
            <a:ext uri="{FF2B5EF4-FFF2-40B4-BE49-F238E27FC236}">
              <a16:creationId xmlns:a16="http://schemas.microsoft.com/office/drawing/2014/main" id="{F2D66022-1EAA-48C6-B6EF-9F9CFCDC12F4}"/>
            </a:ext>
          </a:extLst>
        </xdr:cNvPr>
        <xdr:cNvSpPr/>
      </xdr:nvSpPr>
      <xdr:spPr>
        <a:xfrm>
          <a:off x="6433516" y="704767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115</xdr:row>
      <xdr:rowOff>115957</xdr:rowOff>
    </xdr:from>
    <xdr:to>
      <xdr:col>6</xdr:col>
      <xdr:colOff>723175</xdr:colOff>
      <xdr:row>115</xdr:row>
      <xdr:rowOff>470763</xdr:rowOff>
    </xdr:to>
    <xdr:sp macro="" textlink="">
      <xdr:nvSpPr>
        <xdr:cNvPr id="127" name="Oval 126">
          <a:extLst>
            <a:ext uri="{FF2B5EF4-FFF2-40B4-BE49-F238E27FC236}">
              <a16:creationId xmlns:a16="http://schemas.microsoft.com/office/drawing/2014/main" id="{1FA09869-DA2A-4686-9608-ADFC14F44D95}"/>
            </a:ext>
          </a:extLst>
        </xdr:cNvPr>
        <xdr:cNvSpPr/>
      </xdr:nvSpPr>
      <xdr:spPr>
        <a:xfrm>
          <a:off x="6450081" y="765975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124240</xdr:colOff>
      <xdr:row>116</xdr:row>
      <xdr:rowOff>157370</xdr:rowOff>
    </xdr:from>
    <xdr:to>
      <xdr:col>6</xdr:col>
      <xdr:colOff>731459</xdr:colOff>
      <xdr:row>116</xdr:row>
      <xdr:rowOff>512176</xdr:rowOff>
    </xdr:to>
    <xdr:sp macro="" textlink="">
      <xdr:nvSpPr>
        <xdr:cNvPr id="128" name="Oval 127">
          <a:extLst>
            <a:ext uri="{FF2B5EF4-FFF2-40B4-BE49-F238E27FC236}">
              <a16:creationId xmlns:a16="http://schemas.microsoft.com/office/drawing/2014/main" id="{4250A6C4-548F-48DA-9D43-F6CB88EAC59F}"/>
            </a:ext>
          </a:extLst>
        </xdr:cNvPr>
        <xdr:cNvSpPr/>
      </xdr:nvSpPr>
      <xdr:spPr>
        <a:xfrm>
          <a:off x="6458365" y="832982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117</xdr:row>
      <xdr:rowOff>132521</xdr:rowOff>
    </xdr:from>
    <xdr:to>
      <xdr:col>6</xdr:col>
      <xdr:colOff>706610</xdr:colOff>
      <xdr:row>117</xdr:row>
      <xdr:rowOff>487327</xdr:rowOff>
    </xdr:to>
    <xdr:sp macro="" textlink="">
      <xdr:nvSpPr>
        <xdr:cNvPr id="129" name="Oval 128">
          <a:extLst>
            <a:ext uri="{FF2B5EF4-FFF2-40B4-BE49-F238E27FC236}">
              <a16:creationId xmlns:a16="http://schemas.microsoft.com/office/drawing/2014/main" id="{D5A26DC6-364E-4FA7-A774-3BF2C4FB9E14}"/>
            </a:ext>
          </a:extLst>
        </xdr:cNvPr>
        <xdr:cNvSpPr/>
      </xdr:nvSpPr>
      <xdr:spPr>
        <a:xfrm>
          <a:off x="6433516" y="893362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119</xdr:row>
      <xdr:rowOff>173934</xdr:rowOff>
    </xdr:from>
    <xdr:to>
      <xdr:col>6</xdr:col>
      <xdr:colOff>714893</xdr:colOff>
      <xdr:row>119</xdr:row>
      <xdr:rowOff>528740</xdr:rowOff>
    </xdr:to>
    <xdr:sp macro="" textlink="">
      <xdr:nvSpPr>
        <xdr:cNvPr id="130" name="Oval 129">
          <a:extLst>
            <a:ext uri="{FF2B5EF4-FFF2-40B4-BE49-F238E27FC236}">
              <a16:creationId xmlns:a16="http://schemas.microsoft.com/office/drawing/2014/main" id="{CA1E8641-796D-42E5-B526-CFDABD0254F1}"/>
            </a:ext>
          </a:extLst>
        </xdr:cNvPr>
        <xdr:cNvSpPr/>
      </xdr:nvSpPr>
      <xdr:spPr>
        <a:xfrm>
          <a:off x="6441799" y="1023233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57978</xdr:colOff>
      <xdr:row>120</xdr:row>
      <xdr:rowOff>115957</xdr:rowOff>
    </xdr:from>
    <xdr:to>
      <xdr:col>6</xdr:col>
      <xdr:colOff>665197</xdr:colOff>
      <xdr:row>120</xdr:row>
      <xdr:rowOff>470763</xdr:rowOff>
    </xdr:to>
    <xdr:sp macro="" textlink="">
      <xdr:nvSpPr>
        <xdr:cNvPr id="131" name="Oval 130">
          <a:extLst>
            <a:ext uri="{FF2B5EF4-FFF2-40B4-BE49-F238E27FC236}">
              <a16:creationId xmlns:a16="http://schemas.microsoft.com/office/drawing/2014/main" id="{07F39DDA-9E55-4940-862B-66745BF9F4B0}"/>
            </a:ext>
          </a:extLst>
        </xdr:cNvPr>
        <xdr:cNvSpPr/>
      </xdr:nvSpPr>
      <xdr:spPr>
        <a:xfrm>
          <a:off x="6392103" y="1080300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121</xdr:row>
      <xdr:rowOff>115957</xdr:rowOff>
    </xdr:from>
    <xdr:to>
      <xdr:col>6</xdr:col>
      <xdr:colOff>723175</xdr:colOff>
      <xdr:row>121</xdr:row>
      <xdr:rowOff>470763</xdr:rowOff>
    </xdr:to>
    <xdr:sp macro="" textlink="">
      <xdr:nvSpPr>
        <xdr:cNvPr id="132" name="Oval 131">
          <a:extLst>
            <a:ext uri="{FF2B5EF4-FFF2-40B4-BE49-F238E27FC236}">
              <a16:creationId xmlns:a16="http://schemas.microsoft.com/office/drawing/2014/main" id="{51591B76-058B-4FB9-8638-0532C8664E19}"/>
            </a:ext>
          </a:extLst>
        </xdr:cNvPr>
        <xdr:cNvSpPr/>
      </xdr:nvSpPr>
      <xdr:spPr>
        <a:xfrm>
          <a:off x="6450081" y="1143165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122</xdr:row>
      <xdr:rowOff>149087</xdr:rowOff>
    </xdr:from>
    <xdr:to>
      <xdr:col>6</xdr:col>
      <xdr:colOff>698328</xdr:colOff>
      <xdr:row>122</xdr:row>
      <xdr:rowOff>503893</xdr:rowOff>
    </xdr:to>
    <xdr:sp macro="" textlink="">
      <xdr:nvSpPr>
        <xdr:cNvPr id="133" name="Oval 132">
          <a:extLst>
            <a:ext uri="{FF2B5EF4-FFF2-40B4-BE49-F238E27FC236}">
              <a16:creationId xmlns:a16="http://schemas.microsoft.com/office/drawing/2014/main" id="{2F8870B7-9507-487C-BB6C-9DCDE57E9103}"/>
            </a:ext>
          </a:extLst>
        </xdr:cNvPr>
        <xdr:cNvSpPr/>
      </xdr:nvSpPr>
      <xdr:spPr>
        <a:xfrm>
          <a:off x="6425234" y="1209343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94422</xdr:colOff>
      <xdr:row>123</xdr:row>
      <xdr:rowOff>127552</xdr:rowOff>
    </xdr:from>
    <xdr:to>
      <xdr:col>6</xdr:col>
      <xdr:colOff>701641</xdr:colOff>
      <xdr:row>123</xdr:row>
      <xdr:rowOff>482358</xdr:rowOff>
    </xdr:to>
    <xdr:sp macro="" textlink="">
      <xdr:nvSpPr>
        <xdr:cNvPr id="134" name="Oval 133">
          <a:extLst>
            <a:ext uri="{FF2B5EF4-FFF2-40B4-BE49-F238E27FC236}">
              <a16:creationId xmlns:a16="http://schemas.microsoft.com/office/drawing/2014/main" id="{DD6CEB77-AC59-484C-9F21-111B062DE5CD}"/>
            </a:ext>
          </a:extLst>
        </xdr:cNvPr>
        <xdr:cNvSpPr/>
      </xdr:nvSpPr>
      <xdr:spPr>
        <a:xfrm>
          <a:off x="6428547" y="1270055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149087</xdr:colOff>
      <xdr:row>124</xdr:row>
      <xdr:rowOff>165653</xdr:rowOff>
    </xdr:from>
    <xdr:to>
      <xdr:col>6</xdr:col>
      <xdr:colOff>756306</xdr:colOff>
      <xdr:row>124</xdr:row>
      <xdr:rowOff>520459</xdr:rowOff>
    </xdr:to>
    <xdr:sp macro="" textlink="">
      <xdr:nvSpPr>
        <xdr:cNvPr id="135" name="Oval 134">
          <a:extLst>
            <a:ext uri="{FF2B5EF4-FFF2-40B4-BE49-F238E27FC236}">
              <a16:creationId xmlns:a16="http://schemas.microsoft.com/office/drawing/2014/main" id="{1C15DD26-F711-4866-9039-A3077E0B9794}"/>
            </a:ext>
          </a:extLst>
        </xdr:cNvPr>
        <xdr:cNvSpPr/>
      </xdr:nvSpPr>
      <xdr:spPr>
        <a:xfrm>
          <a:off x="6483212" y="1336730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125</xdr:row>
      <xdr:rowOff>480391</xdr:rowOff>
    </xdr:from>
    <xdr:to>
      <xdr:col>6</xdr:col>
      <xdr:colOff>714893</xdr:colOff>
      <xdr:row>125</xdr:row>
      <xdr:rowOff>835197</xdr:rowOff>
    </xdr:to>
    <xdr:sp macro="" textlink="">
      <xdr:nvSpPr>
        <xdr:cNvPr id="136" name="Oval 135">
          <a:extLst>
            <a:ext uri="{FF2B5EF4-FFF2-40B4-BE49-F238E27FC236}">
              <a16:creationId xmlns:a16="http://schemas.microsoft.com/office/drawing/2014/main" id="{C1DAD2E7-C5A6-4B36-B3FA-796E8DAD62DE}"/>
            </a:ext>
          </a:extLst>
        </xdr:cNvPr>
        <xdr:cNvSpPr/>
      </xdr:nvSpPr>
      <xdr:spPr>
        <a:xfrm>
          <a:off x="6441799" y="1431069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132521</xdr:colOff>
      <xdr:row>126</xdr:row>
      <xdr:rowOff>604630</xdr:rowOff>
    </xdr:from>
    <xdr:to>
      <xdr:col>6</xdr:col>
      <xdr:colOff>739740</xdr:colOff>
      <xdr:row>126</xdr:row>
      <xdr:rowOff>959436</xdr:rowOff>
    </xdr:to>
    <xdr:sp macro="" textlink="">
      <xdr:nvSpPr>
        <xdr:cNvPr id="137" name="Oval 136">
          <a:extLst>
            <a:ext uri="{FF2B5EF4-FFF2-40B4-BE49-F238E27FC236}">
              <a16:creationId xmlns:a16="http://schemas.microsoft.com/office/drawing/2014/main" id="{6306B665-3FE7-4477-AD69-D7E07F6A657E}"/>
            </a:ext>
          </a:extLst>
        </xdr:cNvPr>
        <xdr:cNvSpPr/>
      </xdr:nvSpPr>
      <xdr:spPr>
        <a:xfrm>
          <a:off x="6466646" y="1572080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127</xdr:row>
      <xdr:rowOff>554934</xdr:rowOff>
    </xdr:from>
    <xdr:to>
      <xdr:col>6</xdr:col>
      <xdr:colOff>706610</xdr:colOff>
      <xdr:row>127</xdr:row>
      <xdr:rowOff>909740</xdr:rowOff>
    </xdr:to>
    <xdr:sp macro="" textlink="">
      <xdr:nvSpPr>
        <xdr:cNvPr id="138" name="Oval 137">
          <a:extLst>
            <a:ext uri="{FF2B5EF4-FFF2-40B4-BE49-F238E27FC236}">
              <a16:creationId xmlns:a16="http://schemas.microsoft.com/office/drawing/2014/main" id="{9DDAD026-BBF1-4B39-BA0E-CAD399F91E6E}"/>
            </a:ext>
          </a:extLst>
        </xdr:cNvPr>
        <xdr:cNvSpPr/>
      </xdr:nvSpPr>
      <xdr:spPr>
        <a:xfrm>
          <a:off x="6433516" y="1729035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128</xdr:row>
      <xdr:rowOff>347870</xdr:rowOff>
    </xdr:from>
    <xdr:to>
      <xdr:col>6</xdr:col>
      <xdr:colOff>690045</xdr:colOff>
      <xdr:row>128</xdr:row>
      <xdr:rowOff>702676</xdr:rowOff>
    </xdr:to>
    <xdr:sp macro="" textlink="">
      <xdr:nvSpPr>
        <xdr:cNvPr id="139" name="Oval 138">
          <a:extLst>
            <a:ext uri="{FF2B5EF4-FFF2-40B4-BE49-F238E27FC236}">
              <a16:creationId xmlns:a16="http://schemas.microsoft.com/office/drawing/2014/main" id="{449ACC2B-0672-41EE-B497-42E276150CCB}"/>
            </a:ext>
          </a:extLst>
        </xdr:cNvPr>
        <xdr:cNvSpPr/>
      </xdr:nvSpPr>
      <xdr:spPr>
        <a:xfrm>
          <a:off x="6416951" y="1860729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129</xdr:row>
      <xdr:rowOff>405848</xdr:rowOff>
    </xdr:from>
    <xdr:to>
      <xdr:col>6</xdr:col>
      <xdr:colOff>714893</xdr:colOff>
      <xdr:row>129</xdr:row>
      <xdr:rowOff>760654</xdr:rowOff>
    </xdr:to>
    <xdr:sp macro="" textlink="">
      <xdr:nvSpPr>
        <xdr:cNvPr id="140" name="Oval 139">
          <a:extLst>
            <a:ext uri="{FF2B5EF4-FFF2-40B4-BE49-F238E27FC236}">
              <a16:creationId xmlns:a16="http://schemas.microsoft.com/office/drawing/2014/main" id="{ECBEFB12-471F-4960-AC65-5087BBF436A8}"/>
            </a:ext>
          </a:extLst>
        </xdr:cNvPr>
        <xdr:cNvSpPr/>
      </xdr:nvSpPr>
      <xdr:spPr>
        <a:xfrm>
          <a:off x="6441799" y="1972254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130</xdr:row>
      <xdr:rowOff>538370</xdr:rowOff>
    </xdr:from>
    <xdr:to>
      <xdr:col>6</xdr:col>
      <xdr:colOff>706610</xdr:colOff>
      <xdr:row>130</xdr:row>
      <xdr:rowOff>893176</xdr:rowOff>
    </xdr:to>
    <xdr:sp macro="" textlink="">
      <xdr:nvSpPr>
        <xdr:cNvPr id="141" name="Oval 140">
          <a:extLst>
            <a:ext uri="{FF2B5EF4-FFF2-40B4-BE49-F238E27FC236}">
              <a16:creationId xmlns:a16="http://schemas.microsoft.com/office/drawing/2014/main" id="{95C5326A-1A20-43EC-B49C-42B262F3A0B9}"/>
            </a:ext>
          </a:extLst>
        </xdr:cNvPr>
        <xdr:cNvSpPr/>
      </xdr:nvSpPr>
      <xdr:spPr>
        <a:xfrm>
          <a:off x="6433516" y="2095044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115957</xdr:colOff>
      <xdr:row>131</xdr:row>
      <xdr:rowOff>438978</xdr:rowOff>
    </xdr:from>
    <xdr:to>
      <xdr:col>6</xdr:col>
      <xdr:colOff>723176</xdr:colOff>
      <xdr:row>131</xdr:row>
      <xdr:rowOff>793784</xdr:rowOff>
    </xdr:to>
    <xdr:sp macro="" textlink="">
      <xdr:nvSpPr>
        <xdr:cNvPr id="142" name="Oval 141">
          <a:extLst>
            <a:ext uri="{FF2B5EF4-FFF2-40B4-BE49-F238E27FC236}">
              <a16:creationId xmlns:a16="http://schemas.microsoft.com/office/drawing/2014/main" id="{603C3B8A-21F1-42AD-8759-592477F6CD31}"/>
            </a:ext>
          </a:extLst>
        </xdr:cNvPr>
        <xdr:cNvSpPr/>
      </xdr:nvSpPr>
      <xdr:spPr>
        <a:xfrm>
          <a:off x="6450082" y="2233695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132</xdr:row>
      <xdr:rowOff>472109</xdr:rowOff>
    </xdr:from>
    <xdr:to>
      <xdr:col>6</xdr:col>
      <xdr:colOff>714893</xdr:colOff>
      <xdr:row>132</xdr:row>
      <xdr:rowOff>826915</xdr:rowOff>
    </xdr:to>
    <xdr:sp macro="" textlink="">
      <xdr:nvSpPr>
        <xdr:cNvPr id="143" name="Oval 142">
          <a:extLst>
            <a:ext uri="{FF2B5EF4-FFF2-40B4-BE49-F238E27FC236}">
              <a16:creationId xmlns:a16="http://schemas.microsoft.com/office/drawing/2014/main" id="{8F243B2B-C1BD-452E-9BB0-89E0C3B12B32}"/>
            </a:ext>
          </a:extLst>
        </xdr:cNvPr>
        <xdr:cNvSpPr/>
      </xdr:nvSpPr>
      <xdr:spPr>
        <a:xfrm>
          <a:off x="6441799" y="2362738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91108</xdr:colOff>
      <xdr:row>133</xdr:row>
      <xdr:rowOff>397565</xdr:rowOff>
    </xdr:from>
    <xdr:to>
      <xdr:col>6</xdr:col>
      <xdr:colOff>698327</xdr:colOff>
      <xdr:row>133</xdr:row>
      <xdr:rowOff>752371</xdr:rowOff>
    </xdr:to>
    <xdr:sp macro="" textlink="">
      <xdr:nvSpPr>
        <xdr:cNvPr id="144" name="Oval 143">
          <a:extLst>
            <a:ext uri="{FF2B5EF4-FFF2-40B4-BE49-F238E27FC236}">
              <a16:creationId xmlns:a16="http://schemas.microsoft.com/office/drawing/2014/main" id="{4EE387A4-B92A-4F89-A556-F2AC1065184E}"/>
            </a:ext>
          </a:extLst>
        </xdr:cNvPr>
        <xdr:cNvSpPr/>
      </xdr:nvSpPr>
      <xdr:spPr>
        <a:xfrm>
          <a:off x="6425233" y="2488634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134</xdr:row>
      <xdr:rowOff>430695</xdr:rowOff>
    </xdr:from>
    <xdr:to>
      <xdr:col>6</xdr:col>
      <xdr:colOff>706610</xdr:colOff>
      <xdr:row>134</xdr:row>
      <xdr:rowOff>785501</xdr:rowOff>
    </xdr:to>
    <xdr:sp macro="" textlink="">
      <xdr:nvSpPr>
        <xdr:cNvPr id="145" name="Oval 144">
          <a:extLst>
            <a:ext uri="{FF2B5EF4-FFF2-40B4-BE49-F238E27FC236}">
              <a16:creationId xmlns:a16="http://schemas.microsoft.com/office/drawing/2014/main" id="{D49A3623-75D6-42F4-AE11-7E8C5AA7F67D}"/>
            </a:ext>
          </a:extLst>
        </xdr:cNvPr>
        <xdr:cNvSpPr/>
      </xdr:nvSpPr>
      <xdr:spPr>
        <a:xfrm>
          <a:off x="6433516" y="2616724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135</xdr:row>
      <xdr:rowOff>157370</xdr:rowOff>
    </xdr:from>
    <xdr:to>
      <xdr:col>6</xdr:col>
      <xdr:colOff>690045</xdr:colOff>
      <xdr:row>135</xdr:row>
      <xdr:rowOff>512176</xdr:rowOff>
    </xdr:to>
    <xdr:sp macro="" textlink="">
      <xdr:nvSpPr>
        <xdr:cNvPr id="146" name="Oval 145">
          <a:extLst>
            <a:ext uri="{FF2B5EF4-FFF2-40B4-BE49-F238E27FC236}">
              <a16:creationId xmlns:a16="http://schemas.microsoft.com/office/drawing/2014/main" id="{F28B0897-D55B-4F20-B551-68FFD610BF52}"/>
            </a:ext>
          </a:extLst>
        </xdr:cNvPr>
        <xdr:cNvSpPr/>
      </xdr:nvSpPr>
      <xdr:spPr>
        <a:xfrm>
          <a:off x="6416951" y="2711312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136</xdr:row>
      <xdr:rowOff>107673</xdr:rowOff>
    </xdr:from>
    <xdr:to>
      <xdr:col>6</xdr:col>
      <xdr:colOff>690045</xdr:colOff>
      <xdr:row>136</xdr:row>
      <xdr:rowOff>462479</xdr:rowOff>
    </xdr:to>
    <xdr:sp macro="" textlink="">
      <xdr:nvSpPr>
        <xdr:cNvPr id="147" name="Oval 146">
          <a:extLst>
            <a:ext uri="{FF2B5EF4-FFF2-40B4-BE49-F238E27FC236}">
              <a16:creationId xmlns:a16="http://schemas.microsoft.com/office/drawing/2014/main" id="{44774205-4AE4-4669-B17B-4019EEA3C826}"/>
            </a:ext>
          </a:extLst>
        </xdr:cNvPr>
        <xdr:cNvSpPr/>
      </xdr:nvSpPr>
      <xdr:spPr>
        <a:xfrm>
          <a:off x="6416951" y="2769207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137</xdr:row>
      <xdr:rowOff>107674</xdr:rowOff>
    </xdr:from>
    <xdr:to>
      <xdr:col>6</xdr:col>
      <xdr:colOff>731458</xdr:colOff>
      <xdr:row>137</xdr:row>
      <xdr:rowOff>462480</xdr:rowOff>
    </xdr:to>
    <xdr:sp macro="" textlink="">
      <xdr:nvSpPr>
        <xdr:cNvPr id="148" name="Oval 147">
          <a:extLst>
            <a:ext uri="{FF2B5EF4-FFF2-40B4-BE49-F238E27FC236}">
              <a16:creationId xmlns:a16="http://schemas.microsoft.com/office/drawing/2014/main" id="{0F40FD60-6C3D-47BC-8A69-50B1615DE3CE}"/>
            </a:ext>
          </a:extLst>
        </xdr:cNvPr>
        <xdr:cNvSpPr/>
      </xdr:nvSpPr>
      <xdr:spPr>
        <a:xfrm>
          <a:off x="6458364" y="2832072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138</xdr:row>
      <xdr:rowOff>331304</xdr:rowOff>
    </xdr:from>
    <xdr:to>
      <xdr:col>6</xdr:col>
      <xdr:colOff>731458</xdr:colOff>
      <xdr:row>138</xdr:row>
      <xdr:rowOff>686110</xdr:rowOff>
    </xdr:to>
    <xdr:sp macro="" textlink="">
      <xdr:nvSpPr>
        <xdr:cNvPr id="149" name="Oval 148">
          <a:extLst>
            <a:ext uri="{FF2B5EF4-FFF2-40B4-BE49-F238E27FC236}">
              <a16:creationId xmlns:a16="http://schemas.microsoft.com/office/drawing/2014/main" id="{822AE855-77DD-42C5-8439-73BA3F58AAF2}"/>
            </a:ext>
          </a:extLst>
        </xdr:cNvPr>
        <xdr:cNvSpPr/>
      </xdr:nvSpPr>
      <xdr:spPr>
        <a:xfrm>
          <a:off x="6458364" y="2917300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91108</xdr:colOff>
      <xdr:row>139</xdr:row>
      <xdr:rowOff>107674</xdr:rowOff>
    </xdr:from>
    <xdr:to>
      <xdr:col>6</xdr:col>
      <xdr:colOff>698327</xdr:colOff>
      <xdr:row>139</xdr:row>
      <xdr:rowOff>462480</xdr:rowOff>
    </xdr:to>
    <xdr:sp macro="" textlink="">
      <xdr:nvSpPr>
        <xdr:cNvPr id="150" name="Oval 149">
          <a:extLst>
            <a:ext uri="{FF2B5EF4-FFF2-40B4-BE49-F238E27FC236}">
              <a16:creationId xmlns:a16="http://schemas.microsoft.com/office/drawing/2014/main" id="{2F5F1840-E161-4D9D-81C6-B6D28DF4C458}"/>
            </a:ext>
          </a:extLst>
        </xdr:cNvPr>
        <xdr:cNvSpPr/>
      </xdr:nvSpPr>
      <xdr:spPr>
        <a:xfrm>
          <a:off x="6425233" y="3003522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141</xdr:row>
      <xdr:rowOff>2393674</xdr:rowOff>
    </xdr:from>
    <xdr:to>
      <xdr:col>6</xdr:col>
      <xdr:colOff>706610</xdr:colOff>
      <xdr:row>141</xdr:row>
      <xdr:rowOff>2748480</xdr:rowOff>
    </xdr:to>
    <xdr:sp macro="" textlink="">
      <xdr:nvSpPr>
        <xdr:cNvPr id="151" name="Oval 150">
          <a:extLst>
            <a:ext uri="{FF2B5EF4-FFF2-40B4-BE49-F238E27FC236}">
              <a16:creationId xmlns:a16="http://schemas.microsoft.com/office/drawing/2014/main" id="{4653C787-1E9F-4FF1-9EBA-C2F5A71A14B4}"/>
            </a:ext>
          </a:extLst>
        </xdr:cNvPr>
        <xdr:cNvSpPr/>
      </xdr:nvSpPr>
      <xdr:spPr>
        <a:xfrm>
          <a:off x="6433516" y="3357852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142</xdr:row>
      <xdr:rowOff>298174</xdr:rowOff>
    </xdr:from>
    <xdr:to>
      <xdr:col>6</xdr:col>
      <xdr:colOff>723175</xdr:colOff>
      <xdr:row>142</xdr:row>
      <xdr:rowOff>652980</xdr:rowOff>
    </xdr:to>
    <xdr:sp macro="" textlink="">
      <xdr:nvSpPr>
        <xdr:cNvPr id="152" name="Oval 151">
          <a:extLst>
            <a:ext uri="{FF2B5EF4-FFF2-40B4-BE49-F238E27FC236}">
              <a16:creationId xmlns:a16="http://schemas.microsoft.com/office/drawing/2014/main" id="{19A8668C-F84C-410D-B842-2F3C53A7DBC4}"/>
            </a:ext>
          </a:extLst>
        </xdr:cNvPr>
        <xdr:cNvSpPr/>
      </xdr:nvSpPr>
      <xdr:spPr>
        <a:xfrm>
          <a:off x="6450081" y="3667414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66261</xdr:colOff>
      <xdr:row>144</xdr:row>
      <xdr:rowOff>248478</xdr:rowOff>
    </xdr:from>
    <xdr:to>
      <xdr:col>6</xdr:col>
      <xdr:colOff>673480</xdr:colOff>
      <xdr:row>144</xdr:row>
      <xdr:rowOff>603284</xdr:rowOff>
    </xdr:to>
    <xdr:sp macro="" textlink="">
      <xdr:nvSpPr>
        <xdr:cNvPr id="153" name="Oval 152">
          <a:extLst>
            <a:ext uri="{FF2B5EF4-FFF2-40B4-BE49-F238E27FC236}">
              <a16:creationId xmlns:a16="http://schemas.microsoft.com/office/drawing/2014/main" id="{A649DBC7-B424-44EB-B2E0-EC7B606B6048}"/>
            </a:ext>
          </a:extLst>
        </xdr:cNvPr>
        <xdr:cNvSpPr/>
      </xdr:nvSpPr>
      <xdr:spPr>
        <a:xfrm>
          <a:off x="6400386" y="3822465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145</xdr:row>
      <xdr:rowOff>140805</xdr:rowOff>
    </xdr:from>
    <xdr:to>
      <xdr:col>6</xdr:col>
      <xdr:colOff>714893</xdr:colOff>
      <xdr:row>145</xdr:row>
      <xdr:rowOff>495611</xdr:rowOff>
    </xdr:to>
    <xdr:sp macro="" textlink="">
      <xdr:nvSpPr>
        <xdr:cNvPr id="154" name="Oval 153">
          <a:extLst>
            <a:ext uri="{FF2B5EF4-FFF2-40B4-BE49-F238E27FC236}">
              <a16:creationId xmlns:a16="http://schemas.microsoft.com/office/drawing/2014/main" id="{BA613354-CF68-44FF-B2B8-C79472815F58}"/>
            </a:ext>
          </a:extLst>
        </xdr:cNvPr>
        <xdr:cNvSpPr/>
      </xdr:nvSpPr>
      <xdr:spPr>
        <a:xfrm>
          <a:off x="6441799" y="3900280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146</xdr:row>
      <xdr:rowOff>298174</xdr:rowOff>
    </xdr:from>
    <xdr:to>
      <xdr:col>6</xdr:col>
      <xdr:colOff>731458</xdr:colOff>
      <xdr:row>146</xdr:row>
      <xdr:rowOff>652980</xdr:rowOff>
    </xdr:to>
    <xdr:sp macro="" textlink="">
      <xdr:nvSpPr>
        <xdr:cNvPr id="155" name="Oval 154">
          <a:extLst>
            <a:ext uri="{FF2B5EF4-FFF2-40B4-BE49-F238E27FC236}">
              <a16:creationId xmlns:a16="http://schemas.microsoft.com/office/drawing/2014/main" id="{BADC15C5-8DF2-4A3A-AD8B-76CE9585BDF0}"/>
            </a:ext>
          </a:extLst>
        </xdr:cNvPr>
        <xdr:cNvSpPr/>
      </xdr:nvSpPr>
      <xdr:spPr>
        <a:xfrm>
          <a:off x="6458364" y="3978882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132522</xdr:colOff>
      <xdr:row>147</xdr:row>
      <xdr:rowOff>720587</xdr:rowOff>
    </xdr:from>
    <xdr:to>
      <xdr:col>6</xdr:col>
      <xdr:colOff>739741</xdr:colOff>
      <xdr:row>147</xdr:row>
      <xdr:rowOff>1075393</xdr:rowOff>
    </xdr:to>
    <xdr:sp macro="" textlink="">
      <xdr:nvSpPr>
        <xdr:cNvPr id="156" name="Oval 155">
          <a:extLst>
            <a:ext uri="{FF2B5EF4-FFF2-40B4-BE49-F238E27FC236}">
              <a16:creationId xmlns:a16="http://schemas.microsoft.com/office/drawing/2014/main" id="{28EAFC69-8546-471D-9257-98A03575134A}"/>
            </a:ext>
          </a:extLst>
        </xdr:cNvPr>
        <xdr:cNvSpPr/>
      </xdr:nvSpPr>
      <xdr:spPr>
        <a:xfrm>
          <a:off x="6466647" y="4112563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148</xdr:row>
      <xdr:rowOff>728870</xdr:rowOff>
    </xdr:from>
    <xdr:to>
      <xdr:col>6</xdr:col>
      <xdr:colOff>714893</xdr:colOff>
      <xdr:row>148</xdr:row>
      <xdr:rowOff>1083676</xdr:rowOff>
    </xdr:to>
    <xdr:sp macro="" textlink="">
      <xdr:nvSpPr>
        <xdr:cNvPr id="157" name="Oval 156">
          <a:extLst>
            <a:ext uri="{FF2B5EF4-FFF2-40B4-BE49-F238E27FC236}">
              <a16:creationId xmlns:a16="http://schemas.microsoft.com/office/drawing/2014/main" id="{420DBD5F-6393-4E42-B54E-30425C82C760}"/>
            </a:ext>
          </a:extLst>
        </xdr:cNvPr>
        <xdr:cNvSpPr/>
      </xdr:nvSpPr>
      <xdr:spPr>
        <a:xfrm>
          <a:off x="6441799" y="4297224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68</xdr:row>
      <xdr:rowOff>488674</xdr:rowOff>
    </xdr:from>
    <xdr:to>
      <xdr:col>6</xdr:col>
      <xdr:colOff>698328</xdr:colOff>
      <xdr:row>68</xdr:row>
      <xdr:rowOff>843480</xdr:rowOff>
    </xdr:to>
    <xdr:sp macro="" textlink="">
      <xdr:nvSpPr>
        <xdr:cNvPr id="158" name="Oval 157">
          <a:extLst>
            <a:ext uri="{FF2B5EF4-FFF2-40B4-BE49-F238E27FC236}">
              <a16:creationId xmlns:a16="http://schemas.microsoft.com/office/drawing/2014/main" id="{C0AF49BE-B3FC-4B90-9F6D-6B32A356AA95}"/>
            </a:ext>
          </a:extLst>
        </xdr:cNvPr>
        <xdr:cNvSpPr/>
      </xdr:nvSpPr>
      <xdr:spPr>
        <a:xfrm>
          <a:off x="6425234" y="4457037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149</xdr:row>
      <xdr:rowOff>463826</xdr:rowOff>
    </xdr:from>
    <xdr:to>
      <xdr:col>6</xdr:col>
      <xdr:colOff>723175</xdr:colOff>
      <xdr:row>149</xdr:row>
      <xdr:rowOff>818632</xdr:rowOff>
    </xdr:to>
    <xdr:sp macro="" textlink="">
      <xdr:nvSpPr>
        <xdr:cNvPr id="159" name="Oval 158">
          <a:extLst>
            <a:ext uri="{FF2B5EF4-FFF2-40B4-BE49-F238E27FC236}">
              <a16:creationId xmlns:a16="http://schemas.microsoft.com/office/drawing/2014/main" id="{41ED0F09-F69E-40EE-BB80-47441AEE55E7}"/>
            </a:ext>
          </a:extLst>
        </xdr:cNvPr>
        <xdr:cNvSpPr/>
      </xdr:nvSpPr>
      <xdr:spPr>
        <a:xfrm>
          <a:off x="6450081" y="4587902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149087</xdr:colOff>
      <xdr:row>150</xdr:row>
      <xdr:rowOff>422413</xdr:rowOff>
    </xdr:from>
    <xdr:to>
      <xdr:col>6</xdr:col>
      <xdr:colOff>756306</xdr:colOff>
      <xdr:row>150</xdr:row>
      <xdr:rowOff>777219</xdr:rowOff>
    </xdr:to>
    <xdr:sp macro="" textlink="">
      <xdr:nvSpPr>
        <xdr:cNvPr id="160" name="Oval 159">
          <a:extLst>
            <a:ext uri="{FF2B5EF4-FFF2-40B4-BE49-F238E27FC236}">
              <a16:creationId xmlns:a16="http://schemas.microsoft.com/office/drawing/2014/main" id="{0A407291-E600-45D1-9896-298B1D917461}"/>
            </a:ext>
          </a:extLst>
        </xdr:cNvPr>
        <xdr:cNvSpPr/>
      </xdr:nvSpPr>
      <xdr:spPr>
        <a:xfrm>
          <a:off x="6483212" y="4717111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151</xdr:row>
      <xdr:rowOff>405848</xdr:rowOff>
    </xdr:from>
    <xdr:to>
      <xdr:col>6</xdr:col>
      <xdr:colOff>698328</xdr:colOff>
      <xdr:row>151</xdr:row>
      <xdr:rowOff>760654</xdr:rowOff>
    </xdr:to>
    <xdr:sp macro="" textlink="">
      <xdr:nvSpPr>
        <xdr:cNvPr id="161" name="Oval 160">
          <a:extLst>
            <a:ext uri="{FF2B5EF4-FFF2-40B4-BE49-F238E27FC236}">
              <a16:creationId xmlns:a16="http://schemas.microsoft.com/office/drawing/2014/main" id="{3C460363-06A2-4FDE-82C3-657A15214E2A}"/>
            </a:ext>
          </a:extLst>
        </xdr:cNvPr>
        <xdr:cNvSpPr/>
      </xdr:nvSpPr>
      <xdr:spPr>
        <a:xfrm>
          <a:off x="6425234" y="4841184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91108</xdr:colOff>
      <xdr:row>79</xdr:row>
      <xdr:rowOff>381000</xdr:rowOff>
    </xdr:from>
    <xdr:to>
      <xdr:col>6</xdr:col>
      <xdr:colOff>698327</xdr:colOff>
      <xdr:row>79</xdr:row>
      <xdr:rowOff>735806</xdr:rowOff>
    </xdr:to>
    <xdr:sp macro="" textlink="">
      <xdr:nvSpPr>
        <xdr:cNvPr id="162" name="Oval 161">
          <a:extLst>
            <a:ext uri="{FF2B5EF4-FFF2-40B4-BE49-F238E27FC236}">
              <a16:creationId xmlns:a16="http://schemas.microsoft.com/office/drawing/2014/main" id="{4988B641-06B8-4D66-BF44-0977B4A40A57}"/>
            </a:ext>
          </a:extLst>
        </xdr:cNvPr>
        <xdr:cNvSpPr/>
      </xdr:nvSpPr>
      <xdr:spPr>
        <a:xfrm>
          <a:off x="6425233" y="4954905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152</xdr:row>
      <xdr:rowOff>1408043</xdr:rowOff>
    </xdr:from>
    <xdr:to>
      <xdr:col>6</xdr:col>
      <xdr:colOff>723175</xdr:colOff>
      <xdr:row>152</xdr:row>
      <xdr:rowOff>1762849</xdr:rowOff>
    </xdr:to>
    <xdr:sp macro="" textlink="">
      <xdr:nvSpPr>
        <xdr:cNvPr id="163" name="Oval 162">
          <a:extLst>
            <a:ext uri="{FF2B5EF4-FFF2-40B4-BE49-F238E27FC236}">
              <a16:creationId xmlns:a16="http://schemas.microsoft.com/office/drawing/2014/main" id="{DE65171F-CC30-42B4-A02B-66A55AF0B799}"/>
            </a:ext>
          </a:extLst>
        </xdr:cNvPr>
        <xdr:cNvSpPr/>
      </xdr:nvSpPr>
      <xdr:spPr>
        <a:xfrm>
          <a:off x="6450081" y="5173814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140804</xdr:colOff>
      <xdr:row>153</xdr:row>
      <xdr:rowOff>190500</xdr:rowOff>
    </xdr:from>
    <xdr:to>
      <xdr:col>6</xdr:col>
      <xdr:colOff>748023</xdr:colOff>
      <xdr:row>153</xdr:row>
      <xdr:rowOff>545306</xdr:rowOff>
    </xdr:to>
    <xdr:sp macro="" textlink="">
      <xdr:nvSpPr>
        <xdr:cNvPr id="164" name="Oval 163">
          <a:extLst>
            <a:ext uri="{FF2B5EF4-FFF2-40B4-BE49-F238E27FC236}">
              <a16:creationId xmlns:a16="http://schemas.microsoft.com/office/drawing/2014/main" id="{A63EB5A0-1830-4761-93D7-F7BC4437AB0E}"/>
            </a:ext>
          </a:extLst>
        </xdr:cNvPr>
        <xdr:cNvSpPr/>
      </xdr:nvSpPr>
      <xdr:spPr>
        <a:xfrm>
          <a:off x="6474929" y="5369242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154</xdr:row>
      <xdr:rowOff>430695</xdr:rowOff>
    </xdr:from>
    <xdr:to>
      <xdr:col>6</xdr:col>
      <xdr:colOff>698328</xdr:colOff>
      <xdr:row>154</xdr:row>
      <xdr:rowOff>785501</xdr:rowOff>
    </xdr:to>
    <xdr:sp macro="" textlink="">
      <xdr:nvSpPr>
        <xdr:cNvPr id="165" name="Oval 164">
          <a:extLst>
            <a:ext uri="{FF2B5EF4-FFF2-40B4-BE49-F238E27FC236}">
              <a16:creationId xmlns:a16="http://schemas.microsoft.com/office/drawing/2014/main" id="{F893FC15-BA0D-4462-AB33-78AC980747D1}"/>
            </a:ext>
          </a:extLst>
        </xdr:cNvPr>
        <xdr:cNvSpPr/>
      </xdr:nvSpPr>
      <xdr:spPr>
        <a:xfrm>
          <a:off x="6425234" y="5460889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149087</xdr:colOff>
      <xdr:row>155</xdr:row>
      <xdr:rowOff>554935</xdr:rowOff>
    </xdr:from>
    <xdr:to>
      <xdr:col>6</xdr:col>
      <xdr:colOff>756306</xdr:colOff>
      <xdr:row>155</xdr:row>
      <xdr:rowOff>909741</xdr:rowOff>
    </xdr:to>
    <xdr:sp macro="" textlink="">
      <xdr:nvSpPr>
        <xdr:cNvPr id="166" name="Oval 165">
          <a:extLst>
            <a:ext uri="{FF2B5EF4-FFF2-40B4-BE49-F238E27FC236}">
              <a16:creationId xmlns:a16="http://schemas.microsoft.com/office/drawing/2014/main" id="{1F7D5E9A-3784-4B7B-9737-C12C83970927}"/>
            </a:ext>
          </a:extLst>
        </xdr:cNvPr>
        <xdr:cNvSpPr/>
      </xdr:nvSpPr>
      <xdr:spPr>
        <a:xfrm>
          <a:off x="6483212" y="5599996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156</xdr:row>
      <xdr:rowOff>265044</xdr:rowOff>
    </xdr:from>
    <xdr:to>
      <xdr:col>6</xdr:col>
      <xdr:colOff>698328</xdr:colOff>
      <xdr:row>156</xdr:row>
      <xdr:rowOff>619850</xdr:rowOff>
    </xdr:to>
    <xdr:sp macro="" textlink="">
      <xdr:nvSpPr>
        <xdr:cNvPr id="167" name="Oval 166">
          <a:extLst>
            <a:ext uri="{FF2B5EF4-FFF2-40B4-BE49-F238E27FC236}">
              <a16:creationId xmlns:a16="http://schemas.microsoft.com/office/drawing/2014/main" id="{8EA97179-7CD9-424D-8E30-5310ADB258AD}"/>
            </a:ext>
          </a:extLst>
        </xdr:cNvPr>
        <xdr:cNvSpPr/>
      </xdr:nvSpPr>
      <xdr:spPr>
        <a:xfrm>
          <a:off x="6425234" y="5724359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74</xdr:row>
      <xdr:rowOff>1068456</xdr:rowOff>
    </xdr:from>
    <xdr:to>
      <xdr:col>6</xdr:col>
      <xdr:colOff>731458</xdr:colOff>
      <xdr:row>74</xdr:row>
      <xdr:rowOff>1423262</xdr:rowOff>
    </xdr:to>
    <xdr:sp macro="" textlink="">
      <xdr:nvSpPr>
        <xdr:cNvPr id="168" name="Oval 167">
          <a:extLst>
            <a:ext uri="{FF2B5EF4-FFF2-40B4-BE49-F238E27FC236}">
              <a16:creationId xmlns:a16="http://schemas.microsoft.com/office/drawing/2014/main" id="{A5AAFF82-F129-4463-B68D-1EDE62808915}"/>
            </a:ext>
          </a:extLst>
        </xdr:cNvPr>
        <xdr:cNvSpPr/>
      </xdr:nvSpPr>
      <xdr:spPr>
        <a:xfrm>
          <a:off x="6458364" y="5898045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157</xdr:row>
      <xdr:rowOff>281609</xdr:rowOff>
    </xdr:from>
    <xdr:to>
      <xdr:col>6</xdr:col>
      <xdr:colOff>731458</xdr:colOff>
      <xdr:row>157</xdr:row>
      <xdr:rowOff>636415</xdr:rowOff>
    </xdr:to>
    <xdr:sp macro="" textlink="">
      <xdr:nvSpPr>
        <xdr:cNvPr id="169" name="Oval 168">
          <a:extLst>
            <a:ext uri="{FF2B5EF4-FFF2-40B4-BE49-F238E27FC236}">
              <a16:creationId xmlns:a16="http://schemas.microsoft.com/office/drawing/2014/main" id="{7ADDFEB2-5663-42E5-8176-0B1303B7A284}"/>
            </a:ext>
          </a:extLst>
        </xdr:cNvPr>
        <xdr:cNvSpPr/>
      </xdr:nvSpPr>
      <xdr:spPr>
        <a:xfrm>
          <a:off x="6458364" y="6074630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149087</xdr:colOff>
      <xdr:row>158</xdr:row>
      <xdr:rowOff>314739</xdr:rowOff>
    </xdr:from>
    <xdr:to>
      <xdr:col>6</xdr:col>
      <xdr:colOff>756306</xdr:colOff>
      <xdr:row>158</xdr:row>
      <xdr:rowOff>669545</xdr:rowOff>
    </xdr:to>
    <xdr:sp macro="" textlink="">
      <xdr:nvSpPr>
        <xdr:cNvPr id="170" name="Oval 169">
          <a:extLst>
            <a:ext uri="{FF2B5EF4-FFF2-40B4-BE49-F238E27FC236}">
              <a16:creationId xmlns:a16="http://schemas.microsoft.com/office/drawing/2014/main" id="{1BEF4B29-DCF6-4629-9775-64F141B22DF1}"/>
            </a:ext>
          </a:extLst>
        </xdr:cNvPr>
        <xdr:cNvSpPr/>
      </xdr:nvSpPr>
      <xdr:spPr>
        <a:xfrm>
          <a:off x="6483212" y="6174146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132521</xdr:colOff>
      <xdr:row>159</xdr:row>
      <xdr:rowOff>323022</xdr:rowOff>
    </xdr:from>
    <xdr:to>
      <xdr:col>6</xdr:col>
      <xdr:colOff>739740</xdr:colOff>
      <xdr:row>159</xdr:row>
      <xdr:rowOff>677828</xdr:rowOff>
    </xdr:to>
    <xdr:sp macro="" textlink="">
      <xdr:nvSpPr>
        <xdr:cNvPr id="171" name="Oval 170">
          <a:extLst>
            <a:ext uri="{FF2B5EF4-FFF2-40B4-BE49-F238E27FC236}">
              <a16:creationId xmlns:a16="http://schemas.microsoft.com/office/drawing/2014/main" id="{9718224D-9256-415D-ADF9-D8D9D412EB6A}"/>
            </a:ext>
          </a:extLst>
        </xdr:cNvPr>
        <xdr:cNvSpPr/>
      </xdr:nvSpPr>
      <xdr:spPr>
        <a:xfrm>
          <a:off x="6466646" y="6271177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115957</xdr:colOff>
      <xdr:row>160</xdr:row>
      <xdr:rowOff>289891</xdr:rowOff>
    </xdr:from>
    <xdr:to>
      <xdr:col>6</xdr:col>
      <xdr:colOff>723176</xdr:colOff>
      <xdr:row>160</xdr:row>
      <xdr:rowOff>644697</xdr:rowOff>
    </xdr:to>
    <xdr:sp macro="" textlink="">
      <xdr:nvSpPr>
        <xdr:cNvPr id="172" name="Oval 171">
          <a:extLst>
            <a:ext uri="{FF2B5EF4-FFF2-40B4-BE49-F238E27FC236}">
              <a16:creationId xmlns:a16="http://schemas.microsoft.com/office/drawing/2014/main" id="{3F5F935C-EBFD-47E4-BB87-2189C255C3DE}"/>
            </a:ext>
          </a:extLst>
        </xdr:cNvPr>
        <xdr:cNvSpPr/>
      </xdr:nvSpPr>
      <xdr:spPr>
        <a:xfrm>
          <a:off x="6450082" y="6371686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161</xdr:row>
      <xdr:rowOff>579783</xdr:rowOff>
    </xdr:from>
    <xdr:to>
      <xdr:col>6</xdr:col>
      <xdr:colOff>714893</xdr:colOff>
      <xdr:row>161</xdr:row>
      <xdr:rowOff>934589</xdr:rowOff>
    </xdr:to>
    <xdr:sp macro="" textlink="">
      <xdr:nvSpPr>
        <xdr:cNvPr id="173" name="Oval 172">
          <a:extLst>
            <a:ext uri="{FF2B5EF4-FFF2-40B4-BE49-F238E27FC236}">
              <a16:creationId xmlns:a16="http://schemas.microsoft.com/office/drawing/2014/main" id="{805C5692-9B53-4849-8840-548C2F614422}"/>
            </a:ext>
          </a:extLst>
        </xdr:cNvPr>
        <xdr:cNvSpPr/>
      </xdr:nvSpPr>
      <xdr:spPr>
        <a:xfrm>
          <a:off x="6441799" y="6496878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67</xdr:row>
      <xdr:rowOff>256761</xdr:rowOff>
    </xdr:from>
    <xdr:to>
      <xdr:col>6</xdr:col>
      <xdr:colOff>698328</xdr:colOff>
      <xdr:row>67</xdr:row>
      <xdr:rowOff>611567</xdr:rowOff>
    </xdr:to>
    <xdr:sp macro="" textlink="">
      <xdr:nvSpPr>
        <xdr:cNvPr id="174" name="Oval 173">
          <a:extLst>
            <a:ext uri="{FF2B5EF4-FFF2-40B4-BE49-F238E27FC236}">
              <a16:creationId xmlns:a16="http://schemas.microsoft.com/office/drawing/2014/main" id="{54DC3699-C871-4093-98F9-960DD06529B0}"/>
            </a:ext>
          </a:extLst>
        </xdr:cNvPr>
        <xdr:cNvSpPr/>
      </xdr:nvSpPr>
      <xdr:spPr>
        <a:xfrm>
          <a:off x="6425234" y="6620786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162</xdr:row>
      <xdr:rowOff>554934</xdr:rowOff>
    </xdr:from>
    <xdr:to>
      <xdr:col>6</xdr:col>
      <xdr:colOff>714893</xdr:colOff>
      <xdr:row>162</xdr:row>
      <xdr:rowOff>909740</xdr:rowOff>
    </xdr:to>
    <xdr:sp macro="" textlink="">
      <xdr:nvSpPr>
        <xdr:cNvPr id="175" name="Oval 174">
          <a:extLst>
            <a:ext uri="{FF2B5EF4-FFF2-40B4-BE49-F238E27FC236}">
              <a16:creationId xmlns:a16="http://schemas.microsoft.com/office/drawing/2014/main" id="{26D853AC-14FC-4C06-815B-9681F41C466F}"/>
            </a:ext>
          </a:extLst>
        </xdr:cNvPr>
        <xdr:cNvSpPr/>
      </xdr:nvSpPr>
      <xdr:spPr>
        <a:xfrm>
          <a:off x="6441799" y="6736328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163</xdr:row>
      <xdr:rowOff>1002196</xdr:rowOff>
    </xdr:from>
    <xdr:to>
      <xdr:col>6</xdr:col>
      <xdr:colOff>731458</xdr:colOff>
      <xdr:row>163</xdr:row>
      <xdr:rowOff>1357002</xdr:rowOff>
    </xdr:to>
    <xdr:sp macro="" textlink="">
      <xdr:nvSpPr>
        <xdr:cNvPr id="176" name="Oval 175">
          <a:extLst>
            <a:ext uri="{FF2B5EF4-FFF2-40B4-BE49-F238E27FC236}">
              <a16:creationId xmlns:a16="http://schemas.microsoft.com/office/drawing/2014/main" id="{0C3E6AB1-AB1F-4B46-BDA2-AA68FEEAC37E}"/>
            </a:ext>
          </a:extLst>
        </xdr:cNvPr>
        <xdr:cNvSpPr/>
      </xdr:nvSpPr>
      <xdr:spPr>
        <a:xfrm>
          <a:off x="6458364" y="6922977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164</xdr:row>
      <xdr:rowOff>1184413</xdr:rowOff>
    </xdr:from>
    <xdr:to>
      <xdr:col>6</xdr:col>
      <xdr:colOff>731458</xdr:colOff>
      <xdr:row>164</xdr:row>
      <xdr:rowOff>1539219</xdr:rowOff>
    </xdr:to>
    <xdr:sp macro="" textlink="">
      <xdr:nvSpPr>
        <xdr:cNvPr id="177" name="Oval 176">
          <a:extLst>
            <a:ext uri="{FF2B5EF4-FFF2-40B4-BE49-F238E27FC236}">
              <a16:creationId xmlns:a16="http://schemas.microsoft.com/office/drawing/2014/main" id="{8097D7C0-2406-4016-AAA6-5DFA3A2F130B}"/>
            </a:ext>
          </a:extLst>
        </xdr:cNvPr>
        <xdr:cNvSpPr/>
      </xdr:nvSpPr>
      <xdr:spPr>
        <a:xfrm>
          <a:off x="6458364" y="7173608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115957</xdr:colOff>
      <xdr:row>165</xdr:row>
      <xdr:rowOff>190500</xdr:rowOff>
    </xdr:from>
    <xdr:to>
      <xdr:col>6</xdr:col>
      <xdr:colOff>723176</xdr:colOff>
      <xdr:row>165</xdr:row>
      <xdr:rowOff>545306</xdr:rowOff>
    </xdr:to>
    <xdr:sp macro="" textlink="">
      <xdr:nvSpPr>
        <xdr:cNvPr id="178" name="Oval 177">
          <a:extLst>
            <a:ext uri="{FF2B5EF4-FFF2-40B4-BE49-F238E27FC236}">
              <a16:creationId xmlns:a16="http://schemas.microsoft.com/office/drawing/2014/main" id="{34D65134-4C92-4F28-83A3-F4E736ED6209}"/>
            </a:ext>
          </a:extLst>
        </xdr:cNvPr>
        <xdr:cNvSpPr/>
      </xdr:nvSpPr>
      <xdr:spPr>
        <a:xfrm>
          <a:off x="6450082" y="7344727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66260</xdr:colOff>
      <xdr:row>166</xdr:row>
      <xdr:rowOff>1482587</xdr:rowOff>
    </xdr:from>
    <xdr:to>
      <xdr:col>6</xdr:col>
      <xdr:colOff>673479</xdr:colOff>
      <xdr:row>166</xdr:row>
      <xdr:rowOff>1837393</xdr:rowOff>
    </xdr:to>
    <xdr:sp macro="" textlink="">
      <xdr:nvSpPr>
        <xdr:cNvPr id="179" name="Oval 178">
          <a:extLst>
            <a:ext uri="{FF2B5EF4-FFF2-40B4-BE49-F238E27FC236}">
              <a16:creationId xmlns:a16="http://schemas.microsoft.com/office/drawing/2014/main" id="{E676C9F4-DBCE-4A12-8675-7B9CBD76F86D}"/>
            </a:ext>
          </a:extLst>
        </xdr:cNvPr>
        <xdr:cNvSpPr/>
      </xdr:nvSpPr>
      <xdr:spPr>
        <a:xfrm>
          <a:off x="6400385" y="7552041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167</xdr:row>
      <xdr:rowOff>704021</xdr:rowOff>
    </xdr:from>
    <xdr:to>
      <xdr:col>6</xdr:col>
      <xdr:colOff>723175</xdr:colOff>
      <xdr:row>167</xdr:row>
      <xdr:rowOff>1058827</xdr:rowOff>
    </xdr:to>
    <xdr:sp macro="" textlink="">
      <xdr:nvSpPr>
        <xdr:cNvPr id="180" name="Oval 179">
          <a:extLst>
            <a:ext uri="{FF2B5EF4-FFF2-40B4-BE49-F238E27FC236}">
              <a16:creationId xmlns:a16="http://schemas.microsoft.com/office/drawing/2014/main" id="{56CDE316-58E0-463B-8E88-BB99F04EC75B}"/>
            </a:ext>
          </a:extLst>
        </xdr:cNvPr>
        <xdr:cNvSpPr/>
      </xdr:nvSpPr>
      <xdr:spPr>
        <a:xfrm>
          <a:off x="6450081" y="7812322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List2"/>
  <dimension ref="A1:R210"/>
  <sheetViews>
    <sheetView topLeftCell="A128" zoomScale="40" zoomScaleNormal="40" workbookViewId="0">
      <selection activeCell="K21" sqref="K21"/>
    </sheetView>
  </sheetViews>
  <sheetFormatPr defaultColWidth="9.140625" defaultRowHeight="23.25" x14ac:dyDescent="0.35"/>
  <cols>
    <col min="1" max="1" width="5.140625" style="7" customWidth="1"/>
    <col min="2" max="2" width="25" style="9" customWidth="1"/>
    <col min="3" max="3" width="20.28515625" style="9" customWidth="1"/>
    <col min="4" max="4" width="17.5703125" style="9" customWidth="1"/>
    <col min="5" max="5" width="6" style="7" customWidth="1"/>
    <col min="6" max="6" width="21" style="9" customWidth="1"/>
    <col min="7" max="7" width="22" style="9" customWidth="1"/>
    <col min="8" max="8" width="35.7109375" style="9" customWidth="1"/>
    <col min="9" max="9" width="3.7109375" style="9" customWidth="1"/>
    <col min="10" max="10" width="24.140625" style="9" customWidth="1"/>
    <col min="11" max="11" width="32.28515625" style="1" customWidth="1"/>
    <col min="12" max="12" width="34.28515625" style="1" customWidth="1"/>
    <col min="13" max="13" width="24" style="36" customWidth="1"/>
    <col min="14" max="14" width="50.85546875" style="36" customWidth="1"/>
    <col min="15" max="15" width="31.42578125" style="1" customWidth="1"/>
    <col min="16" max="16" width="21.5703125" style="36" bestFit="1" customWidth="1"/>
    <col min="17" max="17" width="33.28515625" style="1" customWidth="1"/>
    <col min="18" max="18" width="23.5703125" style="36" bestFit="1" customWidth="1"/>
    <col min="19" max="16384" width="9.140625" style="1"/>
  </cols>
  <sheetData>
    <row r="1" spans="1:18" s="9" customFormat="1" ht="30" customHeight="1" x14ac:dyDescent="0.2">
      <c r="A1" s="264" t="s">
        <v>1</v>
      </c>
      <c r="B1" s="264"/>
      <c r="C1" s="11" t="s">
        <v>2</v>
      </c>
      <c r="D1" s="271" t="s">
        <v>3</v>
      </c>
      <c r="E1" s="271"/>
      <c r="F1" s="271"/>
      <c r="G1" s="272"/>
      <c r="H1" s="272"/>
      <c r="I1" s="269"/>
      <c r="J1" s="270"/>
      <c r="K1" s="9" t="s">
        <v>357</v>
      </c>
      <c r="L1" s="9" t="s">
        <v>354</v>
      </c>
      <c r="M1" s="33" t="s">
        <v>360</v>
      </c>
      <c r="N1" s="33" t="s">
        <v>398</v>
      </c>
      <c r="O1" s="9" t="s">
        <v>355</v>
      </c>
      <c r="P1" s="33" t="s">
        <v>360</v>
      </c>
      <c r="Q1" s="9" t="s">
        <v>356</v>
      </c>
      <c r="R1" s="33" t="s">
        <v>360</v>
      </c>
    </row>
    <row r="2" spans="1:18" s="9" customFormat="1" ht="30" customHeight="1" x14ac:dyDescent="0.2">
      <c r="A2" s="268"/>
      <c r="B2" s="273"/>
      <c r="C2" s="12" t="s">
        <v>288</v>
      </c>
      <c r="D2" s="272"/>
      <c r="E2" s="272"/>
      <c r="F2" s="272"/>
      <c r="G2" s="272"/>
      <c r="H2" s="272"/>
      <c r="I2" s="269"/>
      <c r="J2" s="269"/>
      <c r="M2" s="33"/>
      <c r="N2" s="72">
        <v>10</v>
      </c>
      <c r="P2" s="33"/>
      <c r="R2" s="33"/>
    </row>
    <row r="3" spans="1:18" s="9" customFormat="1" ht="24.75" customHeight="1" x14ac:dyDescent="0.2">
      <c r="A3" s="264" t="s">
        <v>17</v>
      </c>
      <c r="B3" s="264"/>
      <c r="C3" s="264"/>
      <c r="D3" s="266" t="s">
        <v>208</v>
      </c>
      <c r="E3" s="266"/>
      <c r="F3" s="266"/>
      <c r="G3" s="266"/>
      <c r="H3" s="266"/>
      <c r="I3" s="268" t="s">
        <v>8</v>
      </c>
      <c r="J3" s="268"/>
      <c r="M3" s="33"/>
      <c r="N3" s="33">
        <f>+M3*$N$2</f>
        <v>0</v>
      </c>
      <c r="P3" s="33"/>
      <c r="R3" s="33"/>
    </row>
    <row r="4" spans="1:18" s="9" customFormat="1" ht="27" customHeight="1" x14ac:dyDescent="0.2">
      <c r="A4" s="264"/>
      <c r="B4" s="264"/>
      <c r="C4" s="264"/>
      <c r="D4" s="266"/>
      <c r="E4" s="266"/>
      <c r="F4" s="266"/>
      <c r="G4" s="266"/>
      <c r="H4" s="266"/>
      <c r="I4" s="268" t="s">
        <v>167</v>
      </c>
      <c r="J4" s="268"/>
      <c r="M4" s="33"/>
      <c r="N4" s="33">
        <f t="shared" ref="N4:N67" si="0">+M4*$N$2</f>
        <v>0</v>
      </c>
      <c r="P4" s="33"/>
      <c r="R4" s="33"/>
    </row>
    <row r="5" spans="1:18" s="9" customFormat="1" ht="36" customHeight="1" x14ac:dyDescent="0.2">
      <c r="A5" s="264" t="s">
        <v>4</v>
      </c>
      <c r="B5" s="264"/>
      <c r="C5" s="264"/>
      <c r="D5" s="266" t="s">
        <v>209</v>
      </c>
      <c r="E5" s="266"/>
      <c r="F5" s="266"/>
      <c r="G5" s="266"/>
      <c r="H5" s="266"/>
      <c r="I5" s="266"/>
      <c r="J5" s="266"/>
      <c r="M5" s="33"/>
      <c r="N5" s="33">
        <f t="shared" si="0"/>
        <v>0</v>
      </c>
      <c r="P5" s="33"/>
      <c r="R5" s="33"/>
    </row>
    <row r="6" spans="1:18" s="9" customFormat="1" ht="29.25" customHeight="1" x14ac:dyDescent="0.2">
      <c r="A6" s="264" t="s">
        <v>21</v>
      </c>
      <c r="B6" s="264"/>
      <c r="C6" s="264"/>
      <c r="D6" s="266" t="s">
        <v>22</v>
      </c>
      <c r="E6" s="266"/>
      <c r="F6" s="266"/>
      <c r="G6" s="266"/>
      <c r="H6" s="266"/>
      <c r="I6" s="266"/>
      <c r="J6" s="266"/>
      <c r="M6" s="33"/>
      <c r="N6" s="33">
        <f t="shared" si="0"/>
        <v>0</v>
      </c>
      <c r="P6" s="33"/>
      <c r="R6" s="33"/>
    </row>
    <row r="7" spans="1:18" s="9" customFormat="1" ht="24.95" customHeight="1" x14ac:dyDescent="0.2">
      <c r="A7" s="264" t="s">
        <v>5</v>
      </c>
      <c r="B7" s="264"/>
      <c r="C7" s="264"/>
      <c r="D7" s="263" t="s">
        <v>290</v>
      </c>
      <c r="E7" s="263"/>
      <c r="F7" s="263"/>
      <c r="G7" s="263"/>
      <c r="H7" s="263"/>
      <c r="I7" s="263"/>
      <c r="J7" s="263"/>
      <c r="M7" s="33"/>
      <c r="N7" s="33">
        <f t="shared" si="0"/>
        <v>0</v>
      </c>
      <c r="P7" s="33"/>
      <c r="R7" s="33"/>
    </row>
    <row r="8" spans="1:18" s="9" customFormat="1" ht="24.95" customHeight="1" x14ac:dyDescent="0.2">
      <c r="A8" s="264" t="s">
        <v>6</v>
      </c>
      <c r="B8" s="264"/>
      <c r="C8" s="264"/>
      <c r="D8" s="263" t="s">
        <v>291</v>
      </c>
      <c r="E8" s="263"/>
      <c r="F8" s="263"/>
      <c r="G8" s="263"/>
      <c r="H8" s="263"/>
      <c r="I8" s="263"/>
      <c r="J8" s="263"/>
      <c r="M8" s="33"/>
      <c r="N8" s="33">
        <f t="shared" si="0"/>
        <v>0</v>
      </c>
      <c r="P8" s="33"/>
      <c r="R8" s="33"/>
    </row>
    <row r="9" spans="1:18" s="9" customFormat="1" ht="27" customHeight="1" x14ac:dyDescent="0.2">
      <c r="A9" s="266" t="s">
        <v>0</v>
      </c>
      <c r="B9" s="267"/>
      <c r="C9" s="267"/>
      <c r="D9" s="267"/>
      <c r="E9" s="13"/>
      <c r="F9" s="13"/>
      <c r="G9" s="268" t="s">
        <v>7</v>
      </c>
      <c r="H9" s="268"/>
      <c r="I9" s="268"/>
      <c r="J9" s="268"/>
      <c r="M9" s="33"/>
      <c r="N9" s="33">
        <f t="shared" si="0"/>
        <v>0</v>
      </c>
      <c r="P9" s="33"/>
      <c r="R9" s="33"/>
    </row>
    <row r="10" spans="1:18" s="9" customFormat="1" ht="93" customHeight="1" x14ac:dyDescent="0.2">
      <c r="A10" s="267"/>
      <c r="B10" s="267"/>
      <c r="C10" s="267"/>
      <c r="D10" s="267"/>
      <c r="E10" s="14" t="s">
        <v>25</v>
      </c>
      <c r="F10" s="27" t="s">
        <v>283</v>
      </c>
      <c r="G10" s="15" t="s">
        <v>256</v>
      </c>
      <c r="H10" s="265" t="s">
        <v>9</v>
      </c>
      <c r="I10" s="265"/>
      <c r="J10" s="15" t="s">
        <v>10</v>
      </c>
      <c r="M10" s="33"/>
      <c r="N10" s="33">
        <f t="shared" si="0"/>
        <v>0</v>
      </c>
      <c r="P10" s="33"/>
      <c r="R10" s="33"/>
    </row>
    <row r="11" spans="1:18" s="9" customFormat="1" ht="49.9" customHeight="1" x14ac:dyDescent="0.2">
      <c r="A11" s="16">
        <v>1</v>
      </c>
      <c r="B11" s="257" t="s">
        <v>13</v>
      </c>
      <c r="C11" s="257"/>
      <c r="D11" s="257"/>
      <c r="E11" s="17"/>
      <c r="F11" s="17"/>
      <c r="G11" s="17"/>
      <c r="H11" s="256"/>
      <c r="I11" s="256"/>
      <c r="J11" s="17"/>
      <c r="M11" s="33"/>
      <c r="N11" s="33">
        <f t="shared" si="0"/>
        <v>0</v>
      </c>
      <c r="P11" s="33"/>
      <c r="R11" s="33"/>
    </row>
    <row r="12" spans="1:18" s="9" customFormat="1" ht="49.9" customHeight="1" x14ac:dyDescent="0.2">
      <c r="A12" s="16">
        <v>2</v>
      </c>
      <c r="B12" s="219" t="s">
        <v>16</v>
      </c>
      <c r="C12" s="224"/>
      <c r="D12" s="225"/>
      <c r="E12" s="17"/>
      <c r="F12" s="17"/>
      <c r="G12" s="18" t="s">
        <v>15</v>
      </c>
      <c r="H12" s="222" t="s">
        <v>12</v>
      </c>
      <c r="I12" s="223"/>
      <c r="J12" s="19" t="s">
        <v>11</v>
      </c>
      <c r="M12" s="33"/>
      <c r="N12" s="33">
        <f t="shared" si="0"/>
        <v>0</v>
      </c>
      <c r="P12" s="33"/>
      <c r="R12" s="33"/>
    </row>
    <row r="13" spans="1:18" s="9" customFormat="1" ht="49.9" customHeight="1" x14ac:dyDescent="0.2">
      <c r="A13" s="16">
        <v>3</v>
      </c>
      <c r="B13" s="219" t="s">
        <v>257</v>
      </c>
      <c r="C13" s="224"/>
      <c r="D13" s="225"/>
      <c r="E13" s="17"/>
      <c r="F13" s="17"/>
      <c r="G13" s="18" t="s">
        <v>15</v>
      </c>
      <c r="H13" s="222" t="s">
        <v>12</v>
      </c>
      <c r="I13" s="223"/>
      <c r="J13" s="19" t="s">
        <v>11</v>
      </c>
      <c r="M13" s="33"/>
      <c r="N13" s="33">
        <f t="shared" si="0"/>
        <v>0</v>
      </c>
      <c r="P13" s="33"/>
      <c r="R13" s="33"/>
    </row>
    <row r="14" spans="1:18" s="9" customFormat="1" ht="49.9" customHeight="1" x14ac:dyDescent="0.2">
      <c r="A14" s="16">
        <v>4</v>
      </c>
      <c r="B14" s="219" t="s">
        <v>249</v>
      </c>
      <c r="C14" s="224"/>
      <c r="D14" s="225"/>
      <c r="E14" s="17"/>
      <c r="F14" s="17"/>
      <c r="G14" s="18" t="s">
        <v>15</v>
      </c>
      <c r="H14" s="236" t="s">
        <v>292</v>
      </c>
      <c r="I14" s="237"/>
      <c r="J14" s="19" t="s">
        <v>11</v>
      </c>
      <c r="M14" s="33"/>
      <c r="N14" s="33">
        <f t="shared" si="0"/>
        <v>0</v>
      </c>
      <c r="P14" s="33"/>
      <c r="R14" s="33"/>
    </row>
    <row r="15" spans="1:18" s="9" customFormat="1" ht="49.9" customHeight="1" x14ac:dyDescent="0.2">
      <c r="A15" s="16">
        <v>5</v>
      </c>
      <c r="B15" s="219" t="s">
        <v>179</v>
      </c>
      <c r="C15" s="224"/>
      <c r="D15" s="225"/>
      <c r="E15" s="17"/>
      <c r="F15" s="17"/>
      <c r="G15" s="18" t="s">
        <v>15</v>
      </c>
      <c r="H15" s="222" t="s">
        <v>12</v>
      </c>
      <c r="I15" s="223"/>
      <c r="J15" s="19" t="s">
        <v>11</v>
      </c>
      <c r="M15" s="33"/>
      <c r="N15" s="33">
        <f t="shared" si="0"/>
        <v>0</v>
      </c>
      <c r="P15" s="33"/>
      <c r="R15" s="33"/>
    </row>
    <row r="16" spans="1:18" s="9" customFormat="1" ht="49.9" customHeight="1" x14ac:dyDescent="0.2">
      <c r="A16" s="16">
        <v>6</v>
      </c>
      <c r="B16" s="219" t="s">
        <v>242</v>
      </c>
      <c r="C16" s="244"/>
      <c r="D16" s="245"/>
      <c r="E16" s="17"/>
      <c r="F16" s="17"/>
      <c r="G16" s="18" t="s">
        <v>15</v>
      </c>
      <c r="H16" s="236" t="s">
        <v>293</v>
      </c>
      <c r="I16" s="237"/>
      <c r="J16" s="19" t="s">
        <v>11</v>
      </c>
      <c r="M16" s="33"/>
      <c r="N16" s="33">
        <f t="shared" si="0"/>
        <v>0</v>
      </c>
      <c r="P16" s="33"/>
      <c r="R16" s="33"/>
    </row>
    <row r="17" spans="1:18" s="9" customFormat="1" ht="49.9" customHeight="1" x14ac:dyDescent="0.2">
      <c r="A17" s="16">
        <v>7</v>
      </c>
      <c r="B17" s="219" t="s">
        <v>243</v>
      </c>
      <c r="C17" s="224"/>
      <c r="D17" s="225"/>
      <c r="E17" s="17"/>
      <c r="F17" s="17"/>
      <c r="G17" s="18" t="s">
        <v>15</v>
      </c>
      <c r="H17" s="222" t="s">
        <v>12</v>
      </c>
      <c r="I17" s="223"/>
      <c r="J17" s="19" t="s">
        <v>11</v>
      </c>
      <c r="M17" s="33"/>
      <c r="N17" s="33">
        <f t="shared" si="0"/>
        <v>0</v>
      </c>
      <c r="P17" s="33"/>
      <c r="R17" s="33"/>
    </row>
    <row r="18" spans="1:18" s="9" customFormat="1" ht="49.9" customHeight="1" x14ac:dyDescent="0.2">
      <c r="A18" s="16">
        <v>8</v>
      </c>
      <c r="B18" s="219" t="s">
        <v>182</v>
      </c>
      <c r="C18" s="224"/>
      <c r="D18" s="225"/>
      <c r="E18" s="17"/>
      <c r="F18" s="17"/>
      <c r="G18" s="18" t="s">
        <v>15</v>
      </c>
      <c r="H18" s="222" t="s">
        <v>12</v>
      </c>
      <c r="I18" s="223"/>
      <c r="J18" s="19" t="s">
        <v>11</v>
      </c>
      <c r="M18" s="33"/>
      <c r="N18" s="33">
        <f t="shared" si="0"/>
        <v>0</v>
      </c>
      <c r="P18" s="33"/>
      <c r="R18" s="33"/>
    </row>
    <row r="19" spans="1:18" s="9" customFormat="1" ht="49.9" customHeight="1" x14ac:dyDescent="0.2">
      <c r="A19" s="16">
        <v>9</v>
      </c>
      <c r="B19" s="226" t="s">
        <v>14</v>
      </c>
      <c r="C19" s="227"/>
      <c r="D19" s="223"/>
      <c r="E19" s="17"/>
      <c r="F19" s="17"/>
      <c r="G19" s="17"/>
      <c r="H19" s="234"/>
      <c r="I19" s="235"/>
      <c r="J19" s="17"/>
      <c r="M19" s="33"/>
      <c r="N19" s="33">
        <f t="shared" si="0"/>
        <v>0</v>
      </c>
      <c r="P19" s="33"/>
      <c r="R19" s="33"/>
    </row>
    <row r="20" spans="1:18" s="9" customFormat="1" ht="49.9" customHeight="1" x14ac:dyDescent="0.2">
      <c r="A20" s="16">
        <v>10</v>
      </c>
      <c r="B20" s="251" t="s">
        <v>210</v>
      </c>
      <c r="C20" s="252"/>
      <c r="D20" s="253"/>
      <c r="E20" s="17"/>
      <c r="F20" s="17"/>
      <c r="G20" s="18" t="s">
        <v>15</v>
      </c>
      <c r="H20" s="236" t="s">
        <v>295</v>
      </c>
      <c r="I20" s="237"/>
      <c r="J20" s="19" t="s">
        <v>11</v>
      </c>
      <c r="M20" s="33"/>
      <c r="N20" s="33">
        <f t="shared" si="0"/>
        <v>0</v>
      </c>
      <c r="P20" s="33"/>
      <c r="R20" s="33"/>
    </row>
    <row r="21" spans="1:18" s="9" customFormat="1" ht="49.9" customHeight="1" x14ac:dyDescent="0.2">
      <c r="A21" s="16">
        <v>11</v>
      </c>
      <c r="B21" s="251" t="s">
        <v>23</v>
      </c>
      <c r="C21" s="252"/>
      <c r="D21" s="253"/>
      <c r="E21" s="17"/>
      <c r="F21" s="17"/>
      <c r="G21" s="18" t="s">
        <v>15</v>
      </c>
      <c r="H21" s="236" t="s">
        <v>294</v>
      </c>
      <c r="I21" s="237"/>
      <c r="J21" s="19" t="s">
        <v>11</v>
      </c>
      <c r="M21" s="33"/>
      <c r="N21" s="33">
        <f t="shared" si="0"/>
        <v>0</v>
      </c>
      <c r="P21" s="33"/>
      <c r="R21" s="33"/>
    </row>
    <row r="22" spans="1:18" s="9" customFormat="1" ht="49.9" customHeight="1" x14ac:dyDescent="0.2">
      <c r="A22" s="16">
        <v>12</v>
      </c>
      <c r="B22" s="251" t="s">
        <v>24</v>
      </c>
      <c r="C22" s="252"/>
      <c r="D22" s="253"/>
      <c r="E22" s="17"/>
      <c r="F22" s="17"/>
      <c r="G22" s="18" t="s">
        <v>15</v>
      </c>
      <c r="H22" s="236" t="s">
        <v>296</v>
      </c>
      <c r="I22" s="237"/>
      <c r="J22" s="19" t="s">
        <v>11</v>
      </c>
      <c r="M22" s="33"/>
      <c r="N22" s="33">
        <f t="shared" si="0"/>
        <v>0</v>
      </c>
      <c r="P22" s="33"/>
      <c r="R22" s="33"/>
    </row>
    <row r="23" spans="1:18" s="9" customFormat="1" ht="49.9" customHeight="1" x14ac:dyDescent="0.2">
      <c r="A23" s="16">
        <v>13</v>
      </c>
      <c r="B23" s="251" t="s">
        <v>198</v>
      </c>
      <c r="C23" s="252"/>
      <c r="D23" s="253"/>
      <c r="E23" s="17"/>
      <c r="F23" s="17"/>
      <c r="G23" s="18" t="s">
        <v>15</v>
      </c>
      <c r="H23" s="236" t="s">
        <v>297</v>
      </c>
      <c r="I23" s="237"/>
      <c r="J23" s="19" t="s">
        <v>11</v>
      </c>
      <c r="M23" s="33"/>
      <c r="N23" s="33">
        <f t="shared" si="0"/>
        <v>0</v>
      </c>
      <c r="P23" s="33"/>
      <c r="R23" s="33"/>
    </row>
    <row r="24" spans="1:18" s="9" customFormat="1" ht="49.9" customHeight="1" x14ac:dyDescent="0.2">
      <c r="A24" s="16">
        <v>14</v>
      </c>
      <c r="B24" s="251" t="s">
        <v>220</v>
      </c>
      <c r="C24" s="252"/>
      <c r="D24" s="253"/>
      <c r="E24" s="17"/>
      <c r="F24" s="20" t="s">
        <v>221</v>
      </c>
      <c r="G24" s="18" t="s">
        <v>15</v>
      </c>
      <c r="H24" s="236" t="s">
        <v>298</v>
      </c>
      <c r="I24" s="237"/>
      <c r="J24" s="19" t="s">
        <v>11</v>
      </c>
      <c r="M24" s="33"/>
      <c r="N24" s="33">
        <f t="shared" si="0"/>
        <v>0</v>
      </c>
      <c r="P24" s="33"/>
      <c r="R24" s="33"/>
    </row>
    <row r="25" spans="1:18" s="9" customFormat="1" ht="49.9" customHeight="1" x14ac:dyDescent="0.2">
      <c r="A25" s="16">
        <v>15</v>
      </c>
      <c r="B25" s="219" t="s">
        <v>205</v>
      </c>
      <c r="C25" s="224"/>
      <c r="D25" s="225"/>
      <c r="E25" s="17"/>
      <c r="F25" s="17"/>
      <c r="G25" s="18" t="s">
        <v>15</v>
      </c>
      <c r="H25" s="222" t="s">
        <v>12</v>
      </c>
      <c r="I25" s="223"/>
      <c r="J25" s="19" t="s">
        <v>11</v>
      </c>
      <c r="M25" s="33"/>
      <c r="N25" s="33">
        <f t="shared" si="0"/>
        <v>0</v>
      </c>
      <c r="P25" s="33"/>
      <c r="R25" s="33"/>
    </row>
    <row r="26" spans="1:18" s="9" customFormat="1" ht="101.25" customHeight="1" x14ac:dyDescent="0.2">
      <c r="A26" s="16">
        <v>16</v>
      </c>
      <c r="B26" s="219" t="s">
        <v>196</v>
      </c>
      <c r="C26" s="224"/>
      <c r="D26" s="225"/>
      <c r="E26" s="17"/>
      <c r="F26" s="20" t="s">
        <v>221</v>
      </c>
      <c r="G26" s="18" t="s">
        <v>15</v>
      </c>
      <c r="H26" s="236" t="s">
        <v>299</v>
      </c>
      <c r="I26" s="237"/>
      <c r="J26" s="19" t="s">
        <v>11</v>
      </c>
      <c r="M26" s="33"/>
      <c r="N26" s="33">
        <f t="shared" si="0"/>
        <v>0</v>
      </c>
      <c r="P26" s="33"/>
      <c r="R26" s="33"/>
    </row>
    <row r="27" spans="1:18" s="9" customFormat="1" ht="127.5" customHeight="1" x14ac:dyDescent="0.2">
      <c r="A27" s="16">
        <v>17</v>
      </c>
      <c r="B27" s="219" t="s">
        <v>251</v>
      </c>
      <c r="C27" s="224"/>
      <c r="D27" s="225"/>
      <c r="E27" s="17"/>
      <c r="F27" s="20" t="s">
        <v>221</v>
      </c>
      <c r="G27" s="18" t="s">
        <v>15</v>
      </c>
      <c r="H27" s="236" t="s">
        <v>300</v>
      </c>
      <c r="I27" s="237"/>
      <c r="J27" s="19" t="s">
        <v>11</v>
      </c>
      <c r="M27" s="33"/>
      <c r="N27" s="33">
        <f t="shared" si="0"/>
        <v>0</v>
      </c>
      <c r="P27" s="33"/>
      <c r="R27" s="33"/>
    </row>
    <row r="28" spans="1:18" s="9" customFormat="1" ht="120" customHeight="1" x14ac:dyDescent="0.2">
      <c r="A28" s="16">
        <v>18</v>
      </c>
      <c r="B28" s="219" t="s">
        <v>252</v>
      </c>
      <c r="C28" s="224"/>
      <c r="D28" s="225"/>
      <c r="E28" s="17"/>
      <c r="F28" s="20" t="s">
        <v>221</v>
      </c>
      <c r="G28" s="18" t="s">
        <v>15</v>
      </c>
      <c r="H28" s="236" t="s">
        <v>301</v>
      </c>
      <c r="I28" s="237"/>
      <c r="J28" s="19" t="s">
        <v>11</v>
      </c>
      <c r="M28" s="33"/>
      <c r="N28" s="33">
        <f t="shared" si="0"/>
        <v>0</v>
      </c>
      <c r="P28" s="33"/>
      <c r="R28" s="33"/>
    </row>
    <row r="29" spans="1:18" s="9" customFormat="1" ht="83.45" customHeight="1" x14ac:dyDescent="0.2">
      <c r="A29" s="16">
        <v>19</v>
      </c>
      <c r="B29" s="219" t="s">
        <v>253</v>
      </c>
      <c r="C29" s="224"/>
      <c r="D29" s="225"/>
      <c r="E29" s="17"/>
      <c r="F29" s="20" t="s">
        <v>221</v>
      </c>
      <c r="G29" s="18" t="s">
        <v>15</v>
      </c>
      <c r="H29" s="236" t="s">
        <v>302</v>
      </c>
      <c r="I29" s="237"/>
      <c r="J29" s="19" t="s">
        <v>11</v>
      </c>
      <c r="M29" s="33"/>
      <c r="N29" s="33">
        <f t="shared" si="0"/>
        <v>0</v>
      </c>
      <c r="P29" s="33"/>
      <c r="R29" s="33"/>
    </row>
    <row r="30" spans="1:18" s="9" customFormat="1" ht="86.45" customHeight="1" x14ac:dyDescent="0.2">
      <c r="A30" s="16">
        <v>20</v>
      </c>
      <c r="B30" s="219" t="s">
        <v>254</v>
      </c>
      <c r="C30" s="224"/>
      <c r="D30" s="225"/>
      <c r="E30" s="17"/>
      <c r="F30" s="20" t="s">
        <v>221</v>
      </c>
      <c r="G30" s="18" t="s">
        <v>15</v>
      </c>
      <c r="H30" s="236" t="s">
        <v>303</v>
      </c>
      <c r="I30" s="237"/>
      <c r="J30" s="19" t="s">
        <v>11</v>
      </c>
      <c r="M30" s="33"/>
      <c r="N30" s="33">
        <f t="shared" si="0"/>
        <v>0</v>
      </c>
      <c r="P30" s="33"/>
      <c r="R30" s="33"/>
    </row>
    <row r="31" spans="1:18" s="9" customFormat="1" ht="117" customHeight="1" x14ac:dyDescent="0.2">
      <c r="A31" s="16">
        <v>21</v>
      </c>
      <c r="B31" s="219" t="s">
        <v>255</v>
      </c>
      <c r="C31" s="224"/>
      <c r="D31" s="225"/>
      <c r="E31" s="17"/>
      <c r="F31" s="20" t="s">
        <v>221</v>
      </c>
      <c r="G31" s="18" t="s">
        <v>15</v>
      </c>
      <c r="H31" s="236" t="s">
        <v>304</v>
      </c>
      <c r="I31" s="237"/>
      <c r="J31" s="19" t="s">
        <v>11</v>
      </c>
      <c r="M31" s="33"/>
      <c r="N31" s="33">
        <f t="shared" si="0"/>
        <v>0</v>
      </c>
      <c r="P31" s="33"/>
      <c r="R31" s="33"/>
    </row>
    <row r="32" spans="1:18" s="9" customFormat="1" ht="99.6" customHeight="1" x14ac:dyDescent="0.2">
      <c r="A32" s="16">
        <v>22</v>
      </c>
      <c r="B32" s="219" t="s">
        <v>258</v>
      </c>
      <c r="C32" s="224"/>
      <c r="D32" s="225"/>
      <c r="E32" s="17"/>
      <c r="F32" s="20" t="s">
        <v>221</v>
      </c>
      <c r="G32" s="18" t="s">
        <v>15</v>
      </c>
      <c r="H32" s="236" t="s">
        <v>305</v>
      </c>
      <c r="I32" s="237"/>
      <c r="J32" s="19" t="s">
        <v>11</v>
      </c>
      <c r="M32" s="33"/>
      <c r="N32" s="33">
        <f t="shared" si="0"/>
        <v>0</v>
      </c>
      <c r="P32" s="33"/>
      <c r="R32" s="33"/>
    </row>
    <row r="33" spans="1:18" s="9" customFormat="1" ht="105.6" customHeight="1" x14ac:dyDescent="0.2">
      <c r="A33" s="16">
        <v>23</v>
      </c>
      <c r="B33" s="219" t="s">
        <v>259</v>
      </c>
      <c r="C33" s="224"/>
      <c r="D33" s="225"/>
      <c r="E33" s="17"/>
      <c r="F33" s="20" t="s">
        <v>221</v>
      </c>
      <c r="G33" s="18" t="s">
        <v>15</v>
      </c>
      <c r="H33" s="236" t="s">
        <v>306</v>
      </c>
      <c r="I33" s="237"/>
      <c r="J33" s="19" t="s">
        <v>11</v>
      </c>
      <c r="M33" s="33"/>
      <c r="N33" s="33">
        <f t="shared" si="0"/>
        <v>0</v>
      </c>
      <c r="P33" s="33"/>
      <c r="R33" s="33"/>
    </row>
    <row r="34" spans="1:18" s="9" customFormat="1" ht="98.45" customHeight="1" x14ac:dyDescent="0.2">
      <c r="A34" s="16">
        <v>24</v>
      </c>
      <c r="B34" s="219" t="s">
        <v>260</v>
      </c>
      <c r="C34" s="224"/>
      <c r="D34" s="225"/>
      <c r="E34" s="17"/>
      <c r="F34" s="20" t="s">
        <v>221</v>
      </c>
      <c r="G34" s="18" t="s">
        <v>15</v>
      </c>
      <c r="H34" s="236" t="s">
        <v>307</v>
      </c>
      <c r="I34" s="237"/>
      <c r="J34" s="19" t="s">
        <v>11</v>
      </c>
      <c r="M34" s="33"/>
      <c r="N34" s="33">
        <f t="shared" si="0"/>
        <v>0</v>
      </c>
      <c r="P34" s="33"/>
      <c r="R34" s="33"/>
    </row>
    <row r="35" spans="1:18" s="9" customFormat="1" ht="96.6" customHeight="1" x14ac:dyDescent="0.2">
      <c r="A35" s="16">
        <v>25</v>
      </c>
      <c r="B35" s="219" t="s">
        <v>261</v>
      </c>
      <c r="C35" s="224"/>
      <c r="D35" s="225"/>
      <c r="E35" s="17"/>
      <c r="F35" s="20" t="s">
        <v>221</v>
      </c>
      <c r="G35" s="18" t="s">
        <v>15</v>
      </c>
      <c r="H35" s="236" t="s">
        <v>310</v>
      </c>
      <c r="I35" s="237"/>
      <c r="J35" s="19" t="s">
        <v>11</v>
      </c>
      <c r="M35" s="33"/>
      <c r="N35" s="33">
        <f t="shared" si="0"/>
        <v>0</v>
      </c>
      <c r="P35" s="33"/>
      <c r="R35" s="33"/>
    </row>
    <row r="36" spans="1:18" s="9" customFormat="1" ht="49.9" customHeight="1" x14ac:dyDescent="0.2">
      <c r="A36" s="16">
        <v>26</v>
      </c>
      <c r="B36" s="219" t="s">
        <v>180</v>
      </c>
      <c r="C36" s="224"/>
      <c r="D36" s="225"/>
      <c r="E36" s="17"/>
      <c r="F36" s="17"/>
      <c r="G36" s="18" t="s">
        <v>15</v>
      </c>
      <c r="H36" s="236" t="s">
        <v>308</v>
      </c>
      <c r="I36" s="237"/>
      <c r="J36" s="19" t="s">
        <v>11</v>
      </c>
      <c r="M36" s="33"/>
      <c r="N36" s="33">
        <f t="shared" si="0"/>
        <v>0</v>
      </c>
      <c r="P36" s="33"/>
      <c r="R36" s="33"/>
    </row>
    <row r="37" spans="1:18" s="9" customFormat="1" ht="49.9" customHeight="1" x14ac:dyDescent="0.2">
      <c r="A37" s="16">
        <v>27</v>
      </c>
      <c r="B37" s="219" t="s">
        <v>250</v>
      </c>
      <c r="C37" s="224"/>
      <c r="D37" s="225"/>
      <c r="E37" s="17"/>
      <c r="F37" s="17"/>
      <c r="G37" s="18" t="s">
        <v>15</v>
      </c>
      <c r="H37" s="236" t="s">
        <v>309</v>
      </c>
      <c r="I37" s="237"/>
      <c r="J37" s="19" t="s">
        <v>11</v>
      </c>
      <c r="M37" s="33"/>
      <c r="N37" s="33">
        <f t="shared" si="0"/>
        <v>0</v>
      </c>
      <c r="P37" s="33"/>
      <c r="R37" s="33"/>
    </row>
    <row r="38" spans="1:18" s="9" customFormat="1" ht="49.9" customHeight="1" x14ac:dyDescent="0.2">
      <c r="A38" s="16">
        <v>28</v>
      </c>
      <c r="B38" s="219" t="s">
        <v>199</v>
      </c>
      <c r="C38" s="224"/>
      <c r="D38" s="225"/>
      <c r="E38" s="17"/>
      <c r="F38" s="17"/>
      <c r="G38" s="18" t="s">
        <v>15</v>
      </c>
      <c r="H38" s="222" t="s">
        <v>12</v>
      </c>
      <c r="I38" s="223"/>
      <c r="J38" s="19" t="s">
        <v>11</v>
      </c>
      <c r="M38" s="33"/>
      <c r="N38" s="33">
        <f t="shared" si="0"/>
        <v>0</v>
      </c>
      <c r="P38" s="33"/>
      <c r="R38" s="33"/>
    </row>
    <row r="39" spans="1:18" s="9" customFormat="1" ht="85.9" customHeight="1" x14ac:dyDescent="0.2">
      <c r="A39" s="16">
        <v>29</v>
      </c>
      <c r="B39" s="219" t="s">
        <v>204</v>
      </c>
      <c r="C39" s="224"/>
      <c r="D39" s="225"/>
      <c r="E39" s="17"/>
      <c r="F39" s="17"/>
      <c r="G39" s="18" t="s">
        <v>15</v>
      </c>
      <c r="H39" s="236" t="s">
        <v>311</v>
      </c>
      <c r="I39" s="237"/>
      <c r="J39" s="19" t="s">
        <v>11</v>
      </c>
      <c r="M39" s="33"/>
      <c r="N39" s="33">
        <f t="shared" si="0"/>
        <v>0</v>
      </c>
      <c r="P39" s="33"/>
      <c r="R39" s="33"/>
    </row>
    <row r="40" spans="1:18" s="9" customFormat="1" ht="49.9" customHeight="1" x14ac:dyDescent="0.2">
      <c r="A40" s="16">
        <v>30</v>
      </c>
      <c r="B40" s="219" t="s">
        <v>185</v>
      </c>
      <c r="C40" s="224"/>
      <c r="D40" s="225"/>
      <c r="E40" s="17"/>
      <c r="F40" s="17"/>
      <c r="G40" s="18" t="s">
        <v>15</v>
      </c>
      <c r="H40" s="236" t="s">
        <v>312</v>
      </c>
      <c r="I40" s="237"/>
      <c r="J40" s="19" t="s">
        <v>11</v>
      </c>
      <c r="M40" s="33"/>
      <c r="N40" s="33">
        <f t="shared" si="0"/>
        <v>0</v>
      </c>
      <c r="P40" s="33"/>
      <c r="R40" s="33"/>
    </row>
    <row r="41" spans="1:18" s="9" customFormat="1" ht="49.9" customHeight="1" x14ac:dyDescent="0.2">
      <c r="A41" s="16">
        <v>31</v>
      </c>
      <c r="B41" s="226" t="s">
        <v>18</v>
      </c>
      <c r="C41" s="227"/>
      <c r="D41" s="223"/>
      <c r="E41" s="17"/>
      <c r="F41" s="17"/>
      <c r="G41" s="17"/>
      <c r="H41" s="234"/>
      <c r="I41" s="235"/>
      <c r="J41" s="17"/>
      <c r="M41" s="33"/>
      <c r="N41" s="33">
        <f t="shared" si="0"/>
        <v>0</v>
      </c>
      <c r="P41" s="33"/>
      <c r="R41" s="33"/>
    </row>
    <row r="42" spans="1:18" s="9" customFormat="1" ht="409.15" customHeight="1" x14ac:dyDescent="0.2">
      <c r="A42" s="16">
        <v>32</v>
      </c>
      <c r="B42" s="274" t="s">
        <v>289</v>
      </c>
      <c r="C42" s="275"/>
      <c r="D42" s="276"/>
      <c r="E42" s="17"/>
      <c r="F42" s="17"/>
      <c r="G42" s="18" t="s">
        <v>15</v>
      </c>
      <c r="H42" s="236" t="s">
        <v>313</v>
      </c>
      <c r="I42" s="237"/>
      <c r="J42" s="19" t="s">
        <v>11</v>
      </c>
      <c r="M42" s="33"/>
      <c r="N42" s="33">
        <f t="shared" si="0"/>
        <v>0</v>
      </c>
      <c r="P42" s="33"/>
      <c r="R42" s="33"/>
    </row>
    <row r="43" spans="1:18" s="9" customFormat="1" ht="76.5" customHeight="1" x14ac:dyDescent="0.2">
      <c r="A43" s="16">
        <v>33</v>
      </c>
      <c r="B43" s="274" t="s">
        <v>281</v>
      </c>
      <c r="C43" s="300"/>
      <c r="D43" s="301"/>
      <c r="E43" s="17"/>
      <c r="F43" s="17"/>
      <c r="G43" s="18" t="s">
        <v>15</v>
      </c>
      <c r="H43" s="222" t="s">
        <v>12</v>
      </c>
      <c r="I43" s="223"/>
      <c r="J43" s="19" t="s">
        <v>11</v>
      </c>
      <c r="M43" s="33"/>
      <c r="N43" s="33">
        <f t="shared" si="0"/>
        <v>0</v>
      </c>
      <c r="P43" s="33"/>
      <c r="R43" s="33"/>
    </row>
    <row r="44" spans="1:18" s="9" customFormat="1" ht="49.9" customHeight="1" x14ac:dyDescent="0.2">
      <c r="A44" s="21">
        <v>34</v>
      </c>
      <c r="B44" s="226" t="s">
        <v>156</v>
      </c>
      <c r="C44" s="227"/>
      <c r="D44" s="223"/>
      <c r="E44" s="17"/>
      <c r="F44" s="17"/>
      <c r="G44" s="17"/>
      <c r="H44" s="234"/>
      <c r="I44" s="235"/>
      <c r="J44" s="17"/>
      <c r="M44" s="33"/>
      <c r="N44" s="33">
        <f t="shared" si="0"/>
        <v>0</v>
      </c>
      <c r="P44" s="33"/>
      <c r="R44" s="33"/>
    </row>
    <row r="45" spans="1:18" s="9" customFormat="1" ht="69.75" customHeight="1" x14ac:dyDescent="0.2">
      <c r="A45" s="21">
        <v>35</v>
      </c>
      <c r="B45" s="219" t="s">
        <v>262</v>
      </c>
      <c r="C45" s="224"/>
      <c r="D45" s="225"/>
      <c r="E45" s="17"/>
      <c r="F45" s="17"/>
      <c r="G45" s="18" t="s">
        <v>15</v>
      </c>
      <c r="H45" s="222" t="s">
        <v>12</v>
      </c>
      <c r="I45" s="223"/>
      <c r="J45" s="19" t="s">
        <v>11</v>
      </c>
      <c r="M45" s="33"/>
      <c r="N45" s="33">
        <f t="shared" si="0"/>
        <v>0</v>
      </c>
      <c r="P45" s="33"/>
      <c r="R45" s="33"/>
    </row>
    <row r="46" spans="1:18" s="9" customFormat="1" ht="49.9" customHeight="1" x14ac:dyDescent="0.2">
      <c r="A46" s="21">
        <v>36</v>
      </c>
      <c r="B46" s="219" t="s">
        <v>158</v>
      </c>
      <c r="C46" s="224"/>
      <c r="D46" s="225"/>
      <c r="E46" s="17"/>
      <c r="F46" s="17"/>
      <c r="G46" s="18" t="s">
        <v>15</v>
      </c>
      <c r="H46" s="222" t="s">
        <v>12</v>
      </c>
      <c r="I46" s="223"/>
      <c r="J46" s="19" t="s">
        <v>11</v>
      </c>
      <c r="M46" s="33"/>
      <c r="N46" s="33">
        <f t="shared" si="0"/>
        <v>0</v>
      </c>
      <c r="P46" s="33"/>
      <c r="R46" s="33"/>
    </row>
    <row r="47" spans="1:18" s="9" customFormat="1" ht="72.599999999999994" customHeight="1" x14ac:dyDescent="0.2">
      <c r="A47" s="21">
        <v>37</v>
      </c>
      <c r="B47" s="219" t="s">
        <v>169</v>
      </c>
      <c r="C47" s="224"/>
      <c r="D47" s="225"/>
      <c r="E47" s="17"/>
      <c r="F47" s="17"/>
      <c r="G47" s="18" t="s">
        <v>15</v>
      </c>
      <c r="H47" s="222" t="s">
        <v>12</v>
      </c>
      <c r="I47" s="223"/>
      <c r="J47" s="19" t="s">
        <v>11</v>
      </c>
      <c r="M47" s="33"/>
      <c r="N47" s="33">
        <f t="shared" si="0"/>
        <v>0</v>
      </c>
      <c r="P47" s="33"/>
      <c r="R47" s="33"/>
    </row>
    <row r="48" spans="1:18" s="9" customFormat="1" ht="145.15" customHeight="1" x14ac:dyDescent="0.2">
      <c r="A48" s="21">
        <v>38</v>
      </c>
      <c r="B48" s="219" t="s">
        <v>263</v>
      </c>
      <c r="C48" s="224"/>
      <c r="D48" s="225"/>
      <c r="E48" s="17"/>
      <c r="F48" s="17"/>
      <c r="G48" s="18" t="s">
        <v>15</v>
      </c>
      <c r="H48" s="222" t="s">
        <v>12</v>
      </c>
      <c r="I48" s="223"/>
      <c r="J48" s="19" t="s">
        <v>11</v>
      </c>
      <c r="M48" s="33"/>
      <c r="N48" s="33">
        <f t="shared" si="0"/>
        <v>0</v>
      </c>
      <c r="P48" s="33"/>
      <c r="R48" s="33"/>
    </row>
    <row r="49" spans="1:18" s="9" customFormat="1" ht="145.15" customHeight="1" x14ac:dyDescent="0.2">
      <c r="A49" s="21">
        <v>39</v>
      </c>
      <c r="B49" s="219" t="s">
        <v>211</v>
      </c>
      <c r="C49" s="224"/>
      <c r="D49" s="225"/>
      <c r="E49" s="17"/>
      <c r="F49" s="17"/>
      <c r="G49" s="18" t="s">
        <v>15</v>
      </c>
      <c r="H49" s="222" t="s">
        <v>12</v>
      </c>
      <c r="I49" s="223"/>
      <c r="J49" s="19" t="s">
        <v>11</v>
      </c>
      <c r="M49" s="33"/>
      <c r="N49" s="33">
        <f t="shared" si="0"/>
        <v>0</v>
      </c>
      <c r="P49" s="33"/>
      <c r="R49" s="33"/>
    </row>
    <row r="50" spans="1:18" s="9" customFormat="1" ht="105.6" customHeight="1" x14ac:dyDescent="0.2">
      <c r="A50" s="21">
        <v>40</v>
      </c>
      <c r="B50" s="219" t="s">
        <v>212</v>
      </c>
      <c r="C50" s="224"/>
      <c r="D50" s="225"/>
      <c r="E50" s="17"/>
      <c r="F50" s="17"/>
      <c r="G50" s="18" t="s">
        <v>15</v>
      </c>
      <c r="H50" s="222" t="s">
        <v>12</v>
      </c>
      <c r="I50" s="223"/>
      <c r="J50" s="19" t="s">
        <v>11</v>
      </c>
      <c r="L50" s="31" t="s">
        <v>358</v>
      </c>
      <c r="M50" s="53">
        <f>2300*7.5</f>
        <v>17250</v>
      </c>
      <c r="N50" s="33">
        <f t="shared" si="0"/>
        <v>172500</v>
      </c>
      <c r="P50" s="33"/>
      <c r="R50" s="33"/>
    </row>
    <row r="51" spans="1:18" s="9" customFormat="1" ht="105.6" customHeight="1" x14ac:dyDescent="0.2">
      <c r="A51" s="21">
        <v>41</v>
      </c>
      <c r="B51" s="219" t="s">
        <v>200</v>
      </c>
      <c r="C51" s="224"/>
      <c r="D51" s="225"/>
      <c r="E51" s="17"/>
      <c r="F51" s="17"/>
      <c r="G51" s="18" t="s">
        <v>15</v>
      </c>
      <c r="H51" s="222" t="s">
        <v>12</v>
      </c>
      <c r="I51" s="223"/>
      <c r="J51" s="19" t="s">
        <v>11</v>
      </c>
      <c r="M51" s="33"/>
      <c r="N51" s="33">
        <f t="shared" si="0"/>
        <v>0</v>
      </c>
      <c r="P51" s="33"/>
      <c r="R51" s="33"/>
    </row>
    <row r="52" spans="1:18" s="9" customFormat="1" ht="99" customHeight="1" x14ac:dyDescent="0.2">
      <c r="A52" s="21">
        <v>42</v>
      </c>
      <c r="B52" s="219" t="s">
        <v>186</v>
      </c>
      <c r="C52" s="224"/>
      <c r="D52" s="225"/>
      <c r="E52" s="17"/>
      <c r="F52" s="17"/>
      <c r="G52" s="18" t="s">
        <v>15</v>
      </c>
      <c r="H52" s="222" t="s">
        <v>12</v>
      </c>
      <c r="I52" s="223"/>
      <c r="J52" s="19" t="s">
        <v>11</v>
      </c>
      <c r="M52" s="33"/>
      <c r="N52" s="33">
        <f t="shared" si="0"/>
        <v>0</v>
      </c>
      <c r="P52" s="33"/>
      <c r="R52" s="33"/>
    </row>
    <row r="53" spans="1:18" s="9" customFormat="1" ht="91.9" customHeight="1" x14ac:dyDescent="0.2">
      <c r="A53" s="21">
        <v>43</v>
      </c>
      <c r="B53" s="219" t="s">
        <v>245</v>
      </c>
      <c r="C53" s="244"/>
      <c r="D53" s="245"/>
      <c r="E53" s="17"/>
      <c r="F53" s="17"/>
      <c r="G53" s="18" t="s">
        <v>15</v>
      </c>
      <c r="H53" s="222" t="s">
        <v>12</v>
      </c>
      <c r="I53" s="223"/>
      <c r="J53" s="19" t="s">
        <v>11</v>
      </c>
      <c r="M53" s="33"/>
      <c r="N53" s="33">
        <f t="shared" si="0"/>
        <v>0</v>
      </c>
      <c r="P53" s="33"/>
      <c r="R53" s="33"/>
    </row>
    <row r="54" spans="1:18" s="9" customFormat="1" ht="91.9" customHeight="1" x14ac:dyDescent="0.2">
      <c r="A54" s="21">
        <v>44</v>
      </c>
      <c r="B54" s="219" t="s">
        <v>172</v>
      </c>
      <c r="C54" s="224"/>
      <c r="D54" s="225"/>
      <c r="E54" s="17"/>
      <c r="F54" s="17"/>
      <c r="G54" s="18" t="s">
        <v>15</v>
      </c>
      <c r="H54" s="222" t="s">
        <v>12</v>
      </c>
      <c r="I54" s="223"/>
      <c r="J54" s="19" t="s">
        <v>11</v>
      </c>
      <c r="L54" s="31" t="s">
        <v>359</v>
      </c>
      <c r="M54" s="52">
        <v>250</v>
      </c>
      <c r="N54" s="33">
        <f t="shared" si="0"/>
        <v>2500</v>
      </c>
      <c r="P54" s="33"/>
      <c r="R54" s="33"/>
    </row>
    <row r="55" spans="1:18" s="9" customFormat="1" ht="249.75" customHeight="1" x14ac:dyDescent="0.2">
      <c r="A55" s="21">
        <v>45</v>
      </c>
      <c r="B55" s="219" t="s">
        <v>264</v>
      </c>
      <c r="C55" s="224"/>
      <c r="D55" s="225"/>
      <c r="E55" s="17"/>
      <c r="F55" s="17"/>
      <c r="G55" s="18" t="s">
        <v>15</v>
      </c>
      <c r="H55" s="222" t="s">
        <v>12</v>
      </c>
      <c r="I55" s="223"/>
      <c r="J55" s="19" t="s">
        <v>11</v>
      </c>
      <c r="M55" s="33"/>
      <c r="N55" s="33">
        <f t="shared" si="0"/>
        <v>0</v>
      </c>
      <c r="P55" s="33"/>
      <c r="R55" s="33"/>
    </row>
    <row r="56" spans="1:18" s="9" customFormat="1" ht="53.45" customHeight="1" x14ac:dyDescent="0.2">
      <c r="A56" s="21">
        <v>46</v>
      </c>
      <c r="B56" s="219" t="s">
        <v>187</v>
      </c>
      <c r="C56" s="224"/>
      <c r="D56" s="225"/>
      <c r="E56" s="17"/>
      <c r="F56" s="17"/>
      <c r="G56" s="18" t="s">
        <v>15</v>
      </c>
      <c r="H56" s="222" t="s">
        <v>12</v>
      </c>
      <c r="I56" s="223"/>
      <c r="J56" s="19" t="s">
        <v>11</v>
      </c>
      <c r="M56" s="33"/>
      <c r="N56" s="33">
        <f t="shared" si="0"/>
        <v>0</v>
      </c>
      <c r="P56" s="33"/>
      <c r="R56" s="33"/>
    </row>
    <row r="57" spans="1:18" s="9" customFormat="1" ht="100.15" customHeight="1" x14ac:dyDescent="0.2">
      <c r="A57" s="21">
        <v>47</v>
      </c>
      <c r="B57" s="219" t="s">
        <v>197</v>
      </c>
      <c r="C57" s="224"/>
      <c r="D57" s="225"/>
      <c r="E57" s="17"/>
      <c r="F57" s="17"/>
      <c r="G57" s="18" t="s">
        <v>15</v>
      </c>
      <c r="H57" s="222" t="s">
        <v>12</v>
      </c>
      <c r="I57" s="223"/>
      <c r="J57" s="19" t="s">
        <v>11</v>
      </c>
      <c r="M57" s="33"/>
      <c r="N57" s="33">
        <f t="shared" si="0"/>
        <v>0</v>
      </c>
      <c r="P57" s="33"/>
      <c r="R57" s="33"/>
    </row>
    <row r="58" spans="1:18" s="9" customFormat="1" ht="121.15" customHeight="1" x14ac:dyDescent="0.2">
      <c r="A58" s="21">
        <v>48</v>
      </c>
      <c r="B58" s="219" t="s">
        <v>183</v>
      </c>
      <c r="C58" s="224"/>
      <c r="D58" s="225"/>
      <c r="E58" s="17"/>
      <c r="F58" s="17"/>
      <c r="G58" s="18" t="s">
        <v>15</v>
      </c>
      <c r="H58" s="222" t="s">
        <v>12</v>
      </c>
      <c r="I58" s="223"/>
      <c r="J58" s="19" t="s">
        <v>11</v>
      </c>
      <c r="M58" s="33"/>
      <c r="N58" s="33">
        <f t="shared" si="0"/>
        <v>0</v>
      </c>
      <c r="P58" s="33"/>
      <c r="R58" s="33"/>
    </row>
    <row r="59" spans="1:18" s="9" customFormat="1" ht="73.5" customHeight="1" x14ac:dyDescent="0.2">
      <c r="A59" s="21">
        <v>49</v>
      </c>
      <c r="B59" s="219" t="s">
        <v>248</v>
      </c>
      <c r="C59" s="224"/>
      <c r="D59" s="225"/>
      <c r="E59" s="17"/>
      <c r="F59" s="17"/>
      <c r="G59" s="18" t="s">
        <v>15</v>
      </c>
      <c r="H59" s="222" t="s">
        <v>12</v>
      </c>
      <c r="I59" s="223"/>
      <c r="J59" s="19" t="s">
        <v>11</v>
      </c>
      <c r="M59" s="33"/>
      <c r="N59" s="33">
        <f t="shared" si="0"/>
        <v>0</v>
      </c>
      <c r="P59" s="33"/>
      <c r="R59" s="33"/>
    </row>
    <row r="60" spans="1:18" s="8" customFormat="1" ht="201.6" customHeight="1" x14ac:dyDescent="0.2">
      <c r="A60" s="16">
        <v>50</v>
      </c>
      <c r="B60" s="219" t="s">
        <v>265</v>
      </c>
      <c r="C60" s="224"/>
      <c r="D60" s="225"/>
      <c r="E60" s="17"/>
      <c r="F60" s="17"/>
      <c r="G60" s="18" t="s">
        <v>15</v>
      </c>
      <c r="H60" s="285" t="s">
        <v>314</v>
      </c>
      <c r="I60" s="237"/>
      <c r="J60" s="19" t="s">
        <v>11</v>
      </c>
      <c r="L60" s="32" t="s">
        <v>397</v>
      </c>
      <c r="M60" s="53">
        <v>60000</v>
      </c>
      <c r="N60" s="33">
        <f t="shared" si="0"/>
        <v>600000</v>
      </c>
      <c r="O60" s="32" t="s">
        <v>361</v>
      </c>
      <c r="P60" s="34">
        <v>62560</v>
      </c>
      <c r="Q60" s="32"/>
      <c r="R60" s="34"/>
    </row>
    <row r="61" spans="1:18" s="8" customFormat="1" ht="76.150000000000006" customHeight="1" x14ac:dyDescent="0.2">
      <c r="A61" s="16">
        <v>51</v>
      </c>
      <c r="B61" s="219" t="s">
        <v>266</v>
      </c>
      <c r="C61" s="220"/>
      <c r="D61" s="221"/>
      <c r="E61" s="17"/>
      <c r="F61" s="17"/>
      <c r="G61" s="18" t="s">
        <v>15</v>
      </c>
      <c r="H61" s="222" t="s">
        <v>12</v>
      </c>
      <c r="I61" s="223"/>
      <c r="J61" s="19" t="s">
        <v>11</v>
      </c>
      <c r="M61" s="34"/>
      <c r="N61" s="33">
        <f t="shared" si="0"/>
        <v>0</v>
      </c>
      <c r="P61" s="34"/>
      <c r="R61" s="34"/>
    </row>
    <row r="62" spans="1:18" s="8" customFormat="1" ht="76.150000000000006" customHeight="1" x14ac:dyDescent="0.2">
      <c r="A62" s="16">
        <v>52</v>
      </c>
      <c r="B62" s="219" t="s">
        <v>213</v>
      </c>
      <c r="C62" s="224"/>
      <c r="D62" s="225"/>
      <c r="E62" s="17"/>
      <c r="F62" s="17"/>
      <c r="G62" s="18" t="s">
        <v>15</v>
      </c>
      <c r="H62" s="222" t="s">
        <v>12</v>
      </c>
      <c r="I62" s="223"/>
      <c r="J62" s="19" t="s">
        <v>11</v>
      </c>
      <c r="M62" s="34"/>
      <c r="N62" s="33">
        <f t="shared" si="0"/>
        <v>0</v>
      </c>
      <c r="P62" s="34"/>
      <c r="R62" s="34"/>
    </row>
    <row r="63" spans="1:18" s="8" customFormat="1" ht="81.75" customHeight="1" x14ac:dyDescent="0.2">
      <c r="A63" s="16">
        <v>53</v>
      </c>
      <c r="B63" s="219" t="s">
        <v>267</v>
      </c>
      <c r="C63" s="224"/>
      <c r="D63" s="225"/>
      <c r="E63" s="17"/>
      <c r="F63" s="17"/>
      <c r="G63" s="18" t="s">
        <v>15</v>
      </c>
      <c r="H63" s="222" t="s">
        <v>12</v>
      </c>
      <c r="I63" s="223"/>
      <c r="J63" s="19" t="s">
        <v>11</v>
      </c>
      <c r="M63" s="34"/>
      <c r="N63" s="33">
        <f t="shared" si="0"/>
        <v>0</v>
      </c>
      <c r="P63" s="34"/>
      <c r="R63" s="34"/>
    </row>
    <row r="64" spans="1:18" s="8" customFormat="1" ht="76.150000000000006" customHeight="1" x14ac:dyDescent="0.2">
      <c r="A64" s="16">
        <v>54</v>
      </c>
      <c r="B64" s="219" t="s">
        <v>170</v>
      </c>
      <c r="C64" s="224"/>
      <c r="D64" s="225"/>
      <c r="E64" s="17"/>
      <c r="F64" s="17"/>
      <c r="G64" s="18" t="s">
        <v>15</v>
      </c>
      <c r="H64" s="222" t="s">
        <v>12</v>
      </c>
      <c r="I64" s="223"/>
      <c r="J64" s="19" t="s">
        <v>11</v>
      </c>
      <c r="M64" s="34"/>
      <c r="N64" s="33">
        <f t="shared" si="0"/>
        <v>0</v>
      </c>
      <c r="P64" s="34"/>
      <c r="R64" s="34"/>
    </row>
    <row r="65" spans="1:18" s="8" customFormat="1" ht="123" customHeight="1" x14ac:dyDescent="0.2">
      <c r="A65" s="16">
        <v>55</v>
      </c>
      <c r="B65" s="219" t="s">
        <v>214</v>
      </c>
      <c r="C65" s="224"/>
      <c r="D65" s="225"/>
      <c r="E65" s="17"/>
      <c r="F65" s="17"/>
      <c r="G65" s="18" t="s">
        <v>15</v>
      </c>
      <c r="H65" s="222" t="s">
        <v>12</v>
      </c>
      <c r="I65" s="223"/>
      <c r="J65" s="19" t="s">
        <v>11</v>
      </c>
      <c r="M65" s="34"/>
      <c r="N65" s="33">
        <f t="shared" si="0"/>
        <v>0</v>
      </c>
      <c r="P65" s="34"/>
      <c r="R65" s="34"/>
    </row>
    <row r="66" spans="1:18" s="8" customFormat="1" ht="67.5" customHeight="1" x14ac:dyDescent="0.2">
      <c r="A66" s="16">
        <v>56</v>
      </c>
      <c r="B66" s="219" t="s">
        <v>287</v>
      </c>
      <c r="C66" s="244"/>
      <c r="D66" s="245"/>
      <c r="E66" s="17"/>
      <c r="F66" s="20" t="s">
        <v>188</v>
      </c>
      <c r="G66" s="18" t="s">
        <v>15</v>
      </c>
      <c r="H66" s="236" t="s">
        <v>315</v>
      </c>
      <c r="I66" s="237"/>
      <c r="J66" s="19" t="s">
        <v>11</v>
      </c>
      <c r="L66" s="44" t="s">
        <v>362</v>
      </c>
      <c r="M66" s="53">
        <f>5800*7.5</f>
        <v>43500</v>
      </c>
      <c r="N66" s="33">
        <f t="shared" si="0"/>
        <v>435000</v>
      </c>
      <c r="P66" s="34"/>
      <c r="R66" s="34"/>
    </row>
    <row r="67" spans="1:18" s="8" customFormat="1" ht="112.15" customHeight="1" x14ac:dyDescent="0.2">
      <c r="A67" s="16">
        <v>57</v>
      </c>
      <c r="B67" s="219" t="s">
        <v>268</v>
      </c>
      <c r="C67" s="224"/>
      <c r="D67" s="225"/>
      <c r="E67" s="17"/>
      <c r="F67" s="20" t="s">
        <v>188</v>
      </c>
      <c r="G67" s="18" t="s">
        <v>15</v>
      </c>
      <c r="H67" s="236" t="s">
        <v>316</v>
      </c>
      <c r="I67" s="237"/>
      <c r="J67" s="19" t="s">
        <v>11</v>
      </c>
      <c r="M67" s="34"/>
      <c r="N67" s="33">
        <f t="shared" si="0"/>
        <v>0</v>
      </c>
      <c r="P67" s="34"/>
      <c r="R67" s="34"/>
    </row>
    <row r="68" spans="1:18" s="8" customFormat="1" ht="183.6" customHeight="1" x14ac:dyDescent="0.2">
      <c r="A68" s="16">
        <v>58</v>
      </c>
      <c r="B68" s="219" t="s">
        <v>269</v>
      </c>
      <c r="C68" s="224"/>
      <c r="D68" s="225"/>
      <c r="E68" s="17"/>
      <c r="F68" s="20" t="s">
        <v>188</v>
      </c>
      <c r="G68" s="18" t="s">
        <v>15</v>
      </c>
      <c r="H68" s="236" t="s">
        <v>317</v>
      </c>
      <c r="I68" s="237"/>
      <c r="J68" s="19" t="s">
        <v>11</v>
      </c>
      <c r="M68" s="34"/>
      <c r="N68" s="33">
        <f t="shared" ref="N68:N131" si="1">+M68*$N$2</f>
        <v>0</v>
      </c>
      <c r="P68" s="34"/>
      <c r="R68" s="34"/>
    </row>
    <row r="69" spans="1:18" s="8" customFormat="1" ht="213" customHeight="1" x14ac:dyDescent="0.2">
      <c r="A69" s="16">
        <v>59</v>
      </c>
      <c r="B69" s="219" t="s">
        <v>247</v>
      </c>
      <c r="C69" s="224"/>
      <c r="D69" s="225"/>
      <c r="E69" s="17"/>
      <c r="F69" s="17"/>
      <c r="G69" s="18" t="s">
        <v>15</v>
      </c>
      <c r="H69" s="222" t="s">
        <v>12</v>
      </c>
      <c r="I69" s="223"/>
      <c r="J69" s="19" t="s">
        <v>11</v>
      </c>
      <c r="M69" s="34"/>
      <c r="N69" s="33">
        <f t="shared" si="1"/>
        <v>0</v>
      </c>
      <c r="P69" s="34"/>
      <c r="R69" s="34"/>
    </row>
    <row r="70" spans="1:18" s="8" customFormat="1" ht="61.9" customHeight="1" x14ac:dyDescent="0.2">
      <c r="A70" s="16">
        <v>60</v>
      </c>
      <c r="B70" s="219" t="s">
        <v>189</v>
      </c>
      <c r="C70" s="220"/>
      <c r="D70" s="221"/>
      <c r="E70" s="17"/>
      <c r="F70" s="17"/>
      <c r="G70" s="18" t="s">
        <v>15</v>
      </c>
      <c r="H70" s="222" t="s">
        <v>12</v>
      </c>
      <c r="I70" s="223"/>
      <c r="J70" s="19" t="s">
        <v>11</v>
      </c>
      <c r="M70" s="34"/>
      <c r="N70" s="33">
        <f t="shared" si="1"/>
        <v>0</v>
      </c>
      <c r="P70" s="34"/>
      <c r="R70" s="34"/>
    </row>
    <row r="71" spans="1:18" s="8" customFormat="1" ht="266.45" customHeight="1" x14ac:dyDescent="0.2">
      <c r="A71" s="16">
        <v>61</v>
      </c>
      <c r="B71" s="219" t="s">
        <v>246</v>
      </c>
      <c r="C71" s="224"/>
      <c r="D71" s="225"/>
      <c r="E71" s="17"/>
      <c r="F71" s="17"/>
      <c r="G71" s="18" t="s">
        <v>15</v>
      </c>
      <c r="H71" s="236" t="s">
        <v>318</v>
      </c>
      <c r="I71" s="237"/>
      <c r="J71" s="19" t="s">
        <v>11</v>
      </c>
      <c r="M71" s="34"/>
      <c r="N71" s="33">
        <f t="shared" si="1"/>
        <v>0</v>
      </c>
      <c r="P71" s="34"/>
      <c r="R71" s="34"/>
    </row>
    <row r="72" spans="1:18" s="8" customFormat="1" ht="144" customHeight="1" x14ac:dyDescent="0.2">
      <c r="A72" s="16">
        <v>62</v>
      </c>
      <c r="B72" s="219" t="s">
        <v>184</v>
      </c>
      <c r="C72" s="224"/>
      <c r="D72" s="225"/>
      <c r="E72" s="17"/>
      <c r="F72" s="17"/>
      <c r="G72" s="18" t="s">
        <v>15</v>
      </c>
      <c r="H72" s="222" t="s">
        <v>12</v>
      </c>
      <c r="I72" s="223"/>
      <c r="J72" s="19" t="s">
        <v>11</v>
      </c>
      <c r="M72" s="34"/>
      <c r="N72" s="33">
        <f t="shared" si="1"/>
        <v>0</v>
      </c>
      <c r="P72" s="34"/>
      <c r="R72" s="34"/>
    </row>
    <row r="73" spans="1:18" s="8" customFormat="1" ht="207" customHeight="1" x14ac:dyDescent="0.2">
      <c r="A73" s="16">
        <v>63</v>
      </c>
      <c r="B73" s="219" t="s">
        <v>240</v>
      </c>
      <c r="C73" s="224"/>
      <c r="D73" s="225"/>
      <c r="E73" s="17"/>
      <c r="F73" s="17"/>
      <c r="G73" s="18" t="s">
        <v>15</v>
      </c>
      <c r="H73" s="236" t="s">
        <v>319</v>
      </c>
      <c r="I73" s="237"/>
      <c r="J73" s="19" t="s">
        <v>11</v>
      </c>
      <c r="L73" s="32" t="s">
        <v>363</v>
      </c>
      <c r="M73" s="53">
        <v>11500</v>
      </c>
      <c r="N73" s="33">
        <f t="shared" si="1"/>
        <v>115000</v>
      </c>
      <c r="P73" s="34"/>
      <c r="R73" s="34"/>
    </row>
    <row r="74" spans="1:18" s="8" customFormat="1" ht="75.599999999999994" customHeight="1" x14ac:dyDescent="0.2">
      <c r="A74" s="16">
        <v>64</v>
      </c>
      <c r="B74" s="219" t="s">
        <v>171</v>
      </c>
      <c r="C74" s="224"/>
      <c r="D74" s="225"/>
      <c r="E74" s="17"/>
      <c r="F74" s="17"/>
      <c r="G74" s="18" t="s">
        <v>15</v>
      </c>
      <c r="H74" s="222" t="s">
        <v>12</v>
      </c>
      <c r="I74" s="223"/>
      <c r="J74" s="19" t="s">
        <v>11</v>
      </c>
      <c r="M74" s="34"/>
      <c r="N74" s="33">
        <f t="shared" si="1"/>
        <v>0</v>
      </c>
      <c r="P74" s="34"/>
      <c r="R74" s="34"/>
    </row>
    <row r="75" spans="1:18" s="8" customFormat="1" ht="114" customHeight="1" x14ac:dyDescent="0.2">
      <c r="A75" s="16">
        <v>65</v>
      </c>
      <c r="B75" s="219" t="s">
        <v>270</v>
      </c>
      <c r="C75" s="224"/>
      <c r="D75" s="225"/>
      <c r="E75" s="17"/>
      <c r="F75" s="17"/>
      <c r="G75" s="18" t="s">
        <v>15</v>
      </c>
      <c r="H75" s="236" t="s">
        <v>353</v>
      </c>
      <c r="I75" s="237"/>
      <c r="J75" s="19" t="s">
        <v>11</v>
      </c>
      <c r="L75" s="8" t="s">
        <v>364</v>
      </c>
      <c r="M75" s="53">
        <v>8400</v>
      </c>
      <c r="N75" s="33">
        <f t="shared" si="1"/>
        <v>84000</v>
      </c>
      <c r="P75" s="34"/>
      <c r="R75" s="34"/>
    </row>
    <row r="76" spans="1:18" s="8" customFormat="1" ht="49.9" customHeight="1" x14ac:dyDescent="0.2">
      <c r="A76" s="16">
        <v>66</v>
      </c>
      <c r="B76" s="219" t="s">
        <v>241</v>
      </c>
      <c r="C76" s="244"/>
      <c r="D76" s="245"/>
      <c r="E76" s="17"/>
      <c r="F76" s="17"/>
      <c r="G76" s="18" t="s">
        <v>15</v>
      </c>
      <c r="H76" s="222" t="s">
        <v>12</v>
      </c>
      <c r="I76" s="223"/>
      <c r="J76" s="19" t="s">
        <v>11</v>
      </c>
      <c r="M76" s="34"/>
      <c r="N76" s="33">
        <f t="shared" si="1"/>
        <v>0</v>
      </c>
      <c r="P76" s="34"/>
      <c r="R76" s="34"/>
    </row>
    <row r="77" spans="1:18" s="9" customFormat="1" ht="49.9" customHeight="1" x14ac:dyDescent="0.2">
      <c r="A77" s="21">
        <v>67</v>
      </c>
      <c r="B77" s="226" t="s">
        <v>147</v>
      </c>
      <c r="C77" s="227"/>
      <c r="D77" s="223"/>
      <c r="E77" s="17"/>
      <c r="F77" s="17"/>
      <c r="G77" s="17"/>
      <c r="H77" s="234"/>
      <c r="I77" s="235"/>
      <c r="J77" s="17"/>
      <c r="M77" s="33"/>
      <c r="N77" s="33">
        <f t="shared" si="1"/>
        <v>0</v>
      </c>
      <c r="P77" s="33"/>
      <c r="R77" s="33"/>
    </row>
    <row r="78" spans="1:18" s="9" customFormat="1" ht="49.9" customHeight="1" x14ac:dyDescent="0.2">
      <c r="A78" s="21">
        <v>68</v>
      </c>
      <c r="B78" s="219" t="s">
        <v>201</v>
      </c>
      <c r="C78" s="224"/>
      <c r="D78" s="225"/>
      <c r="E78" s="17"/>
      <c r="F78" s="17"/>
      <c r="G78" s="18" t="s">
        <v>15</v>
      </c>
      <c r="H78" s="222" t="s">
        <v>12</v>
      </c>
      <c r="I78" s="223"/>
      <c r="J78" s="19" t="s">
        <v>11</v>
      </c>
      <c r="M78" s="33"/>
      <c r="N78" s="33">
        <f t="shared" si="1"/>
        <v>0</v>
      </c>
      <c r="P78" s="33"/>
      <c r="R78" s="33"/>
    </row>
    <row r="79" spans="1:18" s="8" customFormat="1" ht="70.900000000000006" customHeight="1" x14ac:dyDescent="0.2">
      <c r="A79" s="16">
        <v>69</v>
      </c>
      <c r="B79" s="219" t="s">
        <v>181</v>
      </c>
      <c r="C79" s="224"/>
      <c r="D79" s="225"/>
      <c r="E79" s="17"/>
      <c r="F79" s="17"/>
      <c r="G79" s="18" t="s">
        <v>15</v>
      </c>
      <c r="H79" s="222" t="s">
        <v>12</v>
      </c>
      <c r="I79" s="223"/>
      <c r="J79" s="19" t="s">
        <v>11</v>
      </c>
      <c r="M79" s="34"/>
      <c r="N79" s="33">
        <f t="shared" si="1"/>
        <v>0</v>
      </c>
      <c r="P79" s="34"/>
      <c r="R79" s="34"/>
    </row>
    <row r="80" spans="1:18" s="8" customFormat="1" ht="49.9" customHeight="1" x14ac:dyDescent="0.2">
      <c r="A80" s="16">
        <v>70</v>
      </c>
      <c r="B80" s="219" t="s">
        <v>148</v>
      </c>
      <c r="C80" s="224"/>
      <c r="D80" s="225"/>
      <c r="E80" s="17"/>
      <c r="F80" s="17"/>
      <c r="G80" s="18" t="s">
        <v>15</v>
      </c>
      <c r="H80" s="222" t="s">
        <v>12</v>
      </c>
      <c r="I80" s="223"/>
      <c r="J80" s="19" t="s">
        <v>11</v>
      </c>
      <c r="M80" s="34"/>
      <c r="N80" s="33">
        <f t="shared" si="1"/>
        <v>0</v>
      </c>
      <c r="P80" s="34"/>
      <c r="R80" s="34"/>
    </row>
    <row r="81" spans="1:18" s="9" customFormat="1" ht="47.45" customHeight="1" x14ac:dyDescent="0.2">
      <c r="A81" s="21">
        <v>71</v>
      </c>
      <c r="B81" s="226" t="s">
        <v>146</v>
      </c>
      <c r="C81" s="227"/>
      <c r="D81" s="223"/>
      <c r="E81" s="17"/>
      <c r="F81" s="17"/>
      <c r="G81" s="17"/>
      <c r="H81" s="234"/>
      <c r="I81" s="235"/>
      <c r="J81" s="17"/>
      <c r="M81" s="33"/>
      <c r="N81" s="33">
        <f t="shared" si="1"/>
        <v>0</v>
      </c>
      <c r="P81" s="33"/>
      <c r="R81" s="33"/>
    </row>
    <row r="82" spans="1:18" s="9" customFormat="1" ht="99" customHeight="1" x14ac:dyDescent="0.2">
      <c r="A82" s="21">
        <v>72</v>
      </c>
      <c r="B82" s="219" t="s">
        <v>271</v>
      </c>
      <c r="C82" s="224"/>
      <c r="D82" s="225"/>
      <c r="E82" s="17"/>
      <c r="F82" s="17"/>
      <c r="G82" s="18" t="s">
        <v>15</v>
      </c>
      <c r="H82" s="236" t="s">
        <v>320</v>
      </c>
      <c r="I82" s="237"/>
      <c r="J82" s="19" t="s">
        <v>11</v>
      </c>
      <c r="L82" s="38" t="s">
        <v>365</v>
      </c>
      <c r="M82" s="53">
        <v>1250</v>
      </c>
      <c r="N82" s="33">
        <f t="shared" si="1"/>
        <v>12500</v>
      </c>
      <c r="P82" s="33"/>
      <c r="R82" s="33"/>
    </row>
    <row r="83" spans="1:18" s="9" customFormat="1" ht="78.599999999999994" customHeight="1" x14ac:dyDescent="0.2">
      <c r="A83" s="21">
        <v>73</v>
      </c>
      <c r="B83" s="219" t="s">
        <v>272</v>
      </c>
      <c r="C83" s="224"/>
      <c r="D83" s="225"/>
      <c r="E83" s="17"/>
      <c r="F83" s="17"/>
      <c r="G83" s="18" t="s">
        <v>15</v>
      </c>
      <c r="H83" s="302" t="s">
        <v>321</v>
      </c>
      <c r="I83" s="303"/>
      <c r="J83" s="19" t="s">
        <v>11</v>
      </c>
      <c r="L83" s="57" t="s">
        <v>365</v>
      </c>
      <c r="M83" s="52">
        <v>1160</v>
      </c>
      <c r="N83" s="33">
        <f t="shared" si="1"/>
        <v>11600</v>
      </c>
      <c r="P83" s="33"/>
      <c r="R83" s="33"/>
    </row>
    <row r="84" spans="1:18" s="9" customFormat="1" ht="99.75" customHeight="1" x14ac:dyDescent="0.2">
      <c r="A84" s="21">
        <v>74</v>
      </c>
      <c r="B84" s="219" t="s">
        <v>190</v>
      </c>
      <c r="C84" s="224"/>
      <c r="D84" s="225"/>
      <c r="E84" s="17"/>
      <c r="F84" s="17"/>
      <c r="G84" s="18" t="s">
        <v>15</v>
      </c>
      <c r="H84" s="222" t="s">
        <v>12</v>
      </c>
      <c r="I84" s="223"/>
      <c r="J84" s="19" t="s">
        <v>11</v>
      </c>
      <c r="L84" s="37" t="s">
        <v>394</v>
      </c>
      <c r="M84" s="33"/>
      <c r="N84" s="33">
        <f t="shared" si="1"/>
        <v>0</v>
      </c>
      <c r="P84" s="33"/>
      <c r="R84" s="33"/>
    </row>
    <row r="85" spans="1:18" s="8" customFormat="1" ht="245.25" customHeight="1" x14ac:dyDescent="0.2">
      <c r="A85" s="16">
        <v>75</v>
      </c>
      <c r="B85" s="219" t="s">
        <v>207</v>
      </c>
      <c r="C85" s="224"/>
      <c r="D85" s="225"/>
      <c r="E85" s="17"/>
      <c r="F85" s="17"/>
      <c r="G85" s="18" t="s">
        <v>15</v>
      </c>
      <c r="H85" s="236" t="s">
        <v>322</v>
      </c>
      <c r="I85" s="237"/>
      <c r="J85" s="19" t="s">
        <v>11</v>
      </c>
      <c r="L85" s="38" t="s">
        <v>365</v>
      </c>
      <c r="M85" s="53">
        <v>3000</v>
      </c>
      <c r="N85" s="33">
        <f t="shared" si="1"/>
        <v>30000</v>
      </c>
      <c r="P85" s="34"/>
      <c r="R85" s="34"/>
    </row>
    <row r="86" spans="1:18" s="8" customFormat="1" ht="90" customHeight="1" x14ac:dyDescent="0.2">
      <c r="A86" s="16">
        <v>76</v>
      </c>
      <c r="B86" s="219" t="s">
        <v>273</v>
      </c>
      <c r="C86" s="224"/>
      <c r="D86" s="225"/>
      <c r="E86" s="17"/>
      <c r="F86" s="17"/>
      <c r="G86" s="18" t="s">
        <v>15</v>
      </c>
      <c r="H86" s="236" t="s">
        <v>323</v>
      </c>
      <c r="I86" s="237"/>
      <c r="J86" s="19" t="s">
        <v>11</v>
      </c>
      <c r="L86" s="38" t="s">
        <v>365</v>
      </c>
      <c r="M86" s="53">
        <v>2300</v>
      </c>
      <c r="N86" s="33">
        <f t="shared" si="1"/>
        <v>23000</v>
      </c>
      <c r="P86" s="34"/>
      <c r="R86" s="34"/>
    </row>
    <row r="87" spans="1:18" s="8" customFormat="1" ht="236.25" customHeight="1" x14ac:dyDescent="0.2">
      <c r="A87" s="16">
        <v>77</v>
      </c>
      <c r="B87" s="219" t="s">
        <v>282</v>
      </c>
      <c r="C87" s="224"/>
      <c r="D87" s="225"/>
      <c r="E87" s="17"/>
      <c r="F87" s="17"/>
      <c r="G87" s="18" t="s">
        <v>15</v>
      </c>
      <c r="H87" s="222" t="s">
        <v>12</v>
      </c>
      <c r="I87" s="223"/>
      <c r="J87" s="19" t="s">
        <v>11</v>
      </c>
      <c r="L87" s="46" t="s">
        <v>368</v>
      </c>
      <c r="M87" s="34"/>
      <c r="N87" s="33">
        <f t="shared" si="1"/>
        <v>0</v>
      </c>
      <c r="P87" s="34"/>
      <c r="R87" s="34"/>
    </row>
    <row r="88" spans="1:18" s="8" customFormat="1" ht="231" customHeight="1" x14ac:dyDescent="0.2">
      <c r="A88" s="16">
        <v>78</v>
      </c>
      <c r="B88" s="219" t="s">
        <v>157</v>
      </c>
      <c r="C88" s="224"/>
      <c r="D88" s="225"/>
      <c r="E88" s="17"/>
      <c r="F88" s="17"/>
      <c r="G88" s="18" t="s">
        <v>15</v>
      </c>
      <c r="H88" s="222" t="s">
        <v>12</v>
      </c>
      <c r="I88" s="223"/>
      <c r="J88" s="19" t="s">
        <v>11</v>
      </c>
      <c r="L88" s="46" t="s">
        <v>368</v>
      </c>
      <c r="M88" s="34"/>
      <c r="N88" s="33">
        <f t="shared" si="1"/>
        <v>0</v>
      </c>
      <c r="P88" s="34"/>
      <c r="R88" s="34"/>
    </row>
    <row r="89" spans="1:18" s="9" customFormat="1" ht="49.9" customHeight="1" x14ac:dyDescent="0.2">
      <c r="A89" s="21">
        <v>79</v>
      </c>
      <c r="B89" s="226" t="s">
        <v>149</v>
      </c>
      <c r="C89" s="227"/>
      <c r="D89" s="223"/>
      <c r="E89" s="17"/>
      <c r="F89" s="17"/>
      <c r="G89" s="17"/>
      <c r="H89" s="234"/>
      <c r="I89" s="235"/>
      <c r="J89" s="17"/>
      <c r="M89" s="33"/>
      <c r="N89" s="33">
        <f t="shared" si="1"/>
        <v>0</v>
      </c>
      <c r="P89" s="33"/>
      <c r="R89" s="33"/>
    </row>
    <row r="90" spans="1:18" s="8" customFormat="1" ht="76.900000000000006" customHeight="1" x14ac:dyDescent="0.2">
      <c r="A90" s="16">
        <v>80</v>
      </c>
      <c r="B90" s="219" t="s">
        <v>191</v>
      </c>
      <c r="C90" s="224"/>
      <c r="D90" s="225"/>
      <c r="E90" s="17"/>
      <c r="F90" s="17"/>
      <c r="G90" s="18" t="s">
        <v>15</v>
      </c>
      <c r="H90" s="222" t="s">
        <v>12</v>
      </c>
      <c r="I90" s="223"/>
      <c r="J90" s="19" t="s">
        <v>11</v>
      </c>
      <c r="L90" s="39" t="s">
        <v>366</v>
      </c>
      <c r="M90" s="52">
        <v>2000</v>
      </c>
      <c r="N90" s="33">
        <f t="shared" si="1"/>
        <v>20000</v>
      </c>
      <c r="P90" s="34"/>
      <c r="R90" s="34"/>
    </row>
    <row r="91" spans="1:18" s="9" customFormat="1" ht="49.9" customHeight="1" x14ac:dyDescent="0.2">
      <c r="A91" s="21">
        <v>81</v>
      </c>
      <c r="B91" s="226" t="s">
        <v>150</v>
      </c>
      <c r="C91" s="227"/>
      <c r="D91" s="223"/>
      <c r="E91" s="17"/>
      <c r="F91" s="17"/>
      <c r="G91" s="17"/>
      <c r="H91" s="234"/>
      <c r="I91" s="235"/>
      <c r="J91" s="17"/>
      <c r="M91" s="33"/>
      <c r="N91" s="33">
        <f t="shared" si="1"/>
        <v>0</v>
      </c>
      <c r="P91" s="33"/>
      <c r="R91" s="33"/>
    </row>
    <row r="92" spans="1:18" s="8" customFormat="1" ht="141.75" customHeight="1" x14ac:dyDescent="0.2">
      <c r="A92" s="16">
        <v>82</v>
      </c>
      <c r="B92" s="219" t="s">
        <v>230</v>
      </c>
      <c r="C92" s="224"/>
      <c r="D92" s="225"/>
      <c r="E92" s="17"/>
      <c r="F92" s="17"/>
      <c r="G92" s="18" t="s">
        <v>15</v>
      </c>
      <c r="H92" s="222" t="s">
        <v>12</v>
      </c>
      <c r="I92" s="223"/>
      <c r="J92" s="19" t="s">
        <v>11</v>
      </c>
      <c r="L92" s="40" t="s">
        <v>367</v>
      </c>
      <c r="M92" s="52">
        <v>500</v>
      </c>
      <c r="N92" s="33">
        <f t="shared" si="1"/>
        <v>5000</v>
      </c>
      <c r="P92" s="34"/>
      <c r="R92" s="34"/>
    </row>
    <row r="93" spans="1:18" s="10" customFormat="1" ht="49.9" customHeight="1" x14ac:dyDescent="0.2">
      <c r="A93" s="21">
        <v>83</v>
      </c>
      <c r="B93" s="226" t="s">
        <v>19</v>
      </c>
      <c r="C93" s="227"/>
      <c r="D93" s="223"/>
      <c r="E93" s="17"/>
      <c r="F93" s="17"/>
      <c r="G93" s="17"/>
      <c r="H93" s="234"/>
      <c r="I93" s="235"/>
      <c r="J93" s="17"/>
      <c r="M93" s="35"/>
      <c r="N93" s="33">
        <f t="shared" si="1"/>
        <v>0</v>
      </c>
      <c r="P93" s="35"/>
      <c r="R93" s="35"/>
    </row>
    <row r="94" spans="1:18" s="8" customFormat="1" ht="49.9" customHeight="1" x14ac:dyDescent="0.2">
      <c r="A94" s="16">
        <v>84</v>
      </c>
      <c r="B94" s="219" t="s">
        <v>151</v>
      </c>
      <c r="C94" s="224"/>
      <c r="D94" s="225"/>
      <c r="E94" s="17"/>
      <c r="F94" s="17"/>
      <c r="G94" s="18" t="s">
        <v>15</v>
      </c>
      <c r="H94" s="222" t="s">
        <v>12</v>
      </c>
      <c r="I94" s="223"/>
      <c r="J94" s="19" t="s">
        <v>11</v>
      </c>
      <c r="M94" s="34"/>
      <c r="N94" s="33">
        <f t="shared" si="1"/>
        <v>0</v>
      </c>
      <c r="P94" s="34"/>
      <c r="R94" s="34"/>
    </row>
    <row r="95" spans="1:18" s="8" customFormat="1" ht="49.9" customHeight="1" x14ac:dyDescent="0.2">
      <c r="A95" s="16">
        <v>85</v>
      </c>
      <c r="B95" s="219" t="s">
        <v>152</v>
      </c>
      <c r="C95" s="224"/>
      <c r="D95" s="225"/>
      <c r="E95" s="17"/>
      <c r="F95" s="17"/>
      <c r="G95" s="18" t="s">
        <v>15</v>
      </c>
      <c r="H95" s="222" t="s">
        <v>12</v>
      </c>
      <c r="I95" s="223"/>
      <c r="J95" s="19" t="s">
        <v>11</v>
      </c>
      <c r="M95" s="34"/>
      <c r="N95" s="33">
        <f t="shared" si="1"/>
        <v>0</v>
      </c>
      <c r="P95" s="34"/>
      <c r="R95" s="34"/>
    </row>
    <row r="96" spans="1:18" s="8" customFormat="1" ht="54.6" customHeight="1" x14ac:dyDescent="0.2">
      <c r="A96" s="16">
        <v>86</v>
      </c>
      <c r="B96" s="219" t="s">
        <v>231</v>
      </c>
      <c r="C96" s="224"/>
      <c r="D96" s="225"/>
      <c r="E96" s="17"/>
      <c r="F96" s="17"/>
      <c r="G96" s="18" t="s">
        <v>15</v>
      </c>
      <c r="H96" s="222" t="s">
        <v>12</v>
      </c>
      <c r="I96" s="223"/>
      <c r="J96" s="19" t="s">
        <v>11</v>
      </c>
      <c r="M96" s="34"/>
      <c r="N96" s="33">
        <f t="shared" si="1"/>
        <v>0</v>
      </c>
      <c r="P96" s="34"/>
      <c r="R96" s="34"/>
    </row>
    <row r="97" spans="1:18" s="8" customFormat="1" ht="49.9" customHeight="1" x14ac:dyDescent="0.2">
      <c r="A97" s="16">
        <v>87</v>
      </c>
      <c r="B97" s="219" t="s">
        <v>286</v>
      </c>
      <c r="C97" s="224"/>
      <c r="D97" s="225"/>
      <c r="E97" s="17"/>
      <c r="F97" s="17"/>
      <c r="G97" s="18" t="s">
        <v>15</v>
      </c>
      <c r="H97" s="236" t="s">
        <v>324</v>
      </c>
      <c r="I97" s="237"/>
      <c r="J97" s="19" t="s">
        <v>11</v>
      </c>
      <c r="M97" s="34"/>
      <c r="N97" s="33">
        <f t="shared" si="1"/>
        <v>0</v>
      </c>
      <c r="P97" s="34"/>
      <c r="R97" s="34"/>
    </row>
    <row r="98" spans="1:18" s="8" customFormat="1" ht="111.75" customHeight="1" x14ac:dyDescent="0.2">
      <c r="A98" s="16">
        <v>88</v>
      </c>
      <c r="B98" s="219" t="s">
        <v>232</v>
      </c>
      <c r="C98" s="224"/>
      <c r="D98" s="225"/>
      <c r="E98" s="17"/>
      <c r="F98" s="17"/>
      <c r="G98" s="18" t="s">
        <v>15</v>
      </c>
      <c r="H98" s="222" t="s">
        <v>12</v>
      </c>
      <c r="I98" s="223"/>
      <c r="J98" s="19" t="s">
        <v>11</v>
      </c>
      <c r="M98" s="34"/>
      <c r="N98" s="33">
        <f t="shared" si="1"/>
        <v>0</v>
      </c>
      <c r="P98" s="34"/>
      <c r="R98" s="34"/>
    </row>
    <row r="99" spans="1:18" s="8" customFormat="1" ht="235.9" customHeight="1" x14ac:dyDescent="0.2">
      <c r="A99" s="16">
        <v>89</v>
      </c>
      <c r="B99" s="219" t="s">
        <v>219</v>
      </c>
      <c r="C99" s="224"/>
      <c r="D99" s="225"/>
      <c r="E99" s="17"/>
      <c r="F99" s="17"/>
      <c r="G99" s="18" t="s">
        <v>15</v>
      </c>
      <c r="H99" s="222" t="s">
        <v>12</v>
      </c>
      <c r="I99" s="223"/>
      <c r="J99" s="19" t="s">
        <v>11</v>
      </c>
      <c r="M99" s="34"/>
      <c r="N99" s="33">
        <f t="shared" si="1"/>
        <v>0</v>
      </c>
      <c r="P99" s="34"/>
      <c r="R99" s="34"/>
    </row>
    <row r="100" spans="1:18" s="8" customFormat="1" ht="101.45" customHeight="1" x14ac:dyDescent="0.2">
      <c r="A100" s="16">
        <v>90</v>
      </c>
      <c r="B100" s="219" t="s">
        <v>153</v>
      </c>
      <c r="C100" s="224"/>
      <c r="D100" s="225"/>
      <c r="E100" s="17"/>
      <c r="F100" s="17"/>
      <c r="G100" s="18" t="s">
        <v>15</v>
      </c>
      <c r="H100" s="222" t="s">
        <v>12</v>
      </c>
      <c r="I100" s="223"/>
      <c r="J100" s="19" t="s">
        <v>11</v>
      </c>
      <c r="M100" s="34"/>
      <c r="N100" s="33">
        <f t="shared" si="1"/>
        <v>0</v>
      </c>
      <c r="P100" s="34"/>
      <c r="R100" s="34"/>
    </row>
    <row r="101" spans="1:18" s="8" customFormat="1" ht="44.45" customHeight="1" x14ac:dyDescent="0.2">
      <c r="A101" s="16">
        <v>91</v>
      </c>
      <c r="B101" s="219" t="s">
        <v>168</v>
      </c>
      <c r="C101" s="224"/>
      <c r="D101" s="225"/>
      <c r="E101" s="17"/>
      <c r="F101" s="17"/>
      <c r="G101" s="18" t="s">
        <v>15</v>
      </c>
      <c r="H101" s="222" t="s">
        <v>12</v>
      </c>
      <c r="I101" s="223"/>
      <c r="J101" s="19" t="s">
        <v>11</v>
      </c>
      <c r="M101" s="34"/>
      <c r="N101" s="33">
        <f t="shared" si="1"/>
        <v>0</v>
      </c>
      <c r="P101" s="34"/>
      <c r="R101" s="34"/>
    </row>
    <row r="102" spans="1:18" s="8" customFormat="1" ht="49.9" customHeight="1" x14ac:dyDescent="0.2">
      <c r="A102" s="16">
        <v>92</v>
      </c>
      <c r="B102" s="219" t="s">
        <v>154</v>
      </c>
      <c r="C102" s="224"/>
      <c r="D102" s="225"/>
      <c r="E102" s="17"/>
      <c r="F102" s="17"/>
      <c r="G102" s="18" t="s">
        <v>15</v>
      </c>
      <c r="H102" s="222" t="s">
        <v>12</v>
      </c>
      <c r="I102" s="223"/>
      <c r="J102" s="19" t="s">
        <v>11</v>
      </c>
      <c r="M102" s="34"/>
      <c r="N102" s="33">
        <f t="shared" si="1"/>
        <v>0</v>
      </c>
      <c r="P102" s="34"/>
      <c r="R102" s="34"/>
    </row>
    <row r="103" spans="1:18" s="8" customFormat="1" ht="49.9" customHeight="1" x14ac:dyDescent="0.2">
      <c r="A103" s="16">
        <v>93</v>
      </c>
      <c r="B103" s="219" t="s">
        <v>20</v>
      </c>
      <c r="C103" s="224"/>
      <c r="D103" s="225"/>
      <c r="E103" s="17"/>
      <c r="F103" s="17"/>
      <c r="G103" s="18" t="s">
        <v>15</v>
      </c>
      <c r="H103" s="222" t="s">
        <v>12</v>
      </c>
      <c r="I103" s="223"/>
      <c r="J103" s="19" t="s">
        <v>11</v>
      </c>
      <c r="M103" s="34"/>
      <c r="N103" s="33">
        <f t="shared" si="1"/>
        <v>0</v>
      </c>
      <c r="P103" s="34"/>
      <c r="R103" s="34"/>
    </row>
    <row r="104" spans="1:18" s="10" customFormat="1" ht="49.9" customHeight="1" x14ac:dyDescent="0.2">
      <c r="A104" s="21">
        <v>94</v>
      </c>
      <c r="B104" s="226" t="s">
        <v>155</v>
      </c>
      <c r="C104" s="227"/>
      <c r="D104" s="223"/>
      <c r="E104" s="17"/>
      <c r="F104" s="17"/>
      <c r="G104" s="17"/>
      <c r="H104" s="234"/>
      <c r="I104" s="235"/>
      <c r="J104" s="17"/>
      <c r="M104" s="35"/>
      <c r="N104" s="33">
        <f t="shared" si="1"/>
        <v>0</v>
      </c>
      <c r="P104" s="35"/>
      <c r="R104" s="35"/>
    </row>
    <row r="105" spans="1:18" s="8" customFormat="1" ht="49.9" customHeight="1" x14ac:dyDescent="0.2">
      <c r="A105" s="16">
        <v>95</v>
      </c>
      <c r="B105" s="226" t="s">
        <v>26</v>
      </c>
      <c r="C105" s="227"/>
      <c r="D105" s="223"/>
      <c r="E105" s="17"/>
      <c r="F105" s="17"/>
      <c r="G105" s="17"/>
      <c r="H105" s="234"/>
      <c r="I105" s="235"/>
      <c r="J105" s="17"/>
      <c r="M105" s="34"/>
      <c r="N105" s="33">
        <f t="shared" si="1"/>
        <v>0</v>
      </c>
      <c r="P105" s="34"/>
      <c r="R105" s="34"/>
    </row>
    <row r="106" spans="1:18" s="8" customFormat="1" ht="49.9" customHeight="1" x14ac:dyDescent="0.2">
      <c r="A106" s="16">
        <v>96</v>
      </c>
      <c r="B106" s="258" t="s">
        <v>27</v>
      </c>
      <c r="C106" s="259"/>
      <c r="D106" s="260"/>
      <c r="E106" s="48">
        <v>3</v>
      </c>
      <c r="F106" s="49" t="s">
        <v>28</v>
      </c>
      <c r="G106" s="50" t="s">
        <v>15</v>
      </c>
      <c r="H106" s="261" t="s">
        <v>12</v>
      </c>
      <c r="I106" s="262"/>
      <c r="J106" s="51" t="s">
        <v>11</v>
      </c>
      <c r="K106" s="34"/>
      <c r="L106" s="41" t="s">
        <v>393</v>
      </c>
      <c r="M106" s="53">
        <f>20*3</f>
        <v>60</v>
      </c>
      <c r="N106" s="33">
        <f t="shared" si="1"/>
        <v>600</v>
      </c>
      <c r="O106" s="34" t="s">
        <v>387</v>
      </c>
      <c r="P106" s="52">
        <f>3*31</f>
        <v>93</v>
      </c>
    </row>
    <row r="107" spans="1:18" s="8" customFormat="1" ht="348" customHeight="1" x14ac:dyDescent="0.2">
      <c r="A107" s="277">
        <v>97</v>
      </c>
      <c r="B107" s="248" t="s">
        <v>274</v>
      </c>
      <c r="C107" s="249"/>
      <c r="D107" s="250"/>
      <c r="E107" s="279">
        <v>2</v>
      </c>
      <c r="F107" s="281" t="s">
        <v>166</v>
      </c>
      <c r="G107" s="283" t="s">
        <v>15</v>
      </c>
      <c r="H107" s="288" t="s">
        <v>326</v>
      </c>
      <c r="I107" s="289"/>
      <c r="J107" s="286" t="s">
        <v>11</v>
      </c>
      <c r="L107" s="218" t="s">
        <v>369</v>
      </c>
      <c r="M107" s="217">
        <f>8940*2</f>
        <v>17880</v>
      </c>
      <c r="N107" s="33">
        <f t="shared" si="1"/>
        <v>178800</v>
      </c>
      <c r="P107" s="34"/>
      <c r="R107" s="34"/>
    </row>
    <row r="108" spans="1:18" s="8" customFormat="1" ht="275.45" customHeight="1" x14ac:dyDescent="0.2">
      <c r="A108" s="278"/>
      <c r="B108" s="228" t="s">
        <v>275</v>
      </c>
      <c r="C108" s="229"/>
      <c r="D108" s="230"/>
      <c r="E108" s="280"/>
      <c r="F108" s="282"/>
      <c r="G108" s="284"/>
      <c r="H108" s="290"/>
      <c r="I108" s="291"/>
      <c r="J108" s="287"/>
      <c r="L108" s="218"/>
      <c r="M108" s="217"/>
      <c r="N108" s="33">
        <f t="shared" si="1"/>
        <v>0</v>
      </c>
      <c r="P108" s="34"/>
      <c r="R108" s="34"/>
    </row>
    <row r="109" spans="1:18" s="8" customFormat="1" ht="82.5" customHeight="1" x14ac:dyDescent="0.2">
      <c r="A109" s="16">
        <v>98</v>
      </c>
      <c r="B109" s="219" t="s">
        <v>233</v>
      </c>
      <c r="C109" s="224"/>
      <c r="D109" s="225"/>
      <c r="E109" s="22">
        <v>1</v>
      </c>
      <c r="F109" s="23" t="s">
        <v>29</v>
      </c>
      <c r="G109" s="30" t="s">
        <v>15</v>
      </c>
      <c r="H109" s="242" t="s">
        <v>327</v>
      </c>
      <c r="I109" s="243"/>
      <c r="J109" s="19" t="s">
        <v>11</v>
      </c>
      <c r="L109" s="45" t="s">
        <v>370</v>
      </c>
      <c r="M109" s="52">
        <v>2250</v>
      </c>
      <c r="N109" s="33">
        <f t="shared" si="1"/>
        <v>22500</v>
      </c>
      <c r="P109" s="34"/>
      <c r="R109" s="34"/>
    </row>
    <row r="110" spans="1:18" s="8" customFormat="1" ht="49.9" customHeight="1" x14ac:dyDescent="0.2">
      <c r="A110" s="16">
        <v>99</v>
      </c>
      <c r="B110" s="219" t="s">
        <v>202</v>
      </c>
      <c r="C110" s="224"/>
      <c r="D110" s="225"/>
      <c r="E110" s="22">
        <v>1</v>
      </c>
      <c r="F110" s="23" t="s">
        <v>203</v>
      </c>
      <c r="G110" s="30" t="s">
        <v>15</v>
      </c>
      <c r="H110" s="242" t="s">
        <v>328</v>
      </c>
      <c r="I110" s="243"/>
      <c r="J110" s="19" t="s">
        <v>11</v>
      </c>
      <c r="L110" s="45" t="s">
        <v>370</v>
      </c>
      <c r="M110" s="52">
        <v>400</v>
      </c>
      <c r="N110" s="33">
        <f t="shared" si="1"/>
        <v>4000</v>
      </c>
      <c r="P110" s="34"/>
      <c r="R110" s="34"/>
    </row>
    <row r="111" spans="1:18" s="8" customFormat="1" ht="49.9" customHeight="1" x14ac:dyDescent="0.2">
      <c r="A111" s="16">
        <v>100</v>
      </c>
      <c r="B111" s="219" t="s">
        <v>30</v>
      </c>
      <c r="C111" s="224"/>
      <c r="D111" s="225"/>
      <c r="E111" s="22">
        <v>2</v>
      </c>
      <c r="F111" s="23" t="s">
        <v>31</v>
      </c>
      <c r="G111" s="30" t="s">
        <v>15</v>
      </c>
      <c r="H111" s="242" t="s">
        <v>329</v>
      </c>
      <c r="I111" s="243"/>
      <c r="J111" s="19" t="s">
        <v>11</v>
      </c>
      <c r="L111" s="45" t="s">
        <v>371</v>
      </c>
      <c r="M111" s="53">
        <f>25*2</f>
        <v>50</v>
      </c>
      <c r="N111" s="33">
        <f t="shared" si="1"/>
        <v>500</v>
      </c>
      <c r="P111" s="34"/>
      <c r="R111" s="34"/>
    </row>
    <row r="112" spans="1:18" s="8" customFormat="1" ht="69.75" customHeight="1" x14ac:dyDescent="0.2">
      <c r="A112" s="16">
        <v>101</v>
      </c>
      <c r="B112" s="219" t="s">
        <v>234</v>
      </c>
      <c r="C112" s="224"/>
      <c r="D112" s="225"/>
      <c r="E112" s="22">
        <v>2</v>
      </c>
      <c r="F112" s="23" t="s">
        <v>32</v>
      </c>
      <c r="G112" s="18" t="s">
        <v>15</v>
      </c>
      <c r="H112" s="242" t="s">
        <v>330</v>
      </c>
      <c r="I112" s="243"/>
      <c r="J112" s="19" t="s">
        <v>11</v>
      </c>
      <c r="L112" s="44" t="s">
        <v>372</v>
      </c>
      <c r="M112" s="58">
        <v>1000</v>
      </c>
      <c r="N112" s="33">
        <f t="shared" si="1"/>
        <v>10000</v>
      </c>
      <c r="O112" s="43" t="s">
        <v>388</v>
      </c>
      <c r="P112" s="53">
        <f>512*2</f>
        <v>1024</v>
      </c>
      <c r="R112" s="34"/>
    </row>
    <row r="113" spans="1:18" s="8" customFormat="1" ht="66" customHeight="1" x14ac:dyDescent="0.2">
      <c r="A113" s="16">
        <v>102</v>
      </c>
      <c r="B113" s="219" t="s">
        <v>235</v>
      </c>
      <c r="C113" s="224"/>
      <c r="D113" s="225"/>
      <c r="E113" s="22">
        <v>2</v>
      </c>
      <c r="F113" s="23" t="s">
        <v>33</v>
      </c>
      <c r="G113" s="18" t="s">
        <v>15</v>
      </c>
      <c r="H113" s="242" t="s">
        <v>331</v>
      </c>
      <c r="I113" s="243"/>
      <c r="J113" s="19" t="s">
        <v>11</v>
      </c>
      <c r="L113" s="44" t="s">
        <v>388</v>
      </c>
      <c r="M113" s="53">
        <f>69*2</f>
        <v>138</v>
      </c>
      <c r="N113" s="33">
        <f t="shared" si="1"/>
        <v>1380</v>
      </c>
      <c r="O113" s="44" t="s">
        <v>372</v>
      </c>
      <c r="P113" s="34"/>
      <c r="R113" s="34"/>
    </row>
    <row r="114" spans="1:18" s="8" customFormat="1" ht="76.900000000000006" customHeight="1" x14ac:dyDescent="0.2">
      <c r="A114" s="16">
        <v>103</v>
      </c>
      <c r="B114" s="219" t="s">
        <v>236</v>
      </c>
      <c r="C114" s="224"/>
      <c r="D114" s="225"/>
      <c r="E114" s="22">
        <v>2</v>
      </c>
      <c r="F114" s="23" t="s">
        <v>34</v>
      </c>
      <c r="G114" s="18" t="s">
        <v>15</v>
      </c>
      <c r="H114" s="242" t="s">
        <v>332</v>
      </c>
      <c r="I114" s="243"/>
      <c r="J114" s="19" t="s">
        <v>11</v>
      </c>
      <c r="L114" s="45" t="s">
        <v>369</v>
      </c>
      <c r="M114" s="53">
        <f>694.15*2</f>
        <v>1388.3</v>
      </c>
      <c r="N114" s="33">
        <f t="shared" si="1"/>
        <v>13883</v>
      </c>
      <c r="P114" s="34"/>
      <c r="R114" s="34"/>
    </row>
    <row r="115" spans="1:18" s="8" customFormat="1" ht="49.9" customHeight="1" x14ac:dyDescent="0.2">
      <c r="A115" s="16">
        <v>104</v>
      </c>
      <c r="B115" s="219" t="s">
        <v>165</v>
      </c>
      <c r="C115" s="224"/>
      <c r="D115" s="225"/>
      <c r="E115" s="22">
        <v>2</v>
      </c>
      <c r="F115" s="23" t="s">
        <v>35</v>
      </c>
      <c r="G115" s="18" t="s">
        <v>15</v>
      </c>
      <c r="H115" s="242" t="s">
        <v>333</v>
      </c>
      <c r="I115" s="243"/>
      <c r="J115" s="19" t="s">
        <v>11</v>
      </c>
      <c r="L115" s="42" t="s">
        <v>389</v>
      </c>
      <c r="M115" s="53">
        <f>69*7.5*2</f>
        <v>1035</v>
      </c>
      <c r="N115" s="33">
        <f t="shared" si="1"/>
        <v>10350</v>
      </c>
      <c r="P115" s="34"/>
      <c r="R115" s="34"/>
    </row>
    <row r="116" spans="1:18" s="8" customFormat="1" ht="49.9" customHeight="1" x14ac:dyDescent="0.2">
      <c r="A116" s="16">
        <v>105</v>
      </c>
      <c r="B116" s="226" t="s">
        <v>36</v>
      </c>
      <c r="C116" s="227"/>
      <c r="D116" s="223"/>
      <c r="E116" s="17"/>
      <c r="F116" s="17"/>
      <c r="G116" s="17"/>
      <c r="H116" s="234"/>
      <c r="I116" s="235"/>
      <c r="J116" s="17"/>
      <c r="M116" s="34"/>
      <c r="N116" s="33">
        <f t="shared" si="1"/>
        <v>0</v>
      </c>
      <c r="P116" s="34"/>
      <c r="R116" s="34"/>
    </row>
    <row r="117" spans="1:18" s="8" customFormat="1" ht="67.900000000000006" customHeight="1" x14ac:dyDescent="0.2">
      <c r="A117" s="16">
        <v>106</v>
      </c>
      <c r="B117" s="251" t="s">
        <v>161</v>
      </c>
      <c r="C117" s="252"/>
      <c r="D117" s="253"/>
      <c r="E117" s="22">
        <v>1</v>
      </c>
      <c r="F117" s="23" t="s">
        <v>37</v>
      </c>
      <c r="G117" s="18" t="s">
        <v>15</v>
      </c>
      <c r="H117" s="236" t="s">
        <v>334</v>
      </c>
      <c r="I117" s="237"/>
      <c r="J117" s="19" t="s">
        <v>11</v>
      </c>
      <c r="L117" s="40" t="s">
        <v>373</v>
      </c>
      <c r="M117" s="53">
        <f>165*7.5</f>
        <v>1237.5</v>
      </c>
      <c r="N117" s="33">
        <f t="shared" si="1"/>
        <v>12375</v>
      </c>
      <c r="P117" s="34"/>
      <c r="R117" s="34"/>
    </row>
    <row r="118" spans="1:18" s="8" customFormat="1" ht="49.9" customHeight="1" x14ac:dyDescent="0.2">
      <c r="A118" s="16">
        <v>107</v>
      </c>
      <c r="B118" s="251" t="s">
        <v>163</v>
      </c>
      <c r="C118" s="252"/>
      <c r="D118" s="253"/>
      <c r="E118" s="22">
        <v>2</v>
      </c>
      <c r="F118" s="23" t="s">
        <v>162</v>
      </c>
      <c r="G118" s="18" t="s">
        <v>15</v>
      </c>
      <c r="H118" s="242" t="s">
        <v>335</v>
      </c>
      <c r="I118" s="243"/>
      <c r="J118" s="19" t="s">
        <v>11</v>
      </c>
      <c r="L118" s="43" t="s">
        <v>374</v>
      </c>
      <c r="M118" s="53">
        <f>21.5*7.5*2</f>
        <v>322.5</v>
      </c>
      <c r="N118" s="33">
        <f t="shared" si="1"/>
        <v>3225</v>
      </c>
      <c r="P118" s="34"/>
      <c r="R118" s="34"/>
    </row>
    <row r="119" spans="1:18" s="8" customFormat="1" ht="49.9" customHeight="1" x14ac:dyDescent="0.2">
      <c r="A119" s="16">
        <v>108</v>
      </c>
      <c r="B119" s="251" t="s">
        <v>164</v>
      </c>
      <c r="C119" s="252"/>
      <c r="D119" s="253"/>
      <c r="E119" s="22">
        <v>1</v>
      </c>
      <c r="F119" s="23" t="s">
        <v>38</v>
      </c>
      <c r="G119" s="18" t="s">
        <v>15</v>
      </c>
      <c r="H119" s="242" t="s">
        <v>336</v>
      </c>
      <c r="I119" s="243"/>
      <c r="J119" s="19" t="s">
        <v>11</v>
      </c>
      <c r="L119" s="43" t="s">
        <v>374</v>
      </c>
      <c r="M119" s="53">
        <f>34.5*7.5</f>
        <v>258.75</v>
      </c>
      <c r="N119" s="33">
        <f t="shared" si="1"/>
        <v>2587.5</v>
      </c>
      <c r="P119" s="34"/>
      <c r="R119" s="34"/>
    </row>
    <row r="120" spans="1:18" s="8" customFormat="1" ht="49.9" customHeight="1" x14ac:dyDescent="0.2">
      <c r="A120" s="16">
        <v>109</v>
      </c>
      <c r="B120" s="251" t="s">
        <v>160</v>
      </c>
      <c r="C120" s="252"/>
      <c r="D120" s="253"/>
      <c r="E120" s="22">
        <v>2</v>
      </c>
      <c r="F120" s="17"/>
      <c r="G120" s="18" t="s">
        <v>15</v>
      </c>
      <c r="H120" s="242" t="s">
        <v>337</v>
      </c>
      <c r="I120" s="243"/>
      <c r="J120" s="19" t="s">
        <v>11</v>
      </c>
      <c r="L120" s="40" t="s">
        <v>378</v>
      </c>
      <c r="M120" s="53">
        <f>131.1*2*7.5</f>
        <v>1966.5</v>
      </c>
      <c r="N120" s="33">
        <f t="shared" si="1"/>
        <v>19665</v>
      </c>
      <c r="P120" s="34"/>
      <c r="R120" s="34"/>
    </row>
    <row r="121" spans="1:18" s="8" customFormat="1" ht="81" customHeight="1" x14ac:dyDescent="0.2">
      <c r="A121" s="16">
        <v>110</v>
      </c>
      <c r="B121" s="251" t="s">
        <v>159</v>
      </c>
      <c r="C121" s="252"/>
      <c r="D121" s="253"/>
      <c r="E121" s="22">
        <v>2</v>
      </c>
      <c r="F121" s="17"/>
      <c r="G121" s="18" t="s">
        <v>15</v>
      </c>
      <c r="H121" s="242" t="s">
        <v>338</v>
      </c>
      <c r="I121" s="243"/>
      <c r="J121" s="19" t="s">
        <v>11</v>
      </c>
      <c r="L121" s="40" t="s">
        <v>378</v>
      </c>
      <c r="M121" s="53">
        <f>94.05*2*7.5</f>
        <v>1410.75</v>
      </c>
      <c r="N121" s="33">
        <f t="shared" si="1"/>
        <v>14107.5</v>
      </c>
      <c r="P121" s="34"/>
      <c r="R121" s="34"/>
    </row>
    <row r="122" spans="1:18" s="8" customFormat="1" ht="74.25" customHeight="1" x14ac:dyDescent="0.2">
      <c r="A122" s="16">
        <v>111</v>
      </c>
      <c r="B122" s="251" t="s">
        <v>192</v>
      </c>
      <c r="C122" s="252"/>
      <c r="D122" s="253"/>
      <c r="E122" s="22">
        <v>6</v>
      </c>
      <c r="F122" s="23" t="s">
        <v>40</v>
      </c>
      <c r="G122" s="18" t="s">
        <v>15</v>
      </c>
      <c r="H122" s="222" t="s">
        <v>12</v>
      </c>
      <c r="I122" s="223"/>
      <c r="J122" s="19" t="s">
        <v>11</v>
      </c>
      <c r="L122" s="41" t="s">
        <v>390</v>
      </c>
      <c r="M122" s="53">
        <f>90*7.5</f>
        <v>675</v>
      </c>
      <c r="N122" s="33">
        <f t="shared" si="1"/>
        <v>6750</v>
      </c>
      <c r="P122" s="34"/>
      <c r="R122" s="34"/>
    </row>
    <row r="123" spans="1:18" s="8" customFormat="1" ht="49.9" customHeight="1" x14ac:dyDescent="0.2">
      <c r="A123" s="16">
        <v>112</v>
      </c>
      <c r="B123" s="226" t="s">
        <v>41</v>
      </c>
      <c r="C123" s="227"/>
      <c r="D123" s="223"/>
      <c r="E123" s="17"/>
      <c r="F123" s="17"/>
      <c r="G123" s="17"/>
      <c r="H123" s="234"/>
      <c r="I123" s="235"/>
      <c r="J123" s="17"/>
      <c r="M123" s="34"/>
      <c r="N123" s="33">
        <f t="shared" si="1"/>
        <v>0</v>
      </c>
      <c r="P123" s="34"/>
      <c r="R123" s="34"/>
    </row>
    <row r="124" spans="1:18" s="8" customFormat="1" ht="87" customHeight="1" x14ac:dyDescent="0.2">
      <c r="A124" s="16">
        <v>113</v>
      </c>
      <c r="B124" s="239" t="s">
        <v>174</v>
      </c>
      <c r="C124" s="224"/>
      <c r="D124" s="225"/>
      <c r="E124" s="24">
        <v>1</v>
      </c>
      <c r="F124" s="25" t="s">
        <v>42</v>
      </c>
      <c r="G124" s="18" t="s">
        <v>15</v>
      </c>
      <c r="H124" s="240" t="s">
        <v>340</v>
      </c>
      <c r="I124" s="241"/>
      <c r="J124" s="19" t="s">
        <v>11</v>
      </c>
      <c r="L124" s="40" t="s">
        <v>373</v>
      </c>
      <c r="M124" s="53">
        <f>52.4*7.5</f>
        <v>393</v>
      </c>
      <c r="N124" s="33">
        <f t="shared" si="1"/>
        <v>3930</v>
      </c>
      <c r="P124" s="34"/>
      <c r="R124" s="34"/>
    </row>
    <row r="125" spans="1:18" s="8" customFormat="1" ht="80.45" customHeight="1" x14ac:dyDescent="0.2">
      <c r="A125" s="16">
        <v>114</v>
      </c>
      <c r="B125" s="239" t="s">
        <v>175</v>
      </c>
      <c r="C125" s="224"/>
      <c r="D125" s="225"/>
      <c r="E125" s="24">
        <v>5</v>
      </c>
      <c r="F125" s="25" t="s">
        <v>42</v>
      </c>
      <c r="G125" s="18" t="s">
        <v>15</v>
      </c>
      <c r="H125" s="240" t="s">
        <v>340</v>
      </c>
      <c r="I125" s="241"/>
      <c r="J125" s="19" t="s">
        <v>11</v>
      </c>
      <c r="L125" s="40" t="s">
        <v>373</v>
      </c>
      <c r="M125" s="53">
        <f>319*7.5</f>
        <v>2392.5</v>
      </c>
      <c r="N125" s="33">
        <f t="shared" si="1"/>
        <v>23925</v>
      </c>
      <c r="P125" s="34"/>
      <c r="R125" s="34"/>
    </row>
    <row r="126" spans="1:18" s="8" customFormat="1" ht="85.9" customHeight="1" x14ac:dyDescent="0.2">
      <c r="A126" s="16">
        <v>115</v>
      </c>
      <c r="B126" s="239" t="s">
        <v>177</v>
      </c>
      <c r="C126" s="224"/>
      <c r="D126" s="225"/>
      <c r="E126" s="24">
        <v>7</v>
      </c>
      <c r="F126" s="25" t="s">
        <v>42</v>
      </c>
      <c r="G126" s="18" t="s">
        <v>15</v>
      </c>
      <c r="H126" s="240" t="s">
        <v>340</v>
      </c>
      <c r="I126" s="241"/>
      <c r="J126" s="19" t="s">
        <v>11</v>
      </c>
      <c r="L126" s="40" t="s">
        <v>373</v>
      </c>
      <c r="M126" s="53">
        <f>246.4*7.5</f>
        <v>1848</v>
      </c>
      <c r="N126" s="33">
        <f t="shared" si="1"/>
        <v>18480</v>
      </c>
      <c r="P126" s="34"/>
      <c r="R126" s="34"/>
    </row>
    <row r="127" spans="1:18" s="8" customFormat="1" ht="79.900000000000006" customHeight="1" x14ac:dyDescent="0.2">
      <c r="A127" s="16">
        <v>116</v>
      </c>
      <c r="B127" s="239" t="s">
        <v>176</v>
      </c>
      <c r="C127" s="224"/>
      <c r="D127" s="225"/>
      <c r="E127" s="24">
        <v>5</v>
      </c>
      <c r="F127" s="25" t="s">
        <v>42</v>
      </c>
      <c r="G127" s="18" t="s">
        <v>15</v>
      </c>
      <c r="H127" s="240" t="s">
        <v>340</v>
      </c>
      <c r="I127" s="241"/>
      <c r="J127" s="19" t="s">
        <v>11</v>
      </c>
      <c r="L127" s="40" t="s">
        <v>373</v>
      </c>
      <c r="M127" s="53">
        <f>125.25*7.5</f>
        <v>939.375</v>
      </c>
      <c r="N127" s="33">
        <f t="shared" si="1"/>
        <v>9393.75</v>
      </c>
      <c r="P127" s="34"/>
      <c r="R127" s="34"/>
    </row>
    <row r="128" spans="1:18" s="8" customFormat="1" ht="54.6" customHeight="1" x14ac:dyDescent="0.2">
      <c r="A128" s="16">
        <v>117</v>
      </c>
      <c r="B128" s="239" t="s">
        <v>215</v>
      </c>
      <c r="C128" s="224"/>
      <c r="D128" s="225"/>
      <c r="E128" s="24">
        <v>4</v>
      </c>
      <c r="F128" s="25" t="s">
        <v>216</v>
      </c>
      <c r="G128" s="18" t="s">
        <v>15</v>
      </c>
      <c r="H128" s="254" t="s">
        <v>341</v>
      </c>
      <c r="I128" s="255"/>
      <c r="J128" s="19" t="s">
        <v>11</v>
      </c>
      <c r="L128" s="43" t="s">
        <v>375</v>
      </c>
      <c r="M128" s="53">
        <f>740*4</f>
        <v>2960</v>
      </c>
      <c r="N128" s="33">
        <f t="shared" si="1"/>
        <v>29600</v>
      </c>
      <c r="P128" s="34"/>
      <c r="R128" s="34"/>
    </row>
    <row r="129" spans="1:18" s="8" customFormat="1" ht="54.6" customHeight="1" x14ac:dyDescent="0.2">
      <c r="A129" s="16">
        <v>118</v>
      </c>
      <c r="B129" s="239" t="s">
        <v>217</v>
      </c>
      <c r="C129" s="224"/>
      <c r="D129" s="225"/>
      <c r="E129" s="24">
        <v>1</v>
      </c>
      <c r="F129" s="25" t="s">
        <v>218</v>
      </c>
      <c r="G129" s="18" t="s">
        <v>15</v>
      </c>
      <c r="H129" s="240" t="s">
        <v>342</v>
      </c>
      <c r="I129" s="241"/>
      <c r="J129" s="19" t="s">
        <v>11</v>
      </c>
      <c r="L129" s="40" t="s">
        <v>373</v>
      </c>
      <c r="M129" s="53">
        <f>104*7.5</f>
        <v>780</v>
      </c>
      <c r="N129" s="33">
        <f t="shared" si="1"/>
        <v>7800</v>
      </c>
      <c r="P129" s="34"/>
      <c r="R129" s="34"/>
    </row>
    <row r="130" spans="1:18" s="8" customFormat="1" ht="49.9" customHeight="1" x14ac:dyDescent="0.2">
      <c r="A130" s="16">
        <v>119</v>
      </c>
      <c r="B130" s="239" t="s">
        <v>43</v>
      </c>
      <c r="C130" s="224"/>
      <c r="D130" s="225"/>
      <c r="E130" s="24">
        <v>1</v>
      </c>
      <c r="F130" s="25" t="s">
        <v>44</v>
      </c>
      <c r="G130" s="18" t="s">
        <v>15</v>
      </c>
      <c r="H130" s="240" t="s">
        <v>343</v>
      </c>
      <c r="I130" s="241"/>
      <c r="J130" s="19" t="s">
        <v>11</v>
      </c>
      <c r="L130" s="43" t="s">
        <v>376</v>
      </c>
      <c r="M130" s="52">
        <v>1600</v>
      </c>
      <c r="N130" s="33">
        <f t="shared" si="1"/>
        <v>16000</v>
      </c>
      <c r="P130" s="34"/>
      <c r="R130" s="34"/>
    </row>
    <row r="131" spans="1:18" s="8" customFormat="1" ht="49.9" customHeight="1" x14ac:dyDescent="0.2">
      <c r="A131" s="16">
        <v>120</v>
      </c>
      <c r="B131" s="239" t="s">
        <v>45</v>
      </c>
      <c r="C131" s="224"/>
      <c r="D131" s="225"/>
      <c r="E131" s="24">
        <v>1</v>
      </c>
      <c r="F131" s="25" t="s">
        <v>46</v>
      </c>
      <c r="G131" s="18" t="s">
        <v>15</v>
      </c>
      <c r="H131" s="222" t="s">
        <v>12</v>
      </c>
      <c r="I131" s="223"/>
      <c r="J131" s="19" t="s">
        <v>11</v>
      </c>
      <c r="L131" s="40" t="s">
        <v>373</v>
      </c>
      <c r="M131" s="53">
        <f>113*7.5</f>
        <v>847.5</v>
      </c>
      <c r="N131" s="33">
        <f t="shared" si="1"/>
        <v>8475</v>
      </c>
      <c r="P131" s="34"/>
      <c r="R131" s="34"/>
    </row>
    <row r="132" spans="1:18" s="8" customFormat="1" ht="49.9" customHeight="1" x14ac:dyDescent="0.2">
      <c r="A132" s="16">
        <v>121</v>
      </c>
      <c r="B132" s="239" t="s">
        <v>47</v>
      </c>
      <c r="C132" s="224"/>
      <c r="D132" s="225"/>
      <c r="E132" s="24">
        <v>1</v>
      </c>
      <c r="F132" s="25">
        <v>3223</v>
      </c>
      <c r="G132" s="18" t="s">
        <v>15</v>
      </c>
      <c r="H132" s="222" t="s">
        <v>12</v>
      </c>
      <c r="I132" s="223"/>
      <c r="J132" s="19" t="s">
        <v>11</v>
      </c>
      <c r="L132" s="40" t="s">
        <v>373</v>
      </c>
      <c r="M132" s="53">
        <f>13.5*7.5</f>
        <v>101.25</v>
      </c>
      <c r="N132" s="33">
        <f t="shared" ref="N132:N195" si="2">+M132*$N$2</f>
        <v>1012.5</v>
      </c>
      <c r="P132" s="34"/>
      <c r="R132" s="34"/>
    </row>
    <row r="133" spans="1:18" s="8" customFormat="1" ht="49.9" customHeight="1" x14ac:dyDescent="0.2">
      <c r="A133" s="16">
        <v>122</v>
      </c>
      <c r="B133" s="239" t="s">
        <v>48</v>
      </c>
      <c r="C133" s="224"/>
      <c r="D133" s="225"/>
      <c r="E133" s="24">
        <v>1</v>
      </c>
      <c r="F133" s="25">
        <v>3223</v>
      </c>
      <c r="G133" s="18" t="s">
        <v>15</v>
      </c>
      <c r="H133" s="222" t="s">
        <v>12</v>
      </c>
      <c r="I133" s="223"/>
      <c r="J133" s="19" t="s">
        <v>11</v>
      </c>
      <c r="L133" s="40" t="s">
        <v>373</v>
      </c>
      <c r="M133" s="53">
        <f>17.2*7.5</f>
        <v>129</v>
      </c>
      <c r="N133" s="33">
        <f t="shared" si="2"/>
        <v>1290</v>
      </c>
      <c r="P133" s="34"/>
      <c r="R133" s="34"/>
    </row>
    <row r="134" spans="1:18" s="8" customFormat="1" ht="49.9" customHeight="1" x14ac:dyDescent="0.2">
      <c r="A134" s="16">
        <v>123</v>
      </c>
      <c r="B134" s="239" t="s">
        <v>49</v>
      </c>
      <c r="C134" s="224"/>
      <c r="D134" s="225"/>
      <c r="E134" s="24">
        <v>1</v>
      </c>
      <c r="F134" s="25" t="s">
        <v>50</v>
      </c>
      <c r="G134" s="18" t="s">
        <v>15</v>
      </c>
      <c r="H134" s="222" t="s">
        <v>12</v>
      </c>
      <c r="I134" s="223"/>
      <c r="J134" s="19" t="s">
        <v>11</v>
      </c>
      <c r="L134" s="40" t="s">
        <v>373</v>
      </c>
      <c r="M134" s="53">
        <f>91*7.5</f>
        <v>682.5</v>
      </c>
      <c r="N134" s="33">
        <f t="shared" si="2"/>
        <v>6825</v>
      </c>
      <c r="P134" s="34"/>
      <c r="R134" s="34"/>
    </row>
    <row r="135" spans="1:18" s="8" customFormat="1" ht="49.9" customHeight="1" x14ac:dyDescent="0.2">
      <c r="A135" s="16">
        <v>124</v>
      </c>
      <c r="B135" s="239" t="s">
        <v>178</v>
      </c>
      <c r="C135" s="224"/>
      <c r="D135" s="225"/>
      <c r="E135" s="24">
        <v>2</v>
      </c>
      <c r="F135" s="25" t="s">
        <v>51</v>
      </c>
      <c r="G135" s="18" t="s">
        <v>15</v>
      </c>
      <c r="H135" s="222" t="s">
        <v>12</v>
      </c>
      <c r="I135" s="223"/>
      <c r="J135" s="19" t="s">
        <v>11</v>
      </c>
      <c r="L135" s="40" t="s">
        <v>373</v>
      </c>
      <c r="M135" s="53">
        <f>131*7.5*2</f>
        <v>1965</v>
      </c>
      <c r="N135" s="33">
        <f t="shared" si="2"/>
        <v>19650</v>
      </c>
      <c r="P135" s="34"/>
      <c r="R135" s="34"/>
    </row>
    <row r="136" spans="1:18" s="8" customFormat="1" ht="49.9" customHeight="1" x14ac:dyDescent="0.2">
      <c r="A136" s="16">
        <v>125</v>
      </c>
      <c r="B136" s="239" t="s">
        <v>52</v>
      </c>
      <c r="C136" s="224"/>
      <c r="D136" s="225"/>
      <c r="E136" s="24">
        <v>1</v>
      </c>
      <c r="F136" s="25" t="s">
        <v>53</v>
      </c>
      <c r="G136" s="18" t="s">
        <v>15</v>
      </c>
      <c r="H136" s="222" t="s">
        <v>12</v>
      </c>
      <c r="I136" s="223"/>
      <c r="J136" s="19" t="s">
        <v>11</v>
      </c>
      <c r="L136" s="40" t="s">
        <v>373</v>
      </c>
      <c r="M136" s="53">
        <f>325*7.5</f>
        <v>2437.5</v>
      </c>
      <c r="N136" s="33">
        <f t="shared" si="2"/>
        <v>24375</v>
      </c>
      <c r="P136" s="34"/>
      <c r="R136" s="34"/>
    </row>
    <row r="137" spans="1:18" s="8" customFormat="1" ht="49.9" customHeight="1" x14ac:dyDescent="0.2">
      <c r="A137" s="16">
        <v>126</v>
      </c>
      <c r="B137" s="239" t="s">
        <v>54</v>
      </c>
      <c r="C137" s="224"/>
      <c r="D137" s="225"/>
      <c r="E137" s="24">
        <v>1</v>
      </c>
      <c r="F137" s="25" t="s">
        <v>55</v>
      </c>
      <c r="G137" s="18" t="s">
        <v>15</v>
      </c>
      <c r="H137" s="222" t="s">
        <v>12</v>
      </c>
      <c r="I137" s="223"/>
      <c r="J137" s="19" t="s">
        <v>11</v>
      </c>
      <c r="L137" s="40" t="s">
        <v>373</v>
      </c>
      <c r="M137" s="53">
        <f>26.4*7.5</f>
        <v>198</v>
      </c>
      <c r="N137" s="33">
        <f t="shared" si="2"/>
        <v>1980</v>
      </c>
      <c r="P137" s="34"/>
      <c r="R137" s="34"/>
    </row>
    <row r="138" spans="1:18" s="8" customFormat="1" ht="49.9" customHeight="1" x14ac:dyDescent="0.2">
      <c r="A138" s="16">
        <v>127</v>
      </c>
      <c r="B138" s="239" t="s">
        <v>56</v>
      </c>
      <c r="C138" s="224"/>
      <c r="D138" s="225"/>
      <c r="E138" s="24">
        <v>2</v>
      </c>
      <c r="F138" s="25" t="s">
        <v>57</v>
      </c>
      <c r="G138" s="18" t="s">
        <v>15</v>
      </c>
      <c r="H138" s="222" t="s">
        <v>12</v>
      </c>
      <c r="I138" s="223"/>
      <c r="J138" s="19" t="s">
        <v>11</v>
      </c>
      <c r="L138" s="40" t="s">
        <v>373</v>
      </c>
      <c r="M138" s="53">
        <f>14.4*7.5*2</f>
        <v>216</v>
      </c>
      <c r="N138" s="33">
        <f t="shared" si="2"/>
        <v>2160</v>
      </c>
      <c r="P138" s="34"/>
      <c r="R138" s="34"/>
    </row>
    <row r="139" spans="1:18" s="8" customFormat="1" ht="49.9" customHeight="1" x14ac:dyDescent="0.2">
      <c r="A139" s="16">
        <v>128</v>
      </c>
      <c r="B139" s="239" t="s">
        <v>58</v>
      </c>
      <c r="C139" s="224"/>
      <c r="D139" s="225"/>
      <c r="E139" s="24">
        <v>1</v>
      </c>
      <c r="F139" s="25" t="s">
        <v>59</v>
      </c>
      <c r="G139" s="18" t="s">
        <v>15</v>
      </c>
      <c r="H139" s="240" t="s">
        <v>344</v>
      </c>
      <c r="I139" s="241"/>
      <c r="J139" s="19" t="s">
        <v>11</v>
      </c>
      <c r="L139" s="40" t="s">
        <v>373</v>
      </c>
      <c r="M139" s="53">
        <f>46*7.5</f>
        <v>345</v>
      </c>
      <c r="N139" s="33">
        <f t="shared" si="2"/>
        <v>3450</v>
      </c>
      <c r="P139" s="34"/>
      <c r="R139" s="34"/>
    </row>
    <row r="140" spans="1:18" s="8" customFormat="1" ht="83.45" customHeight="1" x14ac:dyDescent="0.2">
      <c r="A140" s="16">
        <v>129</v>
      </c>
      <c r="B140" s="239" t="s">
        <v>193</v>
      </c>
      <c r="C140" s="224"/>
      <c r="D140" s="225"/>
      <c r="E140" s="24">
        <v>2</v>
      </c>
      <c r="F140" s="25" t="s">
        <v>59</v>
      </c>
      <c r="G140" s="18" t="s">
        <v>15</v>
      </c>
      <c r="H140" s="240" t="s">
        <v>346</v>
      </c>
      <c r="I140" s="241"/>
      <c r="J140" s="19" t="s">
        <v>11</v>
      </c>
      <c r="L140" s="44" t="s">
        <v>377</v>
      </c>
      <c r="M140" s="53">
        <f>265*8</f>
        <v>2120</v>
      </c>
      <c r="N140" s="33">
        <f t="shared" si="2"/>
        <v>21200</v>
      </c>
      <c r="P140" s="34"/>
      <c r="R140" s="34"/>
    </row>
    <row r="141" spans="1:18" s="8" customFormat="1" ht="49.9" customHeight="1" x14ac:dyDescent="0.2">
      <c r="A141" s="16">
        <v>130</v>
      </c>
      <c r="B141" s="239" t="s">
        <v>60</v>
      </c>
      <c r="C141" s="224"/>
      <c r="D141" s="225"/>
      <c r="E141" s="24">
        <v>1</v>
      </c>
      <c r="F141" s="25" t="s">
        <v>61</v>
      </c>
      <c r="G141" s="18" t="s">
        <v>15</v>
      </c>
      <c r="H141" s="222" t="s">
        <v>12</v>
      </c>
      <c r="I141" s="223"/>
      <c r="J141" s="19" t="s">
        <v>11</v>
      </c>
      <c r="L141" s="40" t="s">
        <v>373</v>
      </c>
      <c r="M141" s="53">
        <f>60*7.5</f>
        <v>450</v>
      </c>
      <c r="N141" s="33">
        <f t="shared" si="2"/>
        <v>4500</v>
      </c>
      <c r="P141" s="34"/>
      <c r="R141" s="34"/>
    </row>
    <row r="142" spans="1:18" s="8" customFormat="1" ht="83.45" customHeight="1" x14ac:dyDescent="0.2">
      <c r="A142" s="16">
        <v>131</v>
      </c>
      <c r="B142" s="239" t="s">
        <v>194</v>
      </c>
      <c r="C142" s="224"/>
      <c r="D142" s="225"/>
      <c r="E142" s="24">
        <v>2</v>
      </c>
      <c r="F142" s="25" t="s">
        <v>59</v>
      </c>
      <c r="G142" s="18" t="s">
        <v>15</v>
      </c>
      <c r="H142" s="240" t="s">
        <v>345</v>
      </c>
      <c r="I142" s="241"/>
      <c r="J142" s="19" t="s">
        <v>11</v>
      </c>
      <c r="L142" s="44" t="s">
        <v>377</v>
      </c>
      <c r="M142" s="53">
        <f>265*8</f>
        <v>2120</v>
      </c>
      <c r="N142" s="33">
        <f t="shared" si="2"/>
        <v>21200</v>
      </c>
      <c r="P142" s="34"/>
      <c r="R142" s="34"/>
    </row>
    <row r="143" spans="1:18" s="8" customFormat="1" ht="49.9" customHeight="1" x14ac:dyDescent="0.2">
      <c r="A143" s="16">
        <v>132</v>
      </c>
      <c r="B143" s="239" t="s">
        <v>62</v>
      </c>
      <c r="C143" s="224"/>
      <c r="D143" s="225"/>
      <c r="E143" s="24">
        <v>3</v>
      </c>
      <c r="F143" s="25" t="s">
        <v>63</v>
      </c>
      <c r="G143" s="18" t="s">
        <v>15</v>
      </c>
      <c r="H143" s="240" t="s">
        <v>347</v>
      </c>
      <c r="I143" s="241"/>
      <c r="J143" s="19" t="s">
        <v>11</v>
      </c>
      <c r="L143" s="40" t="s">
        <v>373</v>
      </c>
      <c r="M143" s="53">
        <f>23*7.5*3</f>
        <v>517.5</v>
      </c>
      <c r="N143" s="33">
        <f t="shared" si="2"/>
        <v>5175</v>
      </c>
      <c r="P143" s="34"/>
      <c r="R143" s="34"/>
    </row>
    <row r="144" spans="1:18" s="8" customFormat="1" ht="49.9" customHeight="1" x14ac:dyDescent="0.2">
      <c r="A144" s="16">
        <v>133</v>
      </c>
      <c r="B144" s="239" t="s">
        <v>64</v>
      </c>
      <c r="C144" s="224"/>
      <c r="D144" s="225"/>
      <c r="E144" s="24">
        <v>1</v>
      </c>
      <c r="F144" s="25" t="s">
        <v>65</v>
      </c>
      <c r="G144" s="18" t="s">
        <v>15</v>
      </c>
      <c r="H144" s="222" t="s">
        <v>12</v>
      </c>
      <c r="I144" s="223"/>
      <c r="J144" s="19" t="s">
        <v>11</v>
      </c>
      <c r="L144" s="44" t="s">
        <v>378</v>
      </c>
      <c r="M144" s="53">
        <f>23.75*7.5</f>
        <v>178.125</v>
      </c>
      <c r="N144" s="33">
        <f t="shared" si="2"/>
        <v>1781.25</v>
      </c>
      <c r="P144" s="34"/>
      <c r="R144" s="34"/>
    </row>
    <row r="145" spans="1:18" s="8" customFormat="1" ht="49.9" customHeight="1" x14ac:dyDescent="0.2">
      <c r="A145" s="16">
        <v>134</v>
      </c>
      <c r="B145" s="239" t="s">
        <v>66</v>
      </c>
      <c r="C145" s="224"/>
      <c r="D145" s="225"/>
      <c r="E145" s="24">
        <v>2</v>
      </c>
      <c r="F145" s="17"/>
      <c r="G145" s="18" t="s">
        <v>15</v>
      </c>
      <c r="H145" s="222" t="s">
        <v>12</v>
      </c>
      <c r="I145" s="223"/>
      <c r="J145" s="19" t="s">
        <v>11</v>
      </c>
      <c r="L145" s="44" t="s">
        <v>378</v>
      </c>
      <c r="M145" s="53">
        <f>1.71*2*7.5</f>
        <v>25.65</v>
      </c>
      <c r="N145" s="33">
        <f t="shared" si="2"/>
        <v>256.5</v>
      </c>
      <c r="P145" s="34"/>
      <c r="R145" s="34"/>
    </row>
    <row r="146" spans="1:18" s="8" customFormat="1" ht="49.9" customHeight="1" x14ac:dyDescent="0.2">
      <c r="A146" s="16">
        <v>135</v>
      </c>
      <c r="B146" s="239" t="s">
        <v>67</v>
      </c>
      <c r="C146" s="224"/>
      <c r="D146" s="225"/>
      <c r="E146" s="24">
        <v>4</v>
      </c>
      <c r="F146" s="25" t="s">
        <v>68</v>
      </c>
      <c r="G146" s="18" t="s">
        <v>15</v>
      </c>
      <c r="H146" s="222" t="s">
        <v>12</v>
      </c>
      <c r="I146" s="223"/>
      <c r="J146" s="19" t="s">
        <v>11</v>
      </c>
      <c r="L146" s="44" t="s">
        <v>378</v>
      </c>
      <c r="M146" s="53">
        <f>5.7*4*7.5</f>
        <v>171</v>
      </c>
      <c r="N146" s="33">
        <f t="shared" si="2"/>
        <v>1710</v>
      </c>
      <c r="P146" s="34"/>
      <c r="R146" s="34"/>
    </row>
    <row r="147" spans="1:18" s="8" customFormat="1" ht="49.9" customHeight="1" x14ac:dyDescent="0.2">
      <c r="A147" s="16">
        <v>136</v>
      </c>
      <c r="B147" s="239" t="s">
        <v>69</v>
      </c>
      <c r="C147" s="224"/>
      <c r="D147" s="225"/>
      <c r="E147" s="24">
        <v>3</v>
      </c>
      <c r="F147" s="25" t="s">
        <v>70</v>
      </c>
      <c r="G147" s="18" t="s">
        <v>15</v>
      </c>
      <c r="H147" s="222" t="s">
        <v>12</v>
      </c>
      <c r="I147" s="223"/>
      <c r="J147" s="19" t="s">
        <v>11</v>
      </c>
      <c r="L147" s="40" t="s">
        <v>373</v>
      </c>
      <c r="M147" s="53">
        <f>6*7.5*3</f>
        <v>135</v>
      </c>
      <c r="N147" s="33">
        <f t="shared" si="2"/>
        <v>1350</v>
      </c>
      <c r="P147" s="34"/>
      <c r="R147" s="34"/>
    </row>
    <row r="148" spans="1:18" s="8" customFormat="1" ht="49.9" customHeight="1" x14ac:dyDescent="0.2">
      <c r="A148" s="16">
        <v>137</v>
      </c>
      <c r="B148" s="239" t="s">
        <v>71</v>
      </c>
      <c r="C148" s="224"/>
      <c r="D148" s="225"/>
      <c r="E148" s="24">
        <v>2</v>
      </c>
      <c r="F148" s="25" t="s">
        <v>72</v>
      </c>
      <c r="G148" s="18" t="s">
        <v>15</v>
      </c>
      <c r="H148" s="222" t="s">
        <v>12</v>
      </c>
      <c r="I148" s="223"/>
      <c r="J148" s="19" t="s">
        <v>11</v>
      </c>
      <c r="L148" s="43" t="s">
        <v>378</v>
      </c>
      <c r="M148" s="53">
        <f>114.95*7.5</f>
        <v>862.125</v>
      </c>
      <c r="N148" s="33">
        <f t="shared" si="2"/>
        <v>8621.25</v>
      </c>
      <c r="P148" s="34"/>
      <c r="R148" s="34"/>
    </row>
    <row r="149" spans="1:18" s="8" customFormat="1" ht="49.9" customHeight="1" x14ac:dyDescent="0.2">
      <c r="A149" s="16">
        <v>138</v>
      </c>
      <c r="B149" s="239" t="s">
        <v>73</v>
      </c>
      <c r="C149" s="224"/>
      <c r="D149" s="225"/>
      <c r="E149" s="24">
        <v>3</v>
      </c>
      <c r="F149" s="25" t="s">
        <v>74</v>
      </c>
      <c r="G149" s="18" t="s">
        <v>15</v>
      </c>
      <c r="H149" s="222" t="s">
        <v>12</v>
      </c>
      <c r="I149" s="223"/>
      <c r="J149" s="19" t="s">
        <v>11</v>
      </c>
      <c r="L149" s="43" t="s">
        <v>378</v>
      </c>
      <c r="M149" s="53">
        <f>78.85*3*7.5</f>
        <v>1774.1249999999998</v>
      </c>
      <c r="N149" s="33">
        <f t="shared" si="2"/>
        <v>17741.249999999996</v>
      </c>
      <c r="P149" s="34"/>
      <c r="R149" s="34"/>
    </row>
    <row r="150" spans="1:18" s="8" customFormat="1" ht="49.9" customHeight="1" x14ac:dyDescent="0.2">
      <c r="A150" s="16">
        <v>139</v>
      </c>
      <c r="B150" s="239" t="s">
        <v>75</v>
      </c>
      <c r="C150" s="224"/>
      <c r="D150" s="225"/>
      <c r="E150" s="24">
        <v>1</v>
      </c>
      <c r="F150" s="25" t="s">
        <v>76</v>
      </c>
      <c r="G150" s="18" t="s">
        <v>15</v>
      </c>
      <c r="H150" s="222" t="s">
        <v>12</v>
      </c>
      <c r="I150" s="223"/>
      <c r="J150" s="19" t="s">
        <v>11</v>
      </c>
      <c r="L150" s="40" t="s">
        <v>373</v>
      </c>
      <c r="M150" s="53">
        <f>330*7.5</f>
        <v>2475</v>
      </c>
      <c r="N150" s="33">
        <f t="shared" si="2"/>
        <v>24750</v>
      </c>
      <c r="P150" s="34"/>
      <c r="R150" s="34"/>
    </row>
    <row r="151" spans="1:18" s="8" customFormat="1" ht="49.9" customHeight="1" x14ac:dyDescent="0.2">
      <c r="A151" s="16">
        <v>140</v>
      </c>
      <c r="B151" s="239" t="s">
        <v>77</v>
      </c>
      <c r="C151" s="224"/>
      <c r="D151" s="225"/>
      <c r="E151" s="24">
        <v>1</v>
      </c>
      <c r="F151" s="25" t="s">
        <v>78</v>
      </c>
      <c r="G151" s="18" t="s">
        <v>15</v>
      </c>
      <c r="H151" s="222" t="s">
        <v>12</v>
      </c>
      <c r="I151" s="223"/>
      <c r="J151" s="19" t="s">
        <v>11</v>
      </c>
      <c r="L151" s="40" t="s">
        <v>373</v>
      </c>
      <c r="M151" s="53">
        <f>130*7.5</f>
        <v>975</v>
      </c>
      <c r="N151" s="33">
        <f t="shared" si="2"/>
        <v>9750</v>
      </c>
      <c r="P151" s="34"/>
      <c r="R151" s="34"/>
    </row>
    <row r="152" spans="1:18" s="8" customFormat="1" ht="49.9" customHeight="1" x14ac:dyDescent="0.2">
      <c r="A152" s="16">
        <v>141</v>
      </c>
      <c r="B152" s="239" t="s">
        <v>79</v>
      </c>
      <c r="C152" s="224"/>
      <c r="D152" s="225"/>
      <c r="E152" s="24">
        <v>1</v>
      </c>
      <c r="F152" s="25" t="s">
        <v>80</v>
      </c>
      <c r="G152" s="18" t="s">
        <v>15</v>
      </c>
      <c r="H152" s="222" t="s">
        <v>12</v>
      </c>
      <c r="I152" s="223"/>
      <c r="J152" s="19" t="s">
        <v>11</v>
      </c>
      <c r="L152" s="40" t="s">
        <v>373</v>
      </c>
      <c r="M152" s="53">
        <f>10*7.5</f>
        <v>75</v>
      </c>
      <c r="N152" s="33">
        <f t="shared" si="2"/>
        <v>750</v>
      </c>
      <c r="O152" s="47"/>
      <c r="P152" s="34"/>
      <c r="R152" s="34"/>
    </row>
    <row r="153" spans="1:18" s="8" customFormat="1" ht="49.9" customHeight="1" x14ac:dyDescent="0.2">
      <c r="A153" s="16">
        <v>142</v>
      </c>
      <c r="B153" s="226" t="s">
        <v>81</v>
      </c>
      <c r="C153" s="227"/>
      <c r="D153" s="223"/>
      <c r="E153" s="17"/>
      <c r="F153" s="17"/>
      <c r="G153" s="17"/>
      <c r="H153" s="234"/>
      <c r="I153" s="235"/>
      <c r="J153" s="17"/>
      <c r="M153" s="34"/>
      <c r="N153" s="33">
        <f t="shared" si="2"/>
        <v>0</v>
      </c>
      <c r="O153" s="47"/>
      <c r="P153" s="34"/>
      <c r="R153" s="34"/>
    </row>
    <row r="154" spans="1:18" s="8" customFormat="1" ht="49.9" customHeight="1" x14ac:dyDescent="0.2">
      <c r="A154" s="16">
        <v>143</v>
      </c>
      <c r="B154" s="219" t="s">
        <v>82</v>
      </c>
      <c r="C154" s="224"/>
      <c r="D154" s="225"/>
      <c r="E154" s="24">
        <v>1</v>
      </c>
      <c r="F154" s="25" t="s">
        <v>83</v>
      </c>
      <c r="G154" s="18" t="s">
        <v>15</v>
      </c>
      <c r="H154" s="222" t="s">
        <v>12</v>
      </c>
      <c r="I154" s="223"/>
      <c r="J154" s="19" t="s">
        <v>11</v>
      </c>
      <c r="L154" s="40" t="s">
        <v>379</v>
      </c>
      <c r="M154" s="53">
        <f>411.4*7.5</f>
        <v>3085.5</v>
      </c>
      <c r="N154" s="33">
        <f t="shared" si="2"/>
        <v>30855</v>
      </c>
      <c r="O154" s="47"/>
      <c r="P154" s="34"/>
      <c r="R154" s="34"/>
    </row>
    <row r="155" spans="1:18" s="8" customFormat="1" ht="49.9" customHeight="1" x14ac:dyDescent="0.2">
      <c r="A155" s="16">
        <v>144</v>
      </c>
      <c r="B155" s="219" t="s">
        <v>173</v>
      </c>
      <c r="C155" s="224"/>
      <c r="D155" s="225"/>
      <c r="E155" s="24">
        <v>1</v>
      </c>
      <c r="F155" s="25" t="s">
        <v>83</v>
      </c>
      <c r="G155" s="18" t="s">
        <v>15</v>
      </c>
      <c r="H155" s="222" t="s">
        <v>12</v>
      </c>
      <c r="I155" s="223"/>
      <c r="J155" s="19" t="s">
        <v>11</v>
      </c>
      <c r="L155" s="40" t="s">
        <v>379</v>
      </c>
      <c r="M155" s="53">
        <f>259.1*7.5</f>
        <v>1943.2500000000002</v>
      </c>
      <c r="N155" s="33">
        <f t="shared" si="2"/>
        <v>19432.500000000004</v>
      </c>
      <c r="P155" s="34"/>
      <c r="R155" s="34"/>
    </row>
    <row r="156" spans="1:18" s="8" customFormat="1" ht="49.9" customHeight="1" x14ac:dyDescent="0.2">
      <c r="A156" s="16">
        <v>145</v>
      </c>
      <c r="B156" s="219" t="s">
        <v>84</v>
      </c>
      <c r="C156" s="224"/>
      <c r="D156" s="225"/>
      <c r="E156" s="24">
        <v>4</v>
      </c>
      <c r="F156" s="25" t="s">
        <v>85</v>
      </c>
      <c r="G156" s="18" t="s">
        <v>15</v>
      </c>
      <c r="H156" s="222" t="s">
        <v>12</v>
      </c>
      <c r="I156" s="223"/>
      <c r="J156" s="19" t="s">
        <v>11</v>
      </c>
      <c r="L156" s="43" t="s">
        <v>378</v>
      </c>
      <c r="M156" s="53">
        <f>38.95*4*7.5</f>
        <v>1168.5</v>
      </c>
      <c r="N156" s="33">
        <f t="shared" si="2"/>
        <v>11685</v>
      </c>
      <c r="P156" s="34"/>
      <c r="R156" s="34"/>
    </row>
    <row r="157" spans="1:18" s="8" customFormat="1" ht="49.9" customHeight="1" x14ac:dyDescent="0.2">
      <c r="A157" s="16">
        <v>146</v>
      </c>
      <c r="B157" s="219" t="s">
        <v>86</v>
      </c>
      <c r="C157" s="224"/>
      <c r="D157" s="225"/>
      <c r="E157" s="24">
        <v>4</v>
      </c>
      <c r="F157" s="25" t="s">
        <v>87</v>
      </c>
      <c r="G157" s="18" t="s">
        <v>15</v>
      </c>
      <c r="H157" s="222" t="s">
        <v>12</v>
      </c>
      <c r="I157" s="223"/>
      <c r="J157" s="19" t="s">
        <v>11</v>
      </c>
      <c r="L157" s="43" t="s">
        <v>378</v>
      </c>
      <c r="M157" s="55" t="s">
        <v>391</v>
      </c>
      <c r="N157" s="33"/>
      <c r="P157" s="34"/>
      <c r="R157" s="34"/>
    </row>
    <row r="158" spans="1:18" s="8" customFormat="1" ht="49.9" customHeight="1" x14ac:dyDescent="0.2">
      <c r="A158" s="16">
        <v>147</v>
      </c>
      <c r="B158" s="226" t="s">
        <v>88</v>
      </c>
      <c r="C158" s="227"/>
      <c r="D158" s="223"/>
      <c r="E158" s="17"/>
      <c r="F158" s="17"/>
      <c r="G158" s="17"/>
      <c r="H158" s="234"/>
      <c r="I158" s="235"/>
      <c r="J158" s="17"/>
      <c r="M158" s="34"/>
      <c r="N158" s="33">
        <f t="shared" si="2"/>
        <v>0</v>
      </c>
      <c r="P158" s="34"/>
      <c r="R158" s="34"/>
    </row>
    <row r="159" spans="1:18" s="8" customFormat="1" ht="49.9" customHeight="1" x14ac:dyDescent="0.2">
      <c r="A159" s="16">
        <v>148</v>
      </c>
      <c r="B159" s="219" t="s">
        <v>89</v>
      </c>
      <c r="C159" s="224"/>
      <c r="D159" s="225"/>
      <c r="E159" s="24">
        <v>1</v>
      </c>
      <c r="F159" s="25" t="s">
        <v>90</v>
      </c>
      <c r="G159" s="18" t="s">
        <v>15</v>
      </c>
      <c r="H159" s="222" t="s">
        <v>12</v>
      </c>
      <c r="I159" s="223"/>
      <c r="J159" s="19" t="s">
        <v>11</v>
      </c>
      <c r="L159" s="43" t="s">
        <v>378</v>
      </c>
      <c r="M159" s="53">
        <f>135.85*7.5</f>
        <v>1018.875</v>
      </c>
      <c r="N159" s="33">
        <f t="shared" si="2"/>
        <v>10188.75</v>
      </c>
      <c r="P159" s="34"/>
      <c r="R159" s="34"/>
    </row>
    <row r="160" spans="1:18" s="8" customFormat="1" ht="49.9" customHeight="1" x14ac:dyDescent="0.2">
      <c r="A160" s="16">
        <v>149</v>
      </c>
      <c r="B160" s="219" t="s">
        <v>91</v>
      </c>
      <c r="C160" s="224"/>
      <c r="D160" s="225"/>
      <c r="E160" s="24">
        <v>1</v>
      </c>
      <c r="F160" s="25" t="s">
        <v>92</v>
      </c>
      <c r="G160" s="18" t="s">
        <v>15</v>
      </c>
      <c r="H160" s="222" t="s">
        <v>12</v>
      </c>
      <c r="I160" s="223"/>
      <c r="J160" s="19" t="s">
        <v>11</v>
      </c>
      <c r="L160" s="43" t="s">
        <v>378</v>
      </c>
      <c r="M160" s="53">
        <f>(314.45+90.25)*7.5</f>
        <v>3035.25</v>
      </c>
      <c r="N160" s="33">
        <f t="shared" si="2"/>
        <v>30352.5</v>
      </c>
      <c r="P160" s="34"/>
      <c r="R160" s="34"/>
    </row>
    <row r="161" spans="1:18" s="8" customFormat="1" ht="49.9" customHeight="1" x14ac:dyDescent="0.2">
      <c r="A161" s="16">
        <v>150</v>
      </c>
      <c r="B161" s="219" t="s">
        <v>93</v>
      </c>
      <c r="C161" s="224"/>
      <c r="D161" s="225"/>
      <c r="E161" s="24">
        <v>1</v>
      </c>
      <c r="F161" s="25" t="s">
        <v>94</v>
      </c>
      <c r="G161" s="18" t="s">
        <v>15</v>
      </c>
      <c r="H161" s="222" t="s">
        <v>12</v>
      </c>
      <c r="I161" s="223"/>
      <c r="J161" s="19" t="s">
        <v>11</v>
      </c>
      <c r="L161" s="43" t="s">
        <v>378</v>
      </c>
      <c r="M161" s="53">
        <f>235*7.5</f>
        <v>1762.5</v>
      </c>
      <c r="N161" s="33">
        <f t="shared" si="2"/>
        <v>17625</v>
      </c>
      <c r="P161" s="34"/>
      <c r="R161" s="34"/>
    </row>
    <row r="162" spans="1:18" s="8" customFormat="1" ht="49.9" customHeight="1" x14ac:dyDescent="0.2">
      <c r="A162" s="16">
        <v>151</v>
      </c>
      <c r="B162" s="226" t="s">
        <v>95</v>
      </c>
      <c r="C162" s="227"/>
      <c r="D162" s="223"/>
      <c r="E162" s="17"/>
      <c r="F162" s="17"/>
      <c r="G162" s="17"/>
      <c r="H162" s="234"/>
      <c r="I162" s="235"/>
      <c r="J162" s="17"/>
      <c r="M162" s="34"/>
      <c r="N162" s="33">
        <f t="shared" si="2"/>
        <v>0</v>
      </c>
      <c r="P162" s="34"/>
      <c r="R162" s="34"/>
    </row>
    <row r="163" spans="1:18" s="8" customFormat="1" ht="49.9" customHeight="1" x14ac:dyDescent="0.2">
      <c r="A163" s="16">
        <v>152</v>
      </c>
      <c r="B163" s="219" t="s">
        <v>237</v>
      </c>
      <c r="C163" s="224"/>
      <c r="D163" s="225"/>
      <c r="E163" s="24">
        <v>2</v>
      </c>
      <c r="F163" s="25" t="s">
        <v>96</v>
      </c>
      <c r="G163" s="18" t="s">
        <v>15</v>
      </c>
      <c r="H163" s="222" t="s">
        <v>12</v>
      </c>
      <c r="I163" s="223"/>
      <c r="J163" s="19" t="s">
        <v>11</v>
      </c>
      <c r="L163" s="43" t="s">
        <v>380</v>
      </c>
      <c r="M163" s="53">
        <f>3886.32*2</f>
        <v>7772.64</v>
      </c>
      <c r="N163" s="33">
        <f t="shared" si="2"/>
        <v>77726.400000000009</v>
      </c>
      <c r="O163" s="47"/>
      <c r="P163" s="34"/>
      <c r="R163" s="34"/>
    </row>
    <row r="164" spans="1:18" s="8" customFormat="1" ht="49.9" customHeight="1" x14ac:dyDescent="0.2">
      <c r="A164" s="16">
        <v>153</v>
      </c>
      <c r="B164" s="219" t="s">
        <v>97</v>
      </c>
      <c r="C164" s="224"/>
      <c r="D164" s="225"/>
      <c r="E164" s="24">
        <v>2</v>
      </c>
      <c r="F164" s="17"/>
      <c r="G164" s="18" t="s">
        <v>15</v>
      </c>
      <c r="H164" s="222" t="s">
        <v>12</v>
      </c>
      <c r="I164" s="223"/>
      <c r="J164" s="19" t="s">
        <v>11</v>
      </c>
      <c r="L164" s="39" t="s">
        <v>372</v>
      </c>
      <c r="M164" s="59">
        <v>200</v>
      </c>
      <c r="N164" s="33">
        <f t="shared" si="2"/>
        <v>2000</v>
      </c>
      <c r="P164" s="34"/>
      <c r="R164" s="34"/>
    </row>
    <row r="165" spans="1:18" s="8" customFormat="1" ht="49.9" customHeight="1" x14ac:dyDescent="0.2">
      <c r="A165" s="16">
        <v>154</v>
      </c>
      <c r="B165" s="219" t="s">
        <v>98</v>
      </c>
      <c r="C165" s="224"/>
      <c r="D165" s="225"/>
      <c r="E165" s="24">
        <v>2</v>
      </c>
      <c r="F165" s="17"/>
      <c r="G165" s="18" t="s">
        <v>15</v>
      </c>
      <c r="H165" s="222" t="s">
        <v>12</v>
      </c>
      <c r="I165" s="223"/>
      <c r="J165" s="19" t="s">
        <v>11</v>
      </c>
      <c r="L165" s="39" t="s">
        <v>372</v>
      </c>
      <c r="M165" s="59">
        <v>500</v>
      </c>
      <c r="N165" s="33">
        <f t="shared" si="2"/>
        <v>5000</v>
      </c>
      <c r="P165" s="34"/>
      <c r="R165" s="34"/>
    </row>
    <row r="166" spans="1:18" s="8" customFormat="1" ht="49.9" customHeight="1" x14ac:dyDescent="0.2">
      <c r="A166" s="16">
        <v>155</v>
      </c>
      <c r="B166" s="219" t="s">
        <v>99</v>
      </c>
      <c r="C166" s="224"/>
      <c r="D166" s="225"/>
      <c r="E166" s="24">
        <v>2</v>
      </c>
      <c r="F166" s="17"/>
      <c r="G166" s="18" t="s">
        <v>15</v>
      </c>
      <c r="H166" s="222" t="s">
        <v>12</v>
      </c>
      <c r="I166" s="223"/>
      <c r="J166" s="19" t="s">
        <v>11</v>
      </c>
      <c r="L166" s="39" t="s">
        <v>372</v>
      </c>
      <c r="M166" s="59">
        <v>500</v>
      </c>
      <c r="N166" s="33">
        <f t="shared" si="2"/>
        <v>5000</v>
      </c>
      <c r="P166" s="34"/>
      <c r="R166" s="34"/>
    </row>
    <row r="167" spans="1:18" s="8" customFormat="1" ht="49.9" customHeight="1" x14ac:dyDescent="0.2">
      <c r="A167" s="16">
        <v>156</v>
      </c>
      <c r="B167" s="219" t="s">
        <v>100</v>
      </c>
      <c r="C167" s="224"/>
      <c r="D167" s="225"/>
      <c r="E167" s="24">
        <v>6</v>
      </c>
      <c r="F167" s="17"/>
      <c r="G167" s="18" t="s">
        <v>15</v>
      </c>
      <c r="H167" s="222" t="s">
        <v>12</v>
      </c>
      <c r="I167" s="223"/>
      <c r="J167" s="19" t="s">
        <v>11</v>
      </c>
      <c r="L167" s="39" t="s">
        <v>372</v>
      </c>
      <c r="M167" s="59">
        <v>300</v>
      </c>
      <c r="N167" s="33">
        <f t="shared" si="2"/>
        <v>3000</v>
      </c>
      <c r="P167" s="34"/>
      <c r="R167" s="34"/>
    </row>
    <row r="168" spans="1:18" s="8" customFormat="1" ht="49.9" customHeight="1" x14ac:dyDescent="0.2">
      <c r="A168" s="16">
        <v>157</v>
      </c>
      <c r="B168" s="219" t="s">
        <v>101</v>
      </c>
      <c r="C168" s="224"/>
      <c r="D168" s="225"/>
      <c r="E168" s="24">
        <v>1</v>
      </c>
      <c r="F168" s="17"/>
      <c r="G168" s="18" t="s">
        <v>15</v>
      </c>
      <c r="H168" s="222" t="s">
        <v>12</v>
      </c>
      <c r="I168" s="223"/>
      <c r="J168" s="19" t="s">
        <v>11</v>
      </c>
      <c r="L168" s="39" t="s">
        <v>372</v>
      </c>
      <c r="M168" s="59">
        <v>100</v>
      </c>
      <c r="N168" s="33">
        <f t="shared" si="2"/>
        <v>1000</v>
      </c>
      <c r="P168" s="34"/>
      <c r="R168" s="34"/>
    </row>
    <row r="169" spans="1:18" s="8" customFormat="1" ht="49.9" customHeight="1" x14ac:dyDescent="0.2">
      <c r="A169" s="16">
        <v>158</v>
      </c>
      <c r="B169" s="219" t="s">
        <v>102</v>
      </c>
      <c r="C169" s="224"/>
      <c r="D169" s="225"/>
      <c r="E169" s="24">
        <v>2</v>
      </c>
      <c r="F169" s="17"/>
      <c r="G169" s="18" t="s">
        <v>15</v>
      </c>
      <c r="H169" s="222" t="s">
        <v>12</v>
      </c>
      <c r="I169" s="223"/>
      <c r="J169" s="19" t="s">
        <v>11</v>
      </c>
      <c r="L169" s="42" t="s">
        <v>381</v>
      </c>
      <c r="M169" s="53">
        <f>211*2</f>
        <v>422</v>
      </c>
      <c r="N169" s="33">
        <f t="shared" si="2"/>
        <v>4220</v>
      </c>
      <c r="P169" s="34"/>
      <c r="R169" s="34"/>
    </row>
    <row r="170" spans="1:18" s="8" customFormat="1" ht="49.9" customHeight="1" x14ac:dyDescent="0.2">
      <c r="A170" s="16">
        <v>159</v>
      </c>
      <c r="B170" s="219" t="s">
        <v>103</v>
      </c>
      <c r="C170" s="224"/>
      <c r="D170" s="225"/>
      <c r="E170" s="24">
        <v>2</v>
      </c>
      <c r="F170" s="17"/>
      <c r="G170" s="18" t="s">
        <v>15</v>
      </c>
      <c r="H170" s="222" t="s">
        <v>12</v>
      </c>
      <c r="I170" s="223"/>
      <c r="J170" s="19" t="s">
        <v>11</v>
      </c>
      <c r="L170" s="42" t="s">
        <v>381</v>
      </c>
      <c r="M170" s="53">
        <f>240*2</f>
        <v>480</v>
      </c>
      <c r="N170" s="33">
        <f t="shared" si="2"/>
        <v>4800</v>
      </c>
      <c r="P170" s="34"/>
      <c r="R170" s="34"/>
    </row>
    <row r="171" spans="1:18" s="8" customFormat="1" ht="49.9" customHeight="1" x14ac:dyDescent="0.2">
      <c r="A171" s="16">
        <v>160</v>
      </c>
      <c r="B171" s="219" t="s">
        <v>104</v>
      </c>
      <c r="C171" s="224"/>
      <c r="D171" s="225"/>
      <c r="E171" s="24">
        <v>2</v>
      </c>
      <c r="F171" s="25" t="s">
        <v>105</v>
      </c>
      <c r="G171" s="18" t="s">
        <v>15</v>
      </c>
      <c r="H171" s="222" t="s">
        <v>12</v>
      </c>
      <c r="I171" s="223"/>
      <c r="J171" s="19" t="s">
        <v>11</v>
      </c>
      <c r="L171" s="42" t="s">
        <v>381</v>
      </c>
      <c r="M171" s="53">
        <f>778*2</f>
        <v>1556</v>
      </c>
      <c r="N171" s="33">
        <f t="shared" si="2"/>
        <v>15560</v>
      </c>
      <c r="P171" s="34"/>
      <c r="R171" s="34"/>
    </row>
    <row r="172" spans="1:18" s="8" customFormat="1" ht="49.9" customHeight="1" x14ac:dyDescent="0.2">
      <c r="A172" s="16">
        <v>161</v>
      </c>
      <c r="B172" s="226" t="s">
        <v>106</v>
      </c>
      <c r="C172" s="227"/>
      <c r="D172" s="223"/>
      <c r="E172" s="26"/>
      <c r="F172" s="17"/>
      <c r="G172" s="17"/>
      <c r="H172" s="234"/>
      <c r="I172" s="235"/>
      <c r="J172" s="17"/>
      <c r="M172" s="34"/>
      <c r="N172" s="33">
        <f t="shared" si="2"/>
        <v>0</v>
      </c>
      <c r="P172" s="34"/>
      <c r="R172" s="34"/>
    </row>
    <row r="173" spans="1:18" s="8" customFormat="1" ht="49.9" customHeight="1" x14ac:dyDescent="0.2">
      <c r="A173" s="16">
        <v>162</v>
      </c>
      <c r="B173" s="219" t="s">
        <v>107</v>
      </c>
      <c r="C173" s="224"/>
      <c r="D173" s="225"/>
      <c r="E173" s="24">
        <v>1</v>
      </c>
      <c r="F173" s="25" t="s">
        <v>108</v>
      </c>
      <c r="G173" s="18" t="s">
        <v>15</v>
      </c>
      <c r="H173" s="242" t="s">
        <v>348</v>
      </c>
      <c r="I173" s="243"/>
      <c r="J173" s="19" t="s">
        <v>11</v>
      </c>
      <c r="L173" s="43" t="s">
        <v>382</v>
      </c>
      <c r="M173" s="53">
        <v>22770</v>
      </c>
      <c r="N173" s="33">
        <f t="shared" si="2"/>
        <v>227700</v>
      </c>
      <c r="O173" s="41" t="s">
        <v>395</v>
      </c>
      <c r="P173" s="52">
        <f>3361*7.5</f>
        <v>25207.5</v>
      </c>
      <c r="Q173" s="42" t="s">
        <v>373</v>
      </c>
      <c r="R173" s="56"/>
    </row>
    <row r="174" spans="1:18" s="8" customFormat="1" ht="49.9" customHeight="1" x14ac:dyDescent="0.2">
      <c r="A174" s="16">
        <v>163</v>
      </c>
      <c r="B174" s="219" t="s">
        <v>109</v>
      </c>
      <c r="C174" s="224"/>
      <c r="D174" s="225"/>
      <c r="E174" s="24">
        <v>3</v>
      </c>
      <c r="F174" s="25" t="s">
        <v>110</v>
      </c>
      <c r="G174" s="18" t="s">
        <v>15</v>
      </c>
      <c r="H174" s="222" t="s">
        <v>12</v>
      </c>
      <c r="I174" s="223"/>
      <c r="J174" s="19" t="s">
        <v>11</v>
      </c>
      <c r="L174" s="57" t="s">
        <v>396</v>
      </c>
      <c r="M174" s="53">
        <f>57.6*7.5*3</f>
        <v>1296</v>
      </c>
      <c r="N174" s="33">
        <f t="shared" si="2"/>
        <v>12960</v>
      </c>
      <c r="P174" s="34"/>
      <c r="R174" s="34"/>
    </row>
    <row r="175" spans="1:18" s="8" customFormat="1" ht="49.9" customHeight="1" x14ac:dyDescent="0.2">
      <c r="A175" s="16">
        <v>164</v>
      </c>
      <c r="B175" s="219" t="s">
        <v>111</v>
      </c>
      <c r="C175" s="224"/>
      <c r="D175" s="225"/>
      <c r="E175" s="24">
        <v>1</v>
      </c>
      <c r="F175" s="17"/>
      <c r="G175" s="18" t="s">
        <v>15</v>
      </c>
      <c r="H175" s="242" t="s">
        <v>349</v>
      </c>
      <c r="I175" s="243"/>
      <c r="J175" s="19" t="s">
        <v>11</v>
      </c>
      <c r="L175" s="42" t="s">
        <v>383</v>
      </c>
      <c r="M175" s="53">
        <f>1190*7.5</f>
        <v>8925</v>
      </c>
      <c r="N175" s="33">
        <f t="shared" si="2"/>
        <v>89250</v>
      </c>
      <c r="P175" s="34"/>
      <c r="R175" s="34"/>
    </row>
    <row r="176" spans="1:18" s="8" customFormat="1" ht="49.9" customHeight="1" x14ac:dyDescent="0.2">
      <c r="A176" s="16">
        <v>165</v>
      </c>
      <c r="B176" s="219" t="s">
        <v>112</v>
      </c>
      <c r="C176" s="224"/>
      <c r="D176" s="225"/>
      <c r="E176" s="24">
        <v>4</v>
      </c>
      <c r="F176" s="25" t="s">
        <v>113</v>
      </c>
      <c r="G176" s="18" t="s">
        <v>15</v>
      </c>
      <c r="H176" s="222" t="s">
        <v>12</v>
      </c>
      <c r="I176" s="223"/>
      <c r="J176" s="19" t="s">
        <v>11</v>
      </c>
      <c r="L176" s="43" t="s">
        <v>384</v>
      </c>
      <c r="M176" s="53">
        <f>60*4</f>
        <v>240</v>
      </c>
      <c r="N176" s="33">
        <f t="shared" si="2"/>
        <v>2400</v>
      </c>
      <c r="P176" s="34"/>
      <c r="R176" s="34"/>
    </row>
    <row r="177" spans="1:18" s="8" customFormat="1" ht="49.9" customHeight="1" x14ac:dyDescent="0.2">
      <c r="A177" s="16">
        <v>166</v>
      </c>
      <c r="B177" s="219" t="s">
        <v>114</v>
      </c>
      <c r="C177" s="224"/>
      <c r="D177" s="225"/>
      <c r="E177" s="24">
        <v>1</v>
      </c>
      <c r="F177" s="25" t="s">
        <v>115</v>
      </c>
      <c r="G177" s="18" t="s">
        <v>15</v>
      </c>
      <c r="H177" s="242" t="s">
        <v>339</v>
      </c>
      <c r="I177" s="243"/>
      <c r="J177" s="19" t="s">
        <v>11</v>
      </c>
      <c r="L177" s="43" t="s">
        <v>370</v>
      </c>
      <c r="M177" s="52">
        <v>2520</v>
      </c>
      <c r="N177" s="33">
        <f t="shared" si="2"/>
        <v>25200</v>
      </c>
      <c r="P177" s="34"/>
      <c r="R177" s="34"/>
    </row>
    <row r="178" spans="1:18" s="8" customFormat="1" ht="49.9" customHeight="1" x14ac:dyDescent="0.2">
      <c r="A178" s="16">
        <v>167</v>
      </c>
      <c r="B178" s="219" t="s">
        <v>238</v>
      </c>
      <c r="C178" s="224"/>
      <c r="D178" s="225"/>
      <c r="E178" s="24">
        <v>1</v>
      </c>
      <c r="F178" s="17"/>
      <c r="G178" s="18" t="s">
        <v>15</v>
      </c>
      <c r="H178" s="222" t="s">
        <v>12</v>
      </c>
      <c r="I178" s="223"/>
      <c r="J178" s="19" t="s">
        <v>11</v>
      </c>
      <c r="L178" s="43" t="s">
        <v>370</v>
      </c>
      <c r="M178" s="52">
        <v>100</v>
      </c>
      <c r="N178" s="33">
        <f t="shared" si="2"/>
        <v>1000</v>
      </c>
      <c r="P178" s="34"/>
      <c r="R178" s="34"/>
    </row>
    <row r="179" spans="1:18" s="8" customFormat="1" ht="49.9" customHeight="1" x14ac:dyDescent="0.2">
      <c r="A179" s="16">
        <v>168</v>
      </c>
      <c r="B179" s="219" t="s">
        <v>116</v>
      </c>
      <c r="C179" s="224"/>
      <c r="D179" s="225"/>
      <c r="E179" s="24">
        <v>2</v>
      </c>
      <c r="F179" s="17"/>
      <c r="G179" s="18" t="s">
        <v>15</v>
      </c>
      <c r="H179" s="222" t="s">
        <v>12</v>
      </c>
      <c r="I179" s="223"/>
      <c r="J179" s="19" t="s">
        <v>11</v>
      </c>
      <c r="L179" s="43"/>
      <c r="M179" s="52">
        <v>5</v>
      </c>
      <c r="N179" s="33">
        <f t="shared" si="2"/>
        <v>50</v>
      </c>
      <c r="P179" s="34"/>
      <c r="R179" s="34"/>
    </row>
    <row r="180" spans="1:18" s="8" customFormat="1" ht="49.9" customHeight="1" x14ac:dyDescent="0.2">
      <c r="A180" s="16">
        <v>169</v>
      </c>
      <c r="B180" s="219" t="s">
        <v>117</v>
      </c>
      <c r="C180" s="224"/>
      <c r="D180" s="225"/>
      <c r="E180" s="24">
        <v>1</v>
      </c>
      <c r="F180" s="17"/>
      <c r="G180" s="18" t="s">
        <v>15</v>
      </c>
      <c r="H180" s="222" t="s">
        <v>12</v>
      </c>
      <c r="I180" s="223"/>
      <c r="J180" s="19" t="s">
        <v>11</v>
      </c>
      <c r="L180" s="43" t="s">
        <v>371</v>
      </c>
      <c r="M180" s="53">
        <v>1815</v>
      </c>
      <c r="N180" s="33">
        <f t="shared" si="2"/>
        <v>18150</v>
      </c>
      <c r="P180" s="34"/>
      <c r="R180" s="34"/>
    </row>
    <row r="181" spans="1:18" s="8" customFormat="1" ht="38.450000000000003" customHeight="1" x14ac:dyDescent="0.2">
      <c r="A181" s="16">
        <v>170</v>
      </c>
      <c r="B181" s="219" t="s">
        <v>118</v>
      </c>
      <c r="C181" s="224"/>
      <c r="D181" s="225"/>
      <c r="E181" s="24">
        <v>1</v>
      </c>
      <c r="F181" s="25" t="s">
        <v>119</v>
      </c>
      <c r="G181" s="18" t="s">
        <v>15</v>
      </c>
      <c r="H181" s="236" t="s">
        <v>351</v>
      </c>
      <c r="I181" s="237"/>
      <c r="J181" s="19" t="s">
        <v>11</v>
      </c>
      <c r="L181" s="43" t="s">
        <v>385</v>
      </c>
      <c r="M181" s="53">
        <f>532.95*7.5</f>
        <v>3997.1250000000005</v>
      </c>
      <c r="N181" s="33">
        <f t="shared" si="2"/>
        <v>39971.250000000007</v>
      </c>
      <c r="P181" s="34"/>
      <c r="R181" s="34"/>
    </row>
    <row r="182" spans="1:18" s="8" customFormat="1" ht="49.9" customHeight="1" x14ac:dyDescent="0.2">
      <c r="A182" s="16">
        <v>171</v>
      </c>
      <c r="B182" s="219" t="s">
        <v>120</v>
      </c>
      <c r="C182" s="224"/>
      <c r="D182" s="225"/>
      <c r="E182" s="24">
        <v>1</v>
      </c>
      <c r="F182" s="17"/>
      <c r="G182" s="18" t="s">
        <v>15</v>
      </c>
      <c r="H182" s="236" t="s">
        <v>352</v>
      </c>
      <c r="I182" s="237"/>
      <c r="J182" s="19" t="s">
        <v>11</v>
      </c>
      <c r="L182" s="41" t="s">
        <v>372</v>
      </c>
      <c r="M182" s="53">
        <v>16080</v>
      </c>
      <c r="N182" s="33">
        <f t="shared" si="2"/>
        <v>160800</v>
      </c>
      <c r="P182" s="34"/>
      <c r="R182" s="34"/>
    </row>
    <row r="183" spans="1:18" s="8" customFormat="1" ht="49.9" customHeight="1" x14ac:dyDescent="0.2">
      <c r="A183" s="16">
        <v>172</v>
      </c>
      <c r="B183" s="226" t="s">
        <v>121</v>
      </c>
      <c r="C183" s="227"/>
      <c r="D183" s="223"/>
      <c r="E183" s="26"/>
      <c r="F183" s="17"/>
      <c r="G183" s="17"/>
      <c r="H183" s="234"/>
      <c r="I183" s="235"/>
      <c r="J183" s="17"/>
      <c r="M183" s="34"/>
      <c r="N183" s="33">
        <f t="shared" si="2"/>
        <v>0</v>
      </c>
      <c r="P183" s="34"/>
      <c r="R183" s="34"/>
    </row>
    <row r="184" spans="1:18" s="8" customFormat="1" ht="49.9" customHeight="1" x14ac:dyDescent="0.2">
      <c r="A184" s="16">
        <v>173</v>
      </c>
      <c r="B184" s="219" t="s">
        <v>122</v>
      </c>
      <c r="C184" s="224"/>
      <c r="D184" s="225"/>
      <c r="E184" s="24">
        <v>1</v>
      </c>
      <c r="F184" s="25" t="s">
        <v>123</v>
      </c>
      <c r="G184" s="18" t="s">
        <v>15</v>
      </c>
      <c r="H184" s="222" t="s">
        <v>12</v>
      </c>
      <c r="I184" s="223"/>
      <c r="J184" s="19" t="s">
        <v>11</v>
      </c>
      <c r="L184" s="43" t="s">
        <v>385</v>
      </c>
      <c r="M184" s="54">
        <f>19.95*7.5</f>
        <v>149.625</v>
      </c>
      <c r="N184" s="33">
        <f t="shared" si="2"/>
        <v>1496.25</v>
      </c>
      <c r="P184" s="34"/>
      <c r="R184" s="34"/>
    </row>
    <row r="185" spans="1:18" s="8" customFormat="1" ht="49.9" customHeight="1" x14ac:dyDescent="0.2">
      <c r="A185" s="16">
        <v>174</v>
      </c>
      <c r="B185" s="219" t="s">
        <v>124</v>
      </c>
      <c r="C185" s="224"/>
      <c r="D185" s="225"/>
      <c r="E185" s="24">
        <v>2</v>
      </c>
      <c r="F185" s="25" t="s">
        <v>125</v>
      </c>
      <c r="G185" s="18" t="s">
        <v>15</v>
      </c>
      <c r="H185" s="222" t="s">
        <v>12</v>
      </c>
      <c r="I185" s="223"/>
      <c r="J185" s="19" t="s">
        <v>11</v>
      </c>
      <c r="L185" s="43" t="s">
        <v>385</v>
      </c>
      <c r="M185" s="54">
        <f>36*2*7.5</f>
        <v>540</v>
      </c>
      <c r="N185" s="33">
        <f t="shared" si="2"/>
        <v>5400</v>
      </c>
      <c r="P185" s="34"/>
      <c r="R185" s="34"/>
    </row>
    <row r="186" spans="1:18" s="8" customFormat="1" ht="49.9" customHeight="1" x14ac:dyDescent="0.2">
      <c r="A186" s="16">
        <v>175</v>
      </c>
      <c r="B186" s="219" t="s">
        <v>126</v>
      </c>
      <c r="C186" s="224"/>
      <c r="D186" s="225"/>
      <c r="E186" s="24">
        <v>1</v>
      </c>
      <c r="F186" s="25" t="s">
        <v>127</v>
      </c>
      <c r="G186" s="18" t="s">
        <v>15</v>
      </c>
      <c r="H186" s="222" t="s">
        <v>12</v>
      </c>
      <c r="I186" s="223"/>
      <c r="J186" s="19" t="s">
        <v>11</v>
      </c>
      <c r="L186" s="43" t="s">
        <v>392</v>
      </c>
      <c r="M186" s="54">
        <v>150</v>
      </c>
      <c r="N186" s="33">
        <f t="shared" si="2"/>
        <v>1500</v>
      </c>
      <c r="P186" s="34"/>
      <c r="R186" s="34"/>
    </row>
    <row r="187" spans="1:18" s="8" customFormat="1" ht="49.9" customHeight="1" x14ac:dyDescent="0.2">
      <c r="A187" s="16">
        <v>176</v>
      </c>
      <c r="B187" s="219" t="s">
        <v>128</v>
      </c>
      <c r="C187" s="224"/>
      <c r="D187" s="225"/>
      <c r="E187" s="24">
        <v>1</v>
      </c>
      <c r="F187" s="25" t="s">
        <v>129</v>
      </c>
      <c r="G187" s="18" t="s">
        <v>15</v>
      </c>
      <c r="H187" s="222" t="s">
        <v>12</v>
      </c>
      <c r="I187" s="223"/>
      <c r="J187" s="19" t="s">
        <v>11</v>
      </c>
      <c r="L187" s="43" t="s">
        <v>385</v>
      </c>
      <c r="M187" s="54">
        <f>15.25*7.5</f>
        <v>114.375</v>
      </c>
      <c r="N187" s="33">
        <f t="shared" si="2"/>
        <v>1143.75</v>
      </c>
      <c r="P187" s="34"/>
      <c r="R187" s="34"/>
    </row>
    <row r="188" spans="1:18" s="8" customFormat="1" ht="49.9" customHeight="1" x14ac:dyDescent="0.2">
      <c r="A188" s="16">
        <v>177</v>
      </c>
      <c r="B188" s="219" t="s">
        <v>130</v>
      </c>
      <c r="C188" s="224"/>
      <c r="D188" s="225"/>
      <c r="E188" s="24">
        <v>1</v>
      </c>
      <c r="F188" s="25" t="s">
        <v>131</v>
      </c>
      <c r="G188" s="18" t="s">
        <v>15</v>
      </c>
      <c r="H188" s="222" t="s">
        <v>12</v>
      </c>
      <c r="I188" s="223"/>
      <c r="J188" s="19" t="s">
        <v>11</v>
      </c>
      <c r="L188" s="43" t="s">
        <v>385</v>
      </c>
      <c r="M188" s="54">
        <f>15.2*7.5</f>
        <v>114</v>
      </c>
      <c r="N188" s="33">
        <f t="shared" si="2"/>
        <v>1140</v>
      </c>
      <c r="P188" s="34"/>
      <c r="R188" s="34"/>
    </row>
    <row r="189" spans="1:18" s="8" customFormat="1" ht="49.9" customHeight="1" x14ac:dyDescent="0.2">
      <c r="A189" s="16">
        <v>178</v>
      </c>
      <c r="B189" s="219" t="s">
        <v>132</v>
      </c>
      <c r="C189" s="224"/>
      <c r="D189" s="225"/>
      <c r="E189" s="24">
        <v>1</v>
      </c>
      <c r="F189" s="25" t="s">
        <v>133</v>
      </c>
      <c r="G189" s="18" t="s">
        <v>15</v>
      </c>
      <c r="H189" s="222" t="s">
        <v>12</v>
      </c>
      <c r="I189" s="223"/>
      <c r="J189" s="19" t="s">
        <v>11</v>
      </c>
      <c r="L189" s="43" t="s">
        <v>385</v>
      </c>
      <c r="M189" s="54">
        <f>30.4*7.5</f>
        <v>228</v>
      </c>
      <c r="N189" s="33">
        <f t="shared" si="2"/>
        <v>2280</v>
      </c>
      <c r="P189" s="34"/>
      <c r="R189" s="34"/>
    </row>
    <row r="190" spans="1:18" s="8" customFormat="1" ht="49.9" customHeight="1" x14ac:dyDescent="0.2">
      <c r="A190" s="16">
        <v>179</v>
      </c>
      <c r="B190" s="219" t="s">
        <v>134</v>
      </c>
      <c r="C190" s="224"/>
      <c r="D190" s="225"/>
      <c r="E190" s="24">
        <v>1</v>
      </c>
      <c r="F190" s="17"/>
      <c r="G190" s="18" t="s">
        <v>15</v>
      </c>
      <c r="H190" s="222" t="s">
        <v>12</v>
      </c>
      <c r="I190" s="223"/>
      <c r="J190" s="19" t="s">
        <v>11</v>
      </c>
      <c r="L190" s="43" t="s">
        <v>370</v>
      </c>
      <c r="M190" s="34"/>
      <c r="N190" s="33">
        <f t="shared" si="2"/>
        <v>0</v>
      </c>
      <c r="P190" s="34"/>
      <c r="R190" s="34"/>
    </row>
    <row r="191" spans="1:18" s="8" customFormat="1" ht="49.9" customHeight="1" x14ac:dyDescent="0.2">
      <c r="A191" s="16">
        <v>180</v>
      </c>
      <c r="B191" s="219" t="s">
        <v>135</v>
      </c>
      <c r="C191" s="224"/>
      <c r="D191" s="225"/>
      <c r="E191" s="24">
        <v>2</v>
      </c>
      <c r="F191" s="17"/>
      <c r="G191" s="18" t="s">
        <v>15</v>
      </c>
      <c r="H191" s="222" t="s">
        <v>12</v>
      </c>
      <c r="I191" s="223"/>
      <c r="J191" s="19" t="s">
        <v>11</v>
      </c>
      <c r="L191" s="43" t="s">
        <v>370</v>
      </c>
      <c r="M191" s="34"/>
      <c r="N191" s="33">
        <f t="shared" si="2"/>
        <v>0</v>
      </c>
      <c r="P191" s="34"/>
      <c r="R191" s="34"/>
    </row>
    <row r="192" spans="1:18" s="8" customFormat="1" ht="49.9" customHeight="1" x14ac:dyDescent="0.2">
      <c r="A192" s="16">
        <v>181</v>
      </c>
      <c r="B192" s="219" t="s">
        <v>136</v>
      </c>
      <c r="C192" s="224"/>
      <c r="D192" s="225"/>
      <c r="E192" s="24">
        <v>1</v>
      </c>
      <c r="F192" s="25" t="s">
        <v>137</v>
      </c>
      <c r="G192" s="18" t="s">
        <v>15</v>
      </c>
      <c r="H192" s="222" t="s">
        <v>12</v>
      </c>
      <c r="I192" s="223"/>
      <c r="J192" s="19" t="s">
        <v>11</v>
      </c>
      <c r="L192" s="43" t="s">
        <v>385</v>
      </c>
      <c r="M192" s="53">
        <f>195*7.5</f>
        <v>1462.5</v>
      </c>
      <c r="N192" s="33">
        <f t="shared" si="2"/>
        <v>14625</v>
      </c>
      <c r="P192" s="34"/>
      <c r="R192" s="34"/>
    </row>
    <row r="193" spans="1:18" s="8" customFormat="1" ht="49.9" customHeight="1" x14ac:dyDescent="0.2">
      <c r="A193" s="16">
        <v>182</v>
      </c>
      <c r="B193" s="219" t="s">
        <v>138</v>
      </c>
      <c r="C193" s="224"/>
      <c r="D193" s="225"/>
      <c r="E193" s="24">
        <v>1</v>
      </c>
      <c r="F193" s="17"/>
      <c r="G193" s="18" t="s">
        <v>15</v>
      </c>
      <c r="H193" s="222" t="s">
        <v>12</v>
      </c>
      <c r="I193" s="223"/>
      <c r="J193" s="19" t="s">
        <v>11</v>
      </c>
      <c r="L193" s="43" t="s">
        <v>370</v>
      </c>
      <c r="M193" s="34"/>
      <c r="N193" s="33">
        <f t="shared" si="2"/>
        <v>0</v>
      </c>
      <c r="P193" s="34"/>
      <c r="R193" s="34"/>
    </row>
    <row r="194" spans="1:18" s="8" customFormat="1" ht="49.9" customHeight="1" x14ac:dyDescent="0.2">
      <c r="A194" s="16">
        <v>183</v>
      </c>
      <c r="B194" s="219" t="s">
        <v>139</v>
      </c>
      <c r="C194" s="224"/>
      <c r="D194" s="225"/>
      <c r="E194" s="24">
        <v>1</v>
      </c>
      <c r="F194" s="17"/>
      <c r="G194" s="18" t="s">
        <v>15</v>
      </c>
      <c r="H194" s="222" t="s">
        <v>12</v>
      </c>
      <c r="I194" s="223"/>
      <c r="J194" s="19" t="s">
        <v>11</v>
      </c>
      <c r="L194" s="43" t="s">
        <v>370</v>
      </c>
      <c r="M194" s="52">
        <v>250</v>
      </c>
      <c r="N194" s="33">
        <f t="shared" si="2"/>
        <v>2500</v>
      </c>
      <c r="P194" s="34"/>
      <c r="R194" s="34"/>
    </row>
    <row r="195" spans="1:18" s="8" customFormat="1" ht="406.5" customHeight="1" x14ac:dyDescent="0.2">
      <c r="A195" s="277">
        <v>184</v>
      </c>
      <c r="B195" s="231" t="s">
        <v>276</v>
      </c>
      <c r="C195" s="232"/>
      <c r="D195" s="233"/>
      <c r="E195" s="292">
        <v>2</v>
      </c>
      <c r="F195" s="292" t="s">
        <v>244</v>
      </c>
      <c r="G195" s="294" t="s">
        <v>15</v>
      </c>
      <c r="H195" s="296" t="s">
        <v>350</v>
      </c>
      <c r="I195" s="297"/>
      <c r="J195" s="286" t="s">
        <v>11</v>
      </c>
      <c r="L195" s="238" t="s">
        <v>369</v>
      </c>
      <c r="M195" s="217">
        <f>11770*2</f>
        <v>23540</v>
      </c>
      <c r="N195" s="33">
        <f t="shared" si="2"/>
        <v>235400</v>
      </c>
      <c r="P195" s="34"/>
      <c r="R195" s="34"/>
    </row>
    <row r="196" spans="1:18" s="8" customFormat="1" ht="222.75" customHeight="1" x14ac:dyDescent="0.2">
      <c r="A196" s="278"/>
      <c r="B196" s="228" t="s">
        <v>277</v>
      </c>
      <c r="C196" s="229"/>
      <c r="D196" s="230"/>
      <c r="E196" s="293"/>
      <c r="F196" s="293"/>
      <c r="G196" s="295"/>
      <c r="H196" s="298"/>
      <c r="I196" s="299"/>
      <c r="J196" s="287"/>
      <c r="L196" s="238"/>
      <c r="M196" s="217"/>
      <c r="N196" s="33">
        <f t="shared" ref="N196:N209" si="3">+M196*$N$2</f>
        <v>0</v>
      </c>
      <c r="P196" s="34"/>
      <c r="R196" s="34"/>
    </row>
    <row r="197" spans="1:18" s="8" customFormat="1" ht="49.9" customHeight="1" x14ac:dyDescent="0.2">
      <c r="A197" s="16">
        <v>185</v>
      </c>
      <c r="B197" s="226" t="s">
        <v>140</v>
      </c>
      <c r="C197" s="227"/>
      <c r="D197" s="223"/>
      <c r="E197" s="26"/>
      <c r="F197" s="17"/>
      <c r="G197" s="17"/>
      <c r="H197" s="234"/>
      <c r="I197" s="235"/>
      <c r="J197" s="17"/>
      <c r="M197" s="34"/>
      <c r="N197" s="33">
        <f t="shared" si="3"/>
        <v>0</v>
      </c>
      <c r="P197" s="34"/>
      <c r="R197" s="34"/>
    </row>
    <row r="198" spans="1:18" s="8" customFormat="1" ht="49.9" customHeight="1" x14ac:dyDescent="0.2">
      <c r="A198" s="16">
        <v>186</v>
      </c>
      <c r="B198" s="219" t="s">
        <v>141</v>
      </c>
      <c r="C198" s="224"/>
      <c r="D198" s="225"/>
      <c r="E198" s="24">
        <v>2</v>
      </c>
      <c r="F198" s="17"/>
      <c r="G198" s="18" t="s">
        <v>15</v>
      </c>
      <c r="H198" s="222" t="s">
        <v>12</v>
      </c>
      <c r="I198" s="223"/>
      <c r="J198" s="19" t="s">
        <v>11</v>
      </c>
      <c r="L198" s="43" t="s">
        <v>386</v>
      </c>
      <c r="M198" s="53">
        <f>50*7.5*2</f>
        <v>750</v>
      </c>
      <c r="N198" s="33">
        <f t="shared" si="3"/>
        <v>7500</v>
      </c>
      <c r="P198" s="34"/>
      <c r="R198" s="34"/>
    </row>
    <row r="199" spans="1:18" s="8" customFormat="1" ht="49.9" customHeight="1" x14ac:dyDescent="0.2">
      <c r="A199" s="16">
        <v>187</v>
      </c>
      <c r="B199" s="219" t="s">
        <v>142</v>
      </c>
      <c r="C199" s="224"/>
      <c r="D199" s="225"/>
      <c r="E199" s="24">
        <v>2</v>
      </c>
      <c r="F199" s="17"/>
      <c r="G199" s="18" t="s">
        <v>15</v>
      </c>
      <c r="H199" s="222" t="s">
        <v>12</v>
      </c>
      <c r="I199" s="223"/>
      <c r="J199" s="19" t="s">
        <v>11</v>
      </c>
      <c r="L199" s="43"/>
      <c r="M199" s="34"/>
      <c r="N199" s="33">
        <f t="shared" si="3"/>
        <v>0</v>
      </c>
      <c r="P199" s="34"/>
      <c r="R199" s="34"/>
    </row>
    <row r="200" spans="1:18" s="8" customFormat="1" ht="49.9" customHeight="1" x14ac:dyDescent="0.2">
      <c r="A200" s="16">
        <v>188</v>
      </c>
      <c r="B200" s="219" t="s">
        <v>143</v>
      </c>
      <c r="C200" s="224"/>
      <c r="D200" s="225"/>
      <c r="E200" s="24">
        <v>1</v>
      </c>
      <c r="F200" s="17"/>
      <c r="G200" s="18" t="s">
        <v>15</v>
      </c>
      <c r="H200" s="222" t="s">
        <v>12</v>
      </c>
      <c r="I200" s="223"/>
      <c r="J200" s="19" t="s">
        <v>11</v>
      </c>
      <c r="L200" s="42" t="s">
        <v>370</v>
      </c>
      <c r="M200" s="34"/>
      <c r="N200" s="33">
        <f t="shared" si="3"/>
        <v>0</v>
      </c>
      <c r="P200" s="34"/>
      <c r="R200" s="34"/>
    </row>
    <row r="201" spans="1:18" s="8" customFormat="1" ht="49.9" customHeight="1" x14ac:dyDescent="0.2">
      <c r="A201" s="16">
        <v>189</v>
      </c>
      <c r="B201" s="219" t="s">
        <v>144</v>
      </c>
      <c r="C201" s="224"/>
      <c r="D201" s="225"/>
      <c r="E201" s="24">
        <v>1</v>
      </c>
      <c r="F201" s="17"/>
      <c r="G201" s="18" t="s">
        <v>15</v>
      </c>
      <c r="H201" s="222" t="s">
        <v>12</v>
      </c>
      <c r="I201" s="223"/>
      <c r="J201" s="19" t="s">
        <v>11</v>
      </c>
      <c r="L201" s="42" t="s">
        <v>370</v>
      </c>
      <c r="M201" s="34"/>
      <c r="N201" s="33">
        <f t="shared" si="3"/>
        <v>0</v>
      </c>
      <c r="P201" s="34"/>
      <c r="R201" s="34"/>
    </row>
    <row r="202" spans="1:18" s="8" customFormat="1" ht="49.9" customHeight="1" x14ac:dyDescent="0.2">
      <c r="A202" s="16">
        <v>190</v>
      </c>
      <c r="B202" s="219" t="s">
        <v>145</v>
      </c>
      <c r="C202" s="224"/>
      <c r="D202" s="225"/>
      <c r="E202" s="24">
        <v>1</v>
      </c>
      <c r="F202" s="17"/>
      <c r="G202" s="18" t="s">
        <v>15</v>
      </c>
      <c r="H202" s="222" t="s">
        <v>12</v>
      </c>
      <c r="I202" s="223"/>
      <c r="J202" s="19" t="s">
        <v>11</v>
      </c>
      <c r="L202" s="42" t="s">
        <v>370</v>
      </c>
      <c r="M202" s="34"/>
      <c r="N202" s="33">
        <f t="shared" si="3"/>
        <v>0</v>
      </c>
      <c r="P202" s="34"/>
      <c r="R202" s="34"/>
    </row>
    <row r="203" spans="1:18" s="8" customFormat="1" ht="201" customHeight="1" x14ac:dyDescent="0.2">
      <c r="A203" s="16">
        <v>191</v>
      </c>
      <c r="B203" s="219" t="s">
        <v>278</v>
      </c>
      <c r="C203" s="224"/>
      <c r="D203" s="225"/>
      <c r="E203" s="24"/>
      <c r="F203" s="17"/>
      <c r="G203" s="18" t="s">
        <v>15</v>
      </c>
      <c r="H203" s="236" t="s">
        <v>325</v>
      </c>
      <c r="I203" s="237"/>
      <c r="J203" s="19" t="s">
        <v>11</v>
      </c>
      <c r="M203" s="34"/>
      <c r="N203" s="33">
        <f t="shared" si="3"/>
        <v>0</v>
      </c>
      <c r="P203" s="34"/>
      <c r="R203" s="34"/>
    </row>
    <row r="204" spans="1:18" s="8" customFormat="1" ht="263.45" customHeight="1" x14ac:dyDescent="0.2">
      <c r="A204" s="16">
        <v>192</v>
      </c>
      <c r="B204" s="219" t="s">
        <v>222</v>
      </c>
      <c r="C204" s="224"/>
      <c r="D204" s="225"/>
      <c r="E204" s="24"/>
      <c r="F204" s="17"/>
      <c r="G204" s="18" t="s">
        <v>15</v>
      </c>
      <c r="H204" s="222" t="s">
        <v>12</v>
      </c>
      <c r="I204" s="223"/>
      <c r="J204" s="19" t="s">
        <v>11</v>
      </c>
      <c r="M204" s="34"/>
      <c r="N204" s="33">
        <f t="shared" si="3"/>
        <v>0</v>
      </c>
      <c r="P204" s="34"/>
      <c r="R204" s="34"/>
    </row>
    <row r="205" spans="1:18" s="8" customFormat="1" ht="212.45" customHeight="1" x14ac:dyDescent="0.2">
      <c r="A205" s="16">
        <v>193</v>
      </c>
      <c r="B205" s="219" t="s">
        <v>279</v>
      </c>
      <c r="C205" s="246"/>
      <c r="D205" s="247"/>
      <c r="E205" s="24"/>
      <c r="F205" s="17"/>
      <c r="G205" s="18" t="s">
        <v>15</v>
      </c>
      <c r="H205" s="222" t="s">
        <v>12</v>
      </c>
      <c r="I205" s="223"/>
      <c r="J205" s="19" t="s">
        <v>11</v>
      </c>
      <c r="M205" s="34"/>
      <c r="N205" s="33">
        <f t="shared" si="3"/>
        <v>0</v>
      </c>
      <c r="P205" s="34"/>
      <c r="R205" s="34"/>
    </row>
    <row r="206" spans="1:18" s="8" customFormat="1" ht="266.25" customHeight="1" x14ac:dyDescent="0.2">
      <c r="A206" s="28">
        <v>194</v>
      </c>
      <c r="B206" s="219" t="s">
        <v>285</v>
      </c>
      <c r="C206" s="220"/>
      <c r="D206" s="221"/>
      <c r="E206" s="29"/>
      <c r="F206" s="17"/>
      <c r="G206" s="18" t="s">
        <v>15</v>
      </c>
      <c r="H206" s="222" t="s">
        <v>12</v>
      </c>
      <c r="I206" s="223"/>
      <c r="J206" s="19" t="s">
        <v>11</v>
      </c>
      <c r="M206" s="34"/>
      <c r="N206" s="33">
        <f t="shared" si="3"/>
        <v>0</v>
      </c>
      <c r="P206" s="34"/>
      <c r="R206" s="34"/>
    </row>
    <row r="207" spans="1:18" s="8" customFormat="1" ht="188.25" customHeight="1" x14ac:dyDescent="0.2">
      <c r="A207" s="16">
        <v>195</v>
      </c>
      <c r="B207" s="219" t="s">
        <v>195</v>
      </c>
      <c r="C207" s="224"/>
      <c r="D207" s="225"/>
      <c r="E207" s="24"/>
      <c r="F207" s="17"/>
      <c r="G207" s="18" t="s">
        <v>15</v>
      </c>
      <c r="H207" s="222" t="s">
        <v>12</v>
      </c>
      <c r="I207" s="223"/>
      <c r="J207" s="19" t="s">
        <v>11</v>
      </c>
      <c r="M207" s="34"/>
      <c r="N207" s="33">
        <f t="shared" si="3"/>
        <v>0</v>
      </c>
      <c r="P207" s="34"/>
      <c r="R207" s="34"/>
    </row>
    <row r="208" spans="1:18" s="8" customFormat="1" ht="94.9" customHeight="1" x14ac:dyDescent="0.2">
      <c r="A208" s="16">
        <v>196</v>
      </c>
      <c r="B208" s="219" t="s">
        <v>284</v>
      </c>
      <c r="C208" s="224"/>
      <c r="D208" s="225"/>
      <c r="E208" s="24"/>
      <c r="F208" s="17"/>
      <c r="G208" s="18" t="s">
        <v>15</v>
      </c>
      <c r="H208" s="222" t="s">
        <v>12</v>
      </c>
      <c r="I208" s="223"/>
      <c r="J208" s="19" t="s">
        <v>11</v>
      </c>
      <c r="M208" s="34"/>
      <c r="N208" s="33">
        <f t="shared" si="3"/>
        <v>0</v>
      </c>
      <c r="P208" s="34"/>
      <c r="R208" s="34"/>
    </row>
    <row r="209" spans="1:18" s="8" customFormat="1" ht="150" customHeight="1" x14ac:dyDescent="0.2">
      <c r="A209" s="16">
        <v>197</v>
      </c>
      <c r="B209" s="219" t="s">
        <v>206</v>
      </c>
      <c r="C209" s="224"/>
      <c r="D209" s="225"/>
      <c r="E209" s="24" t="s">
        <v>39</v>
      </c>
      <c r="F209" s="17"/>
      <c r="G209" s="18" t="s">
        <v>15</v>
      </c>
      <c r="H209" s="222" t="s">
        <v>12</v>
      </c>
      <c r="I209" s="223"/>
      <c r="J209" s="19" t="s">
        <v>11</v>
      </c>
      <c r="M209" s="34"/>
      <c r="N209" s="33">
        <f t="shared" si="3"/>
        <v>0</v>
      </c>
      <c r="P209" s="34"/>
      <c r="R209" s="34"/>
    </row>
    <row r="210" spans="1:18" ht="58.5" customHeight="1" x14ac:dyDescent="0.35">
      <c r="A210" s="5"/>
      <c r="B210" s="2"/>
      <c r="C210" s="2"/>
      <c r="D210" s="2"/>
      <c r="E210" s="6"/>
      <c r="F210" s="2"/>
      <c r="G210" s="3"/>
      <c r="H210" s="4"/>
      <c r="I210" s="4"/>
      <c r="J210" s="4"/>
      <c r="M210" s="36">
        <f>SUM(M2:M209)</f>
        <v>319786.58999999997</v>
      </c>
      <c r="N210" s="36">
        <f>SUM(N2:N209)</f>
        <v>3197875.9</v>
      </c>
    </row>
  </sheetData>
  <mergeCells count="430">
    <mergeCell ref="H61:I61"/>
    <mergeCell ref="B61:D61"/>
    <mergeCell ref="H101:I101"/>
    <mergeCell ref="B103:D103"/>
    <mergeCell ref="B66:D66"/>
    <mergeCell ref="B105:D105"/>
    <mergeCell ref="H75:I75"/>
    <mergeCell ref="B81:D81"/>
    <mergeCell ref="H81:I81"/>
    <mergeCell ref="B89:D89"/>
    <mergeCell ref="H89:I89"/>
    <mergeCell ref="H91:I91"/>
    <mergeCell ref="H93:I93"/>
    <mergeCell ref="H83:I83"/>
    <mergeCell ref="B84:D84"/>
    <mergeCell ref="B80:D80"/>
    <mergeCell ref="B95:D95"/>
    <mergeCell ref="B96:D96"/>
    <mergeCell ref="H105:I105"/>
    <mergeCell ref="H80:I80"/>
    <mergeCell ref="B102:D102"/>
    <mergeCell ref="H102:I102"/>
    <mergeCell ref="B83:D83"/>
    <mergeCell ref="H95:I95"/>
    <mergeCell ref="B43:D43"/>
    <mergeCell ref="H104:I104"/>
    <mergeCell ref="B145:D145"/>
    <mergeCell ref="B143:D143"/>
    <mergeCell ref="B111:D111"/>
    <mergeCell ref="H111:I111"/>
    <mergeCell ref="B112:D112"/>
    <mergeCell ref="B113:D113"/>
    <mergeCell ref="H113:I113"/>
    <mergeCell ref="B114:D114"/>
    <mergeCell ref="H114:I114"/>
    <mergeCell ref="H129:I129"/>
    <mergeCell ref="H126:I126"/>
    <mergeCell ref="H136:I136"/>
    <mergeCell ref="B71:D71"/>
    <mergeCell ref="H71:I71"/>
    <mergeCell ref="B65:D65"/>
    <mergeCell ref="H88:I88"/>
    <mergeCell ref="H141:I141"/>
    <mergeCell ref="B131:D131"/>
    <mergeCell ref="B125:D125"/>
    <mergeCell ref="B57:D57"/>
    <mergeCell ref="B91:D91"/>
    <mergeCell ref="H63:I63"/>
    <mergeCell ref="J107:J108"/>
    <mergeCell ref="B110:D110"/>
    <mergeCell ref="H110:I110"/>
    <mergeCell ref="B130:D130"/>
    <mergeCell ref="B182:D182"/>
    <mergeCell ref="A195:A196"/>
    <mergeCell ref="E195:E196"/>
    <mergeCell ref="F195:F196"/>
    <mergeCell ref="G195:G196"/>
    <mergeCell ref="H195:I196"/>
    <mergeCell ref="H138:I138"/>
    <mergeCell ref="H139:I139"/>
    <mergeCell ref="B135:D135"/>
    <mergeCell ref="H123:I123"/>
    <mergeCell ref="B138:D138"/>
    <mergeCell ref="B139:D139"/>
    <mergeCell ref="H134:I134"/>
    <mergeCell ref="B134:D134"/>
    <mergeCell ref="B127:D127"/>
    <mergeCell ref="B133:D133"/>
    <mergeCell ref="B136:D136"/>
    <mergeCell ref="B137:D137"/>
    <mergeCell ref="H151:I151"/>
    <mergeCell ref="B124:D124"/>
    <mergeCell ref="B69:D69"/>
    <mergeCell ref="B63:D63"/>
    <mergeCell ref="H69:I69"/>
    <mergeCell ref="J195:J196"/>
    <mergeCell ref="H107:I108"/>
    <mergeCell ref="B153:D153"/>
    <mergeCell ref="H153:I153"/>
    <mergeCell ref="B158:D158"/>
    <mergeCell ref="H158:I158"/>
    <mergeCell ref="B162:D162"/>
    <mergeCell ref="H162:I162"/>
    <mergeCell ref="B172:D172"/>
    <mergeCell ref="H172:I172"/>
    <mergeCell ref="B183:D183"/>
    <mergeCell ref="B126:D126"/>
    <mergeCell ref="H127:I127"/>
    <mergeCell ref="B115:D115"/>
    <mergeCell ref="H115:I115"/>
    <mergeCell ref="H112:I112"/>
    <mergeCell ref="B109:D109"/>
    <mergeCell ref="H125:I125"/>
    <mergeCell ref="B123:D123"/>
    <mergeCell ref="B154:D154"/>
    <mergeCell ref="B155:D155"/>
    <mergeCell ref="B88:D88"/>
    <mergeCell ref="B99:D99"/>
    <mergeCell ref="H68:I68"/>
    <mergeCell ref="B36:D36"/>
    <mergeCell ref="H59:I59"/>
    <mergeCell ref="B49:D49"/>
    <mergeCell ref="B86:D86"/>
    <mergeCell ref="H65:I65"/>
    <mergeCell ref="B58:D58"/>
    <mergeCell ref="B78:D78"/>
    <mergeCell ref="H55:I55"/>
    <mergeCell ref="B93:D93"/>
    <mergeCell ref="H58:I58"/>
    <mergeCell ref="H66:I66"/>
    <mergeCell ref="H78:I78"/>
    <mergeCell ref="B60:D60"/>
    <mergeCell ref="H60:I60"/>
    <mergeCell ref="B73:D73"/>
    <mergeCell ref="H73:I73"/>
    <mergeCell ref="B90:D90"/>
    <mergeCell ref="H90:I90"/>
    <mergeCell ref="H70:I70"/>
    <mergeCell ref="H64:I64"/>
    <mergeCell ref="B87:D87"/>
    <mergeCell ref="H43:I43"/>
    <mergeCell ref="H26:I26"/>
    <mergeCell ref="B27:D27"/>
    <mergeCell ref="A107:A108"/>
    <mergeCell ref="E107:E108"/>
    <mergeCell ref="F107:F108"/>
    <mergeCell ref="G107:G108"/>
    <mergeCell ref="B67:D67"/>
    <mergeCell ref="H67:I67"/>
    <mergeCell ref="B76:D76"/>
    <mergeCell ref="H76:I76"/>
    <mergeCell ref="B77:D77"/>
    <mergeCell ref="H77:I77"/>
    <mergeCell ref="B85:D85"/>
    <mergeCell ref="H85:I85"/>
    <mergeCell ref="B82:D82"/>
    <mergeCell ref="H82:I82"/>
    <mergeCell ref="B79:D79"/>
    <mergeCell ref="H79:I79"/>
    <mergeCell ref="H84:I84"/>
    <mergeCell ref="H86:I86"/>
    <mergeCell ref="H96:I96"/>
    <mergeCell ref="B97:D97"/>
    <mergeCell ref="H97:I97"/>
    <mergeCell ref="B22:D22"/>
    <mergeCell ref="B24:D24"/>
    <mergeCell ref="B34:D34"/>
    <mergeCell ref="H20:I20"/>
    <mergeCell ref="B42:D42"/>
    <mergeCell ref="B26:D26"/>
    <mergeCell ref="B20:D20"/>
    <mergeCell ref="B21:D21"/>
    <mergeCell ref="B33:D33"/>
    <mergeCell ref="H28:I28"/>
    <mergeCell ref="B29:D29"/>
    <mergeCell ref="B30:D30"/>
    <mergeCell ref="H29:I29"/>
    <mergeCell ref="H30:I30"/>
    <mergeCell ref="B31:D31"/>
    <mergeCell ref="H31:I31"/>
    <mergeCell ref="B32:D32"/>
    <mergeCell ref="H32:I32"/>
    <mergeCell ref="B94:D94"/>
    <mergeCell ref="H94:I94"/>
    <mergeCell ref="B59:D59"/>
    <mergeCell ref="H37:I37"/>
    <mergeCell ref="H36:I36"/>
    <mergeCell ref="H57:I57"/>
    <mergeCell ref="B41:D41"/>
    <mergeCell ref="B44:D44"/>
    <mergeCell ref="B46:D46"/>
    <mergeCell ref="H46:I46"/>
    <mergeCell ref="B50:D50"/>
    <mergeCell ref="H50:I50"/>
    <mergeCell ref="B56:D56"/>
    <mergeCell ref="H56:I56"/>
    <mergeCell ref="B55:D55"/>
    <mergeCell ref="B62:D62"/>
    <mergeCell ref="B75:D75"/>
    <mergeCell ref="H41:I41"/>
    <mergeCell ref="H42:I42"/>
    <mergeCell ref="H44:I44"/>
    <mergeCell ref="B38:D38"/>
    <mergeCell ref="H38:I38"/>
    <mergeCell ref="B39:D39"/>
    <mergeCell ref="H39:I39"/>
    <mergeCell ref="I1:J1"/>
    <mergeCell ref="I2:J2"/>
    <mergeCell ref="A6:C6"/>
    <mergeCell ref="D6:J6"/>
    <mergeCell ref="A1:B1"/>
    <mergeCell ref="D1:H2"/>
    <mergeCell ref="A2:B2"/>
    <mergeCell ref="I4:J4"/>
    <mergeCell ref="A3:C4"/>
    <mergeCell ref="D3:H4"/>
    <mergeCell ref="A5:C5"/>
    <mergeCell ref="D5:J5"/>
    <mergeCell ref="I3:J3"/>
    <mergeCell ref="B121:D121"/>
    <mergeCell ref="H121:I121"/>
    <mergeCell ref="B74:D74"/>
    <mergeCell ref="D8:J8"/>
    <mergeCell ref="A7:C7"/>
    <mergeCell ref="A8:C8"/>
    <mergeCell ref="D7:J7"/>
    <mergeCell ref="H10:I10"/>
    <mergeCell ref="A9:D10"/>
    <mergeCell ref="G9:J9"/>
    <mergeCell ref="B14:D14"/>
    <mergeCell ref="H74:I74"/>
    <mergeCell ref="B12:D12"/>
    <mergeCell ref="H12:I12"/>
    <mergeCell ref="B16:D16"/>
    <mergeCell ref="H16:I16"/>
    <mergeCell ref="B15:D15"/>
    <mergeCell ref="H15:I15"/>
    <mergeCell ref="H14:I14"/>
    <mergeCell ref="B13:D13"/>
    <mergeCell ref="H13:I13"/>
    <mergeCell ref="H62:I62"/>
    <mergeCell ref="B64:D64"/>
    <mergeCell ref="H24:I24"/>
    <mergeCell ref="H11:I11"/>
    <mergeCell ref="B11:D11"/>
    <mergeCell ref="B18:D18"/>
    <mergeCell ref="H18:I18"/>
    <mergeCell ref="B19:D19"/>
    <mergeCell ref="B17:D17"/>
    <mergeCell ref="B117:D117"/>
    <mergeCell ref="H117:I117"/>
    <mergeCell ref="B118:D118"/>
    <mergeCell ref="H118:I118"/>
    <mergeCell ref="H23:I23"/>
    <mergeCell ref="B106:D106"/>
    <mergeCell ref="H106:I106"/>
    <mergeCell ref="B104:D104"/>
    <mergeCell ref="H34:I34"/>
    <mergeCell ref="B23:D23"/>
    <mergeCell ref="B25:D25"/>
    <mergeCell ref="H27:I27"/>
    <mergeCell ref="B28:D28"/>
    <mergeCell ref="H87:I87"/>
    <mergeCell ref="B98:D98"/>
    <mergeCell ref="H98:I98"/>
    <mergeCell ref="B92:D92"/>
    <mergeCell ref="H92:I92"/>
    <mergeCell ref="B107:D107"/>
    <mergeCell ref="H142:I142"/>
    <mergeCell ref="B141:D141"/>
    <mergeCell ref="B142:D142"/>
    <mergeCell ref="H116:I116"/>
    <mergeCell ref="B116:D116"/>
    <mergeCell ref="H149:I149"/>
    <mergeCell ref="H109:I109"/>
    <mergeCell ref="B122:D122"/>
    <mergeCell ref="H122:I122"/>
    <mergeCell ref="H124:I124"/>
    <mergeCell ref="H133:I133"/>
    <mergeCell ref="H130:I130"/>
    <mergeCell ref="B128:D128"/>
    <mergeCell ref="B132:D132"/>
    <mergeCell ref="H131:I131"/>
    <mergeCell ref="H132:I132"/>
    <mergeCell ref="B108:D108"/>
    <mergeCell ref="H128:I128"/>
    <mergeCell ref="B129:D129"/>
    <mergeCell ref="B119:D119"/>
    <mergeCell ref="H119:I119"/>
    <mergeCell ref="B120:D120"/>
    <mergeCell ref="H120:I120"/>
    <mergeCell ref="B208:D208"/>
    <mergeCell ref="B202:D202"/>
    <mergeCell ref="B175:D175"/>
    <mergeCell ref="B176:D176"/>
    <mergeCell ref="H174:I174"/>
    <mergeCell ref="H175:I175"/>
    <mergeCell ref="H173:I173"/>
    <mergeCell ref="B169:D169"/>
    <mergeCell ref="H143:I143"/>
    <mergeCell ref="B148:D148"/>
    <mergeCell ref="B156:D156"/>
    <mergeCell ref="H156:I156"/>
    <mergeCell ref="H157:I157"/>
    <mergeCell ref="B207:D207"/>
    <mergeCell ref="H207:I207"/>
    <mergeCell ref="B205:D205"/>
    <mergeCell ref="H205:I205"/>
    <mergeCell ref="H184:I184"/>
    <mergeCell ref="H185:I185"/>
    <mergeCell ref="H186:I186"/>
    <mergeCell ref="H187:I187"/>
    <mergeCell ref="H197:I197"/>
    <mergeCell ref="H190:I190"/>
    <mergeCell ref="B190:D190"/>
    <mergeCell ref="H170:I170"/>
    <mergeCell ref="H171:I171"/>
    <mergeCell ref="B157:D157"/>
    <mergeCell ref="H148:I148"/>
    <mergeCell ref="B161:D161"/>
    <mergeCell ref="B163:D163"/>
    <mergeCell ref="H150:I150"/>
    <mergeCell ref="B164:D164"/>
    <mergeCell ref="B160:D160"/>
    <mergeCell ref="H159:I159"/>
    <mergeCell ref="H160:I160"/>
    <mergeCell ref="H161:I161"/>
    <mergeCell ref="H163:I163"/>
    <mergeCell ref="H164:I164"/>
    <mergeCell ref="H152:I152"/>
    <mergeCell ref="H17:I17"/>
    <mergeCell ref="B72:D72"/>
    <mergeCell ref="H72:I72"/>
    <mergeCell ref="B53:D53"/>
    <mergeCell ref="H53:I53"/>
    <mergeCell ref="B54:D54"/>
    <mergeCell ref="H54:I54"/>
    <mergeCell ref="B45:D45"/>
    <mergeCell ref="H45:I45"/>
    <mergeCell ref="B47:D47"/>
    <mergeCell ref="H47:I47"/>
    <mergeCell ref="B48:D48"/>
    <mergeCell ref="H48:I48"/>
    <mergeCell ref="B70:D70"/>
    <mergeCell ref="H25:I25"/>
    <mergeCell ref="B35:D35"/>
    <mergeCell ref="H35:I35"/>
    <mergeCell ref="H33:I33"/>
    <mergeCell ref="B52:D52"/>
    <mergeCell ref="H19:I19"/>
    <mergeCell ref="H21:I21"/>
    <mergeCell ref="B40:D40"/>
    <mergeCell ref="H40:I40"/>
    <mergeCell ref="H22:I22"/>
    <mergeCell ref="H52:I52"/>
    <mergeCell ref="B51:D51"/>
    <mergeCell ref="B37:D37"/>
    <mergeCell ref="H49:I49"/>
    <mergeCell ref="B68:D68"/>
    <mergeCell ref="H51:I51"/>
    <mergeCell ref="B173:D173"/>
    <mergeCell ref="H103:I103"/>
    <mergeCell ref="H154:I154"/>
    <mergeCell ref="B152:D152"/>
    <mergeCell ref="H165:I165"/>
    <mergeCell ref="B147:D147"/>
    <mergeCell ref="B150:D150"/>
    <mergeCell ref="H99:I99"/>
    <mergeCell ref="B100:D100"/>
    <mergeCell ref="H100:I100"/>
    <mergeCell ref="B101:D101"/>
    <mergeCell ref="H155:I155"/>
    <mergeCell ref="B159:D159"/>
    <mergeCell ref="B165:D165"/>
    <mergeCell ref="B166:D166"/>
    <mergeCell ref="B167:D167"/>
    <mergeCell ref="B168:D168"/>
    <mergeCell ref="B170:D170"/>
    <mergeCell ref="L195:L196"/>
    <mergeCell ref="H137:I137"/>
    <mergeCell ref="B151:D151"/>
    <mergeCell ref="H135:I135"/>
    <mergeCell ref="B140:D140"/>
    <mergeCell ref="H140:I140"/>
    <mergeCell ref="B149:D149"/>
    <mergeCell ref="B144:D144"/>
    <mergeCell ref="B146:D146"/>
    <mergeCell ref="B191:D191"/>
    <mergeCell ref="B181:D181"/>
    <mergeCell ref="H178:I178"/>
    <mergeCell ref="H180:I180"/>
    <mergeCell ref="H181:I181"/>
    <mergeCell ref="B180:D180"/>
    <mergeCell ref="H166:I166"/>
    <mergeCell ref="H167:I167"/>
    <mergeCell ref="H179:I179"/>
    <mergeCell ref="H177:I177"/>
    <mergeCell ref="H144:I144"/>
    <mergeCell ref="H145:I145"/>
    <mergeCell ref="H146:I146"/>
    <mergeCell ref="H147:I147"/>
    <mergeCell ref="B171:D171"/>
    <mergeCell ref="B174:D174"/>
    <mergeCell ref="B194:D194"/>
    <mergeCell ref="H209:I209"/>
    <mergeCell ref="H193:I193"/>
    <mergeCell ref="H194:I194"/>
    <mergeCell ref="H198:I198"/>
    <mergeCell ref="H204:I204"/>
    <mergeCell ref="H192:I192"/>
    <mergeCell ref="H200:I200"/>
    <mergeCell ref="H208:I208"/>
    <mergeCell ref="H191:I191"/>
    <mergeCell ref="B189:D189"/>
    <mergeCell ref="H183:I183"/>
    <mergeCell ref="H182:I182"/>
    <mergeCell ref="H176:I176"/>
    <mergeCell ref="H189:I189"/>
    <mergeCell ref="B187:D187"/>
    <mergeCell ref="B188:D188"/>
    <mergeCell ref="H199:I199"/>
    <mergeCell ref="H203:I203"/>
    <mergeCell ref="B192:D192"/>
    <mergeCell ref="B200:D200"/>
    <mergeCell ref="H201:I201"/>
    <mergeCell ref="B201:D201"/>
    <mergeCell ref="M195:M196"/>
    <mergeCell ref="L107:L108"/>
    <mergeCell ref="M107:M108"/>
    <mergeCell ref="B206:D206"/>
    <mergeCell ref="H206:I206"/>
    <mergeCell ref="B209:D209"/>
    <mergeCell ref="H202:I202"/>
    <mergeCell ref="B184:D184"/>
    <mergeCell ref="H188:I188"/>
    <mergeCell ref="H168:I168"/>
    <mergeCell ref="H169:I169"/>
    <mergeCell ref="B177:D177"/>
    <mergeCell ref="B178:D178"/>
    <mergeCell ref="B179:D179"/>
    <mergeCell ref="B199:D199"/>
    <mergeCell ref="B185:D185"/>
    <mergeCell ref="B186:D186"/>
    <mergeCell ref="B204:D204"/>
    <mergeCell ref="B203:D203"/>
    <mergeCell ref="B197:D197"/>
    <mergeCell ref="B196:D196"/>
    <mergeCell ref="B195:D195"/>
    <mergeCell ref="B198:D198"/>
    <mergeCell ref="B193:D193"/>
  </mergeCells>
  <phoneticPr fontId="2" type="noConversion"/>
  <printOptions horizontalCentered="1"/>
  <pageMargins left="0.15748031496062992" right="0.15748031496062992" top="0.47244094488188981" bottom="0.35433070866141736" header="0.19685039370078741" footer="0.23622047244094491"/>
  <pageSetup paperSize="9" scale="80" fitToHeight="0" orientation="landscape" r:id="rId1"/>
  <headerFooter alignWithMargins="0">
    <oddHeader>&amp;R&amp;"Arial,Podebljano"&amp;12NEKLASIFICIRANO</oddHeader>
    <oddFooter>&amp;Cstranica &amp;P od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
  <sheetViews>
    <sheetView workbookViewId="0">
      <selection activeCell="B7" sqref="B7:E7"/>
    </sheetView>
  </sheetViews>
  <sheetFormatPr defaultRowHeight="12.75" x14ac:dyDescent="0.2"/>
  <cols>
    <col min="5" max="5" width="27.28515625" customWidth="1"/>
    <col min="7" max="7" width="21" customWidth="1"/>
    <col min="10" max="10" width="16.85546875" customWidth="1"/>
  </cols>
  <sheetData>
    <row r="1" spans="1:10" s="1" customFormat="1" ht="58.5" customHeight="1" x14ac:dyDescent="0.2">
      <c r="A1" s="20">
        <v>1</v>
      </c>
      <c r="B1" s="304" t="s">
        <v>223</v>
      </c>
      <c r="C1" s="304"/>
      <c r="D1" s="304"/>
      <c r="E1" s="304"/>
      <c r="F1" s="17"/>
      <c r="G1" s="18" t="s">
        <v>15</v>
      </c>
      <c r="H1" s="254" t="s">
        <v>224</v>
      </c>
      <c r="I1" s="305"/>
      <c r="J1" s="255"/>
    </row>
    <row r="2" spans="1:10" s="1" customFormat="1" ht="62.25" customHeight="1" x14ac:dyDescent="0.2">
      <c r="A2" s="20">
        <v>2</v>
      </c>
      <c r="B2" s="304" t="s">
        <v>225</v>
      </c>
      <c r="C2" s="304"/>
      <c r="D2" s="304"/>
      <c r="E2" s="304"/>
      <c r="F2" s="17"/>
      <c r="G2" s="18" t="s">
        <v>15</v>
      </c>
      <c r="H2" s="254" t="s">
        <v>224</v>
      </c>
      <c r="I2" s="305"/>
      <c r="J2" s="255"/>
    </row>
    <row r="3" spans="1:10" s="1" customFormat="1" ht="57.75" customHeight="1" x14ac:dyDescent="0.2">
      <c r="A3" s="20">
        <v>3</v>
      </c>
      <c r="B3" s="304" t="s">
        <v>228</v>
      </c>
      <c r="C3" s="304"/>
      <c r="D3" s="304"/>
      <c r="E3" s="304"/>
      <c r="F3" s="17"/>
      <c r="G3" s="18" t="s">
        <v>15</v>
      </c>
      <c r="H3" s="254" t="s">
        <v>224</v>
      </c>
      <c r="I3" s="305"/>
      <c r="J3" s="255"/>
    </row>
    <row r="4" spans="1:10" s="1" customFormat="1" ht="54" customHeight="1" x14ac:dyDescent="0.2">
      <c r="A4" s="20">
        <v>4</v>
      </c>
      <c r="B4" s="304" t="s">
        <v>226</v>
      </c>
      <c r="C4" s="304"/>
      <c r="D4" s="304"/>
      <c r="E4" s="304"/>
      <c r="F4" s="17"/>
      <c r="G4" s="18" t="s">
        <v>15</v>
      </c>
      <c r="H4" s="254" t="s">
        <v>224</v>
      </c>
      <c r="I4" s="305"/>
      <c r="J4" s="255"/>
    </row>
    <row r="5" spans="1:10" s="1" customFormat="1" ht="54.75" customHeight="1" x14ac:dyDescent="0.2">
      <c r="A5" s="20">
        <v>5</v>
      </c>
      <c r="B5" s="304" t="s">
        <v>227</v>
      </c>
      <c r="C5" s="304"/>
      <c r="D5" s="304"/>
      <c r="E5" s="304"/>
      <c r="F5" s="17"/>
      <c r="G5" s="18" t="s">
        <v>15</v>
      </c>
      <c r="H5" s="254" t="s">
        <v>224</v>
      </c>
      <c r="I5" s="305"/>
      <c r="J5" s="255"/>
    </row>
    <row r="6" spans="1:10" s="1" customFormat="1" ht="176.25" customHeight="1" x14ac:dyDescent="0.2">
      <c r="A6" s="20">
        <v>6</v>
      </c>
      <c r="B6" s="304" t="s">
        <v>239</v>
      </c>
      <c r="C6" s="304"/>
      <c r="D6" s="304"/>
      <c r="E6" s="304"/>
      <c r="F6" s="17"/>
      <c r="G6" s="18" t="s">
        <v>15</v>
      </c>
      <c r="H6" s="254" t="s">
        <v>229</v>
      </c>
      <c r="I6" s="305"/>
      <c r="J6" s="255"/>
    </row>
    <row r="7" spans="1:10" s="1" customFormat="1" ht="72" customHeight="1" x14ac:dyDescent="0.2">
      <c r="A7" s="20">
        <v>7</v>
      </c>
      <c r="B7" s="304" t="s">
        <v>280</v>
      </c>
      <c r="C7" s="304"/>
      <c r="D7" s="304"/>
      <c r="E7" s="304"/>
      <c r="F7" s="17"/>
      <c r="G7" s="18" t="s">
        <v>15</v>
      </c>
      <c r="H7" s="254" t="s">
        <v>224</v>
      </c>
      <c r="I7" s="305"/>
      <c r="J7" s="255"/>
    </row>
  </sheetData>
  <mergeCells count="14">
    <mergeCell ref="B1:E1"/>
    <mergeCell ref="H1:J1"/>
    <mergeCell ref="B2:E2"/>
    <mergeCell ref="H2:J2"/>
    <mergeCell ref="B6:E6"/>
    <mergeCell ref="H6:J6"/>
    <mergeCell ref="B7:E7"/>
    <mergeCell ref="H7:J7"/>
    <mergeCell ref="B3:E3"/>
    <mergeCell ref="H3:J3"/>
    <mergeCell ref="B4:E4"/>
    <mergeCell ref="H4:J4"/>
    <mergeCell ref="B5:E5"/>
    <mergeCell ref="H5:J5"/>
  </mergeCells>
  <printOptions horizontalCentered="1"/>
  <pageMargins left="0.70866141732283472" right="0.70866141732283472" top="0.35433070866141736" bottom="0.35433070866141736"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333AB-5AE7-4C0E-96D6-D54989634E0B}">
  <dimension ref="A1:R210"/>
  <sheetViews>
    <sheetView topLeftCell="A208" zoomScale="55" zoomScaleNormal="55" workbookViewId="0">
      <selection activeCell="M210" sqref="M210"/>
    </sheetView>
  </sheetViews>
  <sheetFormatPr defaultColWidth="9.140625" defaultRowHeight="23.25" x14ac:dyDescent="0.35"/>
  <cols>
    <col min="1" max="1" width="5.140625" style="7" customWidth="1"/>
    <col min="2" max="2" width="25" style="9" customWidth="1"/>
    <col min="3" max="3" width="20.28515625" style="9" customWidth="1"/>
    <col min="4" max="4" width="17.5703125" style="9" customWidth="1"/>
    <col min="5" max="5" width="6" style="7" customWidth="1"/>
    <col min="6" max="6" width="21" style="9" customWidth="1"/>
    <col min="7" max="7" width="22" style="9" customWidth="1"/>
    <col min="8" max="8" width="35.7109375" style="9" customWidth="1"/>
    <col min="9" max="9" width="3.7109375" style="9" customWidth="1"/>
    <col min="10" max="10" width="24.140625" style="9" customWidth="1"/>
    <col min="11" max="11" width="32.28515625" style="1" customWidth="1"/>
    <col min="12" max="12" width="34.28515625" style="1" customWidth="1"/>
    <col min="13" max="13" width="24" style="36" customWidth="1"/>
    <col min="14" max="14" width="50.85546875" style="36" customWidth="1"/>
    <col min="15" max="15" width="31.42578125" style="1" customWidth="1"/>
    <col min="16" max="16" width="21.5703125" style="36" bestFit="1" customWidth="1"/>
    <col min="17" max="17" width="33.28515625" style="1" customWidth="1"/>
    <col min="18" max="18" width="23.5703125" style="36" bestFit="1" customWidth="1"/>
    <col min="19" max="16384" width="9.140625" style="1"/>
  </cols>
  <sheetData>
    <row r="1" spans="1:18" s="9" customFormat="1" ht="54" x14ac:dyDescent="0.2">
      <c r="A1" s="67">
        <v>175</v>
      </c>
      <c r="B1" s="89" t="s">
        <v>126</v>
      </c>
      <c r="C1" s="140"/>
      <c r="D1" s="140"/>
      <c r="E1" s="68">
        <v>1</v>
      </c>
      <c r="F1" s="64" t="s">
        <v>127</v>
      </c>
      <c r="G1" s="18" t="s">
        <v>15</v>
      </c>
      <c r="H1" s="169" t="s">
        <v>12</v>
      </c>
      <c r="I1" s="140"/>
      <c r="J1" s="19" t="s">
        <v>11</v>
      </c>
      <c r="K1" s="8"/>
      <c r="L1" s="43" t="s">
        <v>392</v>
      </c>
      <c r="M1" s="71">
        <v>150</v>
      </c>
      <c r="N1" s="33">
        <f t="shared" ref="N1:N30" ca="1" si="0">+M1*$N$2</f>
        <v>1500</v>
      </c>
      <c r="O1" s="8"/>
      <c r="P1" s="34"/>
      <c r="Q1" s="8"/>
      <c r="R1" s="34"/>
    </row>
    <row r="2" spans="1:18" s="9" customFormat="1" ht="285" x14ac:dyDescent="0.2">
      <c r="A2" s="73">
        <v>65</v>
      </c>
      <c r="B2" s="79" t="s">
        <v>270</v>
      </c>
      <c r="C2" s="140"/>
      <c r="D2" s="140"/>
      <c r="E2" s="17"/>
      <c r="F2" s="17"/>
      <c r="G2" s="18" t="s">
        <v>15</v>
      </c>
      <c r="H2" s="173" t="s">
        <v>353</v>
      </c>
      <c r="I2" s="182"/>
      <c r="J2" s="184" t="s">
        <v>11</v>
      </c>
      <c r="K2" s="8"/>
      <c r="L2" s="8" t="s">
        <v>364</v>
      </c>
      <c r="M2" s="53">
        <v>8400</v>
      </c>
      <c r="N2" s="33">
        <f t="shared" ca="1" si="0"/>
        <v>84000</v>
      </c>
      <c r="O2" s="8"/>
      <c r="P2" s="34"/>
      <c r="Q2" s="8"/>
      <c r="R2" s="34"/>
    </row>
    <row r="3" spans="1:18" s="9" customFormat="1" ht="44.25" x14ac:dyDescent="0.2">
      <c r="A3" s="128">
        <v>100</v>
      </c>
      <c r="B3" s="83" t="s">
        <v>30</v>
      </c>
      <c r="C3" s="104"/>
      <c r="D3" s="146"/>
      <c r="E3" s="155">
        <v>2</v>
      </c>
      <c r="F3" s="161" t="s">
        <v>31</v>
      </c>
      <c r="G3" s="164" t="s">
        <v>15</v>
      </c>
      <c r="H3" s="171" t="s">
        <v>329</v>
      </c>
      <c r="I3" s="181"/>
      <c r="J3" s="184" t="s">
        <v>11</v>
      </c>
      <c r="K3" s="8"/>
      <c r="L3" s="45" t="s">
        <v>371</v>
      </c>
      <c r="M3" s="53">
        <f>25*2</f>
        <v>50</v>
      </c>
      <c r="N3" s="33">
        <f t="shared" ca="1" si="0"/>
        <v>500</v>
      </c>
      <c r="O3" s="8"/>
      <c r="P3" s="34"/>
      <c r="Q3" s="8"/>
      <c r="R3" s="34"/>
    </row>
    <row r="4" spans="1:18" s="9" customFormat="1" ht="45" x14ac:dyDescent="0.2">
      <c r="A4" s="130">
        <v>169</v>
      </c>
      <c r="B4" s="85" t="s">
        <v>117</v>
      </c>
      <c r="C4" s="143"/>
      <c r="D4" s="150"/>
      <c r="E4" s="156">
        <v>1</v>
      </c>
      <c r="F4" s="162"/>
      <c r="G4" s="165" t="s">
        <v>15</v>
      </c>
      <c r="H4" s="174" t="s">
        <v>12</v>
      </c>
      <c r="I4" s="151"/>
      <c r="J4" s="184" t="s">
        <v>11</v>
      </c>
      <c r="K4" s="8"/>
      <c r="L4" s="43" t="s">
        <v>371</v>
      </c>
      <c r="M4" s="53">
        <v>1815</v>
      </c>
      <c r="N4" s="33">
        <f t="shared" ca="1" si="0"/>
        <v>18150</v>
      </c>
      <c r="O4" s="8"/>
      <c r="P4" s="34"/>
      <c r="Q4" s="8"/>
      <c r="R4" s="34"/>
    </row>
    <row r="5" spans="1:18" s="9" customFormat="1" ht="165" x14ac:dyDescent="0.2">
      <c r="A5" s="73">
        <v>106</v>
      </c>
      <c r="B5" s="78" t="s">
        <v>161</v>
      </c>
      <c r="C5" s="63"/>
      <c r="D5" s="151"/>
      <c r="E5" s="157">
        <v>1</v>
      </c>
      <c r="F5" s="120" t="s">
        <v>37</v>
      </c>
      <c r="G5" s="166" t="s">
        <v>15</v>
      </c>
      <c r="H5" s="175" t="s">
        <v>334</v>
      </c>
      <c r="I5" s="144"/>
      <c r="J5" s="184" t="s">
        <v>11</v>
      </c>
      <c r="K5" s="8"/>
      <c r="L5" s="40" t="s">
        <v>373</v>
      </c>
      <c r="M5" s="53">
        <f>165*7.5</f>
        <v>1237.5</v>
      </c>
      <c r="N5" s="33">
        <f t="shared" ca="1" si="0"/>
        <v>12375</v>
      </c>
      <c r="O5" s="8"/>
      <c r="P5" s="34"/>
      <c r="Q5" s="8"/>
      <c r="R5" s="34"/>
    </row>
    <row r="6" spans="1:18" s="9" customFormat="1" ht="225" x14ac:dyDescent="0.2">
      <c r="A6" s="73">
        <v>113</v>
      </c>
      <c r="B6" s="96" t="s">
        <v>174</v>
      </c>
      <c r="C6" s="63"/>
      <c r="D6" s="151"/>
      <c r="E6" s="159">
        <v>1</v>
      </c>
      <c r="F6" s="75" t="s">
        <v>42</v>
      </c>
      <c r="G6" s="166" t="s">
        <v>15</v>
      </c>
      <c r="H6" s="177" t="s">
        <v>340</v>
      </c>
      <c r="I6" s="177"/>
      <c r="J6" s="184" t="s">
        <v>11</v>
      </c>
      <c r="K6" s="8"/>
      <c r="L6" s="40" t="s">
        <v>373</v>
      </c>
      <c r="M6" s="53">
        <f>52.4*7.5</f>
        <v>393</v>
      </c>
      <c r="N6" s="33">
        <f t="shared" ca="1" si="0"/>
        <v>3930</v>
      </c>
      <c r="O6" s="8"/>
      <c r="P6" s="34"/>
      <c r="Q6" s="8"/>
      <c r="R6" s="34"/>
    </row>
    <row r="7" spans="1:18" s="9" customFormat="1" ht="225" x14ac:dyDescent="0.2">
      <c r="A7" s="73">
        <v>114</v>
      </c>
      <c r="B7" s="96" t="s">
        <v>175</v>
      </c>
      <c r="C7" s="63"/>
      <c r="D7" s="151"/>
      <c r="E7" s="159">
        <v>5</v>
      </c>
      <c r="F7" s="75" t="s">
        <v>42</v>
      </c>
      <c r="G7" s="166" t="s">
        <v>15</v>
      </c>
      <c r="H7" s="177" t="s">
        <v>340</v>
      </c>
      <c r="I7" s="177"/>
      <c r="J7" s="184" t="s">
        <v>11</v>
      </c>
      <c r="K7" s="8"/>
      <c r="L7" s="40" t="s">
        <v>373</v>
      </c>
      <c r="M7" s="53">
        <f>319*7.5</f>
        <v>2392.5</v>
      </c>
      <c r="N7" s="33">
        <f t="shared" ca="1" si="0"/>
        <v>23925</v>
      </c>
      <c r="O7" s="8"/>
      <c r="P7" s="34"/>
      <c r="Q7" s="8"/>
      <c r="R7" s="34"/>
    </row>
    <row r="8" spans="1:18" s="9" customFormat="1" ht="225" x14ac:dyDescent="0.2">
      <c r="A8" s="73">
        <v>115</v>
      </c>
      <c r="B8" s="96" t="s">
        <v>177</v>
      </c>
      <c r="C8" s="63"/>
      <c r="D8" s="151"/>
      <c r="E8" s="159">
        <v>7</v>
      </c>
      <c r="F8" s="75" t="s">
        <v>42</v>
      </c>
      <c r="G8" s="166" t="s">
        <v>15</v>
      </c>
      <c r="H8" s="177" t="s">
        <v>340</v>
      </c>
      <c r="I8" s="177"/>
      <c r="J8" s="184" t="s">
        <v>11</v>
      </c>
      <c r="K8" s="8"/>
      <c r="L8" s="40" t="s">
        <v>373</v>
      </c>
      <c r="M8" s="53">
        <f>246.4*7.5</f>
        <v>1848</v>
      </c>
      <c r="N8" s="33">
        <f t="shared" ca="1" si="0"/>
        <v>18480</v>
      </c>
      <c r="O8" s="8"/>
      <c r="P8" s="34"/>
      <c r="Q8" s="8"/>
      <c r="R8" s="34"/>
    </row>
    <row r="9" spans="1:18" s="9" customFormat="1" ht="225" x14ac:dyDescent="0.2">
      <c r="A9" s="128">
        <v>116</v>
      </c>
      <c r="B9" s="138" t="s">
        <v>176</v>
      </c>
      <c r="C9" s="103"/>
      <c r="D9" s="104"/>
      <c r="E9" s="68">
        <v>5</v>
      </c>
      <c r="F9" s="64" t="s">
        <v>42</v>
      </c>
      <c r="G9" s="168" t="s">
        <v>15</v>
      </c>
      <c r="H9" s="177" t="s">
        <v>340</v>
      </c>
      <c r="I9" s="177"/>
      <c r="J9" s="184" t="s">
        <v>11</v>
      </c>
      <c r="K9" s="8"/>
      <c r="L9" s="40" t="s">
        <v>373</v>
      </c>
      <c r="M9" s="53">
        <f>125.25*7.5</f>
        <v>939.375</v>
      </c>
      <c r="N9" s="33">
        <f t="shared" ca="1" si="0"/>
        <v>9393.75</v>
      </c>
      <c r="O9" s="8"/>
      <c r="P9" s="34"/>
      <c r="Q9" s="8"/>
      <c r="R9" s="34"/>
    </row>
    <row r="10" spans="1:18" s="9" customFormat="1" ht="30" x14ac:dyDescent="0.2">
      <c r="A10" s="130">
        <v>118</v>
      </c>
      <c r="B10" s="139" t="s">
        <v>217</v>
      </c>
      <c r="C10" s="145"/>
      <c r="D10" s="143"/>
      <c r="E10" s="68">
        <v>1</v>
      </c>
      <c r="F10" s="64" t="s">
        <v>218</v>
      </c>
      <c r="G10" s="18" t="s">
        <v>15</v>
      </c>
      <c r="H10" s="110" t="s">
        <v>342</v>
      </c>
      <c r="I10" s="111"/>
      <c r="J10" s="19" t="s">
        <v>11</v>
      </c>
      <c r="K10" s="8"/>
      <c r="L10" s="40" t="s">
        <v>373</v>
      </c>
      <c r="M10" s="53">
        <f>104*7.5</f>
        <v>780</v>
      </c>
      <c r="N10" s="33">
        <f t="shared" ca="1" si="0"/>
        <v>7800</v>
      </c>
      <c r="O10" s="8"/>
      <c r="P10" s="34"/>
      <c r="Q10" s="8"/>
      <c r="R10" s="34"/>
    </row>
    <row r="11" spans="1:18" s="9" customFormat="1" ht="30" x14ac:dyDescent="0.2">
      <c r="A11" s="67">
        <v>120</v>
      </c>
      <c r="B11" s="135" t="s">
        <v>45</v>
      </c>
      <c r="C11" s="140"/>
      <c r="D11" s="140"/>
      <c r="E11" s="68">
        <v>1</v>
      </c>
      <c r="F11" s="64" t="s">
        <v>46</v>
      </c>
      <c r="G11" s="18" t="s">
        <v>15</v>
      </c>
      <c r="H11" s="169" t="s">
        <v>12</v>
      </c>
      <c r="I11" s="140"/>
      <c r="J11" s="19" t="s">
        <v>11</v>
      </c>
      <c r="K11" s="8"/>
      <c r="L11" s="40" t="s">
        <v>373</v>
      </c>
      <c r="M11" s="53">
        <f>113*7.5</f>
        <v>847.5</v>
      </c>
      <c r="N11" s="33">
        <f t="shared" ca="1" si="0"/>
        <v>8475</v>
      </c>
      <c r="O11" s="8"/>
      <c r="P11" s="34"/>
      <c r="Q11" s="8"/>
      <c r="R11" s="34"/>
    </row>
    <row r="12" spans="1:18" s="9" customFormat="1" ht="30" x14ac:dyDescent="0.2">
      <c r="A12" s="67">
        <v>121</v>
      </c>
      <c r="B12" s="109" t="s">
        <v>47</v>
      </c>
      <c r="C12" s="62"/>
      <c r="D12" s="63"/>
      <c r="E12" s="68">
        <v>1</v>
      </c>
      <c r="F12" s="64">
        <v>3223</v>
      </c>
      <c r="G12" s="18" t="s">
        <v>15</v>
      </c>
      <c r="H12" s="95" t="s">
        <v>12</v>
      </c>
      <c r="I12" s="63"/>
      <c r="J12" s="19" t="s">
        <v>11</v>
      </c>
      <c r="K12" s="8"/>
      <c r="L12" s="40" t="s">
        <v>373</v>
      </c>
      <c r="M12" s="53">
        <f>13.5*7.5</f>
        <v>101.25</v>
      </c>
      <c r="N12" s="33">
        <f t="shared" ca="1" si="0"/>
        <v>1012.5</v>
      </c>
      <c r="O12" s="8"/>
      <c r="P12" s="34"/>
      <c r="Q12" s="8"/>
      <c r="R12" s="34"/>
    </row>
    <row r="13" spans="1:18" s="9" customFormat="1" ht="30" x14ac:dyDescent="0.2">
      <c r="A13" s="67">
        <v>122</v>
      </c>
      <c r="B13" s="109" t="s">
        <v>48</v>
      </c>
      <c r="C13" s="62"/>
      <c r="D13" s="63"/>
      <c r="E13" s="68">
        <v>1</v>
      </c>
      <c r="F13" s="64">
        <v>3223</v>
      </c>
      <c r="G13" s="18" t="s">
        <v>15</v>
      </c>
      <c r="H13" s="95" t="s">
        <v>12</v>
      </c>
      <c r="I13" s="63"/>
      <c r="J13" s="19" t="s">
        <v>11</v>
      </c>
      <c r="K13" s="8"/>
      <c r="L13" s="40" t="s">
        <v>373</v>
      </c>
      <c r="M13" s="53">
        <f>17.2*7.5</f>
        <v>129</v>
      </c>
      <c r="N13" s="33">
        <f t="shared" ca="1" si="0"/>
        <v>1290</v>
      </c>
      <c r="O13" s="8"/>
      <c r="P13" s="34"/>
      <c r="Q13" s="8"/>
      <c r="R13" s="34"/>
    </row>
    <row r="14" spans="1:18" s="9" customFormat="1" ht="30" x14ac:dyDescent="0.2">
      <c r="A14" s="67">
        <v>123</v>
      </c>
      <c r="B14" s="109" t="s">
        <v>49</v>
      </c>
      <c r="C14" s="62"/>
      <c r="D14" s="63"/>
      <c r="E14" s="68">
        <v>1</v>
      </c>
      <c r="F14" s="64" t="s">
        <v>50</v>
      </c>
      <c r="G14" s="18" t="s">
        <v>15</v>
      </c>
      <c r="H14" s="95" t="s">
        <v>12</v>
      </c>
      <c r="I14" s="63"/>
      <c r="J14" s="19" t="s">
        <v>11</v>
      </c>
      <c r="K14" s="8"/>
      <c r="L14" s="40" t="s">
        <v>373</v>
      </c>
      <c r="M14" s="53">
        <f>91*7.5</f>
        <v>682.5</v>
      </c>
      <c r="N14" s="33">
        <f t="shared" ca="1" si="0"/>
        <v>6825</v>
      </c>
      <c r="O14" s="8"/>
      <c r="P14" s="34"/>
      <c r="Q14" s="8"/>
      <c r="R14" s="34"/>
    </row>
    <row r="15" spans="1:18" s="9" customFormat="1" ht="75" x14ac:dyDescent="0.2">
      <c r="A15" s="67">
        <v>124</v>
      </c>
      <c r="B15" s="109" t="s">
        <v>178</v>
      </c>
      <c r="C15" s="62"/>
      <c r="D15" s="63"/>
      <c r="E15" s="68">
        <v>2</v>
      </c>
      <c r="F15" s="64" t="s">
        <v>51</v>
      </c>
      <c r="G15" s="18" t="s">
        <v>15</v>
      </c>
      <c r="H15" s="95" t="s">
        <v>12</v>
      </c>
      <c r="I15" s="63"/>
      <c r="J15" s="19" t="s">
        <v>11</v>
      </c>
      <c r="K15" s="8"/>
      <c r="L15" s="40" t="s">
        <v>373</v>
      </c>
      <c r="M15" s="53">
        <f>131*7.5*2</f>
        <v>1965</v>
      </c>
      <c r="N15" s="33">
        <f t="shared" ca="1" si="0"/>
        <v>19650</v>
      </c>
      <c r="O15" s="8"/>
      <c r="P15" s="34"/>
      <c r="Q15" s="8"/>
      <c r="R15" s="34"/>
    </row>
    <row r="16" spans="1:18" s="9" customFormat="1" ht="30" x14ac:dyDescent="0.2">
      <c r="A16" s="67">
        <v>125</v>
      </c>
      <c r="B16" s="109" t="s">
        <v>52</v>
      </c>
      <c r="C16" s="62"/>
      <c r="D16" s="63"/>
      <c r="E16" s="68">
        <v>1</v>
      </c>
      <c r="F16" s="64" t="s">
        <v>53</v>
      </c>
      <c r="G16" s="18" t="s">
        <v>15</v>
      </c>
      <c r="H16" s="95" t="s">
        <v>12</v>
      </c>
      <c r="I16" s="63"/>
      <c r="J16" s="19" t="s">
        <v>11</v>
      </c>
      <c r="K16" s="8"/>
      <c r="L16" s="40" t="s">
        <v>373</v>
      </c>
      <c r="M16" s="53">
        <f>325*7.5</f>
        <v>2437.5</v>
      </c>
      <c r="N16" s="33">
        <f t="shared" ca="1" si="0"/>
        <v>24375</v>
      </c>
      <c r="O16" s="8"/>
      <c r="P16" s="34"/>
      <c r="Q16" s="8"/>
      <c r="R16" s="34"/>
    </row>
    <row r="17" spans="1:18" s="9" customFormat="1" ht="30" x14ac:dyDescent="0.2">
      <c r="A17" s="67">
        <v>126</v>
      </c>
      <c r="B17" s="109" t="s">
        <v>54</v>
      </c>
      <c r="C17" s="62"/>
      <c r="D17" s="63"/>
      <c r="E17" s="68">
        <v>1</v>
      </c>
      <c r="F17" s="64" t="s">
        <v>55</v>
      </c>
      <c r="G17" s="18" t="s">
        <v>15</v>
      </c>
      <c r="H17" s="95" t="s">
        <v>12</v>
      </c>
      <c r="I17" s="63"/>
      <c r="J17" s="19" t="s">
        <v>11</v>
      </c>
      <c r="K17" s="8"/>
      <c r="L17" s="40" t="s">
        <v>373</v>
      </c>
      <c r="M17" s="53">
        <f>26.4*7.5</f>
        <v>198</v>
      </c>
      <c r="N17" s="33">
        <f t="shared" ca="1" si="0"/>
        <v>1980</v>
      </c>
      <c r="O17" s="8"/>
      <c r="P17" s="34"/>
      <c r="Q17" s="8"/>
      <c r="R17" s="34"/>
    </row>
    <row r="18" spans="1:18" s="9" customFormat="1" ht="30" x14ac:dyDescent="0.2">
      <c r="A18" s="67">
        <v>127</v>
      </c>
      <c r="B18" s="109" t="s">
        <v>56</v>
      </c>
      <c r="C18" s="62"/>
      <c r="D18" s="63"/>
      <c r="E18" s="68">
        <v>2</v>
      </c>
      <c r="F18" s="64" t="s">
        <v>57</v>
      </c>
      <c r="G18" s="18" t="s">
        <v>15</v>
      </c>
      <c r="H18" s="95" t="s">
        <v>12</v>
      </c>
      <c r="I18" s="63"/>
      <c r="J18" s="19" t="s">
        <v>11</v>
      </c>
      <c r="K18" s="8"/>
      <c r="L18" s="40" t="s">
        <v>373</v>
      </c>
      <c r="M18" s="53">
        <f>14.4*7.5*2</f>
        <v>216</v>
      </c>
      <c r="N18" s="33">
        <f t="shared" ca="1" si="0"/>
        <v>2160</v>
      </c>
      <c r="O18" s="8"/>
      <c r="P18" s="34"/>
      <c r="Q18" s="8"/>
      <c r="R18" s="34"/>
    </row>
    <row r="19" spans="1:18" s="9" customFormat="1" ht="30" x14ac:dyDescent="0.2">
      <c r="A19" s="67">
        <v>128</v>
      </c>
      <c r="B19" s="109" t="s">
        <v>58</v>
      </c>
      <c r="C19" s="62"/>
      <c r="D19" s="63"/>
      <c r="E19" s="68">
        <v>1</v>
      </c>
      <c r="F19" s="64" t="s">
        <v>59</v>
      </c>
      <c r="G19" s="18" t="s">
        <v>15</v>
      </c>
      <c r="H19" s="110" t="s">
        <v>344</v>
      </c>
      <c r="I19" s="111"/>
      <c r="J19" s="19" t="s">
        <v>11</v>
      </c>
      <c r="K19" s="8"/>
      <c r="L19" s="40" t="s">
        <v>373</v>
      </c>
      <c r="M19" s="53">
        <f>46*7.5</f>
        <v>345</v>
      </c>
      <c r="N19" s="33">
        <f t="shared" ca="1" si="0"/>
        <v>3450</v>
      </c>
      <c r="O19" s="8"/>
      <c r="P19" s="34"/>
      <c r="Q19" s="8"/>
      <c r="R19" s="34"/>
    </row>
    <row r="20" spans="1:18" s="9" customFormat="1" ht="30" x14ac:dyDescent="0.2">
      <c r="A20" s="67">
        <v>130</v>
      </c>
      <c r="B20" s="109" t="s">
        <v>60</v>
      </c>
      <c r="C20" s="62"/>
      <c r="D20" s="63"/>
      <c r="E20" s="68">
        <v>1</v>
      </c>
      <c r="F20" s="64" t="s">
        <v>61</v>
      </c>
      <c r="G20" s="18" t="s">
        <v>15</v>
      </c>
      <c r="H20" s="95" t="s">
        <v>12</v>
      </c>
      <c r="I20" s="63"/>
      <c r="J20" s="19" t="s">
        <v>11</v>
      </c>
      <c r="K20" s="8"/>
      <c r="L20" s="40" t="s">
        <v>373</v>
      </c>
      <c r="M20" s="53">
        <f>60*7.5</f>
        <v>450</v>
      </c>
      <c r="N20" s="33">
        <f t="shared" ca="1" si="0"/>
        <v>4500</v>
      </c>
      <c r="O20" s="8"/>
      <c r="P20" s="34"/>
      <c r="Q20" s="8"/>
      <c r="R20" s="34"/>
    </row>
    <row r="21" spans="1:18" s="9" customFormat="1" ht="30" x14ac:dyDescent="0.2">
      <c r="A21" s="67">
        <v>132</v>
      </c>
      <c r="B21" s="109" t="s">
        <v>62</v>
      </c>
      <c r="C21" s="62"/>
      <c r="D21" s="63"/>
      <c r="E21" s="68">
        <v>3</v>
      </c>
      <c r="F21" s="64" t="s">
        <v>63</v>
      </c>
      <c r="G21" s="18" t="s">
        <v>15</v>
      </c>
      <c r="H21" s="110" t="s">
        <v>347</v>
      </c>
      <c r="I21" s="111"/>
      <c r="J21" s="19" t="s">
        <v>11</v>
      </c>
      <c r="K21" s="8"/>
      <c r="L21" s="40" t="s">
        <v>373</v>
      </c>
      <c r="M21" s="53">
        <f>23*7.5*3</f>
        <v>517.5</v>
      </c>
      <c r="N21" s="33">
        <f t="shared" ca="1" si="0"/>
        <v>5175</v>
      </c>
      <c r="O21" s="8"/>
      <c r="P21" s="34"/>
      <c r="Q21" s="8"/>
      <c r="R21" s="34"/>
    </row>
    <row r="22" spans="1:18" s="9" customFormat="1" ht="30" x14ac:dyDescent="0.2">
      <c r="A22" s="67">
        <v>136</v>
      </c>
      <c r="B22" s="109" t="s">
        <v>69</v>
      </c>
      <c r="C22" s="62"/>
      <c r="D22" s="63"/>
      <c r="E22" s="68">
        <v>3</v>
      </c>
      <c r="F22" s="64" t="s">
        <v>70</v>
      </c>
      <c r="G22" s="18" t="s">
        <v>15</v>
      </c>
      <c r="H22" s="95" t="s">
        <v>12</v>
      </c>
      <c r="I22" s="63"/>
      <c r="J22" s="19" t="s">
        <v>11</v>
      </c>
      <c r="K22" s="8"/>
      <c r="L22" s="40" t="s">
        <v>373</v>
      </c>
      <c r="M22" s="53">
        <f>6*7.5*3</f>
        <v>135</v>
      </c>
      <c r="N22" s="33">
        <f t="shared" ca="1" si="0"/>
        <v>1350</v>
      </c>
      <c r="O22" s="8"/>
      <c r="P22" s="34"/>
      <c r="Q22" s="8"/>
      <c r="R22" s="34"/>
    </row>
    <row r="23" spans="1:18" s="9" customFormat="1" ht="45" x14ac:dyDescent="0.2">
      <c r="A23" s="67">
        <v>139</v>
      </c>
      <c r="B23" s="109" t="s">
        <v>75</v>
      </c>
      <c r="C23" s="62"/>
      <c r="D23" s="63"/>
      <c r="E23" s="68">
        <v>1</v>
      </c>
      <c r="F23" s="64" t="s">
        <v>76</v>
      </c>
      <c r="G23" s="18" t="s">
        <v>15</v>
      </c>
      <c r="H23" s="95" t="s">
        <v>12</v>
      </c>
      <c r="I23" s="63"/>
      <c r="J23" s="19" t="s">
        <v>11</v>
      </c>
      <c r="K23" s="8"/>
      <c r="L23" s="40" t="s">
        <v>373</v>
      </c>
      <c r="M23" s="53">
        <f>330*7.5</f>
        <v>2475</v>
      </c>
      <c r="N23" s="33">
        <f t="shared" ca="1" si="0"/>
        <v>24750</v>
      </c>
      <c r="O23" s="8"/>
      <c r="P23" s="34"/>
      <c r="Q23" s="8"/>
      <c r="R23" s="34"/>
    </row>
    <row r="24" spans="1:18" s="9" customFormat="1" ht="30" x14ac:dyDescent="0.2">
      <c r="A24" s="67">
        <v>140</v>
      </c>
      <c r="B24" s="109" t="s">
        <v>77</v>
      </c>
      <c r="C24" s="62"/>
      <c r="D24" s="63"/>
      <c r="E24" s="68">
        <v>1</v>
      </c>
      <c r="F24" s="64" t="s">
        <v>78</v>
      </c>
      <c r="G24" s="18" t="s">
        <v>15</v>
      </c>
      <c r="H24" s="95" t="s">
        <v>12</v>
      </c>
      <c r="I24" s="63"/>
      <c r="J24" s="19" t="s">
        <v>11</v>
      </c>
      <c r="K24" s="8"/>
      <c r="L24" s="40" t="s">
        <v>373</v>
      </c>
      <c r="M24" s="53">
        <f>130*7.5</f>
        <v>975</v>
      </c>
      <c r="N24" s="33">
        <f t="shared" ca="1" si="0"/>
        <v>9750</v>
      </c>
      <c r="O24" s="8"/>
      <c r="P24" s="34"/>
      <c r="Q24" s="8"/>
      <c r="R24" s="34"/>
    </row>
    <row r="25" spans="1:18" s="9" customFormat="1" ht="30" x14ac:dyDescent="0.2">
      <c r="A25" s="67">
        <v>141</v>
      </c>
      <c r="B25" s="109" t="s">
        <v>79</v>
      </c>
      <c r="C25" s="62"/>
      <c r="D25" s="63"/>
      <c r="E25" s="68">
        <v>1</v>
      </c>
      <c r="F25" s="64" t="s">
        <v>80</v>
      </c>
      <c r="G25" s="18" t="s">
        <v>15</v>
      </c>
      <c r="H25" s="95" t="s">
        <v>12</v>
      </c>
      <c r="I25" s="63"/>
      <c r="J25" s="19" t="s">
        <v>11</v>
      </c>
      <c r="K25" s="8"/>
      <c r="L25" s="40" t="s">
        <v>373</v>
      </c>
      <c r="M25" s="53">
        <f>10*7.5</f>
        <v>75</v>
      </c>
      <c r="N25" s="33">
        <f t="shared" ca="1" si="0"/>
        <v>750</v>
      </c>
      <c r="O25" s="47"/>
      <c r="P25" s="34"/>
      <c r="Q25" s="8"/>
      <c r="R25" s="34"/>
    </row>
    <row r="26" spans="1:18" s="9" customFormat="1" ht="75" x14ac:dyDescent="0.2">
      <c r="A26" s="67">
        <v>104</v>
      </c>
      <c r="B26" s="61" t="s">
        <v>165</v>
      </c>
      <c r="C26" s="62"/>
      <c r="D26" s="63"/>
      <c r="E26" s="22">
        <v>2</v>
      </c>
      <c r="F26" s="23" t="s">
        <v>35</v>
      </c>
      <c r="G26" s="18" t="s">
        <v>15</v>
      </c>
      <c r="H26" s="107" t="s">
        <v>333</v>
      </c>
      <c r="I26" s="108"/>
      <c r="J26" s="19" t="s">
        <v>11</v>
      </c>
      <c r="K26" s="8"/>
      <c r="L26" s="42" t="s">
        <v>389</v>
      </c>
      <c r="M26" s="53">
        <f>69*7.5*2</f>
        <v>1035</v>
      </c>
      <c r="N26" s="33">
        <f t="shared" ca="1" si="0"/>
        <v>10350</v>
      </c>
      <c r="O26" s="8"/>
      <c r="P26" s="34"/>
      <c r="Q26" s="8"/>
      <c r="R26" s="34"/>
    </row>
    <row r="27" spans="1:18" s="9" customFormat="1" ht="45" x14ac:dyDescent="0.2">
      <c r="A27" s="67">
        <v>119</v>
      </c>
      <c r="B27" s="109" t="s">
        <v>43</v>
      </c>
      <c r="C27" s="62"/>
      <c r="D27" s="63"/>
      <c r="E27" s="68">
        <v>1</v>
      </c>
      <c r="F27" s="64" t="s">
        <v>44</v>
      </c>
      <c r="G27" s="18" t="s">
        <v>15</v>
      </c>
      <c r="H27" s="110" t="s">
        <v>343</v>
      </c>
      <c r="I27" s="111"/>
      <c r="J27" s="19" t="s">
        <v>11</v>
      </c>
      <c r="K27" s="8"/>
      <c r="L27" s="43" t="s">
        <v>376</v>
      </c>
      <c r="M27" s="52">
        <v>1600</v>
      </c>
      <c r="N27" s="33">
        <f t="shared" ca="1" si="0"/>
        <v>16000</v>
      </c>
      <c r="O27" s="8"/>
      <c r="P27" s="34"/>
      <c r="Q27" s="8"/>
      <c r="R27" s="34"/>
    </row>
    <row r="28" spans="1:18" s="9" customFormat="1" ht="409.5" x14ac:dyDescent="0.2">
      <c r="A28" s="67">
        <v>63</v>
      </c>
      <c r="B28" s="61" t="s">
        <v>240</v>
      </c>
      <c r="C28" s="62"/>
      <c r="D28" s="63"/>
      <c r="E28" s="17"/>
      <c r="F28" s="17"/>
      <c r="G28" s="18" t="s">
        <v>15</v>
      </c>
      <c r="H28" s="98" t="s">
        <v>319</v>
      </c>
      <c r="I28" s="99"/>
      <c r="J28" s="19" t="s">
        <v>11</v>
      </c>
      <c r="K28" s="8"/>
      <c r="L28" s="32" t="s">
        <v>363</v>
      </c>
      <c r="M28" s="53">
        <v>11500</v>
      </c>
      <c r="N28" s="33">
        <f t="shared" ca="1" si="0"/>
        <v>115000</v>
      </c>
      <c r="O28" s="8"/>
      <c r="P28" s="34"/>
      <c r="Q28" s="8"/>
      <c r="R28" s="34"/>
    </row>
    <row r="29" spans="1:18" s="9" customFormat="1" ht="240" x14ac:dyDescent="0.2">
      <c r="A29" s="67">
        <v>129</v>
      </c>
      <c r="B29" s="109" t="s">
        <v>193</v>
      </c>
      <c r="C29" s="62"/>
      <c r="D29" s="63"/>
      <c r="E29" s="68">
        <v>2</v>
      </c>
      <c r="F29" s="64" t="s">
        <v>59</v>
      </c>
      <c r="G29" s="18" t="s">
        <v>15</v>
      </c>
      <c r="H29" s="110" t="s">
        <v>346</v>
      </c>
      <c r="I29" s="111"/>
      <c r="J29" s="19" t="s">
        <v>11</v>
      </c>
      <c r="K29" s="8"/>
      <c r="L29" s="44" t="s">
        <v>377</v>
      </c>
      <c r="M29" s="53">
        <f>265*8</f>
        <v>2120</v>
      </c>
      <c r="N29" s="33">
        <f t="shared" ca="1" si="0"/>
        <v>21200</v>
      </c>
      <c r="O29" s="8"/>
      <c r="P29" s="34"/>
      <c r="Q29" s="8"/>
      <c r="R29" s="34"/>
    </row>
    <row r="30" spans="1:18" s="9" customFormat="1" ht="240" x14ac:dyDescent="0.2">
      <c r="A30" s="67">
        <v>131</v>
      </c>
      <c r="B30" s="109" t="s">
        <v>194</v>
      </c>
      <c r="C30" s="62"/>
      <c r="D30" s="63"/>
      <c r="E30" s="68">
        <v>2</v>
      </c>
      <c r="F30" s="64" t="s">
        <v>59</v>
      </c>
      <c r="G30" s="18" t="s">
        <v>15</v>
      </c>
      <c r="H30" s="110" t="s">
        <v>345</v>
      </c>
      <c r="I30" s="111"/>
      <c r="J30" s="19" t="s">
        <v>11</v>
      </c>
      <c r="K30" s="8"/>
      <c r="L30" s="44" t="s">
        <v>377</v>
      </c>
      <c r="M30" s="53">
        <f>265*8</f>
        <v>2120</v>
      </c>
      <c r="N30" s="33">
        <f t="shared" ca="1" si="0"/>
        <v>21200</v>
      </c>
      <c r="O30" s="8"/>
      <c r="P30" s="34"/>
      <c r="Q30" s="8"/>
      <c r="R30" s="34"/>
    </row>
    <row r="31" spans="1:18" s="9" customFormat="1" ht="105" x14ac:dyDescent="0.2">
      <c r="A31" s="89" t="s">
        <v>1</v>
      </c>
      <c r="B31" s="61"/>
      <c r="C31" s="74" t="s">
        <v>2</v>
      </c>
      <c r="D31" s="148" t="s">
        <v>3</v>
      </c>
      <c r="E31" s="90"/>
      <c r="F31" s="90"/>
      <c r="G31" s="91"/>
      <c r="H31" s="172"/>
      <c r="I31" s="94"/>
      <c r="J31" s="93"/>
      <c r="K31" s="9" t="s">
        <v>357</v>
      </c>
      <c r="L31" s="9" t="s">
        <v>354</v>
      </c>
      <c r="M31" s="33" t="s">
        <v>360</v>
      </c>
      <c r="N31" s="33" t="s">
        <v>398</v>
      </c>
      <c r="O31" s="9" t="s">
        <v>355</v>
      </c>
      <c r="P31" s="33" t="s">
        <v>360</v>
      </c>
      <c r="Q31" s="9" t="s">
        <v>356</v>
      </c>
      <c r="R31" s="33" t="s">
        <v>360</v>
      </c>
    </row>
    <row r="32" spans="1:18" s="9" customFormat="1" ht="69.75" x14ac:dyDescent="0.2">
      <c r="A32" s="67">
        <v>111</v>
      </c>
      <c r="B32" s="61" t="s">
        <v>192</v>
      </c>
      <c r="C32" s="62"/>
      <c r="D32" s="63"/>
      <c r="E32" s="22">
        <v>6</v>
      </c>
      <c r="F32" s="23" t="s">
        <v>40</v>
      </c>
      <c r="G32" s="18" t="s">
        <v>15</v>
      </c>
      <c r="H32" s="95" t="s">
        <v>12</v>
      </c>
      <c r="I32" s="63"/>
      <c r="J32" s="19" t="s">
        <v>11</v>
      </c>
      <c r="K32" s="8"/>
      <c r="L32" s="41" t="s">
        <v>390</v>
      </c>
      <c r="M32" s="53">
        <f>90*7.5</f>
        <v>675</v>
      </c>
      <c r="N32" s="33">
        <f t="shared" ref="N32:N40" ca="1" si="1">+M32*$N$2</f>
        <v>6750</v>
      </c>
      <c r="O32" s="8"/>
      <c r="P32" s="34"/>
      <c r="Q32" s="8"/>
      <c r="R32" s="34"/>
    </row>
    <row r="33" spans="1:18" s="9" customFormat="1" ht="120" x14ac:dyDescent="0.2">
      <c r="A33" s="67">
        <v>109</v>
      </c>
      <c r="B33" s="61" t="s">
        <v>160</v>
      </c>
      <c r="C33" s="62"/>
      <c r="D33" s="63"/>
      <c r="E33" s="22">
        <v>2</v>
      </c>
      <c r="F33" s="17"/>
      <c r="G33" s="18" t="s">
        <v>15</v>
      </c>
      <c r="H33" s="107" t="s">
        <v>337</v>
      </c>
      <c r="I33" s="108"/>
      <c r="J33" s="19" t="s">
        <v>11</v>
      </c>
      <c r="K33" s="8"/>
      <c r="L33" s="40" t="s">
        <v>378</v>
      </c>
      <c r="M33" s="53">
        <f>131.1*2*7.5</f>
        <v>1966.5</v>
      </c>
      <c r="N33" s="33">
        <f t="shared" ca="1" si="1"/>
        <v>19665</v>
      </c>
      <c r="O33" s="8"/>
      <c r="P33" s="34"/>
      <c r="Q33" s="8"/>
      <c r="R33" s="34"/>
    </row>
    <row r="34" spans="1:18" s="9" customFormat="1" ht="195" x14ac:dyDescent="0.2">
      <c r="A34" s="67">
        <v>110</v>
      </c>
      <c r="B34" s="61" t="s">
        <v>159</v>
      </c>
      <c r="C34" s="62"/>
      <c r="D34" s="63"/>
      <c r="E34" s="22">
        <v>2</v>
      </c>
      <c r="F34" s="17"/>
      <c r="G34" s="18" t="s">
        <v>15</v>
      </c>
      <c r="H34" s="107" t="s">
        <v>338</v>
      </c>
      <c r="I34" s="108"/>
      <c r="J34" s="19" t="s">
        <v>11</v>
      </c>
      <c r="K34" s="8"/>
      <c r="L34" s="40" t="s">
        <v>378</v>
      </c>
      <c r="M34" s="53">
        <f>94.05*2*7.5</f>
        <v>1410.75</v>
      </c>
      <c r="N34" s="33">
        <f t="shared" ca="1" si="1"/>
        <v>14107.5</v>
      </c>
      <c r="O34" s="8"/>
      <c r="P34" s="34"/>
      <c r="Q34" s="8"/>
      <c r="R34" s="34"/>
    </row>
    <row r="35" spans="1:18" s="9" customFormat="1" ht="34.5" x14ac:dyDescent="0.2">
      <c r="A35" s="67">
        <v>133</v>
      </c>
      <c r="B35" s="109" t="s">
        <v>64</v>
      </c>
      <c r="C35" s="62"/>
      <c r="D35" s="63"/>
      <c r="E35" s="68">
        <v>1</v>
      </c>
      <c r="F35" s="64" t="s">
        <v>65</v>
      </c>
      <c r="G35" s="18" t="s">
        <v>15</v>
      </c>
      <c r="H35" s="95" t="s">
        <v>12</v>
      </c>
      <c r="I35" s="63"/>
      <c r="J35" s="19" t="s">
        <v>11</v>
      </c>
      <c r="K35" s="8"/>
      <c r="L35" s="44" t="s">
        <v>378</v>
      </c>
      <c r="M35" s="53">
        <f>23.75*7.5</f>
        <v>178.125</v>
      </c>
      <c r="N35" s="33">
        <f t="shared" ca="1" si="1"/>
        <v>1781.25</v>
      </c>
      <c r="O35" s="8"/>
      <c r="P35" s="34"/>
      <c r="Q35" s="8"/>
      <c r="R35" s="34"/>
    </row>
    <row r="36" spans="1:18" s="9" customFormat="1" ht="34.5" x14ac:dyDescent="0.2">
      <c r="A36" s="67">
        <v>134</v>
      </c>
      <c r="B36" s="109" t="s">
        <v>66</v>
      </c>
      <c r="C36" s="62"/>
      <c r="D36" s="63"/>
      <c r="E36" s="68">
        <v>2</v>
      </c>
      <c r="F36" s="17"/>
      <c r="G36" s="18" t="s">
        <v>15</v>
      </c>
      <c r="H36" s="95" t="s">
        <v>12</v>
      </c>
      <c r="I36" s="63"/>
      <c r="J36" s="19" t="s">
        <v>11</v>
      </c>
      <c r="K36" s="8"/>
      <c r="L36" s="44" t="s">
        <v>378</v>
      </c>
      <c r="M36" s="53">
        <f>1.71*2*7.5</f>
        <v>25.65</v>
      </c>
      <c r="N36" s="33">
        <f t="shared" ca="1" si="1"/>
        <v>256.5</v>
      </c>
      <c r="O36" s="8"/>
      <c r="P36" s="34"/>
      <c r="Q36" s="8"/>
      <c r="R36" s="34"/>
    </row>
    <row r="37" spans="1:18" s="9" customFormat="1" ht="34.5" x14ac:dyDescent="0.2">
      <c r="A37" s="67">
        <v>135</v>
      </c>
      <c r="B37" s="109" t="s">
        <v>67</v>
      </c>
      <c r="C37" s="62"/>
      <c r="D37" s="63"/>
      <c r="E37" s="68">
        <v>4</v>
      </c>
      <c r="F37" s="64" t="s">
        <v>68</v>
      </c>
      <c r="G37" s="18" t="s">
        <v>15</v>
      </c>
      <c r="H37" s="95" t="s">
        <v>12</v>
      </c>
      <c r="I37" s="63"/>
      <c r="J37" s="19" t="s">
        <v>11</v>
      </c>
      <c r="K37" s="8"/>
      <c r="L37" s="44" t="s">
        <v>378</v>
      </c>
      <c r="M37" s="53">
        <f>5.7*4*7.5</f>
        <v>171</v>
      </c>
      <c r="N37" s="33">
        <f t="shared" ca="1" si="1"/>
        <v>1710</v>
      </c>
      <c r="O37" s="8"/>
      <c r="P37" s="34"/>
      <c r="Q37" s="8"/>
      <c r="R37" s="34"/>
    </row>
    <row r="38" spans="1:18" s="9" customFormat="1" ht="27" x14ac:dyDescent="0.2">
      <c r="A38" s="67">
        <v>137</v>
      </c>
      <c r="B38" s="109" t="s">
        <v>71</v>
      </c>
      <c r="C38" s="62"/>
      <c r="D38" s="63"/>
      <c r="E38" s="68">
        <v>2</v>
      </c>
      <c r="F38" s="64" t="s">
        <v>72</v>
      </c>
      <c r="G38" s="18" t="s">
        <v>15</v>
      </c>
      <c r="H38" s="95" t="s">
        <v>12</v>
      </c>
      <c r="I38" s="63"/>
      <c r="J38" s="19" t="s">
        <v>11</v>
      </c>
      <c r="K38" s="8"/>
      <c r="L38" s="43" t="s">
        <v>378</v>
      </c>
      <c r="M38" s="53">
        <f>114.95*7.5</f>
        <v>862.125</v>
      </c>
      <c r="N38" s="33">
        <f t="shared" ca="1" si="1"/>
        <v>8621.25</v>
      </c>
      <c r="O38" s="8"/>
      <c r="P38" s="34"/>
      <c r="Q38" s="8"/>
      <c r="R38" s="34"/>
    </row>
    <row r="39" spans="1:18" s="9" customFormat="1" ht="30" x14ac:dyDescent="0.2">
      <c r="A39" s="67">
        <v>138</v>
      </c>
      <c r="B39" s="109" t="s">
        <v>73</v>
      </c>
      <c r="C39" s="62"/>
      <c r="D39" s="63"/>
      <c r="E39" s="68">
        <v>3</v>
      </c>
      <c r="F39" s="64" t="s">
        <v>74</v>
      </c>
      <c r="G39" s="18" t="s">
        <v>15</v>
      </c>
      <c r="H39" s="95" t="s">
        <v>12</v>
      </c>
      <c r="I39" s="63"/>
      <c r="J39" s="19" t="s">
        <v>11</v>
      </c>
      <c r="K39" s="8"/>
      <c r="L39" s="43" t="s">
        <v>378</v>
      </c>
      <c r="M39" s="53">
        <f>78.85*3*7.5</f>
        <v>1774.1249999999998</v>
      </c>
      <c r="N39" s="33">
        <f t="shared" ca="1" si="1"/>
        <v>17741.249999999996</v>
      </c>
      <c r="O39" s="8"/>
      <c r="P39" s="34"/>
      <c r="Q39" s="8"/>
      <c r="R39" s="34"/>
    </row>
    <row r="40" spans="1:18" s="9" customFormat="1" ht="45" x14ac:dyDescent="0.2">
      <c r="A40" s="67">
        <v>145</v>
      </c>
      <c r="B40" s="61" t="s">
        <v>84</v>
      </c>
      <c r="C40" s="62"/>
      <c r="D40" s="63"/>
      <c r="E40" s="68">
        <v>4</v>
      </c>
      <c r="F40" s="64" t="s">
        <v>85</v>
      </c>
      <c r="G40" s="18" t="s">
        <v>15</v>
      </c>
      <c r="H40" s="95" t="s">
        <v>12</v>
      </c>
      <c r="I40" s="63"/>
      <c r="J40" s="19" t="s">
        <v>11</v>
      </c>
      <c r="K40" s="8"/>
      <c r="L40" s="43" t="s">
        <v>378</v>
      </c>
      <c r="M40" s="53">
        <f>38.95*4*7.5</f>
        <v>1168.5</v>
      </c>
      <c r="N40" s="33">
        <f t="shared" ca="1" si="1"/>
        <v>11685</v>
      </c>
      <c r="O40" s="8"/>
      <c r="P40" s="34"/>
      <c r="Q40" s="8"/>
      <c r="R40" s="34"/>
    </row>
    <row r="41" spans="1:18" s="9" customFormat="1" ht="69.75" x14ac:dyDescent="0.2">
      <c r="A41" s="67">
        <v>146</v>
      </c>
      <c r="B41" s="61" t="s">
        <v>86</v>
      </c>
      <c r="C41" s="62"/>
      <c r="D41" s="63"/>
      <c r="E41" s="68">
        <v>4</v>
      </c>
      <c r="F41" s="64" t="s">
        <v>87</v>
      </c>
      <c r="G41" s="18" t="s">
        <v>15</v>
      </c>
      <c r="H41" s="95" t="s">
        <v>12</v>
      </c>
      <c r="I41" s="63"/>
      <c r="J41" s="19" t="s">
        <v>11</v>
      </c>
      <c r="K41" s="8"/>
      <c r="L41" s="43" t="s">
        <v>378</v>
      </c>
      <c r="M41" s="60" t="s">
        <v>391</v>
      </c>
      <c r="N41" s="33"/>
      <c r="O41" s="8"/>
      <c r="P41" s="34"/>
      <c r="Q41" s="8"/>
      <c r="R41" s="34"/>
    </row>
    <row r="42" spans="1:18" s="9" customFormat="1" ht="30" x14ac:dyDescent="0.2">
      <c r="A42" s="67">
        <v>148</v>
      </c>
      <c r="B42" s="61" t="s">
        <v>89</v>
      </c>
      <c r="C42" s="62"/>
      <c r="D42" s="63"/>
      <c r="E42" s="68">
        <v>1</v>
      </c>
      <c r="F42" s="64" t="s">
        <v>90</v>
      </c>
      <c r="G42" s="18" t="s">
        <v>15</v>
      </c>
      <c r="H42" s="95" t="s">
        <v>12</v>
      </c>
      <c r="I42" s="63"/>
      <c r="J42" s="19" t="s">
        <v>11</v>
      </c>
      <c r="K42" s="8"/>
      <c r="L42" s="43" t="s">
        <v>378</v>
      </c>
      <c r="M42" s="53">
        <f>135.85*7.5</f>
        <v>1018.875</v>
      </c>
      <c r="N42" s="33">
        <f t="shared" ref="N42:N73" ca="1" si="2">+M42*$N$2</f>
        <v>10188.75</v>
      </c>
      <c r="O42" s="8"/>
      <c r="P42" s="34"/>
      <c r="Q42" s="8"/>
      <c r="R42" s="34"/>
    </row>
    <row r="43" spans="1:18" s="9" customFormat="1" ht="30" x14ac:dyDescent="0.2">
      <c r="A43" s="67">
        <v>149</v>
      </c>
      <c r="B43" s="61" t="s">
        <v>91</v>
      </c>
      <c r="C43" s="62"/>
      <c r="D43" s="63"/>
      <c r="E43" s="68">
        <v>1</v>
      </c>
      <c r="F43" s="64" t="s">
        <v>92</v>
      </c>
      <c r="G43" s="18" t="s">
        <v>15</v>
      </c>
      <c r="H43" s="95" t="s">
        <v>12</v>
      </c>
      <c r="I43" s="63"/>
      <c r="J43" s="19" t="s">
        <v>11</v>
      </c>
      <c r="K43" s="8"/>
      <c r="L43" s="43" t="s">
        <v>378</v>
      </c>
      <c r="M43" s="53">
        <f>(314.45+90.25)*7.5</f>
        <v>3035.25</v>
      </c>
      <c r="N43" s="33">
        <f t="shared" ca="1" si="2"/>
        <v>30352.5</v>
      </c>
      <c r="O43" s="8"/>
      <c r="P43" s="34"/>
      <c r="Q43" s="8"/>
      <c r="R43" s="34"/>
    </row>
    <row r="44" spans="1:18" s="9" customFormat="1" ht="30" x14ac:dyDescent="0.2">
      <c r="A44" s="67">
        <v>150</v>
      </c>
      <c r="B44" s="61" t="s">
        <v>93</v>
      </c>
      <c r="C44" s="62"/>
      <c r="D44" s="63"/>
      <c r="E44" s="68">
        <v>1</v>
      </c>
      <c r="F44" s="64" t="s">
        <v>94</v>
      </c>
      <c r="G44" s="18" t="s">
        <v>15</v>
      </c>
      <c r="H44" s="95" t="s">
        <v>12</v>
      </c>
      <c r="I44" s="63"/>
      <c r="J44" s="19" t="s">
        <v>11</v>
      </c>
      <c r="K44" s="8"/>
      <c r="L44" s="43" t="s">
        <v>378</v>
      </c>
      <c r="M44" s="53">
        <f>235*7.5</f>
        <v>1762.5</v>
      </c>
      <c r="N44" s="33">
        <f t="shared" ca="1" si="2"/>
        <v>17625</v>
      </c>
      <c r="O44" s="8"/>
      <c r="P44" s="34"/>
      <c r="Q44" s="8"/>
      <c r="R44" s="34"/>
    </row>
    <row r="45" spans="1:18" s="9" customFormat="1" ht="30" x14ac:dyDescent="0.2">
      <c r="A45" s="67">
        <v>170</v>
      </c>
      <c r="B45" s="61" t="s">
        <v>118</v>
      </c>
      <c r="C45" s="62"/>
      <c r="D45" s="63"/>
      <c r="E45" s="68">
        <v>1</v>
      </c>
      <c r="F45" s="64" t="s">
        <v>119</v>
      </c>
      <c r="G45" s="18" t="s">
        <v>15</v>
      </c>
      <c r="H45" s="98" t="s">
        <v>351</v>
      </c>
      <c r="I45" s="99"/>
      <c r="J45" s="19" t="s">
        <v>11</v>
      </c>
      <c r="K45" s="8"/>
      <c r="L45" s="43" t="s">
        <v>385</v>
      </c>
      <c r="M45" s="53">
        <f>532.95*7.5</f>
        <v>3997.1250000000005</v>
      </c>
      <c r="N45" s="33">
        <f t="shared" ca="1" si="2"/>
        <v>39971.250000000007</v>
      </c>
      <c r="O45" s="8"/>
      <c r="P45" s="34"/>
      <c r="Q45" s="8"/>
      <c r="R45" s="34"/>
    </row>
    <row r="46" spans="1:18" s="9" customFormat="1" ht="27" x14ac:dyDescent="0.2">
      <c r="A46" s="67">
        <v>173</v>
      </c>
      <c r="B46" s="61" t="s">
        <v>122</v>
      </c>
      <c r="C46" s="62"/>
      <c r="D46" s="63"/>
      <c r="E46" s="68">
        <v>1</v>
      </c>
      <c r="F46" s="64" t="s">
        <v>123</v>
      </c>
      <c r="G46" s="18" t="s">
        <v>15</v>
      </c>
      <c r="H46" s="95" t="s">
        <v>12</v>
      </c>
      <c r="I46" s="63"/>
      <c r="J46" s="19" t="s">
        <v>11</v>
      </c>
      <c r="K46" s="8"/>
      <c r="L46" s="43" t="s">
        <v>385</v>
      </c>
      <c r="M46" s="71">
        <f>19.95*7.5</f>
        <v>149.625</v>
      </c>
      <c r="N46" s="33">
        <f t="shared" ca="1" si="2"/>
        <v>1496.25</v>
      </c>
      <c r="O46" s="8"/>
      <c r="P46" s="34"/>
      <c r="Q46" s="8"/>
      <c r="R46" s="34"/>
    </row>
    <row r="47" spans="1:18" s="9" customFormat="1" ht="27" x14ac:dyDescent="0.2">
      <c r="A47" s="67">
        <v>174</v>
      </c>
      <c r="B47" s="61" t="s">
        <v>124</v>
      </c>
      <c r="C47" s="62"/>
      <c r="D47" s="63"/>
      <c r="E47" s="68">
        <v>2</v>
      </c>
      <c r="F47" s="64" t="s">
        <v>125</v>
      </c>
      <c r="G47" s="18" t="s">
        <v>15</v>
      </c>
      <c r="H47" s="95" t="s">
        <v>12</v>
      </c>
      <c r="I47" s="63"/>
      <c r="J47" s="19" t="s">
        <v>11</v>
      </c>
      <c r="K47" s="8"/>
      <c r="L47" s="43" t="s">
        <v>385</v>
      </c>
      <c r="M47" s="71">
        <f>36*2*7.5</f>
        <v>540</v>
      </c>
      <c r="N47" s="33">
        <f t="shared" ca="1" si="2"/>
        <v>5400</v>
      </c>
      <c r="O47" s="8"/>
      <c r="P47" s="34"/>
      <c r="Q47" s="8"/>
      <c r="R47" s="34"/>
    </row>
    <row r="48" spans="1:18" s="9" customFormat="1" ht="27" x14ac:dyDescent="0.2">
      <c r="A48" s="67">
        <v>176</v>
      </c>
      <c r="B48" s="61" t="s">
        <v>128</v>
      </c>
      <c r="C48" s="62"/>
      <c r="D48" s="63"/>
      <c r="E48" s="68">
        <v>1</v>
      </c>
      <c r="F48" s="64" t="s">
        <v>129</v>
      </c>
      <c r="G48" s="18" t="s">
        <v>15</v>
      </c>
      <c r="H48" s="95" t="s">
        <v>12</v>
      </c>
      <c r="I48" s="63"/>
      <c r="J48" s="19" t="s">
        <v>11</v>
      </c>
      <c r="K48" s="8"/>
      <c r="L48" s="43" t="s">
        <v>385</v>
      </c>
      <c r="M48" s="71">
        <f>15.25*7.5</f>
        <v>114.375</v>
      </c>
      <c r="N48" s="33">
        <f t="shared" ca="1" si="2"/>
        <v>1143.75</v>
      </c>
      <c r="O48" s="8"/>
      <c r="P48" s="34"/>
      <c r="Q48" s="8"/>
      <c r="R48" s="34"/>
    </row>
    <row r="49" spans="1:18" s="9" customFormat="1" ht="27" x14ac:dyDescent="0.2">
      <c r="A49" s="67">
        <v>177</v>
      </c>
      <c r="B49" s="61" t="s">
        <v>130</v>
      </c>
      <c r="C49" s="62"/>
      <c r="D49" s="63"/>
      <c r="E49" s="68">
        <v>1</v>
      </c>
      <c r="F49" s="64" t="s">
        <v>131</v>
      </c>
      <c r="G49" s="18" t="s">
        <v>15</v>
      </c>
      <c r="H49" s="95" t="s">
        <v>12</v>
      </c>
      <c r="I49" s="63"/>
      <c r="J49" s="19" t="s">
        <v>11</v>
      </c>
      <c r="K49" s="8"/>
      <c r="L49" s="43" t="s">
        <v>385</v>
      </c>
      <c r="M49" s="71">
        <f>15.2*7.5</f>
        <v>114</v>
      </c>
      <c r="N49" s="33">
        <f t="shared" ca="1" si="2"/>
        <v>1140</v>
      </c>
      <c r="O49" s="8"/>
      <c r="P49" s="34"/>
      <c r="Q49" s="8"/>
      <c r="R49" s="34"/>
    </row>
    <row r="50" spans="1:18" s="9" customFormat="1" ht="27" x14ac:dyDescent="0.2">
      <c r="A50" s="67">
        <v>178</v>
      </c>
      <c r="B50" s="61" t="s">
        <v>132</v>
      </c>
      <c r="C50" s="62"/>
      <c r="D50" s="63"/>
      <c r="E50" s="68">
        <v>1</v>
      </c>
      <c r="F50" s="64" t="s">
        <v>133</v>
      </c>
      <c r="G50" s="18" t="s">
        <v>15</v>
      </c>
      <c r="H50" s="95" t="s">
        <v>12</v>
      </c>
      <c r="I50" s="63"/>
      <c r="J50" s="19" t="s">
        <v>11</v>
      </c>
      <c r="K50" s="8"/>
      <c r="L50" s="43" t="s">
        <v>385</v>
      </c>
      <c r="M50" s="71">
        <f>30.4*7.5</f>
        <v>228</v>
      </c>
      <c r="N50" s="33">
        <f t="shared" ca="1" si="2"/>
        <v>2280</v>
      </c>
      <c r="O50" s="8"/>
      <c r="P50" s="34"/>
      <c r="Q50" s="8"/>
      <c r="R50" s="34"/>
    </row>
    <row r="51" spans="1:18" s="9" customFormat="1" ht="30" x14ac:dyDescent="0.2">
      <c r="A51" s="67">
        <v>181</v>
      </c>
      <c r="B51" s="61" t="s">
        <v>136</v>
      </c>
      <c r="C51" s="62"/>
      <c r="D51" s="63"/>
      <c r="E51" s="68">
        <v>1</v>
      </c>
      <c r="F51" s="64" t="s">
        <v>137</v>
      </c>
      <c r="G51" s="18" t="s">
        <v>15</v>
      </c>
      <c r="H51" s="95" t="s">
        <v>12</v>
      </c>
      <c r="I51" s="63"/>
      <c r="J51" s="19" t="s">
        <v>11</v>
      </c>
      <c r="K51" s="8"/>
      <c r="L51" s="43" t="s">
        <v>385</v>
      </c>
      <c r="M51" s="53">
        <f>195*7.5</f>
        <v>1462.5</v>
      </c>
      <c r="N51" s="33">
        <f t="shared" ca="1" si="2"/>
        <v>14625</v>
      </c>
      <c r="O51" s="8"/>
      <c r="P51" s="34"/>
      <c r="Q51" s="8"/>
      <c r="R51" s="34"/>
    </row>
    <row r="52" spans="1:18" s="9" customFormat="1" ht="46.5" x14ac:dyDescent="0.2">
      <c r="A52" s="67">
        <v>163</v>
      </c>
      <c r="B52" s="61" t="s">
        <v>109</v>
      </c>
      <c r="C52" s="62"/>
      <c r="D52" s="63"/>
      <c r="E52" s="68">
        <v>3</v>
      </c>
      <c r="F52" s="64" t="s">
        <v>110</v>
      </c>
      <c r="G52" s="18" t="s">
        <v>15</v>
      </c>
      <c r="H52" s="95" t="s">
        <v>12</v>
      </c>
      <c r="I52" s="63"/>
      <c r="J52" s="19" t="s">
        <v>11</v>
      </c>
      <c r="K52" s="8"/>
      <c r="L52" s="57" t="s">
        <v>396</v>
      </c>
      <c r="M52" s="53">
        <f>57.6*7.5*3</f>
        <v>1296</v>
      </c>
      <c r="N52" s="33">
        <f t="shared" ca="1" si="2"/>
        <v>12960</v>
      </c>
      <c r="O52" s="8"/>
      <c r="P52" s="34"/>
      <c r="Q52" s="8"/>
      <c r="R52" s="34"/>
    </row>
    <row r="53" spans="1:18" s="9" customFormat="1" ht="409.5" x14ac:dyDescent="0.2">
      <c r="A53" s="92">
        <v>97</v>
      </c>
      <c r="B53" s="136" t="s">
        <v>274</v>
      </c>
      <c r="C53" s="144"/>
      <c r="D53" s="99"/>
      <c r="E53" s="160">
        <v>2</v>
      </c>
      <c r="F53" s="23" t="s">
        <v>166</v>
      </c>
      <c r="G53" s="167" t="s">
        <v>15</v>
      </c>
      <c r="H53" s="98" t="s">
        <v>326</v>
      </c>
      <c r="I53" s="112"/>
      <c r="J53" s="169" t="s">
        <v>11</v>
      </c>
      <c r="K53" s="8"/>
      <c r="L53" s="113" t="s">
        <v>369</v>
      </c>
      <c r="M53" s="53">
        <f>8940*2</f>
        <v>17880</v>
      </c>
      <c r="N53" s="33">
        <f t="shared" ca="1" si="2"/>
        <v>178800</v>
      </c>
      <c r="O53" s="8"/>
      <c r="P53" s="34"/>
      <c r="Q53" s="8"/>
      <c r="R53" s="34"/>
    </row>
    <row r="54" spans="1:18" s="9" customFormat="1" ht="165" x14ac:dyDescent="0.2">
      <c r="A54" s="67">
        <v>103</v>
      </c>
      <c r="B54" s="61" t="s">
        <v>236</v>
      </c>
      <c r="C54" s="62"/>
      <c r="D54" s="63"/>
      <c r="E54" s="22">
        <v>2</v>
      </c>
      <c r="F54" s="23" t="s">
        <v>34</v>
      </c>
      <c r="G54" s="18" t="s">
        <v>15</v>
      </c>
      <c r="H54" s="107" t="s">
        <v>332</v>
      </c>
      <c r="I54" s="108"/>
      <c r="J54" s="19" t="s">
        <v>11</v>
      </c>
      <c r="K54" s="8"/>
      <c r="L54" s="45" t="s">
        <v>369</v>
      </c>
      <c r="M54" s="53">
        <f>694.15*2</f>
        <v>1388.3</v>
      </c>
      <c r="N54" s="33">
        <f t="shared" ca="1" si="2"/>
        <v>13883</v>
      </c>
      <c r="O54" s="8"/>
      <c r="P54" s="34"/>
      <c r="Q54" s="8"/>
      <c r="R54" s="34"/>
    </row>
    <row r="55" spans="1:18" s="9" customFormat="1" ht="409.5" x14ac:dyDescent="0.2">
      <c r="A55" s="92">
        <v>184</v>
      </c>
      <c r="B55" s="61" t="s">
        <v>276</v>
      </c>
      <c r="C55" s="62"/>
      <c r="D55" s="63"/>
      <c r="E55" s="93">
        <v>2</v>
      </c>
      <c r="F55" s="93" t="s">
        <v>244</v>
      </c>
      <c r="G55" s="163" t="s">
        <v>15</v>
      </c>
      <c r="H55" s="110" t="s">
        <v>350</v>
      </c>
      <c r="I55" s="111"/>
      <c r="J55" s="169" t="s">
        <v>11</v>
      </c>
      <c r="K55" s="8"/>
      <c r="L55" s="45" t="s">
        <v>369</v>
      </c>
      <c r="M55" s="53">
        <f>11770*2</f>
        <v>23540</v>
      </c>
      <c r="N55" s="33">
        <f t="shared" ca="1" si="2"/>
        <v>235400</v>
      </c>
      <c r="O55" s="8"/>
      <c r="P55" s="34"/>
      <c r="Q55" s="8"/>
      <c r="R55" s="34"/>
    </row>
    <row r="56" spans="1:18" s="9" customFormat="1" x14ac:dyDescent="0.2">
      <c r="A56" s="67">
        <v>96</v>
      </c>
      <c r="B56" s="114" t="s">
        <v>27</v>
      </c>
      <c r="C56" s="115"/>
      <c r="D56" s="116"/>
      <c r="E56" s="48">
        <v>3</v>
      </c>
      <c r="F56" s="49" t="s">
        <v>28</v>
      </c>
      <c r="G56" s="50" t="s">
        <v>15</v>
      </c>
      <c r="H56" s="117" t="s">
        <v>12</v>
      </c>
      <c r="I56" s="116"/>
      <c r="J56" s="51" t="s">
        <v>11</v>
      </c>
      <c r="K56" s="34"/>
      <c r="L56" s="41" t="s">
        <v>393</v>
      </c>
      <c r="M56" s="53">
        <f>20*3</f>
        <v>60</v>
      </c>
      <c r="N56" s="33">
        <f t="shared" ca="1" si="2"/>
        <v>600</v>
      </c>
      <c r="O56" s="34" t="s">
        <v>387</v>
      </c>
      <c r="P56" s="52">
        <f>3*31</f>
        <v>93</v>
      </c>
      <c r="Q56" s="8"/>
      <c r="R56" s="8"/>
    </row>
    <row r="57" spans="1:18" s="9" customFormat="1" ht="165" x14ac:dyDescent="0.2">
      <c r="A57" s="67">
        <v>101</v>
      </c>
      <c r="B57" s="61" t="s">
        <v>234</v>
      </c>
      <c r="C57" s="62"/>
      <c r="D57" s="63"/>
      <c r="E57" s="22">
        <v>2</v>
      </c>
      <c r="F57" s="23" t="s">
        <v>32</v>
      </c>
      <c r="G57" s="18" t="s">
        <v>15</v>
      </c>
      <c r="H57" s="107" t="s">
        <v>330</v>
      </c>
      <c r="I57" s="108"/>
      <c r="J57" s="19" t="s">
        <v>11</v>
      </c>
      <c r="K57" s="8"/>
      <c r="L57" s="44" t="s">
        <v>372</v>
      </c>
      <c r="M57" s="58">
        <v>1000</v>
      </c>
      <c r="N57" s="33">
        <f t="shared" ca="1" si="2"/>
        <v>10000</v>
      </c>
      <c r="O57" s="43" t="s">
        <v>388</v>
      </c>
      <c r="P57" s="53">
        <f>512*2</f>
        <v>1024</v>
      </c>
      <c r="Q57" s="8"/>
      <c r="R57" s="34"/>
    </row>
    <row r="58" spans="1:18" s="9" customFormat="1" x14ac:dyDescent="0.2">
      <c r="A58" s="67">
        <v>153</v>
      </c>
      <c r="B58" s="61" t="s">
        <v>97</v>
      </c>
      <c r="C58" s="62"/>
      <c r="D58" s="63"/>
      <c r="E58" s="68">
        <v>2</v>
      </c>
      <c r="F58" s="17"/>
      <c r="G58" s="18" t="s">
        <v>15</v>
      </c>
      <c r="H58" s="95" t="s">
        <v>12</v>
      </c>
      <c r="I58" s="63"/>
      <c r="J58" s="19" t="s">
        <v>11</v>
      </c>
      <c r="K58" s="8"/>
      <c r="L58" s="39" t="s">
        <v>372</v>
      </c>
      <c r="M58" s="59">
        <v>200</v>
      </c>
      <c r="N58" s="33">
        <f t="shared" ca="1" si="2"/>
        <v>2000</v>
      </c>
      <c r="O58" s="8"/>
      <c r="P58" s="34"/>
      <c r="Q58" s="8"/>
      <c r="R58" s="34"/>
    </row>
    <row r="59" spans="1:18" s="9" customFormat="1" ht="30" x14ac:dyDescent="0.2">
      <c r="A59" s="67">
        <v>154</v>
      </c>
      <c r="B59" s="61" t="s">
        <v>98</v>
      </c>
      <c r="C59" s="62"/>
      <c r="D59" s="63"/>
      <c r="E59" s="68">
        <v>2</v>
      </c>
      <c r="F59" s="17"/>
      <c r="G59" s="18" t="s">
        <v>15</v>
      </c>
      <c r="H59" s="95" t="s">
        <v>12</v>
      </c>
      <c r="I59" s="63"/>
      <c r="J59" s="19" t="s">
        <v>11</v>
      </c>
      <c r="K59" s="8"/>
      <c r="L59" s="39" t="s">
        <v>372</v>
      </c>
      <c r="M59" s="59">
        <v>500</v>
      </c>
      <c r="N59" s="33">
        <f t="shared" ca="1" si="2"/>
        <v>5000</v>
      </c>
      <c r="O59" s="8"/>
      <c r="P59" s="34"/>
      <c r="Q59" s="8"/>
      <c r="R59" s="34"/>
    </row>
    <row r="60" spans="1:18" s="8" customFormat="1" ht="30" x14ac:dyDescent="0.2">
      <c r="A60" s="67">
        <v>155</v>
      </c>
      <c r="B60" s="61" t="s">
        <v>99</v>
      </c>
      <c r="C60" s="62"/>
      <c r="D60" s="63"/>
      <c r="E60" s="68">
        <v>2</v>
      </c>
      <c r="F60" s="17"/>
      <c r="G60" s="18" t="s">
        <v>15</v>
      </c>
      <c r="H60" s="95" t="s">
        <v>12</v>
      </c>
      <c r="I60" s="63"/>
      <c r="J60" s="19" t="s">
        <v>11</v>
      </c>
      <c r="L60" s="39" t="s">
        <v>372</v>
      </c>
      <c r="M60" s="59">
        <v>500</v>
      </c>
      <c r="N60" s="33">
        <f t="shared" ca="1" si="2"/>
        <v>5000</v>
      </c>
      <c r="P60" s="34"/>
      <c r="R60" s="34"/>
    </row>
    <row r="61" spans="1:18" s="8" customFormat="1" ht="30" x14ac:dyDescent="0.2">
      <c r="A61" s="67">
        <v>156</v>
      </c>
      <c r="B61" s="61" t="s">
        <v>100</v>
      </c>
      <c r="C61" s="62"/>
      <c r="D61" s="63"/>
      <c r="E61" s="68">
        <v>6</v>
      </c>
      <c r="F61" s="17"/>
      <c r="G61" s="18" t="s">
        <v>15</v>
      </c>
      <c r="H61" s="95" t="s">
        <v>12</v>
      </c>
      <c r="I61" s="63"/>
      <c r="J61" s="19" t="s">
        <v>11</v>
      </c>
      <c r="L61" s="39" t="s">
        <v>372</v>
      </c>
      <c r="M61" s="59">
        <v>300</v>
      </c>
      <c r="N61" s="33">
        <f t="shared" ca="1" si="2"/>
        <v>3000</v>
      </c>
      <c r="P61" s="34"/>
      <c r="R61" s="34"/>
    </row>
    <row r="62" spans="1:18" s="8" customFormat="1" ht="30" x14ac:dyDescent="0.2">
      <c r="A62" s="67">
        <v>157</v>
      </c>
      <c r="B62" s="61" t="s">
        <v>101</v>
      </c>
      <c r="C62" s="62"/>
      <c r="D62" s="63"/>
      <c r="E62" s="68">
        <v>1</v>
      </c>
      <c r="F62" s="17"/>
      <c r="G62" s="18" t="s">
        <v>15</v>
      </c>
      <c r="H62" s="95" t="s">
        <v>12</v>
      </c>
      <c r="I62" s="63"/>
      <c r="J62" s="19" t="s">
        <v>11</v>
      </c>
      <c r="L62" s="39" t="s">
        <v>372</v>
      </c>
      <c r="M62" s="59">
        <v>100</v>
      </c>
      <c r="N62" s="33">
        <f t="shared" ca="1" si="2"/>
        <v>1000</v>
      </c>
      <c r="P62" s="34"/>
      <c r="R62" s="34"/>
    </row>
    <row r="63" spans="1:18" s="8" customFormat="1" ht="60" x14ac:dyDescent="0.2">
      <c r="A63" s="67">
        <v>171</v>
      </c>
      <c r="B63" s="61" t="s">
        <v>120</v>
      </c>
      <c r="C63" s="62"/>
      <c r="D63" s="63"/>
      <c r="E63" s="68">
        <v>1</v>
      </c>
      <c r="F63" s="17"/>
      <c r="G63" s="18" t="s">
        <v>15</v>
      </c>
      <c r="H63" s="98" t="s">
        <v>352</v>
      </c>
      <c r="I63" s="99"/>
      <c r="J63" s="19" t="s">
        <v>11</v>
      </c>
      <c r="L63" s="41" t="s">
        <v>372</v>
      </c>
      <c r="M63" s="53">
        <v>16080</v>
      </c>
      <c r="N63" s="33">
        <f t="shared" ca="1" si="2"/>
        <v>160800</v>
      </c>
      <c r="P63" s="34"/>
      <c r="R63" s="34"/>
    </row>
    <row r="64" spans="1:18" s="8" customFormat="1" ht="90" x14ac:dyDescent="0.2">
      <c r="A64" s="67">
        <v>152</v>
      </c>
      <c r="B64" s="61" t="s">
        <v>237</v>
      </c>
      <c r="C64" s="62"/>
      <c r="D64" s="63"/>
      <c r="E64" s="68">
        <v>2</v>
      </c>
      <c r="F64" s="64" t="s">
        <v>96</v>
      </c>
      <c r="G64" s="18" t="s">
        <v>15</v>
      </c>
      <c r="H64" s="95" t="s">
        <v>12</v>
      </c>
      <c r="I64" s="63"/>
      <c r="J64" s="19" t="s">
        <v>11</v>
      </c>
      <c r="L64" s="43" t="s">
        <v>380</v>
      </c>
      <c r="M64" s="53">
        <f>3886.32*2</f>
        <v>7772.64</v>
      </c>
      <c r="N64" s="33">
        <f t="shared" ca="1" si="2"/>
        <v>77726.400000000009</v>
      </c>
      <c r="O64" s="47"/>
      <c r="P64" s="34"/>
      <c r="R64" s="34"/>
    </row>
    <row r="65" spans="1:18" s="8" customFormat="1" ht="30" x14ac:dyDescent="0.2">
      <c r="A65" s="67">
        <v>143</v>
      </c>
      <c r="B65" s="61" t="s">
        <v>82</v>
      </c>
      <c r="C65" s="62"/>
      <c r="D65" s="63"/>
      <c r="E65" s="68">
        <v>1</v>
      </c>
      <c r="F65" s="64" t="s">
        <v>83</v>
      </c>
      <c r="G65" s="18" t="s">
        <v>15</v>
      </c>
      <c r="H65" s="95" t="s">
        <v>12</v>
      </c>
      <c r="I65" s="63"/>
      <c r="J65" s="19" t="s">
        <v>11</v>
      </c>
      <c r="L65" s="40" t="s">
        <v>379</v>
      </c>
      <c r="M65" s="53">
        <f>411.4*7.5</f>
        <v>3085.5</v>
      </c>
      <c r="N65" s="33">
        <f t="shared" ca="1" si="2"/>
        <v>30855</v>
      </c>
      <c r="O65" s="47"/>
      <c r="P65" s="34"/>
      <c r="R65" s="34"/>
    </row>
    <row r="66" spans="1:18" s="8" customFormat="1" ht="30" x14ac:dyDescent="0.2">
      <c r="A66" s="67">
        <v>144</v>
      </c>
      <c r="B66" s="61" t="s">
        <v>173</v>
      </c>
      <c r="C66" s="62"/>
      <c r="D66" s="63"/>
      <c r="E66" s="68">
        <v>1</v>
      </c>
      <c r="F66" s="64" t="s">
        <v>83</v>
      </c>
      <c r="G66" s="18" t="s">
        <v>15</v>
      </c>
      <c r="H66" s="95" t="s">
        <v>12</v>
      </c>
      <c r="I66" s="63"/>
      <c r="J66" s="19" t="s">
        <v>11</v>
      </c>
      <c r="L66" s="40" t="s">
        <v>379</v>
      </c>
      <c r="M66" s="53">
        <f>259.1*7.5</f>
        <v>1943.2500000000002</v>
      </c>
      <c r="N66" s="33">
        <f t="shared" ca="1" si="2"/>
        <v>19432.500000000004</v>
      </c>
      <c r="P66" s="34"/>
      <c r="R66" s="34"/>
    </row>
    <row r="67" spans="1:18" s="8" customFormat="1" ht="30" x14ac:dyDescent="0.2">
      <c r="A67" s="67">
        <v>162</v>
      </c>
      <c r="B67" s="61" t="s">
        <v>107</v>
      </c>
      <c r="C67" s="62"/>
      <c r="D67" s="63"/>
      <c r="E67" s="68">
        <v>1</v>
      </c>
      <c r="F67" s="64" t="s">
        <v>108</v>
      </c>
      <c r="G67" s="18" t="s">
        <v>15</v>
      </c>
      <c r="H67" s="107" t="s">
        <v>348</v>
      </c>
      <c r="I67" s="108"/>
      <c r="J67" s="19" t="s">
        <v>11</v>
      </c>
      <c r="L67" s="43" t="s">
        <v>382</v>
      </c>
      <c r="M67" s="53">
        <v>22770</v>
      </c>
      <c r="N67" s="33">
        <f t="shared" ca="1" si="2"/>
        <v>227700</v>
      </c>
      <c r="O67" s="41" t="s">
        <v>395</v>
      </c>
      <c r="P67" s="52">
        <f>3361*7.5</f>
        <v>25207.5</v>
      </c>
      <c r="Q67" s="42" t="s">
        <v>373</v>
      </c>
      <c r="R67" s="56"/>
    </row>
    <row r="68" spans="1:18" s="8" customFormat="1" ht="150" x14ac:dyDescent="0.2">
      <c r="A68" s="67">
        <v>56</v>
      </c>
      <c r="B68" s="61" t="s">
        <v>287</v>
      </c>
      <c r="C68" s="120"/>
      <c r="D68" s="121"/>
      <c r="E68" s="17"/>
      <c r="F68" s="20" t="s">
        <v>188</v>
      </c>
      <c r="G68" s="18" t="s">
        <v>15</v>
      </c>
      <c r="H68" s="98" t="s">
        <v>315</v>
      </c>
      <c r="I68" s="99"/>
      <c r="J68" s="19" t="s">
        <v>11</v>
      </c>
      <c r="L68" s="44" t="s">
        <v>362</v>
      </c>
      <c r="M68" s="53">
        <f>5800*7.5</f>
        <v>43500</v>
      </c>
      <c r="N68" s="33">
        <f t="shared" ca="1" si="2"/>
        <v>435000</v>
      </c>
      <c r="P68" s="34"/>
      <c r="R68" s="34"/>
    </row>
    <row r="69" spans="1:18" s="8" customFormat="1" ht="240" x14ac:dyDescent="0.2">
      <c r="A69" s="21">
        <v>40</v>
      </c>
      <c r="B69" s="61" t="s">
        <v>212</v>
      </c>
      <c r="C69" s="62"/>
      <c r="D69" s="63"/>
      <c r="E69" s="17"/>
      <c r="F69" s="17"/>
      <c r="G69" s="18" t="s">
        <v>15</v>
      </c>
      <c r="H69" s="95" t="s">
        <v>12</v>
      </c>
      <c r="I69" s="63"/>
      <c r="J69" s="19" t="s">
        <v>11</v>
      </c>
      <c r="K69" s="9"/>
      <c r="L69" s="31" t="s">
        <v>358</v>
      </c>
      <c r="M69" s="53">
        <f>2300*7.5</f>
        <v>17250</v>
      </c>
      <c r="N69" s="33">
        <f t="shared" ca="1" si="2"/>
        <v>172500</v>
      </c>
      <c r="O69" s="9"/>
      <c r="P69" s="33"/>
      <c r="Q69" s="9"/>
      <c r="R69" s="33"/>
    </row>
    <row r="70" spans="1:18" s="8" customFormat="1" ht="60" x14ac:dyDescent="0.2">
      <c r="A70" s="67">
        <v>107</v>
      </c>
      <c r="B70" s="61" t="s">
        <v>163</v>
      </c>
      <c r="C70" s="62"/>
      <c r="D70" s="63"/>
      <c r="E70" s="22">
        <v>2</v>
      </c>
      <c r="F70" s="23" t="s">
        <v>162</v>
      </c>
      <c r="G70" s="18" t="s">
        <v>15</v>
      </c>
      <c r="H70" s="107" t="s">
        <v>335</v>
      </c>
      <c r="I70" s="108"/>
      <c r="J70" s="19" t="s">
        <v>11</v>
      </c>
      <c r="L70" s="43" t="s">
        <v>374</v>
      </c>
      <c r="M70" s="53">
        <f>21.5*7.5*2</f>
        <v>322.5</v>
      </c>
      <c r="N70" s="33">
        <f t="shared" ca="1" si="2"/>
        <v>3225</v>
      </c>
      <c r="P70" s="34"/>
      <c r="R70" s="34"/>
    </row>
    <row r="71" spans="1:18" s="8" customFormat="1" ht="60" x14ac:dyDescent="0.2">
      <c r="A71" s="67">
        <v>108</v>
      </c>
      <c r="B71" s="61" t="s">
        <v>164</v>
      </c>
      <c r="C71" s="62"/>
      <c r="D71" s="63"/>
      <c r="E71" s="22">
        <v>1</v>
      </c>
      <c r="F71" s="23" t="s">
        <v>38</v>
      </c>
      <c r="G71" s="18" t="s">
        <v>15</v>
      </c>
      <c r="H71" s="107" t="s">
        <v>336</v>
      </c>
      <c r="I71" s="108"/>
      <c r="J71" s="19" t="s">
        <v>11</v>
      </c>
      <c r="L71" s="43" t="s">
        <v>374</v>
      </c>
      <c r="M71" s="53">
        <f>34.5*7.5</f>
        <v>258.75</v>
      </c>
      <c r="N71" s="33">
        <f t="shared" ca="1" si="2"/>
        <v>2587.5</v>
      </c>
      <c r="P71" s="34"/>
      <c r="R71" s="34"/>
    </row>
    <row r="72" spans="1:18" s="8" customFormat="1" ht="278.25" customHeight="1" x14ac:dyDescent="0.2">
      <c r="A72" s="67">
        <v>80</v>
      </c>
      <c r="B72" s="61" t="s">
        <v>191</v>
      </c>
      <c r="C72" s="62"/>
      <c r="D72" s="63"/>
      <c r="E72" s="17"/>
      <c r="F72" s="17"/>
      <c r="G72" s="18" t="s">
        <v>15</v>
      </c>
      <c r="H72" s="95" t="s">
        <v>12</v>
      </c>
      <c r="I72" s="63"/>
      <c r="J72" s="19" t="s">
        <v>11</v>
      </c>
      <c r="L72" s="39" t="s">
        <v>366</v>
      </c>
      <c r="M72" s="52">
        <v>2000</v>
      </c>
      <c r="N72" s="33">
        <f t="shared" ca="1" si="2"/>
        <v>20000</v>
      </c>
      <c r="P72" s="34"/>
      <c r="R72" s="34"/>
    </row>
    <row r="73" spans="1:18" s="8" customFormat="1" ht="30" x14ac:dyDescent="0.2">
      <c r="A73" s="67">
        <v>117</v>
      </c>
      <c r="B73" s="109" t="s">
        <v>215</v>
      </c>
      <c r="C73" s="62"/>
      <c r="D73" s="63"/>
      <c r="E73" s="68">
        <v>4</v>
      </c>
      <c r="F73" s="64" t="s">
        <v>216</v>
      </c>
      <c r="G73" s="18" t="s">
        <v>15</v>
      </c>
      <c r="H73" s="98" t="s">
        <v>341</v>
      </c>
      <c r="I73" s="112"/>
      <c r="J73" s="19" t="s">
        <v>11</v>
      </c>
      <c r="L73" s="43" t="s">
        <v>375</v>
      </c>
      <c r="M73" s="53">
        <f>740*4</f>
        <v>2960</v>
      </c>
      <c r="N73" s="33">
        <f t="shared" ca="1" si="2"/>
        <v>29600</v>
      </c>
      <c r="P73" s="34"/>
      <c r="R73" s="34"/>
    </row>
    <row r="74" spans="1:18" s="8" customFormat="1" ht="285" x14ac:dyDescent="0.2">
      <c r="A74" s="67">
        <v>82</v>
      </c>
      <c r="B74" s="61" t="s">
        <v>230</v>
      </c>
      <c r="C74" s="62"/>
      <c r="D74" s="63"/>
      <c r="E74" s="17"/>
      <c r="F74" s="17"/>
      <c r="G74" s="18" t="s">
        <v>15</v>
      </c>
      <c r="H74" s="95" t="s">
        <v>12</v>
      </c>
      <c r="I74" s="63"/>
      <c r="J74" s="19" t="s">
        <v>11</v>
      </c>
      <c r="L74" s="40" t="s">
        <v>367</v>
      </c>
      <c r="M74" s="52">
        <v>500</v>
      </c>
      <c r="N74" s="33">
        <f t="shared" ref="N74:N105" ca="1" si="3">+M74*$N$2</f>
        <v>5000</v>
      </c>
      <c r="P74" s="34"/>
      <c r="R74" s="34"/>
    </row>
    <row r="75" spans="1:18" s="8" customFormat="1" ht="409.5" x14ac:dyDescent="0.2">
      <c r="A75" s="67">
        <v>50</v>
      </c>
      <c r="B75" s="61" t="s">
        <v>265</v>
      </c>
      <c r="C75" s="62"/>
      <c r="D75" s="63"/>
      <c r="E75" s="17"/>
      <c r="F75" s="17"/>
      <c r="G75" s="18" t="s">
        <v>15</v>
      </c>
      <c r="H75" s="122" t="s">
        <v>314</v>
      </c>
      <c r="I75" s="99"/>
      <c r="J75" s="19" t="s">
        <v>11</v>
      </c>
      <c r="L75" s="32" t="s">
        <v>397</v>
      </c>
      <c r="M75" s="53">
        <v>60000</v>
      </c>
      <c r="N75" s="33">
        <f t="shared" ca="1" si="3"/>
        <v>600000</v>
      </c>
      <c r="O75" s="32" t="s">
        <v>361</v>
      </c>
      <c r="P75" s="34">
        <v>62560</v>
      </c>
      <c r="Q75" s="32"/>
      <c r="R75" s="34"/>
    </row>
    <row r="76" spans="1:18" s="8" customFormat="1" ht="45" x14ac:dyDescent="0.2">
      <c r="A76" s="67">
        <v>165</v>
      </c>
      <c r="B76" s="61" t="s">
        <v>112</v>
      </c>
      <c r="C76" s="62"/>
      <c r="D76" s="63"/>
      <c r="E76" s="68">
        <v>4</v>
      </c>
      <c r="F76" s="64" t="s">
        <v>113</v>
      </c>
      <c r="G76" s="18" t="s">
        <v>15</v>
      </c>
      <c r="H76" s="95" t="s">
        <v>12</v>
      </c>
      <c r="I76" s="63"/>
      <c r="J76" s="19" t="s">
        <v>11</v>
      </c>
      <c r="L76" s="43" t="s">
        <v>384</v>
      </c>
      <c r="M76" s="53">
        <f>60*4</f>
        <v>240</v>
      </c>
      <c r="N76" s="33">
        <f t="shared" ca="1" si="3"/>
        <v>2400</v>
      </c>
      <c r="P76" s="34"/>
      <c r="R76" s="34"/>
    </row>
    <row r="77" spans="1:18" s="9" customFormat="1" ht="409.5" x14ac:dyDescent="0.2">
      <c r="A77" s="67">
        <v>77</v>
      </c>
      <c r="B77" s="61" t="s">
        <v>282</v>
      </c>
      <c r="C77" s="62"/>
      <c r="D77" s="63"/>
      <c r="E77" s="17"/>
      <c r="F77" s="17"/>
      <c r="G77" s="18" t="s">
        <v>15</v>
      </c>
      <c r="H77" s="95" t="s">
        <v>12</v>
      </c>
      <c r="I77" s="63"/>
      <c r="J77" s="19" t="s">
        <v>11</v>
      </c>
      <c r="K77" s="8"/>
      <c r="L77" s="46" t="s">
        <v>368</v>
      </c>
      <c r="M77" s="34"/>
      <c r="N77" s="33">
        <f t="shared" ca="1" si="3"/>
        <v>0</v>
      </c>
      <c r="O77" s="8"/>
      <c r="P77" s="34"/>
      <c r="Q77" s="8"/>
      <c r="R77" s="34"/>
    </row>
    <row r="78" spans="1:18" s="9" customFormat="1" ht="409.5" x14ac:dyDescent="0.2">
      <c r="A78" s="67">
        <v>78</v>
      </c>
      <c r="B78" s="61" t="s">
        <v>157</v>
      </c>
      <c r="C78" s="62"/>
      <c r="D78" s="63"/>
      <c r="E78" s="17"/>
      <c r="F78" s="17"/>
      <c r="G78" s="18" t="s">
        <v>15</v>
      </c>
      <c r="H78" s="95" t="s">
        <v>12</v>
      </c>
      <c r="I78" s="63"/>
      <c r="J78" s="19" t="s">
        <v>11</v>
      </c>
      <c r="K78" s="8"/>
      <c r="L78" s="46" t="s">
        <v>368</v>
      </c>
      <c r="M78" s="34"/>
      <c r="N78" s="33">
        <f t="shared" ca="1" si="3"/>
        <v>0</v>
      </c>
      <c r="O78" s="8"/>
      <c r="P78" s="34"/>
      <c r="Q78" s="8"/>
      <c r="R78" s="34"/>
    </row>
    <row r="79" spans="1:18" s="8" customFormat="1" ht="45" x14ac:dyDescent="0.2">
      <c r="A79" s="67">
        <v>186</v>
      </c>
      <c r="B79" s="61" t="s">
        <v>141</v>
      </c>
      <c r="C79" s="62"/>
      <c r="D79" s="63"/>
      <c r="E79" s="68">
        <v>2</v>
      </c>
      <c r="F79" s="17"/>
      <c r="G79" s="18" t="s">
        <v>15</v>
      </c>
      <c r="H79" s="95" t="s">
        <v>12</v>
      </c>
      <c r="I79" s="63"/>
      <c r="J79" s="19" t="s">
        <v>11</v>
      </c>
      <c r="L79" s="43" t="s">
        <v>386</v>
      </c>
      <c r="M79" s="53">
        <f>50*7.5*2</f>
        <v>750</v>
      </c>
      <c r="N79" s="33">
        <f t="shared" ca="1" si="3"/>
        <v>7500</v>
      </c>
      <c r="P79" s="34"/>
      <c r="R79" s="34"/>
    </row>
    <row r="80" spans="1:18" s="8" customFormat="1" ht="165" x14ac:dyDescent="0.2">
      <c r="A80" s="21">
        <v>44</v>
      </c>
      <c r="B80" s="61" t="s">
        <v>172</v>
      </c>
      <c r="C80" s="62"/>
      <c r="D80" s="63"/>
      <c r="E80" s="17"/>
      <c r="F80" s="17"/>
      <c r="G80" s="18" t="s">
        <v>15</v>
      </c>
      <c r="H80" s="95" t="s">
        <v>12</v>
      </c>
      <c r="I80" s="63"/>
      <c r="J80" s="19" t="s">
        <v>11</v>
      </c>
      <c r="K80" s="9"/>
      <c r="L80" s="31" t="s">
        <v>359</v>
      </c>
      <c r="M80" s="52">
        <v>250</v>
      </c>
      <c r="N80" s="33">
        <f t="shared" ca="1" si="3"/>
        <v>2500</v>
      </c>
      <c r="O80" s="9"/>
      <c r="P80" s="33"/>
      <c r="Q80" s="9"/>
      <c r="R80" s="33"/>
    </row>
    <row r="81" spans="1:18" s="9" customFormat="1" ht="240" x14ac:dyDescent="0.2">
      <c r="A81" s="21">
        <v>72</v>
      </c>
      <c r="B81" s="61" t="s">
        <v>271</v>
      </c>
      <c r="C81" s="62"/>
      <c r="D81" s="63"/>
      <c r="E81" s="17"/>
      <c r="F81" s="17"/>
      <c r="G81" s="18" t="s">
        <v>15</v>
      </c>
      <c r="H81" s="98" t="s">
        <v>320</v>
      </c>
      <c r="I81" s="99"/>
      <c r="J81" s="19" t="s">
        <v>11</v>
      </c>
      <c r="L81" s="38" t="s">
        <v>365</v>
      </c>
      <c r="M81" s="53">
        <v>1250</v>
      </c>
      <c r="N81" s="33">
        <f t="shared" ca="1" si="3"/>
        <v>12500</v>
      </c>
      <c r="P81" s="33"/>
      <c r="R81" s="33"/>
    </row>
    <row r="82" spans="1:18" s="9" customFormat="1" ht="195" x14ac:dyDescent="0.2">
      <c r="A82" s="21">
        <v>73</v>
      </c>
      <c r="B82" s="61" t="s">
        <v>272</v>
      </c>
      <c r="C82" s="62"/>
      <c r="D82" s="63"/>
      <c r="E82" s="17"/>
      <c r="F82" s="17"/>
      <c r="G82" s="18" t="s">
        <v>15</v>
      </c>
      <c r="H82" s="118" t="s">
        <v>321</v>
      </c>
      <c r="I82" s="119"/>
      <c r="J82" s="19" t="s">
        <v>11</v>
      </c>
      <c r="L82" s="57" t="s">
        <v>365</v>
      </c>
      <c r="M82" s="52">
        <v>1160</v>
      </c>
      <c r="N82" s="33">
        <f t="shared" ca="1" si="3"/>
        <v>11600</v>
      </c>
      <c r="P82" s="33"/>
      <c r="R82" s="33"/>
    </row>
    <row r="83" spans="1:18" s="9" customFormat="1" ht="409.5" x14ac:dyDescent="0.2">
      <c r="A83" s="67">
        <v>75</v>
      </c>
      <c r="B83" s="61" t="s">
        <v>207</v>
      </c>
      <c r="C83" s="62"/>
      <c r="D83" s="63"/>
      <c r="E83" s="17"/>
      <c r="F83" s="17"/>
      <c r="G83" s="18" t="s">
        <v>15</v>
      </c>
      <c r="H83" s="98" t="s">
        <v>322</v>
      </c>
      <c r="I83" s="99"/>
      <c r="J83" s="19" t="s">
        <v>11</v>
      </c>
      <c r="K83" s="8"/>
      <c r="L83" s="38" t="s">
        <v>365</v>
      </c>
      <c r="M83" s="53">
        <v>3000</v>
      </c>
      <c r="N83" s="33">
        <f t="shared" ca="1" si="3"/>
        <v>30000</v>
      </c>
      <c r="O83" s="8"/>
      <c r="P83" s="34"/>
      <c r="Q83" s="8"/>
      <c r="R83" s="34"/>
    </row>
    <row r="84" spans="1:18" s="9" customFormat="1" ht="150" x14ac:dyDescent="0.2">
      <c r="A84" s="67">
        <v>76</v>
      </c>
      <c r="B84" s="61" t="s">
        <v>273</v>
      </c>
      <c r="C84" s="62"/>
      <c r="D84" s="63"/>
      <c r="E84" s="17"/>
      <c r="F84" s="17"/>
      <c r="G84" s="18" t="s">
        <v>15</v>
      </c>
      <c r="H84" s="98" t="s">
        <v>323</v>
      </c>
      <c r="I84" s="99"/>
      <c r="J84" s="19" t="s">
        <v>11</v>
      </c>
      <c r="K84" s="8"/>
      <c r="L84" s="38" t="s">
        <v>365</v>
      </c>
      <c r="M84" s="53">
        <v>2300</v>
      </c>
      <c r="N84" s="33">
        <f t="shared" ca="1" si="3"/>
        <v>23000</v>
      </c>
      <c r="O84" s="8"/>
      <c r="P84" s="34"/>
      <c r="Q84" s="8"/>
      <c r="R84" s="34"/>
    </row>
    <row r="85" spans="1:18" s="8" customFormat="1" ht="30" x14ac:dyDescent="0.2">
      <c r="A85" s="67">
        <v>164</v>
      </c>
      <c r="B85" s="61" t="s">
        <v>111</v>
      </c>
      <c r="C85" s="62"/>
      <c r="D85" s="63"/>
      <c r="E85" s="68">
        <v>1</v>
      </c>
      <c r="F85" s="17"/>
      <c r="G85" s="18" t="s">
        <v>15</v>
      </c>
      <c r="H85" s="107" t="s">
        <v>349</v>
      </c>
      <c r="I85" s="108"/>
      <c r="J85" s="19" t="s">
        <v>11</v>
      </c>
      <c r="L85" s="42" t="s">
        <v>383</v>
      </c>
      <c r="M85" s="53">
        <f>1190*7.5</f>
        <v>8925</v>
      </c>
      <c r="N85" s="33">
        <f t="shared" ca="1" si="3"/>
        <v>89250</v>
      </c>
      <c r="P85" s="34"/>
      <c r="R85" s="34"/>
    </row>
    <row r="86" spans="1:18" s="8" customFormat="1" ht="45" x14ac:dyDescent="0.2">
      <c r="A86" s="67">
        <v>158</v>
      </c>
      <c r="B86" s="61" t="s">
        <v>102</v>
      </c>
      <c r="C86" s="62"/>
      <c r="D86" s="63"/>
      <c r="E86" s="68">
        <v>2</v>
      </c>
      <c r="F86" s="17"/>
      <c r="G86" s="18" t="s">
        <v>15</v>
      </c>
      <c r="H86" s="95" t="s">
        <v>12</v>
      </c>
      <c r="I86" s="63"/>
      <c r="J86" s="19" t="s">
        <v>11</v>
      </c>
      <c r="L86" s="42" t="s">
        <v>381</v>
      </c>
      <c r="M86" s="53">
        <f>211*2</f>
        <v>422</v>
      </c>
      <c r="N86" s="33">
        <f t="shared" ca="1" si="3"/>
        <v>4220</v>
      </c>
      <c r="P86" s="34"/>
      <c r="R86" s="34"/>
    </row>
    <row r="87" spans="1:18" s="8" customFormat="1" ht="45" x14ac:dyDescent="0.2">
      <c r="A87" s="67">
        <v>159</v>
      </c>
      <c r="B87" s="61" t="s">
        <v>103</v>
      </c>
      <c r="C87" s="62"/>
      <c r="D87" s="63"/>
      <c r="E87" s="68">
        <v>2</v>
      </c>
      <c r="F87" s="17"/>
      <c r="G87" s="18" t="s">
        <v>15</v>
      </c>
      <c r="H87" s="95" t="s">
        <v>12</v>
      </c>
      <c r="I87" s="63"/>
      <c r="J87" s="19" t="s">
        <v>11</v>
      </c>
      <c r="L87" s="42" t="s">
        <v>381</v>
      </c>
      <c r="M87" s="53">
        <f>240*2</f>
        <v>480</v>
      </c>
      <c r="N87" s="33">
        <f t="shared" ca="1" si="3"/>
        <v>4800</v>
      </c>
      <c r="P87" s="34"/>
      <c r="R87" s="34"/>
    </row>
    <row r="88" spans="1:18" s="8" customFormat="1" ht="75" x14ac:dyDescent="0.2">
      <c r="A88" s="67">
        <v>160</v>
      </c>
      <c r="B88" s="61" t="s">
        <v>104</v>
      </c>
      <c r="C88" s="62"/>
      <c r="D88" s="63"/>
      <c r="E88" s="68">
        <v>2</v>
      </c>
      <c r="F88" s="64" t="s">
        <v>105</v>
      </c>
      <c r="G88" s="18" t="s">
        <v>15</v>
      </c>
      <c r="H88" s="95" t="s">
        <v>12</v>
      </c>
      <c r="I88" s="63"/>
      <c r="J88" s="19" t="s">
        <v>11</v>
      </c>
      <c r="L88" s="42" t="s">
        <v>381</v>
      </c>
      <c r="M88" s="53">
        <f>778*2</f>
        <v>1556</v>
      </c>
      <c r="N88" s="33">
        <f t="shared" ca="1" si="3"/>
        <v>15560</v>
      </c>
      <c r="P88" s="34"/>
      <c r="R88" s="34"/>
    </row>
    <row r="89" spans="1:18" s="9" customFormat="1" ht="120" x14ac:dyDescent="0.2">
      <c r="A89" s="21">
        <v>74</v>
      </c>
      <c r="B89" s="61" t="s">
        <v>190</v>
      </c>
      <c r="C89" s="62"/>
      <c r="D89" s="63"/>
      <c r="E89" s="17"/>
      <c r="F89" s="17"/>
      <c r="G89" s="18" t="s">
        <v>15</v>
      </c>
      <c r="H89" s="95" t="s">
        <v>12</v>
      </c>
      <c r="I89" s="63"/>
      <c r="J89" s="19" t="s">
        <v>11</v>
      </c>
      <c r="L89" s="37" t="s">
        <v>394</v>
      </c>
      <c r="M89" s="33"/>
      <c r="N89" s="33">
        <f t="shared" ca="1" si="3"/>
        <v>0</v>
      </c>
      <c r="P89" s="33"/>
      <c r="R89" s="33"/>
    </row>
    <row r="90" spans="1:18" s="8" customFormat="1" ht="165" x14ac:dyDescent="0.2">
      <c r="A90" s="67">
        <v>102</v>
      </c>
      <c r="B90" s="61" t="s">
        <v>235</v>
      </c>
      <c r="C90" s="62"/>
      <c r="D90" s="63"/>
      <c r="E90" s="22">
        <v>2</v>
      </c>
      <c r="F90" s="23" t="s">
        <v>33</v>
      </c>
      <c r="G90" s="18" t="s">
        <v>15</v>
      </c>
      <c r="H90" s="107" t="s">
        <v>331</v>
      </c>
      <c r="I90" s="108"/>
      <c r="J90" s="19" t="s">
        <v>11</v>
      </c>
      <c r="L90" s="44" t="s">
        <v>388</v>
      </c>
      <c r="M90" s="53">
        <f>69*2</f>
        <v>138</v>
      </c>
      <c r="N90" s="33">
        <f t="shared" ca="1" si="3"/>
        <v>1380</v>
      </c>
      <c r="O90" s="44" t="s">
        <v>372</v>
      </c>
      <c r="P90" s="34"/>
      <c r="R90" s="34"/>
    </row>
    <row r="91" spans="1:18" s="9" customFormat="1" ht="210" x14ac:dyDescent="0.2">
      <c r="A91" s="67">
        <v>98</v>
      </c>
      <c r="B91" s="61" t="s">
        <v>233</v>
      </c>
      <c r="C91" s="62"/>
      <c r="D91" s="63"/>
      <c r="E91" s="22">
        <v>1</v>
      </c>
      <c r="F91" s="23" t="s">
        <v>29</v>
      </c>
      <c r="G91" s="30" t="s">
        <v>15</v>
      </c>
      <c r="H91" s="107" t="s">
        <v>327</v>
      </c>
      <c r="I91" s="108"/>
      <c r="J91" s="19" t="s">
        <v>11</v>
      </c>
      <c r="K91" s="8"/>
      <c r="L91" s="45" t="s">
        <v>370</v>
      </c>
      <c r="M91" s="52">
        <v>2250</v>
      </c>
      <c r="N91" s="33">
        <f t="shared" ca="1" si="3"/>
        <v>22500</v>
      </c>
      <c r="O91" s="8"/>
      <c r="P91" s="34"/>
      <c r="Q91" s="8"/>
      <c r="R91" s="34"/>
    </row>
    <row r="92" spans="1:18" s="8" customFormat="1" ht="60" x14ac:dyDescent="0.2">
      <c r="A92" s="67">
        <v>99</v>
      </c>
      <c r="B92" s="61" t="s">
        <v>202</v>
      </c>
      <c r="C92" s="62"/>
      <c r="D92" s="63"/>
      <c r="E92" s="22">
        <v>1</v>
      </c>
      <c r="F92" s="23" t="s">
        <v>203</v>
      </c>
      <c r="G92" s="30" t="s">
        <v>15</v>
      </c>
      <c r="H92" s="107" t="s">
        <v>328</v>
      </c>
      <c r="I92" s="108"/>
      <c r="J92" s="19" t="s">
        <v>11</v>
      </c>
      <c r="L92" s="45" t="s">
        <v>370</v>
      </c>
      <c r="M92" s="52">
        <v>400</v>
      </c>
      <c r="N92" s="33">
        <f t="shared" ca="1" si="3"/>
        <v>4000</v>
      </c>
      <c r="P92" s="34"/>
      <c r="R92" s="34"/>
    </row>
    <row r="93" spans="1:18" s="10" customFormat="1" ht="45" x14ac:dyDescent="0.2">
      <c r="A93" s="67">
        <v>166</v>
      </c>
      <c r="B93" s="61" t="s">
        <v>114</v>
      </c>
      <c r="C93" s="62"/>
      <c r="D93" s="63"/>
      <c r="E93" s="68">
        <v>1</v>
      </c>
      <c r="F93" s="64" t="s">
        <v>115</v>
      </c>
      <c r="G93" s="18" t="s">
        <v>15</v>
      </c>
      <c r="H93" s="107" t="s">
        <v>339</v>
      </c>
      <c r="I93" s="108"/>
      <c r="J93" s="19" t="s">
        <v>11</v>
      </c>
      <c r="K93" s="8"/>
      <c r="L93" s="43" t="s">
        <v>370</v>
      </c>
      <c r="M93" s="52">
        <v>2520</v>
      </c>
      <c r="N93" s="33">
        <f t="shared" ca="1" si="3"/>
        <v>25200</v>
      </c>
      <c r="O93" s="8"/>
      <c r="P93" s="34"/>
      <c r="Q93" s="8"/>
      <c r="R93" s="34"/>
    </row>
    <row r="94" spans="1:18" s="8" customFormat="1" ht="30" x14ac:dyDescent="0.2">
      <c r="A94" s="67">
        <v>167</v>
      </c>
      <c r="B94" s="61" t="s">
        <v>238</v>
      </c>
      <c r="C94" s="62"/>
      <c r="D94" s="63"/>
      <c r="E94" s="68">
        <v>1</v>
      </c>
      <c r="F94" s="17"/>
      <c r="G94" s="18" t="s">
        <v>15</v>
      </c>
      <c r="H94" s="95" t="s">
        <v>12</v>
      </c>
      <c r="I94" s="63"/>
      <c r="J94" s="19" t="s">
        <v>11</v>
      </c>
      <c r="L94" s="43" t="s">
        <v>370</v>
      </c>
      <c r="M94" s="52">
        <v>100</v>
      </c>
      <c r="N94" s="33">
        <f t="shared" ca="1" si="3"/>
        <v>1000</v>
      </c>
      <c r="P94" s="34"/>
      <c r="R94" s="34"/>
    </row>
    <row r="95" spans="1:18" s="8" customFormat="1" ht="27" x14ac:dyDescent="0.2">
      <c r="A95" s="67">
        <v>179</v>
      </c>
      <c r="B95" s="61" t="s">
        <v>134</v>
      </c>
      <c r="C95" s="62"/>
      <c r="D95" s="63"/>
      <c r="E95" s="68">
        <v>1</v>
      </c>
      <c r="F95" s="17"/>
      <c r="G95" s="18" t="s">
        <v>15</v>
      </c>
      <c r="H95" s="95" t="s">
        <v>12</v>
      </c>
      <c r="I95" s="63"/>
      <c r="J95" s="19" t="s">
        <v>11</v>
      </c>
      <c r="L95" s="43" t="s">
        <v>370</v>
      </c>
      <c r="M95" s="34"/>
      <c r="N95" s="33">
        <f t="shared" ca="1" si="3"/>
        <v>0</v>
      </c>
      <c r="P95" s="34"/>
      <c r="R95" s="34"/>
    </row>
    <row r="96" spans="1:18" s="8" customFormat="1" ht="27" x14ac:dyDescent="0.2">
      <c r="A96" s="67">
        <v>180</v>
      </c>
      <c r="B96" s="61" t="s">
        <v>135</v>
      </c>
      <c r="C96" s="62"/>
      <c r="D96" s="63"/>
      <c r="E96" s="68">
        <v>2</v>
      </c>
      <c r="F96" s="17"/>
      <c r="G96" s="18" t="s">
        <v>15</v>
      </c>
      <c r="H96" s="95" t="s">
        <v>12</v>
      </c>
      <c r="I96" s="63"/>
      <c r="J96" s="19" t="s">
        <v>11</v>
      </c>
      <c r="L96" s="43" t="s">
        <v>370</v>
      </c>
      <c r="M96" s="34"/>
      <c r="N96" s="33">
        <f t="shared" ca="1" si="3"/>
        <v>0</v>
      </c>
      <c r="P96" s="34"/>
      <c r="R96" s="34"/>
    </row>
    <row r="97" spans="1:18" s="8" customFormat="1" ht="30" x14ac:dyDescent="0.2">
      <c r="A97" s="67">
        <v>182</v>
      </c>
      <c r="B97" s="61" t="s">
        <v>138</v>
      </c>
      <c r="C97" s="62"/>
      <c r="D97" s="63"/>
      <c r="E97" s="68">
        <v>1</v>
      </c>
      <c r="F97" s="17"/>
      <c r="G97" s="18" t="s">
        <v>15</v>
      </c>
      <c r="H97" s="95" t="s">
        <v>12</v>
      </c>
      <c r="I97" s="63"/>
      <c r="J97" s="19" t="s">
        <v>11</v>
      </c>
      <c r="L97" s="43" t="s">
        <v>370</v>
      </c>
      <c r="M97" s="34"/>
      <c r="N97" s="33">
        <f t="shared" ca="1" si="3"/>
        <v>0</v>
      </c>
      <c r="P97" s="34"/>
      <c r="R97" s="34"/>
    </row>
    <row r="98" spans="1:18" s="8" customFormat="1" ht="30" x14ac:dyDescent="0.2">
      <c r="A98" s="67">
        <v>183</v>
      </c>
      <c r="B98" s="61" t="s">
        <v>139</v>
      </c>
      <c r="C98" s="62"/>
      <c r="D98" s="63"/>
      <c r="E98" s="68">
        <v>1</v>
      </c>
      <c r="F98" s="17"/>
      <c r="G98" s="18" t="s">
        <v>15</v>
      </c>
      <c r="H98" s="95" t="s">
        <v>12</v>
      </c>
      <c r="I98" s="63"/>
      <c r="J98" s="19" t="s">
        <v>11</v>
      </c>
      <c r="L98" s="43" t="s">
        <v>370</v>
      </c>
      <c r="M98" s="52">
        <v>250</v>
      </c>
      <c r="N98" s="33">
        <f t="shared" ca="1" si="3"/>
        <v>2500</v>
      </c>
      <c r="P98" s="34"/>
      <c r="R98" s="34"/>
    </row>
    <row r="99" spans="1:18" s="8" customFormat="1" ht="45" x14ac:dyDescent="0.2">
      <c r="A99" s="67">
        <v>188</v>
      </c>
      <c r="B99" s="61" t="s">
        <v>143</v>
      </c>
      <c r="C99" s="62"/>
      <c r="D99" s="63"/>
      <c r="E99" s="68">
        <v>1</v>
      </c>
      <c r="F99" s="17"/>
      <c r="G99" s="18" t="s">
        <v>15</v>
      </c>
      <c r="H99" s="95" t="s">
        <v>12</v>
      </c>
      <c r="I99" s="63"/>
      <c r="J99" s="19" t="s">
        <v>11</v>
      </c>
      <c r="L99" s="42" t="s">
        <v>370</v>
      </c>
      <c r="M99" s="34"/>
      <c r="N99" s="33">
        <f t="shared" ca="1" si="3"/>
        <v>0</v>
      </c>
      <c r="P99" s="34"/>
      <c r="R99" s="34"/>
    </row>
    <row r="100" spans="1:18" s="8" customFormat="1" ht="75" x14ac:dyDescent="0.2">
      <c r="A100" s="67">
        <v>189</v>
      </c>
      <c r="B100" s="61" t="s">
        <v>144</v>
      </c>
      <c r="C100" s="62"/>
      <c r="D100" s="63"/>
      <c r="E100" s="68">
        <v>1</v>
      </c>
      <c r="F100" s="17"/>
      <c r="G100" s="18" t="s">
        <v>15</v>
      </c>
      <c r="H100" s="95" t="s">
        <v>12</v>
      </c>
      <c r="I100" s="63"/>
      <c r="J100" s="19" t="s">
        <v>11</v>
      </c>
      <c r="L100" s="42" t="s">
        <v>370</v>
      </c>
      <c r="M100" s="34"/>
      <c r="N100" s="33">
        <f t="shared" ca="1" si="3"/>
        <v>0</v>
      </c>
      <c r="P100" s="34"/>
      <c r="R100" s="34"/>
    </row>
    <row r="101" spans="1:18" s="8" customFormat="1" ht="45" x14ac:dyDescent="0.2">
      <c r="A101" s="67">
        <v>190</v>
      </c>
      <c r="B101" s="61" t="s">
        <v>145</v>
      </c>
      <c r="C101" s="62"/>
      <c r="D101" s="63"/>
      <c r="E101" s="68">
        <v>1</v>
      </c>
      <c r="F101" s="17"/>
      <c r="G101" s="18" t="s">
        <v>15</v>
      </c>
      <c r="H101" s="95" t="s">
        <v>12</v>
      </c>
      <c r="I101" s="63"/>
      <c r="J101" s="19" t="s">
        <v>11</v>
      </c>
      <c r="L101" s="42" t="s">
        <v>370</v>
      </c>
      <c r="M101" s="34"/>
      <c r="N101" s="33">
        <f t="shared" ca="1" si="3"/>
        <v>0</v>
      </c>
      <c r="P101" s="34"/>
      <c r="R101" s="34"/>
    </row>
    <row r="102" spans="1:18" s="8" customFormat="1" x14ac:dyDescent="0.2">
      <c r="A102" s="129"/>
      <c r="B102" s="76"/>
      <c r="C102" s="142" t="s">
        <v>288</v>
      </c>
      <c r="D102" s="149"/>
      <c r="E102" s="91"/>
      <c r="F102" s="91"/>
      <c r="G102" s="91"/>
      <c r="H102" s="172"/>
      <c r="I102" s="94"/>
      <c r="J102" s="92"/>
      <c r="K102" s="9"/>
      <c r="L102" s="9"/>
      <c r="M102" s="33"/>
      <c r="N102" s="72">
        <v>10</v>
      </c>
      <c r="O102" s="9"/>
      <c r="P102" s="33"/>
      <c r="Q102" s="9"/>
      <c r="R102" s="33"/>
    </row>
    <row r="103" spans="1:18" s="8" customFormat="1" ht="180" x14ac:dyDescent="0.2">
      <c r="A103" s="89" t="s">
        <v>17</v>
      </c>
      <c r="B103" s="61"/>
      <c r="C103" s="78"/>
      <c r="D103" s="88" t="s">
        <v>208</v>
      </c>
      <c r="E103" s="132"/>
      <c r="F103" s="132"/>
      <c r="G103" s="132"/>
      <c r="H103" s="86"/>
      <c r="I103" s="77" t="s">
        <v>8</v>
      </c>
      <c r="J103" s="129"/>
      <c r="K103" s="9"/>
      <c r="L103" s="9"/>
      <c r="M103" s="33"/>
      <c r="N103" s="33">
        <f t="shared" ref="N103:N134" ca="1" si="4">+M103*$N$2</f>
        <v>0</v>
      </c>
      <c r="O103" s="9"/>
      <c r="P103" s="33"/>
      <c r="Q103" s="9"/>
      <c r="R103" s="33"/>
    </row>
    <row r="104" spans="1:18" s="10" customFormat="1" ht="60" x14ac:dyDescent="0.2">
      <c r="A104" s="89"/>
      <c r="B104" s="61"/>
      <c r="C104" s="78"/>
      <c r="D104" s="88"/>
      <c r="E104" s="132"/>
      <c r="F104" s="132"/>
      <c r="G104" s="132"/>
      <c r="H104" s="86"/>
      <c r="I104" s="77" t="s">
        <v>167</v>
      </c>
      <c r="J104" s="129"/>
      <c r="K104" s="9"/>
      <c r="L104" s="9"/>
      <c r="M104" s="33"/>
      <c r="N104" s="33">
        <f t="shared" ca="1" si="4"/>
        <v>0</v>
      </c>
      <c r="O104" s="9"/>
      <c r="P104" s="33"/>
      <c r="Q104" s="9"/>
      <c r="R104" s="33"/>
    </row>
    <row r="105" spans="1:18" s="8" customFormat="1" ht="180" x14ac:dyDescent="0.2">
      <c r="A105" s="89" t="s">
        <v>4</v>
      </c>
      <c r="B105" s="61"/>
      <c r="C105" s="78"/>
      <c r="D105" s="88" t="s">
        <v>209</v>
      </c>
      <c r="E105" s="132"/>
      <c r="F105" s="132"/>
      <c r="G105" s="132"/>
      <c r="H105" s="86"/>
      <c r="I105" s="88"/>
      <c r="J105" s="132"/>
      <c r="K105" s="9"/>
      <c r="L105" s="9"/>
      <c r="M105" s="33"/>
      <c r="N105" s="33">
        <f t="shared" ca="1" si="4"/>
        <v>0</v>
      </c>
      <c r="O105" s="9"/>
      <c r="P105" s="33"/>
      <c r="Q105" s="9"/>
      <c r="R105" s="33"/>
    </row>
    <row r="106" spans="1:18" s="8" customFormat="1" ht="90" x14ac:dyDescent="0.2">
      <c r="A106" s="89" t="s">
        <v>21</v>
      </c>
      <c r="B106" s="61"/>
      <c r="C106" s="78"/>
      <c r="D106" s="88" t="s">
        <v>22</v>
      </c>
      <c r="E106" s="132"/>
      <c r="F106" s="132"/>
      <c r="G106" s="132"/>
      <c r="H106" s="86"/>
      <c r="I106" s="88"/>
      <c r="J106" s="132"/>
      <c r="K106" s="9"/>
      <c r="L106" s="9"/>
      <c r="M106" s="33"/>
      <c r="N106" s="33">
        <f t="shared" ca="1" si="4"/>
        <v>0</v>
      </c>
      <c r="O106" s="9"/>
      <c r="P106" s="33"/>
      <c r="Q106" s="9"/>
      <c r="R106" s="33"/>
    </row>
    <row r="107" spans="1:18" s="8" customFormat="1" ht="75" x14ac:dyDescent="0.2">
      <c r="A107" s="133" t="s">
        <v>5</v>
      </c>
      <c r="B107" s="82"/>
      <c r="C107" s="83"/>
      <c r="D107" s="153" t="s">
        <v>290</v>
      </c>
      <c r="E107" s="105"/>
      <c r="F107" s="105"/>
      <c r="G107" s="105"/>
      <c r="H107" s="179"/>
      <c r="I107" s="153"/>
      <c r="J107" s="105"/>
      <c r="K107" s="9"/>
      <c r="L107" s="9"/>
      <c r="M107" s="33"/>
      <c r="N107" s="33">
        <f t="shared" ca="1" si="4"/>
        <v>0</v>
      </c>
      <c r="O107" s="9"/>
      <c r="P107" s="33"/>
      <c r="Q107" s="9"/>
      <c r="R107" s="33"/>
    </row>
    <row r="108" spans="1:18" s="8" customFormat="1" ht="180" x14ac:dyDescent="0.2">
      <c r="A108" s="131" t="s">
        <v>6</v>
      </c>
      <c r="B108" s="84"/>
      <c r="C108" s="85"/>
      <c r="D108" s="152" t="s">
        <v>291</v>
      </c>
      <c r="E108" s="106"/>
      <c r="F108" s="106"/>
      <c r="G108" s="106"/>
      <c r="H108" s="178"/>
      <c r="I108" s="152"/>
      <c r="J108" s="106"/>
      <c r="K108" s="9"/>
      <c r="L108" s="9"/>
      <c r="M108" s="33"/>
      <c r="N108" s="33">
        <f t="shared" ca="1" si="4"/>
        <v>0</v>
      </c>
      <c r="O108" s="9"/>
      <c r="P108" s="33"/>
      <c r="Q108" s="9"/>
      <c r="R108" s="33"/>
    </row>
    <row r="109" spans="1:18" s="8" customFormat="1" ht="144" x14ac:dyDescent="0.2">
      <c r="A109" s="132" t="s">
        <v>0</v>
      </c>
      <c r="B109" s="86"/>
      <c r="C109" s="87"/>
      <c r="D109" s="88"/>
      <c r="E109" s="66"/>
      <c r="F109" s="66"/>
      <c r="G109" s="129" t="s">
        <v>7</v>
      </c>
      <c r="H109" s="76"/>
      <c r="I109" s="77"/>
      <c r="J109" s="129"/>
      <c r="K109" s="9"/>
      <c r="L109" s="9"/>
      <c r="M109" s="33"/>
      <c r="N109" s="33">
        <f t="shared" ca="1" si="4"/>
        <v>0</v>
      </c>
      <c r="O109" s="9"/>
      <c r="P109" s="33"/>
      <c r="Q109" s="9"/>
      <c r="R109" s="33"/>
    </row>
    <row r="110" spans="1:18" s="8" customFormat="1" ht="78.75" x14ac:dyDescent="0.2">
      <c r="A110" s="132"/>
      <c r="B110" s="86"/>
      <c r="C110" s="87"/>
      <c r="D110" s="88"/>
      <c r="E110" s="14" t="s">
        <v>25</v>
      </c>
      <c r="F110" s="66" t="s">
        <v>283</v>
      </c>
      <c r="G110" s="65" t="s">
        <v>256</v>
      </c>
      <c r="H110" s="80" t="s">
        <v>9</v>
      </c>
      <c r="I110" s="81"/>
      <c r="J110" s="65" t="s">
        <v>10</v>
      </c>
      <c r="K110" s="9"/>
      <c r="L110" s="9"/>
      <c r="M110" s="33"/>
      <c r="N110" s="33">
        <f t="shared" ca="1" si="4"/>
        <v>0</v>
      </c>
      <c r="O110" s="9"/>
      <c r="P110" s="33"/>
      <c r="Q110" s="9"/>
      <c r="R110" s="33"/>
    </row>
    <row r="111" spans="1:18" s="8" customFormat="1" x14ac:dyDescent="0.2">
      <c r="A111" s="67">
        <v>1</v>
      </c>
      <c r="B111" s="100" t="s">
        <v>13</v>
      </c>
      <c r="C111" s="141"/>
      <c r="D111" s="147"/>
      <c r="E111" s="17"/>
      <c r="F111" s="17"/>
      <c r="G111" s="17"/>
      <c r="H111" s="101"/>
      <c r="I111" s="102"/>
      <c r="J111" s="17"/>
      <c r="K111" s="9"/>
      <c r="L111" s="9"/>
      <c r="M111" s="33"/>
      <c r="N111" s="33">
        <f t="shared" ca="1" si="4"/>
        <v>0</v>
      </c>
      <c r="O111" s="9"/>
      <c r="P111" s="33"/>
      <c r="Q111" s="9"/>
      <c r="R111" s="33"/>
    </row>
    <row r="112" spans="1:18" s="8" customFormat="1" x14ac:dyDescent="0.2">
      <c r="A112" s="67">
        <v>2</v>
      </c>
      <c r="B112" s="61" t="s">
        <v>16</v>
      </c>
      <c r="C112" s="62"/>
      <c r="D112" s="63"/>
      <c r="E112" s="17"/>
      <c r="F112" s="17"/>
      <c r="G112" s="18" t="s">
        <v>15</v>
      </c>
      <c r="H112" s="95" t="s">
        <v>12</v>
      </c>
      <c r="I112" s="63"/>
      <c r="J112" s="19" t="s">
        <v>11</v>
      </c>
      <c r="K112" s="9"/>
      <c r="L112" s="9"/>
      <c r="M112" s="33"/>
      <c r="N112" s="33">
        <f t="shared" ca="1" si="4"/>
        <v>0</v>
      </c>
      <c r="O112" s="9"/>
      <c r="P112" s="33"/>
      <c r="Q112" s="9"/>
      <c r="R112" s="33"/>
    </row>
    <row r="113" spans="1:18" s="8" customFormat="1" ht="30" x14ac:dyDescent="0.2">
      <c r="A113" s="67">
        <v>3</v>
      </c>
      <c r="B113" s="61" t="s">
        <v>257</v>
      </c>
      <c r="C113" s="62"/>
      <c r="D113" s="63"/>
      <c r="E113" s="17"/>
      <c r="F113" s="17"/>
      <c r="G113" s="18" t="s">
        <v>15</v>
      </c>
      <c r="H113" s="95" t="s">
        <v>12</v>
      </c>
      <c r="I113" s="63"/>
      <c r="J113" s="19" t="s">
        <v>11</v>
      </c>
      <c r="K113" s="9"/>
      <c r="L113" s="9"/>
      <c r="M113" s="33"/>
      <c r="N113" s="33">
        <f t="shared" ca="1" si="4"/>
        <v>0</v>
      </c>
      <c r="O113" s="9"/>
      <c r="P113" s="33"/>
      <c r="Q113" s="9"/>
      <c r="R113" s="33"/>
    </row>
    <row r="114" spans="1:18" s="8" customFormat="1" ht="30" x14ac:dyDescent="0.2">
      <c r="A114" s="67">
        <v>4</v>
      </c>
      <c r="B114" s="61" t="s">
        <v>249</v>
      </c>
      <c r="C114" s="62"/>
      <c r="D114" s="63"/>
      <c r="E114" s="17"/>
      <c r="F114" s="17"/>
      <c r="G114" s="18" t="s">
        <v>15</v>
      </c>
      <c r="H114" s="98" t="s">
        <v>292</v>
      </c>
      <c r="I114" s="99"/>
      <c r="J114" s="19" t="s">
        <v>11</v>
      </c>
      <c r="K114" s="9"/>
      <c r="L114" s="9"/>
      <c r="M114" s="33"/>
      <c r="N114" s="33">
        <f t="shared" ca="1" si="4"/>
        <v>0</v>
      </c>
      <c r="O114" s="9"/>
      <c r="P114" s="33"/>
      <c r="Q114" s="9"/>
      <c r="R114" s="33"/>
    </row>
    <row r="115" spans="1:18" s="8" customFormat="1" ht="75" x14ac:dyDescent="0.2">
      <c r="A115" s="67">
        <v>5</v>
      </c>
      <c r="B115" s="61" t="s">
        <v>179</v>
      </c>
      <c r="C115" s="62"/>
      <c r="D115" s="63"/>
      <c r="E115" s="17"/>
      <c r="F115" s="17"/>
      <c r="G115" s="18" t="s">
        <v>15</v>
      </c>
      <c r="H115" s="95" t="s">
        <v>12</v>
      </c>
      <c r="I115" s="63"/>
      <c r="J115" s="19" t="s">
        <v>11</v>
      </c>
      <c r="K115" s="9"/>
      <c r="L115" s="9"/>
      <c r="M115" s="33"/>
      <c r="N115" s="33">
        <f t="shared" ca="1" si="4"/>
        <v>0</v>
      </c>
      <c r="O115" s="9"/>
      <c r="P115" s="33"/>
      <c r="Q115" s="9"/>
      <c r="R115" s="33"/>
    </row>
    <row r="116" spans="1:18" s="8" customFormat="1" x14ac:dyDescent="0.2">
      <c r="A116" s="67">
        <v>6</v>
      </c>
      <c r="B116" s="61" t="s">
        <v>242</v>
      </c>
      <c r="C116" s="120"/>
      <c r="D116" s="121"/>
      <c r="E116" s="17"/>
      <c r="F116" s="17"/>
      <c r="G116" s="18" t="s">
        <v>15</v>
      </c>
      <c r="H116" s="98" t="s">
        <v>293</v>
      </c>
      <c r="I116" s="99"/>
      <c r="J116" s="19" t="s">
        <v>11</v>
      </c>
      <c r="K116" s="9"/>
      <c r="L116" s="9"/>
      <c r="M116" s="33"/>
      <c r="N116" s="33">
        <f t="shared" ca="1" si="4"/>
        <v>0</v>
      </c>
      <c r="O116" s="9"/>
      <c r="P116" s="33"/>
      <c r="Q116" s="9"/>
      <c r="R116" s="33"/>
    </row>
    <row r="117" spans="1:18" s="8" customFormat="1" ht="45" x14ac:dyDescent="0.2">
      <c r="A117" s="67">
        <v>7</v>
      </c>
      <c r="B117" s="61" t="s">
        <v>243</v>
      </c>
      <c r="C117" s="62"/>
      <c r="D117" s="63"/>
      <c r="E117" s="17"/>
      <c r="F117" s="17"/>
      <c r="G117" s="18" t="s">
        <v>15</v>
      </c>
      <c r="H117" s="95" t="s">
        <v>12</v>
      </c>
      <c r="I117" s="63"/>
      <c r="J117" s="19" t="s">
        <v>11</v>
      </c>
      <c r="K117" s="9"/>
      <c r="L117" s="9"/>
      <c r="M117" s="33"/>
      <c r="N117" s="33">
        <f t="shared" ca="1" si="4"/>
        <v>0</v>
      </c>
      <c r="O117" s="9"/>
      <c r="P117" s="33"/>
      <c r="Q117" s="9"/>
      <c r="R117" s="33"/>
    </row>
    <row r="118" spans="1:18" s="8" customFormat="1" ht="90" x14ac:dyDescent="0.2">
      <c r="A118" s="67">
        <v>8</v>
      </c>
      <c r="B118" s="61" t="s">
        <v>182</v>
      </c>
      <c r="C118" s="62"/>
      <c r="D118" s="63"/>
      <c r="E118" s="17"/>
      <c r="F118" s="17"/>
      <c r="G118" s="18" t="s">
        <v>15</v>
      </c>
      <c r="H118" s="95" t="s">
        <v>12</v>
      </c>
      <c r="I118" s="63"/>
      <c r="J118" s="19" t="s">
        <v>11</v>
      </c>
      <c r="K118" s="9"/>
      <c r="L118" s="9"/>
      <c r="M118" s="33"/>
      <c r="N118" s="33">
        <f t="shared" ca="1" si="4"/>
        <v>0</v>
      </c>
      <c r="O118" s="9"/>
      <c r="P118" s="33"/>
      <c r="Q118" s="9"/>
      <c r="R118" s="33"/>
    </row>
    <row r="119" spans="1:18" s="8" customFormat="1" x14ac:dyDescent="0.2">
      <c r="A119" s="67">
        <v>9</v>
      </c>
      <c r="B119" s="100" t="s">
        <v>14</v>
      </c>
      <c r="C119" s="62"/>
      <c r="D119" s="63"/>
      <c r="E119" s="17"/>
      <c r="F119" s="17"/>
      <c r="G119" s="17"/>
      <c r="H119" s="101"/>
      <c r="I119" s="102"/>
      <c r="J119" s="17"/>
      <c r="K119" s="9"/>
      <c r="L119" s="9"/>
      <c r="M119" s="33"/>
      <c r="N119" s="33">
        <f t="shared" ca="1" si="4"/>
        <v>0</v>
      </c>
      <c r="O119" s="9"/>
      <c r="P119" s="33"/>
      <c r="Q119" s="9"/>
      <c r="R119" s="33"/>
    </row>
    <row r="120" spans="1:18" s="8" customFormat="1" ht="30" x14ac:dyDescent="0.2">
      <c r="A120" s="67">
        <v>10</v>
      </c>
      <c r="B120" s="61" t="s">
        <v>210</v>
      </c>
      <c r="C120" s="62"/>
      <c r="D120" s="63"/>
      <c r="E120" s="17"/>
      <c r="F120" s="17"/>
      <c r="G120" s="18" t="s">
        <v>15</v>
      </c>
      <c r="H120" s="98" t="s">
        <v>295</v>
      </c>
      <c r="I120" s="99"/>
      <c r="J120" s="19" t="s">
        <v>11</v>
      </c>
      <c r="K120" s="9"/>
      <c r="L120" s="9"/>
      <c r="M120" s="33"/>
      <c r="N120" s="33">
        <f t="shared" ca="1" si="4"/>
        <v>0</v>
      </c>
      <c r="O120" s="9"/>
      <c r="P120" s="33"/>
      <c r="Q120" s="9"/>
      <c r="R120" s="33"/>
    </row>
    <row r="121" spans="1:18" s="8" customFormat="1" ht="30" x14ac:dyDescent="0.2">
      <c r="A121" s="67">
        <v>11</v>
      </c>
      <c r="B121" s="61" t="s">
        <v>23</v>
      </c>
      <c r="C121" s="62"/>
      <c r="D121" s="63"/>
      <c r="E121" s="17"/>
      <c r="F121" s="17"/>
      <c r="G121" s="18" t="s">
        <v>15</v>
      </c>
      <c r="H121" s="98" t="s">
        <v>294</v>
      </c>
      <c r="I121" s="99"/>
      <c r="J121" s="19" t="s">
        <v>11</v>
      </c>
      <c r="K121" s="9"/>
      <c r="L121" s="9"/>
      <c r="M121" s="33"/>
      <c r="N121" s="33">
        <f t="shared" ca="1" si="4"/>
        <v>0</v>
      </c>
      <c r="O121" s="9"/>
      <c r="P121" s="33"/>
      <c r="Q121" s="9"/>
      <c r="R121" s="33"/>
    </row>
    <row r="122" spans="1:18" s="8" customFormat="1" ht="30" x14ac:dyDescent="0.2">
      <c r="A122" s="67">
        <v>12</v>
      </c>
      <c r="B122" s="61" t="s">
        <v>24</v>
      </c>
      <c r="C122" s="62"/>
      <c r="D122" s="63"/>
      <c r="E122" s="17"/>
      <c r="F122" s="17"/>
      <c r="G122" s="18" t="s">
        <v>15</v>
      </c>
      <c r="H122" s="98" t="s">
        <v>296</v>
      </c>
      <c r="I122" s="99"/>
      <c r="J122" s="19" t="s">
        <v>11</v>
      </c>
      <c r="K122" s="9"/>
      <c r="L122" s="9"/>
      <c r="M122" s="33"/>
      <c r="N122" s="33">
        <f t="shared" ca="1" si="4"/>
        <v>0</v>
      </c>
      <c r="O122" s="9"/>
      <c r="P122" s="33"/>
      <c r="Q122" s="9"/>
      <c r="R122" s="33"/>
    </row>
    <row r="123" spans="1:18" s="8" customFormat="1" ht="45" x14ac:dyDescent="0.2">
      <c r="A123" s="67">
        <v>13</v>
      </c>
      <c r="B123" s="61" t="s">
        <v>198</v>
      </c>
      <c r="C123" s="62"/>
      <c r="D123" s="63"/>
      <c r="E123" s="17"/>
      <c r="F123" s="17"/>
      <c r="G123" s="18" t="s">
        <v>15</v>
      </c>
      <c r="H123" s="98" t="s">
        <v>297</v>
      </c>
      <c r="I123" s="99"/>
      <c r="J123" s="19" t="s">
        <v>11</v>
      </c>
      <c r="K123" s="9"/>
      <c r="L123" s="9"/>
      <c r="M123" s="33"/>
      <c r="N123" s="33">
        <f t="shared" ca="1" si="4"/>
        <v>0</v>
      </c>
      <c r="O123" s="9"/>
      <c r="P123" s="33"/>
      <c r="Q123" s="9"/>
      <c r="R123" s="33"/>
    </row>
    <row r="124" spans="1:18" s="8" customFormat="1" ht="75" x14ac:dyDescent="0.2">
      <c r="A124" s="67">
        <v>14</v>
      </c>
      <c r="B124" s="61" t="s">
        <v>220</v>
      </c>
      <c r="C124" s="62"/>
      <c r="D124" s="63"/>
      <c r="E124" s="17"/>
      <c r="F124" s="20" t="s">
        <v>221</v>
      </c>
      <c r="G124" s="18" t="s">
        <v>15</v>
      </c>
      <c r="H124" s="98" t="s">
        <v>298</v>
      </c>
      <c r="I124" s="99"/>
      <c r="J124" s="19" t="s">
        <v>11</v>
      </c>
      <c r="K124" s="9"/>
      <c r="L124" s="9"/>
      <c r="M124" s="33"/>
      <c r="N124" s="33">
        <f t="shared" ca="1" si="4"/>
        <v>0</v>
      </c>
      <c r="O124" s="9"/>
      <c r="P124" s="33"/>
      <c r="Q124" s="9"/>
      <c r="R124" s="33"/>
    </row>
    <row r="125" spans="1:18" s="8" customFormat="1" ht="105" x14ac:dyDescent="0.2">
      <c r="A125" s="67">
        <v>15</v>
      </c>
      <c r="B125" s="61" t="s">
        <v>205</v>
      </c>
      <c r="C125" s="62"/>
      <c r="D125" s="63"/>
      <c r="E125" s="17"/>
      <c r="F125" s="17"/>
      <c r="G125" s="18" t="s">
        <v>15</v>
      </c>
      <c r="H125" s="95" t="s">
        <v>12</v>
      </c>
      <c r="I125" s="63"/>
      <c r="J125" s="19" t="s">
        <v>11</v>
      </c>
      <c r="K125" s="9"/>
      <c r="L125" s="9"/>
      <c r="M125" s="33"/>
      <c r="N125" s="33">
        <f t="shared" ca="1" si="4"/>
        <v>0</v>
      </c>
      <c r="O125" s="9"/>
      <c r="P125" s="33"/>
      <c r="Q125" s="9"/>
      <c r="R125" s="33"/>
    </row>
    <row r="126" spans="1:18" s="8" customFormat="1" ht="180" x14ac:dyDescent="0.2">
      <c r="A126" s="67">
        <v>16</v>
      </c>
      <c r="B126" s="61" t="s">
        <v>196</v>
      </c>
      <c r="C126" s="62"/>
      <c r="D126" s="63"/>
      <c r="E126" s="17"/>
      <c r="F126" s="20" t="s">
        <v>221</v>
      </c>
      <c r="G126" s="18" t="s">
        <v>15</v>
      </c>
      <c r="H126" s="98" t="s">
        <v>299</v>
      </c>
      <c r="I126" s="99"/>
      <c r="J126" s="19" t="s">
        <v>11</v>
      </c>
      <c r="K126" s="9"/>
      <c r="L126" s="9"/>
      <c r="M126" s="33"/>
      <c r="N126" s="33">
        <f t="shared" ca="1" si="4"/>
        <v>0</v>
      </c>
      <c r="O126" s="9"/>
      <c r="P126" s="33"/>
      <c r="Q126" s="9"/>
      <c r="R126" s="33"/>
    </row>
    <row r="127" spans="1:18" s="8" customFormat="1" ht="180" x14ac:dyDescent="0.2">
      <c r="A127" s="67">
        <v>17</v>
      </c>
      <c r="B127" s="61" t="s">
        <v>251</v>
      </c>
      <c r="C127" s="62"/>
      <c r="D127" s="63"/>
      <c r="E127" s="17"/>
      <c r="F127" s="20" t="s">
        <v>221</v>
      </c>
      <c r="G127" s="18" t="s">
        <v>15</v>
      </c>
      <c r="H127" s="98" t="s">
        <v>300</v>
      </c>
      <c r="I127" s="99"/>
      <c r="J127" s="19" t="s">
        <v>11</v>
      </c>
      <c r="K127" s="9"/>
      <c r="L127" s="9"/>
      <c r="M127" s="33"/>
      <c r="N127" s="33">
        <f t="shared" ca="1" si="4"/>
        <v>0</v>
      </c>
      <c r="O127" s="9"/>
      <c r="P127" s="33"/>
      <c r="Q127" s="9"/>
      <c r="R127" s="33"/>
    </row>
    <row r="128" spans="1:18" s="8" customFormat="1" ht="180" x14ac:dyDescent="0.2">
      <c r="A128" s="67">
        <v>18</v>
      </c>
      <c r="B128" s="61" t="s">
        <v>252</v>
      </c>
      <c r="C128" s="62"/>
      <c r="D128" s="63"/>
      <c r="E128" s="17"/>
      <c r="F128" s="20" t="s">
        <v>221</v>
      </c>
      <c r="G128" s="18" t="s">
        <v>15</v>
      </c>
      <c r="H128" s="98" t="s">
        <v>301</v>
      </c>
      <c r="I128" s="99"/>
      <c r="J128" s="19" t="s">
        <v>11</v>
      </c>
      <c r="K128" s="9"/>
      <c r="L128" s="9"/>
      <c r="M128" s="33"/>
      <c r="N128" s="33">
        <f t="shared" ca="1" si="4"/>
        <v>0</v>
      </c>
      <c r="O128" s="9"/>
      <c r="P128" s="33"/>
      <c r="Q128" s="9"/>
      <c r="R128" s="33"/>
    </row>
    <row r="129" spans="1:18" s="8" customFormat="1" ht="180" x14ac:dyDescent="0.2">
      <c r="A129" s="67">
        <v>19</v>
      </c>
      <c r="B129" s="61" t="s">
        <v>253</v>
      </c>
      <c r="C129" s="62"/>
      <c r="D129" s="63"/>
      <c r="E129" s="17"/>
      <c r="F129" s="20" t="s">
        <v>221</v>
      </c>
      <c r="G129" s="18" t="s">
        <v>15</v>
      </c>
      <c r="H129" s="98" t="s">
        <v>302</v>
      </c>
      <c r="I129" s="99"/>
      <c r="J129" s="19" t="s">
        <v>11</v>
      </c>
      <c r="K129" s="9"/>
      <c r="L129" s="9"/>
      <c r="M129" s="33"/>
      <c r="N129" s="33">
        <f t="shared" ca="1" si="4"/>
        <v>0</v>
      </c>
      <c r="O129" s="9"/>
      <c r="P129" s="33"/>
      <c r="Q129" s="9"/>
      <c r="R129" s="33"/>
    </row>
    <row r="130" spans="1:18" s="8" customFormat="1" ht="180" x14ac:dyDescent="0.2">
      <c r="A130" s="67">
        <v>20</v>
      </c>
      <c r="B130" s="61" t="s">
        <v>254</v>
      </c>
      <c r="C130" s="62"/>
      <c r="D130" s="63"/>
      <c r="E130" s="17"/>
      <c r="F130" s="20" t="s">
        <v>221</v>
      </c>
      <c r="G130" s="18" t="s">
        <v>15</v>
      </c>
      <c r="H130" s="98" t="s">
        <v>303</v>
      </c>
      <c r="I130" s="99"/>
      <c r="J130" s="19" t="s">
        <v>11</v>
      </c>
      <c r="K130" s="9"/>
      <c r="L130" s="9"/>
      <c r="M130" s="33"/>
      <c r="N130" s="33">
        <f t="shared" ca="1" si="4"/>
        <v>0</v>
      </c>
      <c r="O130" s="9"/>
      <c r="P130" s="33"/>
      <c r="Q130" s="9"/>
      <c r="R130" s="33"/>
    </row>
    <row r="131" spans="1:18" s="8" customFormat="1" ht="180" x14ac:dyDescent="0.2">
      <c r="A131" s="67">
        <v>21</v>
      </c>
      <c r="B131" s="61" t="s">
        <v>255</v>
      </c>
      <c r="C131" s="62"/>
      <c r="D131" s="63"/>
      <c r="E131" s="17"/>
      <c r="F131" s="20" t="s">
        <v>221</v>
      </c>
      <c r="G131" s="18" t="s">
        <v>15</v>
      </c>
      <c r="H131" s="98" t="s">
        <v>304</v>
      </c>
      <c r="I131" s="99"/>
      <c r="J131" s="19" t="s">
        <v>11</v>
      </c>
      <c r="K131" s="9"/>
      <c r="L131" s="9"/>
      <c r="M131" s="33"/>
      <c r="N131" s="33">
        <f t="shared" ca="1" si="4"/>
        <v>0</v>
      </c>
      <c r="O131" s="9"/>
      <c r="P131" s="33"/>
      <c r="Q131" s="9"/>
      <c r="R131" s="33"/>
    </row>
    <row r="132" spans="1:18" s="8" customFormat="1" ht="196.5" x14ac:dyDescent="0.2">
      <c r="A132" s="67">
        <v>22</v>
      </c>
      <c r="B132" s="61" t="s">
        <v>258</v>
      </c>
      <c r="C132" s="62"/>
      <c r="D132" s="63"/>
      <c r="E132" s="17"/>
      <c r="F132" s="20" t="s">
        <v>221</v>
      </c>
      <c r="G132" s="18" t="s">
        <v>15</v>
      </c>
      <c r="H132" s="98" t="s">
        <v>305</v>
      </c>
      <c r="I132" s="99"/>
      <c r="J132" s="19" t="s">
        <v>11</v>
      </c>
      <c r="K132" s="9"/>
      <c r="L132" s="9"/>
      <c r="M132" s="33"/>
      <c r="N132" s="33">
        <f t="shared" ca="1" si="4"/>
        <v>0</v>
      </c>
      <c r="O132" s="9"/>
      <c r="P132" s="33"/>
      <c r="Q132" s="9"/>
      <c r="R132" s="33"/>
    </row>
    <row r="133" spans="1:18" s="8" customFormat="1" ht="211.5" x14ac:dyDescent="0.2">
      <c r="A133" s="67">
        <v>23</v>
      </c>
      <c r="B133" s="61" t="s">
        <v>259</v>
      </c>
      <c r="C133" s="62"/>
      <c r="D133" s="63"/>
      <c r="E133" s="17"/>
      <c r="F133" s="20" t="s">
        <v>221</v>
      </c>
      <c r="G133" s="18" t="s">
        <v>15</v>
      </c>
      <c r="H133" s="98" t="s">
        <v>306</v>
      </c>
      <c r="I133" s="99"/>
      <c r="J133" s="19" t="s">
        <v>11</v>
      </c>
      <c r="K133" s="9"/>
      <c r="L133" s="9"/>
      <c r="M133" s="33"/>
      <c r="N133" s="33">
        <f t="shared" ca="1" si="4"/>
        <v>0</v>
      </c>
      <c r="O133" s="9"/>
      <c r="P133" s="33"/>
      <c r="Q133" s="9"/>
      <c r="R133" s="33"/>
    </row>
    <row r="134" spans="1:18" s="8" customFormat="1" ht="150.75" x14ac:dyDescent="0.2">
      <c r="A134" s="67">
        <v>24</v>
      </c>
      <c r="B134" s="61" t="s">
        <v>260</v>
      </c>
      <c r="C134" s="62"/>
      <c r="D134" s="63"/>
      <c r="E134" s="17"/>
      <c r="F134" s="20" t="s">
        <v>221</v>
      </c>
      <c r="G134" s="18" t="s">
        <v>15</v>
      </c>
      <c r="H134" s="98" t="s">
        <v>307</v>
      </c>
      <c r="I134" s="99"/>
      <c r="J134" s="19" t="s">
        <v>11</v>
      </c>
      <c r="K134" s="9"/>
      <c r="L134" s="9"/>
      <c r="M134" s="33"/>
      <c r="N134" s="33">
        <f t="shared" ca="1" si="4"/>
        <v>0</v>
      </c>
      <c r="O134" s="9"/>
      <c r="P134" s="33"/>
      <c r="Q134" s="9"/>
      <c r="R134" s="33"/>
    </row>
    <row r="135" spans="1:18" s="8" customFormat="1" ht="151.5" x14ac:dyDescent="0.2">
      <c r="A135" s="67">
        <v>25</v>
      </c>
      <c r="B135" s="61" t="s">
        <v>261</v>
      </c>
      <c r="C135" s="62"/>
      <c r="D135" s="63"/>
      <c r="E135" s="17"/>
      <c r="F135" s="20" t="s">
        <v>221</v>
      </c>
      <c r="G135" s="18" t="s">
        <v>15</v>
      </c>
      <c r="H135" s="98" t="s">
        <v>310</v>
      </c>
      <c r="I135" s="99"/>
      <c r="J135" s="19" t="s">
        <v>11</v>
      </c>
      <c r="K135" s="9"/>
      <c r="L135" s="9"/>
      <c r="M135" s="33"/>
      <c r="N135" s="33">
        <f t="shared" ref="N135:N166" ca="1" si="5">+M135*$N$2</f>
        <v>0</v>
      </c>
      <c r="O135" s="9"/>
      <c r="P135" s="33"/>
      <c r="Q135" s="9"/>
      <c r="R135" s="33"/>
    </row>
    <row r="136" spans="1:18" s="8" customFormat="1" ht="60" x14ac:dyDescent="0.2">
      <c r="A136" s="67">
        <v>26</v>
      </c>
      <c r="B136" s="61" t="s">
        <v>180</v>
      </c>
      <c r="C136" s="62"/>
      <c r="D136" s="63"/>
      <c r="E136" s="17"/>
      <c r="F136" s="17"/>
      <c r="G136" s="18" t="s">
        <v>15</v>
      </c>
      <c r="H136" s="98" t="s">
        <v>308</v>
      </c>
      <c r="I136" s="99"/>
      <c r="J136" s="19" t="s">
        <v>11</v>
      </c>
      <c r="K136" s="9"/>
      <c r="L136" s="9"/>
      <c r="M136" s="33"/>
      <c r="N136" s="33">
        <f t="shared" ca="1" si="5"/>
        <v>0</v>
      </c>
      <c r="O136" s="9"/>
      <c r="P136" s="33"/>
      <c r="Q136" s="9"/>
      <c r="R136" s="33"/>
    </row>
    <row r="137" spans="1:18" s="8" customFormat="1" ht="60" x14ac:dyDescent="0.2">
      <c r="A137" s="67">
        <v>27</v>
      </c>
      <c r="B137" s="61" t="s">
        <v>250</v>
      </c>
      <c r="C137" s="62"/>
      <c r="D137" s="63"/>
      <c r="E137" s="17"/>
      <c r="F137" s="17"/>
      <c r="G137" s="18" t="s">
        <v>15</v>
      </c>
      <c r="H137" s="98" t="s">
        <v>309</v>
      </c>
      <c r="I137" s="99"/>
      <c r="J137" s="19" t="s">
        <v>11</v>
      </c>
      <c r="K137" s="9"/>
      <c r="L137" s="9"/>
      <c r="M137" s="33"/>
      <c r="N137" s="33">
        <f t="shared" ca="1" si="5"/>
        <v>0</v>
      </c>
      <c r="O137" s="9"/>
      <c r="P137" s="33"/>
      <c r="Q137" s="9"/>
      <c r="R137" s="33"/>
    </row>
    <row r="138" spans="1:18" s="8" customFormat="1" x14ac:dyDescent="0.2">
      <c r="A138" s="67">
        <v>28</v>
      </c>
      <c r="B138" s="61" t="s">
        <v>199</v>
      </c>
      <c r="C138" s="62"/>
      <c r="D138" s="63"/>
      <c r="E138" s="17"/>
      <c r="F138" s="17"/>
      <c r="G138" s="18" t="s">
        <v>15</v>
      </c>
      <c r="H138" s="95" t="s">
        <v>12</v>
      </c>
      <c r="I138" s="63"/>
      <c r="J138" s="19" t="s">
        <v>11</v>
      </c>
      <c r="K138" s="9"/>
      <c r="L138" s="9"/>
      <c r="M138" s="33"/>
      <c r="N138" s="33">
        <f t="shared" ca="1" si="5"/>
        <v>0</v>
      </c>
      <c r="O138" s="9"/>
      <c r="P138" s="33"/>
      <c r="Q138" s="9"/>
      <c r="R138" s="33"/>
    </row>
    <row r="139" spans="1:18" s="8" customFormat="1" ht="225" x14ac:dyDescent="0.2">
      <c r="A139" s="67">
        <v>29</v>
      </c>
      <c r="B139" s="61" t="s">
        <v>204</v>
      </c>
      <c r="C139" s="62"/>
      <c r="D139" s="63"/>
      <c r="E139" s="17"/>
      <c r="F139" s="17"/>
      <c r="G139" s="18" t="s">
        <v>15</v>
      </c>
      <c r="H139" s="98" t="s">
        <v>311</v>
      </c>
      <c r="I139" s="99"/>
      <c r="J139" s="19" t="s">
        <v>11</v>
      </c>
      <c r="K139" s="9"/>
      <c r="L139" s="9"/>
      <c r="M139" s="33"/>
      <c r="N139" s="33">
        <f t="shared" ca="1" si="5"/>
        <v>0</v>
      </c>
      <c r="O139" s="9"/>
      <c r="P139" s="33"/>
      <c r="Q139" s="9"/>
      <c r="R139" s="33"/>
    </row>
    <row r="140" spans="1:18" s="8" customFormat="1" ht="30" x14ac:dyDescent="0.2">
      <c r="A140" s="67">
        <v>30</v>
      </c>
      <c r="B140" s="61" t="s">
        <v>185</v>
      </c>
      <c r="C140" s="62"/>
      <c r="D140" s="63"/>
      <c r="E140" s="17"/>
      <c r="F140" s="17"/>
      <c r="G140" s="18" t="s">
        <v>15</v>
      </c>
      <c r="H140" s="98" t="s">
        <v>312</v>
      </c>
      <c r="I140" s="99"/>
      <c r="J140" s="19" t="s">
        <v>11</v>
      </c>
      <c r="K140" s="9"/>
      <c r="L140" s="9"/>
      <c r="M140" s="33"/>
      <c r="N140" s="33">
        <f t="shared" ca="1" si="5"/>
        <v>0</v>
      </c>
      <c r="O140" s="9"/>
      <c r="P140" s="33"/>
      <c r="Q140" s="9"/>
      <c r="R140" s="33"/>
    </row>
    <row r="141" spans="1:18" s="8" customFormat="1" ht="31.5" x14ac:dyDescent="0.2">
      <c r="A141" s="67">
        <v>31</v>
      </c>
      <c r="B141" s="100" t="s">
        <v>18</v>
      </c>
      <c r="C141" s="62"/>
      <c r="D141" s="63"/>
      <c r="E141" s="17"/>
      <c r="F141" s="17"/>
      <c r="G141" s="17"/>
      <c r="H141" s="101"/>
      <c r="I141" s="102"/>
      <c r="J141" s="17"/>
      <c r="K141" s="9"/>
      <c r="L141" s="9"/>
      <c r="M141" s="33"/>
      <c r="N141" s="33">
        <f t="shared" ca="1" si="5"/>
        <v>0</v>
      </c>
      <c r="O141" s="9"/>
      <c r="P141" s="33"/>
      <c r="Q141" s="9"/>
      <c r="R141" s="33"/>
    </row>
    <row r="142" spans="1:18" s="8" customFormat="1" ht="409.5" x14ac:dyDescent="0.2">
      <c r="A142" s="67">
        <v>32</v>
      </c>
      <c r="B142" s="123" t="s">
        <v>289</v>
      </c>
      <c r="C142" s="124"/>
      <c r="D142" s="125"/>
      <c r="E142" s="17"/>
      <c r="F142" s="17"/>
      <c r="G142" s="18" t="s">
        <v>15</v>
      </c>
      <c r="H142" s="98" t="s">
        <v>313</v>
      </c>
      <c r="I142" s="99"/>
      <c r="J142" s="19" t="s">
        <v>11</v>
      </c>
      <c r="K142" s="9"/>
      <c r="L142" s="9"/>
      <c r="M142" s="33"/>
      <c r="N142" s="33">
        <f t="shared" ca="1" si="5"/>
        <v>0</v>
      </c>
      <c r="O142" s="9"/>
      <c r="P142" s="33"/>
      <c r="Q142" s="9"/>
      <c r="R142" s="33"/>
    </row>
    <row r="143" spans="1:18" s="8" customFormat="1" ht="185.25" x14ac:dyDescent="0.2">
      <c r="A143" s="67">
        <v>33</v>
      </c>
      <c r="B143" s="123" t="s">
        <v>281</v>
      </c>
      <c r="C143" s="126"/>
      <c r="D143" s="127"/>
      <c r="E143" s="17"/>
      <c r="F143" s="17"/>
      <c r="G143" s="18" t="s">
        <v>15</v>
      </c>
      <c r="H143" s="95" t="s">
        <v>12</v>
      </c>
      <c r="I143" s="63"/>
      <c r="J143" s="19" t="s">
        <v>11</v>
      </c>
      <c r="K143" s="9"/>
      <c r="L143" s="9"/>
      <c r="M143" s="33"/>
      <c r="N143" s="33">
        <f t="shared" ca="1" si="5"/>
        <v>0</v>
      </c>
      <c r="O143" s="9"/>
      <c r="P143" s="33"/>
      <c r="Q143" s="9"/>
      <c r="R143" s="33"/>
    </row>
    <row r="144" spans="1:18" s="8" customFormat="1" ht="31.5" x14ac:dyDescent="0.2">
      <c r="A144" s="21">
        <v>34</v>
      </c>
      <c r="B144" s="100" t="s">
        <v>156</v>
      </c>
      <c r="C144" s="62"/>
      <c r="D144" s="63"/>
      <c r="E144" s="17"/>
      <c r="F144" s="17"/>
      <c r="G144" s="17"/>
      <c r="H144" s="101"/>
      <c r="I144" s="102"/>
      <c r="J144" s="17"/>
      <c r="K144" s="9"/>
      <c r="L144" s="9"/>
      <c r="M144" s="33"/>
      <c r="N144" s="33">
        <f t="shared" ca="1" si="5"/>
        <v>0</v>
      </c>
      <c r="O144" s="9"/>
      <c r="P144" s="33"/>
      <c r="Q144" s="9"/>
      <c r="R144" s="33"/>
    </row>
    <row r="145" spans="1:18" s="8" customFormat="1" ht="180" x14ac:dyDescent="0.2">
      <c r="A145" s="21">
        <v>35</v>
      </c>
      <c r="B145" s="61" t="s">
        <v>262</v>
      </c>
      <c r="C145" s="62"/>
      <c r="D145" s="63"/>
      <c r="E145" s="17"/>
      <c r="F145" s="17"/>
      <c r="G145" s="18" t="s">
        <v>15</v>
      </c>
      <c r="H145" s="95" t="s">
        <v>12</v>
      </c>
      <c r="I145" s="63"/>
      <c r="J145" s="19" t="s">
        <v>11</v>
      </c>
      <c r="K145" s="9"/>
      <c r="L145" s="9"/>
      <c r="M145" s="33"/>
      <c r="N145" s="33">
        <f t="shared" ca="1" si="5"/>
        <v>0</v>
      </c>
      <c r="O145" s="9"/>
      <c r="P145" s="33"/>
      <c r="Q145" s="9"/>
      <c r="R145" s="33"/>
    </row>
    <row r="146" spans="1:18" s="8" customFormat="1" ht="60" x14ac:dyDescent="0.2">
      <c r="A146" s="21">
        <v>36</v>
      </c>
      <c r="B146" s="61" t="s">
        <v>158</v>
      </c>
      <c r="C146" s="62"/>
      <c r="D146" s="63"/>
      <c r="E146" s="17"/>
      <c r="F146" s="17"/>
      <c r="G146" s="18" t="s">
        <v>15</v>
      </c>
      <c r="H146" s="95" t="s">
        <v>12</v>
      </c>
      <c r="I146" s="63"/>
      <c r="J146" s="19" t="s">
        <v>11</v>
      </c>
      <c r="K146" s="9"/>
      <c r="L146" s="9"/>
      <c r="M146" s="33"/>
      <c r="N146" s="33">
        <f t="shared" ca="1" si="5"/>
        <v>0</v>
      </c>
      <c r="O146" s="9"/>
      <c r="P146" s="33"/>
      <c r="Q146" s="9"/>
      <c r="R146" s="33"/>
    </row>
    <row r="147" spans="1:18" s="8" customFormat="1" ht="135" x14ac:dyDescent="0.2">
      <c r="A147" s="21">
        <v>37</v>
      </c>
      <c r="B147" s="61" t="s">
        <v>169</v>
      </c>
      <c r="C147" s="62"/>
      <c r="D147" s="63"/>
      <c r="E147" s="17"/>
      <c r="F147" s="17"/>
      <c r="G147" s="18" t="s">
        <v>15</v>
      </c>
      <c r="H147" s="95" t="s">
        <v>12</v>
      </c>
      <c r="I147" s="63"/>
      <c r="J147" s="19" t="s">
        <v>11</v>
      </c>
      <c r="K147" s="9"/>
      <c r="L147" s="9"/>
      <c r="M147" s="33"/>
      <c r="N147" s="33">
        <f t="shared" ca="1" si="5"/>
        <v>0</v>
      </c>
      <c r="O147" s="9"/>
      <c r="P147" s="33"/>
      <c r="Q147" s="9"/>
      <c r="R147" s="33"/>
    </row>
    <row r="148" spans="1:18" s="8" customFormat="1" ht="405" x14ac:dyDescent="0.2">
      <c r="A148" s="21">
        <v>38</v>
      </c>
      <c r="B148" s="61" t="s">
        <v>263</v>
      </c>
      <c r="C148" s="62"/>
      <c r="D148" s="63"/>
      <c r="E148" s="17"/>
      <c r="F148" s="17"/>
      <c r="G148" s="18" t="s">
        <v>15</v>
      </c>
      <c r="H148" s="95" t="s">
        <v>12</v>
      </c>
      <c r="I148" s="63"/>
      <c r="J148" s="19" t="s">
        <v>11</v>
      </c>
      <c r="K148" s="9"/>
      <c r="L148" s="9"/>
      <c r="M148" s="33"/>
      <c r="N148" s="33">
        <f t="shared" ca="1" si="5"/>
        <v>0</v>
      </c>
      <c r="O148" s="9"/>
      <c r="P148" s="33"/>
      <c r="Q148" s="9"/>
      <c r="R148" s="33"/>
    </row>
    <row r="149" spans="1:18" s="8" customFormat="1" ht="180" x14ac:dyDescent="0.2">
      <c r="A149" s="21">
        <v>39</v>
      </c>
      <c r="B149" s="61" t="s">
        <v>211</v>
      </c>
      <c r="C149" s="62"/>
      <c r="D149" s="63"/>
      <c r="E149" s="17"/>
      <c r="F149" s="17"/>
      <c r="G149" s="18" t="s">
        <v>15</v>
      </c>
      <c r="H149" s="95" t="s">
        <v>12</v>
      </c>
      <c r="I149" s="63"/>
      <c r="J149" s="19" t="s">
        <v>11</v>
      </c>
      <c r="K149" s="9"/>
      <c r="L149" s="9"/>
      <c r="M149" s="33"/>
      <c r="N149" s="33">
        <f t="shared" ca="1" si="5"/>
        <v>0</v>
      </c>
      <c r="O149" s="9"/>
      <c r="P149" s="33"/>
      <c r="Q149" s="9"/>
      <c r="R149" s="33"/>
    </row>
    <row r="150" spans="1:18" s="8" customFormat="1" ht="90" x14ac:dyDescent="0.2">
      <c r="A150" s="21">
        <v>41</v>
      </c>
      <c r="B150" s="61" t="s">
        <v>200</v>
      </c>
      <c r="C150" s="62"/>
      <c r="D150" s="63"/>
      <c r="E150" s="17"/>
      <c r="F150" s="17"/>
      <c r="G150" s="18" t="s">
        <v>15</v>
      </c>
      <c r="H150" s="95" t="s">
        <v>12</v>
      </c>
      <c r="I150" s="63"/>
      <c r="J150" s="19" t="s">
        <v>11</v>
      </c>
      <c r="K150" s="9"/>
      <c r="L150" s="9"/>
      <c r="M150" s="33"/>
      <c r="N150" s="33">
        <f t="shared" ca="1" si="5"/>
        <v>0</v>
      </c>
      <c r="O150" s="9"/>
      <c r="P150" s="33"/>
      <c r="Q150" s="9"/>
      <c r="R150" s="33"/>
    </row>
    <row r="151" spans="1:18" s="8" customFormat="1" ht="195" x14ac:dyDescent="0.2">
      <c r="A151" s="21">
        <v>42</v>
      </c>
      <c r="B151" s="61" t="s">
        <v>186</v>
      </c>
      <c r="C151" s="62"/>
      <c r="D151" s="63"/>
      <c r="E151" s="17"/>
      <c r="F151" s="17"/>
      <c r="G151" s="18" t="s">
        <v>15</v>
      </c>
      <c r="H151" s="95" t="s">
        <v>12</v>
      </c>
      <c r="I151" s="63"/>
      <c r="J151" s="19" t="s">
        <v>11</v>
      </c>
      <c r="K151" s="9"/>
      <c r="L151" s="9"/>
      <c r="M151" s="33"/>
      <c r="N151" s="33">
        <f t="shared" ca="1" si="5"/>
        <v>0</v>
      </c>
      <c r="O151" s="9"/>
      <c r="P151" s="33"/>
      <c r="Q151" s="9"/>
      <c r="R151" s="33"/>
    </row>
    <row r="152" spans="1:18" s="8" customFormat="1" ht="90" x14ac:dyDescent="0.2">
      <c r="A152" s="21">
        <v>43</v>
      </c>
      <c r="B152" s="61" t="s">
        <v>245</v>
      </c>
      <c r="C152" s="120"/>
      <c r="D152" s="121"/>
      <c r="E152" s="17"/>
      <c r="F152" s="17"/>
      <c r="G152" s="18" t="s">
        <v>15</v>
      </c>
      <c r="H152" s="95" t="s">
        <v>12</v>
      </c>
      <c r="I152" s="63"/>
      <c r="J152" s="19" t="s">
        <v>11</v>
      </c>
      <c r="K152" s="9"/>
      <c r="L152" s="9"/>
      <c r="M152" s="33"/>
      <c r="N152" s="33">
        <f t="shared" ca="1" si="5"/>
        <v>0</v>
      </c>
      <c r="O152" s="9"/>
      <c r="P152" s="33"/>
      <c r="Q152" s="9"/>
      <c r="R152" s="33"/>
    </row>
    <row r="153" spans="1:18" s="8" customFormat="1" ht="409.5" x14ac:dyDescent="0.2">
      <c r="A153" s="21">
        <v>45</v>
      </c>
      <c r="B153" s="61" t="s">
        <v>264</v>
      </c>
      <c r="C153" s="62"/>
      <c r="D153" s="63"/>
      <c r="E153" s="17"/>
      <c r="F153" s="17"/>
      <c r="G153" s="18" t="s">
        <v>15</v>
      </c>
      <c r="H153" s="95" t="s">
        <v>12</v>
      </c>
      <c r="I153" s="63"/>
      <c r="J153" s="19" t="s">
        <v>11</v>
      </c>
      <c r="K153" s="9"/>
      <c r="L153" s="9"/>
      <c r="M153" s="33"/>
      <c r="N153" s="33">
        <f t="shared" ca="1" si="5"/>
        <v>0</v>
      </c>
      <c r="O153" s="9"/>
      <c r="P153" s="33"/>
      <c r="Q153" s="9"/>
      <c r="R153" s="33"/>
    </row>
    <row r="154" spans="1:18" s="8" customFormat="1" ht="90" x14ac:dyDescent="0.2">
      <c r="A154" s="21">
        <v>46</v>
      </c>
      <c r="B154" s="61" t="s">
        <v>187</v>
      </c>
      <c r="C154" s="62"/>
      <c r="D154" s="63"/>
      <c r="E154" s="17"/>
      <c r="F154" s="17"/>
      <c r="G154" s="18" t="s">
        <v>15</v>
      </c>
      <c r="H154" s="95" t="s">
        <v>12</v>
      </c>
      <c r="I154" s="63"/>
      <c r="J154" s="19" t="s">
        <v>11</v>
      </c>
      <c r="K154" s="9"/>
      <c r="L154" s="9"/>
      <c r="M154" s="33"/>
      <c r="N154" s="33">
        <f t="shared" ca="1" si="5"/>
        <v>0</v>
      </c>
      <c r="O154" s="9"/>
      <c r="P154" s="33"/>
      <c r="Q154" s="9"/>
      <c r="R154" s="33"/>
    </row>
    <row r="155" spans="1:18" s="8" customFormat="1" ht="270" x14ac:dyDescent="0.2">
      <c r="A155" s="21">
        <v>47</v>
      </c>
      <c r="B155" s="61" t="s">
        <v>197</v>
      </c>
      <c r="C155" s="62"/>
      <c r="D155" s="63"/>
      <c r="E155" s="17"/>
      <c r="F155" s="17"/>
      <c r="G155" s="18" t="s">
        <v>15</v>
      </c>
      <c r="H155" s="95" t="s">
        <v>12</v>
      </c>
      <c r="I155" s="63"/>
      <c r="J155" s="19" t="s">
        <v>11</v>
      </c>
      <c r="K155" s="9"/>
      <c r="L155" s="9"/>
      <c r="M155" s="33"/>
      <c r="N155" s="33">
        <f t="shared" ca="1" si="5"/>
        <v>0</v>
      </c>
      <c r="O155" s="9"/>
      <c r="P155" s="33"/>
      <c r="Q155" s="9"/>
      <c r="R155" s="33"/>
    </row>
    <row r="156" spans="1:18" s="8" customFormat="1" ht="315" x14ac:dyDescent="0.2">
      <c r="A156" s="21">
        <v>48</v>
      </c>
      <c r="B156" s="61" t="s">
        <v>183</v>
      </c>
      <c r="C156" s="62"/>
      <c r="D156" s="63"/>
      <c r="E156" s="17"/>
      <c r="F156" s="17"/>
      <c r="G156" s="18" t="s">
        <v>15</v>
      </c>
      <c r="H156" s="95" t="s">
        <v>12</v>
      </c>
      <c r="I156" s="63"/>
      <c r="J156" s="19" t="s">
        <v>11</v>
      </c>
      <c r="K156" s="9"/>
      <c r="L156" s="9"/>
      <c r="M156" s="33"/>
      <c r="N156" s="33">
        <f t="shared" ca="1" si="5"/>
        <v>0</v>
      </c>
      <c r="O156" s="9"/>
      <c r="P156" s="33"/>
      <c r="Q156" s="9"/>
      <c r="R156" s="33"/>
    </row>
    <row r="157" spans="1:18" s="8" customFormat="1" ht="180" x14ac:dyDescent="0.2">
      <c r="A157" s="21">
        <v>49</v>
      </c>
      <c r="B157" s="61" t="s">
        <v>248</v>
      </c>
      <c r="C157" s="62"/>
      <c r="D157" s="63"/>
      <c r="E157" s="17"/>
      <c r="F157" s="17"/>
      <c r="G157" s="18" t="s">
        <v>15</v>
      </c>
      <c r="H157" s="95" t="s">
        <v>12</v>
      </c>
      <c r="I157" s="63"/>
      <c r="J157" s="19" t="s">
        <v>11</v>
      </c>
      <c r="K157" s="9"/>
      <c r="L157" s="9"/>
      <c r="M157" s="33"/>
      <c r="N157" s="33">
        <f t="shared" ca="1" si="5"/>
        <v>0</v>
      </c>
      <c r="O157" s="9"/>
      <c r="P157" s="33"/>
      <c r="Q157" s="9"/>
      <c r="R157" s="33"/>
    </row>
    <row r="158" spans="1:18" s="8" customFormat="1" ht="105.75" x14ac:dyDescent="0.2">
      <c r="A158" s="67">
        <v>51</v>
      </c>
      <c r="B158" s="61" t="s">
        <v>266</v>
      </c>
      <c r="C158" s="78"/>
      <c r="D158" s="79"/>
      <c r="E158" s="17"/>
      <c r="F158" s="17"/>
      <c r="G158" s="18" t="s">
        <v>15</v>
      </c>
      <c r="H158" s="95" t="s">
        <v>12</v>
      </c>
      <c r="I158" s="63"/>
      <c r="J158" s="19" t="s">
        <v>11</v>
      </c>
      <c r="M158" s="34"/>
      <c r="N158" s="33">
        <f t="shared" ca="1" si="5"/>
        <v>0</v>
      </c>
      <c r="P158" s="34"/>
      <c r="R158" s="34"/>
    </row>
    <row r="159" spans="1:18" s="8" customFormat="1" ht="120" x14ac:dyDescent="0.2">
      <c r="A159" s="67">
        <v>52</v>
      </c>
      <c r="B159" s="61" t="s">
        <v>213</v>
      </c>
      <c r="C159" s="62"/>
      <c r="D159" s="63"/>
      <c r="E159" s="17"/>
      <c r="F159" s="17"/>
      <c r="G159" s="18" t="s">
        <v>15</v>
      </c>
      <c r="H159" s="95" t="s">
        <v>12</v>
      </c>
      <c r="I159" s="63"/>
      <c r="J159" s="19" t="s">
        <v>11</v>
      </c>
      <c r="M159" s="34"/>
      <c r="N159" s="33">
        <f t="shared" ca="1" si="5"/>
        <v>0</v>
      </c>
      <c r="P159" s="34"/>
      <c r="R159" s="34"/>
    </row>
    <row r="160" spans="1:18" s="8" customFormat="1" ht="210" x14ac:dyDescent="0.2">
      <c r="A160" s="67">
        <v>53</v>
      </c>
      <c r="B160" s="61" t="s">
        <v>267</v>
      </c>
      <c r="C160" s="62"/>
      <c r="D160" s="63"/>
      <c r="E160" s="17"/>
      <c r="F160" s="17"/>
      <c r="G160" s="18" t="s">
        <v>15</v>
      </c>
      <c r="H160" s="95" t="s">
        <v>12</v>
      </c>
      <c r="I160" s="63"/>
      <c r="J160" s="19" t="s">
        <v>11</v>
      </c>
      <c r="M160" s="34"/>
      <c r="N160" s="33">
        <f t="shared" ca="1" si="5"/>
        <v>0</v>
      </c>
      <c r="P160" s="34"/>
      <c r="R160" s="34"/>
    </row>
    <row r="161" spans="1:18" s="8" customFormat="1" ht="90" x14ac:dyDescent="0.2">
      <c r="A161" s="67">
        <v>54</v>
      </c>
      <c r="B161" s="61" t="s">
        <v>170</v>
      </c>
      <c r="C161" s="62"/>
      <c r="D161" s="63"/>
      <c r="E161" s="17"/>
      <c r="F161" s="17"/>
      <c r="G161" s="18" t="s">
        <v>15</v>
      </c>
      <c r="H161" s="95" t="s">
        <v>12</v>
      </c>
      <c r="I161" s="63"/>
      <c r="J161" s="19" t="s">
        <v>11</v>
      </c>
      <c r="M161" s="34"/>
      <c r="N161" s="33">
        <f t="shared" ca="1" si="5"/>
        <v>0</v>
      </c>
      <c r="P161" s="34"/>
      <c r="R161" s="34"/>
    </row>
    <row r="162" spans="1:18" s="8" customFormat="1" ht="240" x14ac:dyDescent="0.2">
      <c r="A162" s="67">
        <v>55</v>
      </c>
      <c r="B162" s="61" t="s">
        <v>214</v>
      </c>
      <c r="C162" s="62"/>
      <c r="D162" s="63"/>
      <c r="E162" s="17"/>
      <c r="F162" s="17"/>
      <c r="G162" s="18" t="s">
        <v>15</v>
      </c>
      <c r="H162" s="95" t="s">
        <v>12</v>
      </c>
      <c r="I162" s="63"/>
      <c r="J162" s="19" t="s">
        <v>11</v>
      </c>
      <c r="M162" s="34"/>
      <c r="N162" s="33">
        <f t="shared" ca="1" si="5"/>
        <v>0</v>
      </c>
      <c r="P162" s="34"/>
      <c r="R162" s="34"/>
    </row>
    <row r="163" spans="1:18" s="8" customFormat="1" ht="315" x14ac:dyDescent="0.2">
      <c r="A163" s="67">
        <v>57</v>
      </c>
      <c r="B163" s="61" t="s">
        <v>268</v>
      </c>
      <c r="C163" s="62"/>
      <c r="D163" s="63"/>
      <c r="E163" s="17"/>
      <c r="F163" s="20" t="s">
        <v>188</v>
      </c>
      <c r="G163" s="18" t="s">
        <v>15</v>
      </c>
      <c r="H163" s="98" t="s">
        <v>316</v>
      </c>
      <c r="I163" s="99"/>
      <c r="J163" s="19" t="s">
        <v>11</v>
      </c>
      <c r="M163" s="34"/>
      <c r="N163" s="33">
        <f t="shared" ca="1" si="5"/>
        <v>0</v>
      </c>
      <c r="P163" s="34"/>
      <c r="R163" s="34"/>
    </row>
    <row r="164" spans="1:18" s="8" customFormat="1" ht="390" x14ac:dyDescent="0.2">
      <c r="A164" s="67">
        <v>58</v>
      </c>
      <c r="B164" s="61" t="s">
        <v>269</v>
      </c>
      <c r="C164" s="62"/>
      <c r="D164" s="63"/>
      <c r="E164" s="17"/>
      <c r="F164" s="20" t="s">
        <v>188</v>
      </c>
      <c r="G164" s="18" t="s">
        <v>15</v>
      </c>
      <c r="H164" s="98" t="s">
        <v>317</v>
      </c>
      <c r="I164" s="99"/>
      <c r="J164" s="19" t="s">
        <v>11</v>
      </c>
      <c r="M164" s="34"/>
      <c r="N164" s="33">
        <f t="shared" ca="1" si="5"/>
        <v>0</v>
      </c>
      <c r="P164" s="34"/>
      <c r="R164" s="34"/>
    </row>
    <row r="165" spans="1:18" s="8" customFormat="1" ht="409.5" x14ac:dyDescent="0.2">
      <c r="A165" s="67">
        <v>59</v>
      </c>
      <c r="B165" s="61" t="s">
        <v>247</v>
      </c>
      <c r="C165" s="62"/>
      <c r="D165" s="63"/>
      <c r="E165" s="17"/>
      <c r="F165" s="17"/>
      <c r="G165" s="18" t="s">
        <v>15</v>
      </c>
      <c r="H165" s="95" t="s">
        <v>12</v>
      </c>
      <c r="I165" s="63"/>
      <c r="J165" s="19" t="s">
        <v>11</v>
      </c>
      <c r="M165" s="34"/>
      <c r="N165" s="33">
        <f t="shared" ca="1" si="5"/>
        <v>0</v>
      </c>
      <c r="P165" s="34"/>
      <c r="R165" s="34"/>
    </row>
    <row r="166" spans="1:18" s="8" customFormat="1" ht="90" x14ac:dyDescent="0.2">
      <c r="A166" s="67">
        <v>60</v>
      </c>
      <c r="B166" s="61" t="s">
        <v>189</v>
      </c>
      <c r="C166" s="78"/>
      <c r="D166" s="79"/>
      <c r="E166" s="17"/>
      <c r="F166" s="17"/>
      <c r="G166" s="18" t="s">
        <v>15</v>
      </c>
      <c r="H166" s="95" t="s">
        <v>12</v>
      </c>
      <c r="I166" s="63"/>
      <c r="J166" s="19" t="s">
        <v>11</v>
      </c>
      <c r="M166" s="34"/>
      <c r="N166" s="33">
        <f t="shared" ca="1" si="5"/>
        <v>0</v>
      </c>
      <c r="P166" s="34"/>
      <c r="R166" s="34"/>
    </row>
    <row r="167" spans="1:18" s="8" customFormat="1" ht="409.5" x14ac:dyDescent="0.2">
      <c r="A167" s="67">
        <v>61</v>
      </c>
      <c r="B167" s="61" t="s">
        <v>246</v>
      </c>
      <c r="C167" s="62"/>
      <c r="D167" s="63"/>
      <c r="E167" s="17"/>
      <c r="F167" s="17"/>
      <c r="G167" s="18" t="s">
        <v>15</v>
      </c>
      <c r="H167" s="98" t="s">
        <v>318</v>
      </c>
      <c r="I167" s="99"/>
      <c r="J167" s="19" t="s">
        <v>11</v>
      </c>
      <c r="M167" s="34"/>
      <c r="N167" s="33">
        <f t="shared" ref="N167:N198" ca="1" si="6">+M167*$N$2</f>
        <v>0</v>
      </c>
      <c r="P167" s="34"/>
      <c r="R167" s="34"/>
    </row>
    <row r="168" spans="1:18" s="8" customFormat="1" ht="375" x14ac:dyDescent="0.2">
      <c r="A168" s="67">
        <v>62</v>
      </c>
      <c r="B168" s="61" t="s">
        <v>184</v>
      </c>
      <c r="C168" s="62"/>
      <c r="D168" s="63"/>
      <c r="E168" s="17"/>
      <c r="F168" s="17"/>
      <c r="G168" s="18" t="s">
        <v>15</v>
      </c>
      <c r="H168" s="95" t="s">
        <v>12</v>
      </c>
      <c r="I168" s="63"/>
      <c r="J168" s="19" t="s">
        <v>11</v>
      </c>
      <c r="M168" s="34"/>
      <c r="N168" s="33">
        <f t="shared" ca="1" si="6"/>
        <v>0</v>
      </c>
      <c r="P168" s="34"/>
      <c r="R168" s="34"/>
    </row>
    <row r="169" spans="1:18" s="8" customFormat="1" ht="105" x14ac:dyDescent="0.2">
      <c r="A169" s="67">
        <v>64</v>
      </c>
      <c r="B169" s="61" t="s">
        <v>171</v>
      </c>
      <c r="C169" s="62"/>
      <c r="D169" s="63"/>
      <c r="E169" s="17"/>
      <c r="F169" s="17"/>
      <c r="G169" s="18" t="s">
        <v>15</v>
      </c>
      <c r="H169" s="95" t="s">
        <v>12</v>
      </c>
      <c r="I169" s="63"/>
      <c r="J169" s="19" t="s">
        <v>11</v>
      </c>
      <c r="M169" s="34"/>
      <c r="N169" s="33">
        <f t="shared" ca="1" si="6"/>
        <v>0</v>
      </c>
      <c r="P169" s="34"/>
      <c r="R169" s="34"/>
    </row>
    <row r="170" spans="1:18" s="8" customFormat="1" ht="90" x14ac:dyDescent="0.2">
      <c r="A170" s="67">
        <v>66</v>
      </c>
      <c r="B170" s="61" t="s">
        <v>241</v>
      </c>
      <c r="C170" s="120"/>
      <c r="D170" s="121"/>
      <c r="E170" s="17"/>
      <c r="F170" s="17"/>
      <c r="G170" s="18" t="s">
        <v>15</v>
      </c>
      <c r="H170" s="95" t="s">
        <v>12</v>
      </c>
      <c r="I170" s="63"/>
      <c r="J170" s="19" t="s">
        <v>11</v>
      </c>
      <c r="M170" s="34"/>
      <c r="N170" s="33">
        <f t="shared" ca="1" si="6"/>
        <v>0</v>
      </c>
      <c r="P170" s="34"/>
      <c r="R170" s="34"/>
    </row>
    <row r="171" spans="1:18" s="8" customFormat="1" x14ac:dyDescent="0.2">
      <c r="A171" s="21">
        <v>67</v>
      </c>
      <c r="B171" s="100" t="s">
        <v>147</v>
      </c>
      <c r="C171" s="62"/>
      <c r="D171" s="63"/>
      <c r="E171" s="17"/>
      <c r="F171" s="17"/>
      <c r="G171" s="17"/>
      <c r="H171" s="101"/>
      <c r="I171" s="102"/>
      <c r="J171" s="17"/>
      <c r="K171" s="9"/>
      <c r="L171" s="9"/>
      <c r="M171" s="33"/>
      <c r="N171" s="33">
        <f t="shared" ca="1" si="6"/>
        <v>0</v>
      </c>
      <c r="O171" s="9"/>
      <c r="P171" s="33"/>
      <c r="Q171" s="9"/>
      <c r="R171" s="33"/>
    </row>
    <row r="172" spans="1:18" s="8" customFormat="1" ht="135" x14ac:dyDescent="0.2">
      <c r="A172" s="21">
        <v>68</v>
      </c>
      <c r="B172" s="61" t="s">
        <v>201</v>
      </c>
      <c r="C172" s="62"/>
      <c r="D172" s="63"/>
      <c r="E172" s="17"/>
      <c r="F172" s="17"/>
      <c r="G172" s="18" t="s">
        <v>15</v>
      </c>
      <c r="H172" s="95" t="s">
        <v>12</v>
      </c>
      <c r="I172" s="63"/>
      <c r="J172" s="19" t="s">
        <v>11</v>
      </c>
      <c r="K172" s="9"/>
      <c r="L172" s="9"/>
      <c r="M172" s="33"/>
      <c r="N172" s="33">
        <f t="shared" ca="1" si="6"/>
        <v>0</v>
      </c>
      <c r="O172" s="9"/>
      <c r="P172" s="33"/>
      <c r="Q172" s="9"/>
      <c r="R172" s="33"/>
    </row>
    <row r="173" spans="1:18" s="8" customFormat="1" ht="165" x14ac:dyDescent="0.2">
      <c r="A173" s="67">
        <v>69</v>
      </c>
      <c r="B173" s="61" t="s">
        <v>181</v>
      </c>
      <c r="C173" s="62"/>
      <c r="D173" s="63"/>
      <c r="E173" s="17"/>
      <c r="F173" s="17"/>
      <c r="G173" s="18" t="s">
        <v>15</v>
      </c>
      <c r="H173" s="95" t="s">
        <v>12</v>
      </c>
      <c r="I173" s="63"/>
      <c r="J173" s="19" t="s">
        <v>11</v>
      </c>
      <c r="M173" s="34"/>
      <c r="N173" s="33">
        <f t="shared" ca="1" si="6"/>
        <v>0</v>
      </c>
      <c r="P173" s="34"/>
      <c r="R173" s="34"/>
    </row>
    <row r="174" spans="1:18" s="8" customFormat="1" ht="45" x14ac:dyDescent="0.2">
      <c r="A174" s="67">
        <v>70</v>
      </c>
      <c r="B174" s="61" t="s">
        <v>148</v>
      </c>
      <c r="C174" s="62"/>
      <c r="D174" s="63"/>
      <c r="E174" s="17"/>
      <c r="F174" s="17"/>
      <c r="G174" s="18" t="s">
        <v>15</v>
      </c>
      <c r="H174" s="95" t="s">
        <v>12</v>
      </c>
      <c r="I174" s="63"/>
      <c r="J174" s="19" t="s">
        <v>11</v>
      </c>
      <c r="M174" s="34"/>
      <c r="N174" s="33">
        <f t="shared" ca="1" si="6"/>
        <v>0</v>
      </c>
      <c r="P174" s="34"/>
      <c r="R174" s="34"/>
    </row>
    <row r="175" spans="1:18" s="8" customFormat="1" ht="63" x14ac:dyDescent="0.2">
      <c r="A175" s="21">
        <v>71</v>
      </c>
      <c r="B175" s="100" t="s">
        <v>146</v>
      </c>
      <c r="C175" s="62"/>
      <c r="D175" s="63"/>
      <c r="E175" s="17"/>
      <c r="F175" s="17"/>
      <c r="G175" s="17"/>
      <c r="H175" s="101"/>
      <c r="I175" s="102"/>
      <c r="J175" s="17"/>
      <c r="K175" s="9"/>
      <c r="L175" s="9"/>
      <c r="M175" s="33"/>
      <c r="N175" s="33">
        <f t="shared" ca="1" si="6"/>
        <v>0</v>
      </c>
      <c r="O175" s="9"/>
      <c r="P175" s="33"/>
      <c r="Q175" s="9"/>
      <c r="R175" s="33"/>
    </row>
    <row r="176" spans="1:18" s="8" customFormat="1" x14ac:dyDescent="0.2">
      <c r="A176" s="21">
        <v>79</v>
      </c>
      <c r="B176" s="100" t="s">
        <v>149</v>
      </c>
      <c r="C176" s="62"/>
      <c r="D176" s="63"/>
      <c r="E176" s="17"/>
      <c r="F176" s="17"/>
      <c r="G176" s="17"/>
      <c r="H176" s="101"/>
      <c r="I176" s="102"/>
      <c r="J176" s="17"/>
      <c r="K176" s="9"/>
      <c r="L176" s="9"/>
      <c r="M176" s="33"/>
      <c r="N176" s="33">
        <f t="shared" ca="1" si="6"/>
        <v>0</v>
      </c>
      <c r="O176" s="9"/>
      <c r="P176" s="33"/>
      <c r="Q176" s="9"/>
      <c r="R176" s="33"/>
    </row>
    <row r="177" spans="1:18" s="8" customFormat="1" ht="31.5" x14ac:dyDescent="0.2">
      <c r="A177" s="21">
        <v>81</v>
      </c>
      <c r="B177" s="100" t="s">
        <v>150</v>
      </c>
      <c r="C177" s="62"/>
      <c r="D177" s="63"/>
      <c r="E177" s="17"/>
      <c r="F177" s="17"/>
      <c r="G177" s="17"/>
      <c r="H177" s="101"/>
      <c r="I177" s="102"/>
      <c r="J177" s="17"/>
      <c r="K177" s="9"/>
      <c r="L177" s="9"/>
      <c r="M177" s="33"/>
      <c r="N177" s="33">
        <f t="shared" ca="1" si="6"/>
        <v>0</v>
      </c>
      <c r="O177" s="9"/>
      <c r="P177" s="33"/>
      <c r="Q177" s="9"/>
      <c r="R177" s="33"/>
    </row>
    <row r="178" spans="1:18" s="8" customFormat="1" ht="31.5" x14ac:dyDescent="0.2">
      <c r="A178" s="21">
        <v>83</v>
      </c>
      <c r="B178" s="100" t="s">
        <v>19</v>
      </c>
      <c r="C178" s="62"/>
      <c r="D178" s="63"/>
      <c r="E178" s="17"/>
      <c r="F178" s="17"/>
      <c r="G178" s="17"/>
      <c r="H178" s="101"/>
      <c r="I178" s="102"/>
      <c r="J178" s="17"/>
      <c r="K178" s="10"/>
      <c r="L178" s="10"/>
      <c r="M178" s="35"/>
      <c r="N178" s="33">
        <f t="shared" ca="1" si="6"/>
        <v>0</v>
      </c>
      <c r="O178" s="10"/>
      <c r="P178" s="35"/>
      <c r="Q178" s="10"/>
      <c r="R178" s="35"/>
    </row>
    <row r="179" spans="1:18" s="8" customFormat="1" ht="90" x14ac:dyDescent="0.2">
      <c r="A179" s="67">
        <v>84</v>
      </c>
      <c r="B179" s="61" t="s">
        <v>151</v>
      </c>
      <c r="C179" s="62"/>
      <c r="D179" s="63"/>
      <c r="E179" s="17"/>
      <c r="F179" s="17"/>
      <c r="G179" s="18" t="s">
        <v>15</v>
      </c>
      <c r="H179" s="95" t="s">
        <v>12</v>
      </c>
      <c r="I179" s="63"/>
      <c r="J179" s="19" t="s">
        <v>11</v>
      </c>
      <c r="M179" s="34"/>
      <c r="N179" s="33">
        <f t="shared" ca="1" si="6"/>
        <v>0</v>
      </c>
      <c r="P179" s="34"/>
      <c r="R179" s="34"/>
    </row>
    <row r="180" spans="1:18" s="8" customFormat="1" ht="45" x14ac:dyDescent="0.2">
      <c r="A180" s="67">
        <v>85</v>
      </c>
      <c r="B180" s="61" t="s">
        <v>152</v>
      </c>
      <c r="C180" s="62"/>
      <c r="D180" s="63"/>
      <c r="E180" s="17"/>
      <c r="F180" s="17"/>
      <c r="G180" s="18" t="s">
        <v>15</v>
      </c>
      <c r="H180" s="95" t="s">
        <v>12</v>
      </c>
      <c r="I180" s="63"/>
      <c r="J180" s="19" t="s">
        <v>11</v>
      </c>
      <c r="M180" s="34"/>
      <c r="N180" s="33">
        <f t="shared" ca="1" si="6"/>
        <v>0</v>
      </c>
      <c r="P180" s="34"/>
      <c r="R180" s="34"/>
    </row>
    <row r="181" spans="1:18" s="8" customFormat="1" ht="90" x14ac:dyDescent="0.2">
      <c r="A181" s="67">
        <v>86</v>
      </c>
      <c r="B181" s="61" t="s">
        <v>231</v>
      </c>
      <c r="C181" s="62"/>
      <c r="D181" s="63"/>
      <c r="E181" s="17"/>
      <c r="F181" s="17"/>
      <c r="G181" s="18" t="s">
        <v>15</v>
      </c>
      <c r="H181" s="95" t="s">
        <v>12</v>
      </c>
      <c r="I181" s="63"/>
      <c r="J181" s="19" t="s">
        <v>11</v>
      </c>
      <c r="M181" s="34"/>
      <c r="N181" s="33">
        <f t="shared" ca="1" si="6"/>
        <v>0</v>
      </c>
      <c r="P181" s="34"/>
      <c r="R181" s="34"/>
    </row>
    <row r="182" spans="1:18" s="8" customFormat="1" ht="90" x14ac:dyDescent="0.2">
      <c r="A182" s="67">
        <v>87</v>
      </c>
      <c r="B182" s="61" t="s">
        <v>286</v>
      </c>
      <c r="C182" s="62"/>
      <c r="D182" s="63"/>
      <c r="E182" s="17"/>
      <c r="F182" s="17"/>
      <c r="G182" s="18" t="s">
        <v>15</v>
      </c>
      <c r="H182" s="98" t="s">
        <v>324</v>
      </c>
      <c r="I182" s="99"/>
      <c r="J182" s="19" t="s">
        <v>11</v>
      </c>
      <c r="M182" s="34"/>
      <c r="N182" s="33">
        <f t="shared" ca="1" si="6"/>
        <v>0</v>
      </c>
      <c r="P182" s="34"/>
      <c r="R182" s="34"/>
    </row>
    <row r="183" spans="1:18" s="8" customFormat="1" ht="315" x14ac:dyDescent="0.2">
      <c r="A183" s="67">
        <v>88</v>
      </c>
      <c r="B183" s="61" t="s">
        <v>232</v>
      </c>
      <c r="C183" s="62"/>
      <c r="D183" s="63"/>
      <c r="E183" s="17"/>
      <c r="F183" s="17"/>
      <c r="G183" s="18" t="s">
        <v>15</v>
      </c>
      <c r="H183" s="95" t="s">
        <v>12</v>
      </c>
      <c r="I183" s="63"/>
      <c r="J183" s="19" t="s">
        <v>11</v>
      </c>
      <c r="M183" s="34"/>
      <c r="N183" s="33">
        <f t="shared" ca="1" si="6"/>
        <v>0</v>
      </c>
      <c r="P183" s="34"/>
      <c r="R183" s="34"/>
    </row>
    <row r="184" spans="1:18" s="8" customFormat="1" ht="409.5" x14ac:dyDescent="0.2">
      <c r="A184" s="67">
        <v>89</v>
      </c>
      <c r="B184" s="61" t="s">
        <v>219</v>
      </c>
      <c r="C184" s="62"/>
      <c r="D184" s="63"/>
      <c r="E184" s="17"/>
      <c r="F184" s="17"/>
      <c r="G184" s="18" t="s">
        <v>15</v>
      </c>
      <c r="H184" s="95" t="s">
        <v>12</v>
      </c>
      <c r="I184" s="63"/>
      <c r="J184" s="19" t="s">
        <v>11</v>
      </c>
      <c r="M184" s="185"/>
      <c r="N184" s="33">
        <f t="shared" ca="1" si="6"/>
        <v>0</v>
      </c>
      <c r="P184" s="34"/>
      <c r="R184" s="34"/>
    </row>
    <row r="185" spans="1:18" s="8" customFormat="1" ht="255" x14ac:dyDescent="0.2">
      <c r="A185" s="67">
        <v>90</v>
      </c>
      <c r="B185" s="61" t="s">
        <v>153</v>
      </c>
      <c r="C185" s="62"/>
      <c r="D185" s="63"/>
      <c r="E185" s="17"/>
      <c r="F185" s="17"/>
      <c r="G185" s="18" t="s">
        <v>15</v>
      </c>
      <c r="H185" s="95" t="s">
        <v>12</v>
      </c>
      <c r="I185" s="63"/>
      <c r="J185" s="19" t="s">
        <v>11</v>
      </c>
      <c r="M185" s="185"/>
      <c r="N185" s="33">
        <f t="shared" ca="1" si="6"/>
        <v>0</v>
      </c>
      <c r="P185" s="34"/>
      <c r="R185" s="34"/>
    </row>
    <row r="186" spans="1:18" s="8" customFormat="1" ht="75" x14ac:dyDescent="0.2">
      <c r="A186" s="67">
        <v>91</v>
      </c>
      <c r="B186" s="61" t="s">
        <v>168</v>
      </c>
      <c r="C186" s="62"/>
      <c r="D186" s="63"/>
      <c r="E186" s="17"/>
      <c r="F186" s="17"/>
      <c r="G186" s="18" t="s">
        <v>15</v>
      </c>
      <c r="H186" s="95" t="s">
        <v>12</v>
      </c>
      <c r="I186" s="63"/>
      <c r="J186" s="19" t="s">
        <v>11</v>
      </c>
      <c r="M186" s="185"/>
      <c r="N186" s="33">
        <f t="shared" ca="1" si="6"/>
        <v>0</v>
      </c>
      <c r="P186" s="34"/>
      <c r="R186" s="34"/>
    </row>
    <row r="187" spans="1:18" s="8" customFormat="1" ht="30" x14ac:dyDescent="0.2">
      <c r="A187" s="67">
        <v>92</v>
      </c>
      <c r="B187" s="61" t="s">
        <v>154</v>
      </c>
      <c r="C187" s="62"/>
      <c r="D187" s="63"/>
      <c r="E187" s="17"/>
      <c r="F187" s="17"/>
      <c r="G187" s="18" t="s">
        <v>15</v>
      </c>
      <c r="H187" s="95" t="s">
        <v>12</v>
      </c>
      <c r="I187" s="63"/>
      <c r="J187" s="19" t="s">
        <v>11</v>
      </c>
      <c r="M187" s="185"/>
      <c r="N187" s="33">
        <f t="shared" ca="1" si="6"/>
        <v>0</v>
      </c>
      <c r="P187" s="34"/>
      <c r="R187" s="34"/>
    </row>
    <row r="188" spans="1:18" s="8" customFormat="1" x14ac:dyDescent="0.2">
      <c r="A188" s="67">
        <v>93</v>
      </c>
      <c r="B188" s="61" t="s">
        <v>20</v>
      </c>
      <c r="C188" s="62"/>
      <c r="D188" s="63"/>
      <c r="E188" s="17"/>
      <c r="F188" s="17"/>
      <c r="G188" s="18" t="s">
        <v>15</v>
      </c>
      <c r="H188" s="95" t="s">
        <v>12</v>
      </c>
      <c r="I188" s="63"/>
      <c r="J188" s="19" t="s">
        <v>11</v>
      </c>
      <c r="M188" s="185"/>
      <c r="N188" s="33">
        <f t="shared" ca="1" si="6"/>
        <v>0</v>
      </c>
      <c r="P188" s="34"/>
      <c r="R188" s="34"/>
    </row>
    <row r="189" spans="1:18" s="8" customFormat="1" ht="63" x14ac:dyDescent="0.2">
      <c r="A189" s="21">
        <v>94</v>
      </c>
      <c r="B189" s="100" t="s">
        <v>155</v>
      </c>
      <c r="C189" s="62"/>
      <c r="D189" s="63"/>
      <c r="E189" s="17"/>
      <c r="F189" s="17"/>
      <c r="G189" s="17"/>
      <c r="H189" s="101"/>
      <c r="I189" s="102"/>
      <c r="J189" s="17"/>
      <c r="K189" s="10"/>
      <c r="L189" s="10"/>
      <c r="M189" s="186"/>
      <c r="N189" s="33">
        <f t="shared" ca="1" si="6"/>
        <v>0</v>
      </c>
      <c r="O189" s="10"/>
      <c r="P189" s="35"/>
      <c r="Q189" s="10"/>
      <c r="R189" s="35"/>
    </row>
    <row r="190" spans="1:18" s="8" customFormat="1" ht="31.5" x14ac:dyDescent="0.2">
      <c r="A190" s="67">
        <v>95</v>
      </c>
      <c r="B190" s="100" t="s">
        <v>26</v>
      </c>
      <c r="C190" s="62"/>
      <c r="D190" s="63"/>
      <c r="E190" s="17"/>
      <c r="F190" s="17"/>
      <c r="G190" s="17"/>
      <c r="H190" s="101"/>
      <c r="I190" s="102"/>
      <c r="J190" s="17"/>
      <c r="M190" s="34"/>
      <c r="N190" s="33">
        <f t="shared" ca="1" si="6"/>
        <v>0</v>
      </c>
      <c r="P190" s="34"/>
      <c r="R190" s="34"/>
    </row>
    <row r="191" spans="1:18" s="8" customFormat="1" ht="409.5" x14ac:dyDescent="0.2">
      <c r="A191" s="92"/>
      <c r="B191" s="136" t="s">
        <v>275</v>
      </c>
      <c r="C191" s="144"/>
      <c r="D191" s="99"/>
      <c r="E191" s="160"/>
      <c r="F191" s="23"/>
      <c r="G191" s="167"/>
      <c r="H191" s="98"/>
      <c r="I191" s="112"/>
      <c r="J191" s="169"/>
      <c r="L191" s="113"/>
      <c r="M191" s="53"/>
      <c r="N191" s="33">
        <f t="shared" ca="1" si="6"/>
        <v>0</v>
      </c>
      <c r="P191" s="34"/>
      <c r="R191" s="34"/>
    </row>
    <row r="192" spans="1:18" s="8" customFormat="1" x14ac:dyDescent="0.2">
      <c r="A192" s="67">
        <v>105</v>
      </c>
      <c r="B192" s="100" t="s">
        <v>36</v>
      </c>
      <c r="C192" s="62"/>
      <c r="D192" s="63"/>
      <c r="E192" s="17"/>
      <c r="F192" s="17"/>
      <c r="G192" s="17"/>
      <c r="H192" s="101"/>
      <c r="I192" s="102"/>
      <c r="J192" s="17"/>
      <c r="M192" s="34"/>
      <c r="N192" s="33">
        <f t="shared" ca="1" si="6"/>
        <v>0</v>
      </c>
      <c r="P192" s="34"/>
      <c r="R192" s="34"/>
    </row>
    <row r="193" spans="1:18" s="8" customFormat="1" ht="31.5" x14ac:dyDescent="0.2">
      <c r="A193" s="67">
        <v>112</v>
      </c>
      <c r="B193" s="100" t="s">
        <v>41</v>
      </c>
      <c r="C193" s="62"/>
      <c r="D193" s="63"/>
      <c r="E193" s="17"/>
      <c r="F193" s="17"/>
      <c r="G193" s="17"/>
      <c r="H193" s="101"/>
      <c r="I193" s="102"/>
      <c r="J193" s="17"/>
      <c r="M193" s="34"/>
      <c r="N193" s="33">
        <f t="shared" ca="1" si="6"/>
        <v>0</v>
      </c>
      <c r="P193" s="34"/>
      <c r="R193" s="34"/>
    </row>
    <row r="194" spans="1:18" s="8" customFormat="1" x14ac:dyDescent="0.2">
      <c r="A194" s="67">
        <v>142</v>
      </c>
      <c r="B194" s="100" t="s">
        <v>81</v>
      </c>
      <c r="C194" s="62"/>
      <c r="D194" s="63"/>
      <c r="E194" s="17"/>
      <c r="F194" s="17"/>
      <c r="G194" s="17"/>
      <c r="H194" s="101"/>
      <c r="I194" s="102"/>
      <c r="J194" s="17"/>
      <c r="M194" s="34"/>
      <c r="N194" s="33">
        <f t="shared" ca="1" si="6"/>
        <v>0</v>
      </c>
      <c r="O194" s="47"/>
      <c r="P194" s="34"/>
      <c r="R194" s="34"/>
    </row>
    <row r="195" spans="1:18" s="8" customFormat="1" x14ac:dyDescent="0.2">
      <c r="A195" s="69">
        <v>147</v>
      </c>
      <c r="B195" s="134" t="s">
        <v>88</v>
      </c>
      <c r="C195" s="103"/>
      <c r="D195" s="104"/>
      <c r="E195" s="154"/>
      <c r="F195" s="154"/>
      <c r="G195" s="154"/>
      <c r="H195" s="170"/>
      <c r="I195" s="180"/>
      <c r="J195" s="154"/>
      <c r="M195" s="34"/>
      <c r="N195" s="33">
        <f t="shared" ca="1" si="6"/>
        <v>0</v>
      </c>
      <c r="P195" s="34"/>
      <c r="R195" s="34"/>
    </row>
    <row r="196" spans="1:18" s="8" customFormat="1" ht="31.5" x14ac:dyDescent="0.2">
      <c r="A196" s="70">
        <v>151</v>
      </c>
      <c r="B196" s="137" t="s">
        <v>95</v>
      </c>
      <c r="C196" s="145"/>
      <c r="D196" s="143"/>
      <c r="E196" s="158"/>
      <c r="F196" s="158"/>
      <c r="G196" s="158"/>
      <c r="H196" s="176"/>
      <c r="I196" s="183"/>
      <c r="J196" s="158"/>
      <c r="M196" s="34"/>
      <c r="N196" s="33">
        <f t="shared" ca="1" si="6"/>
        <v>0</v>
      </c>
      <c r="P196" s="34"/>
      <c r="R196" s="34"/>
    </row>
    <row r="197" spans="1:18" s="8" customFormat="1" x14ac:dyDescent="0.2">
      <c r="A197" s="67">
        <v>161</v>
      </c>
      <c r="B197" s="100" t="s">
        <v>106</v>
      </c>
      <c r="C197" s="62"/>
      <c r="D197" s="63"/>
      <c r="E197" s="26"/>
      <c r="F197" s="17"/>
      <c r="G197" s="17"/>
      <c r="H197" s="101"/>
      <c r="I197" s="102"/>
      <c r="J197" s="17"/>
      <c r="M197" s="34"/>
      <c r="N197" s="33">
        <f t="shared" ca="1" si="6"/>
        <v>0</v>
      </c>
      <c r="P197" s="34"/>
      <c r="R197" s="34"/>
    </row>
    <row r="198" spans="1:18" s="8" customFormat="1" ht="27" x14ac:dyDescent="0.2">
      <c r="A198" s="67">
        <v>168</v>
      </c>
      <c r="B198" s="61" t="s">
        <v>116</v>
      </c>
      <c r="C198" s="62"/>
      <c r="D198" s="63"/>
      <c r="E198" s="68">
        <v>2</v>
      </c>
      <c r="F198" s="17"/>
      <c r="G198" s="18" t="s">
        <v>15</v>
      </c>
      <c r="H198" s="95" t="s">
        <v>12</v>
      </c>
      <c r="I198" s="63"/>
      <c r="J198" s="19" t="s">
        <v>11</v>
      </c>
      <c r="L198" s="43"/>
      <c r="M198" s="52">
        <v>5</v>
      </c>
      <c r="N198" s="33">
        <f t="shared" ca="1" si="6"/>
        <v>50</v>
      </c>
      <c r="P198" s="34"/>
      <c r="R198" s="34"/>
    </row>
    <row r="199" spans="1:18" s="8" customFormat="1" ht="31.5" x14ac:dyDescent="0.2">
      <c r="A199" s="67">
        <v>172</v>
      </c>
      <c r="B199" s="100" t="s">
        <v>121</v>
      </c>
      <c r="C199" s="62"/>
      <c r="D199" s="63"/>
      <c r="E199" s="26"/>
      <c r="F199" s="17"/>
      <c r="G199" s="17"/>
      <c r="H199" s="101"/>
      <c r="I199" s="102"/>
      <c r="J199" s="17"/>
      <c r="M199" s="34"/>
      <c r="N199" s="33">
        <f t="shared" ref="N199:N230" ca="1" si="7">+M199*$N$2</f>
        <v>0</v>
      </c>
      <c r="P199" s="34"/>
      <c r="R199" s="34"/>
    </row>
    <row r="200" spans="1:18" s="8" customFormat="1" ht="409.5" x14ac:dyDescent="0.2">
      <c r="A200" s="92"/>
      <c r="B200" s="136" t="s">
        <v>277</v>
      </c>
      <c r="C200" s="144"/>
      <c r="D200" s="99"/>
      <c r="E200" s="93"/>
      <c r="F200" s="93"/>
      <c r="G200" s="163"/>
      <c r="H200" s="110"/>
      <c r="I200" s="111"/>
      <c r="J200" s="169"/>
      <c r="L200" s="45"/>
      <c r="M200" s="53"/>
      <c r="N200" s="33">
        <f t="shared" ca="1" si="7"/>
        <v>0</v>
      </c>
      <c r="P200" s="34"/>
      <c r="R200" s="34"/>
    </row>
    <row r="201" spans="1:18" s="8" customFormat="1" x14ac:dyDescent="0.2">
      <c r="A201" s="67">
        <v>185</v>
      </c>
      <c r="B201" s="100" t="s">
        <v>140</v>
      </c>
      <c r="C201" s="62"/>
      <c r="D201" s="63"/>
      <c r="E201" s="26"/>
      <c r="F201" s="17"/>
      <c r="G201" s="17"/>
      <c r="H201" s="101"/>
      <c r="I201" s="102"/>
      <c r="J201" s="17"/>
      <c r="M201" s="34"/>
      <c r="N201" s="33">
        <f t="shared" ca="1" si="7"/>
        <v>0</v>
      </c>
      <c r="P201" s="34"/>
      <c r="R201" s="34"/>
    </row>
    <row r="202" spans="1:18" s="8" customFormat="1" ht="27" x14ac:dyDescent="0.2">
      <c r="A202" s="67">
        <v>187</v>
      </c>
      <c r="B202" s="61" t="s">
        <v>142</v>
      </c>
      <c r="C202" s="62"/>
      <c r="D202" s="63"/>
      <c r="E202" s="68">
        <v>2</v>
      </c>
      <c r="F202" s="17"/>
      <c r="G202" s="18" t="s">
        <v>15</v>
      </c>
      <c r="H202" s="95" t="s">
        <v>12</v>
      </c>
      <c r="I202" s="63"/>
      <c r="J202" s="19" t="s">
        <v>11</v>
      </c>
      <c r="L202" s="43"/>
      <c r="M202" s="34"/>
      <c r="N202" s="33">
        <f t="shared" ca="1" si="7"/>
        <v>0</v>
      </c>
      <c r="P202" s="34"/>
      <c r="R202" s="34"/>
    </row>
    <row r="203" spans="1:18" s="8" customFormat="1" ht="390.75" x14ac:dyDescent="0.2">
      <c r="A203" s="67">
        <v>191</v>
      </c>
      <c r="B203" s="61" t="s">
        <v>278</v>
      </c>
      <c r="C203" s="62"/>
      <c r="D203" s="63"/>
      <c r="E203" s="68"/>
      <c r="F203" s="17"/>
      <c r="G203" s="18" t="s">
        <v>15</v>
      </c>
      <c r="H203" s="98" t="s">
        <v>325</v>
      </c>
      <c r="I203" s="99"/>
      <c r="J203" s="19" t="s">
        <v>11</v>
      </c>
      <c r="M203" s="34"/>
      <c r="N203" s="33">
        <f t="shared" ca="1" si="7"/>
        <v>0</v>
      </c>
      <c r="P203" s="34"/>
      <c r="R203" s="34"/>
    </row>
    <row r="204" spans="1:18" s="8" customFormat="1" ht="409.5" x14ac:dyDescent="0.2">
      <c r="A204" s="67">
        <v>192</v>
      </c>
      <c r="B204" s="61" t="s">
        <v>222</v>
      </c>
      <c r="C204" s="62"/>
      <c r="D204" s="63"/>
      <c r="E204" s="68"/>
      <c r="F204" s="17"/>
      <c r="G204" s="18" t="s">
        <v>15</v>
      </c>
      <c r="H204" s="95" t="s">
        <v>12</v>
      </c>
      <c r="I204" s="63"/>
      <c r="J204" s="19" t="s">
        <v>11</v>
      </c>
      <c r="M204" s="34"/>
      <c r="N204" s="33">
        <f t="shared" ca="1" si="7"/>
        <v>0</v>
      </c>
      <c r="P204" s="34"/>
      <c r="R204" s="34"/>
    </row>
    <row r="205" spans="1:18" s="8" customFormat="1" ht="409.5" x14ac:dyDescent="0.2">
      <c r="A205" s="67">
        <v>193</v>
      </c>
      <c r="B205" s="61" t="s">
        <v>279</v>
      </c>
      <c r="C205" s="96"/>
      <c r="D205" s="97"/>
      <c r="E205" s="68"/>
      <c r="F205" s="17"/>
      <c r="G205" s="18" t="s">
        <v>15</v>
      </c>
      <c r="H205" s="95" t="s">
        <v>12</v>
      </c>
      <c r="I205" s="63"/>
      <c r="J205" s="19" t="s">
        <v>11</v>
      </c>
      <c r="M205" s="34"/>
      <c r="N205" s="33">
        <f t="shared" ca="1" si="7"/>
        <v>0</v>
      </c>
      <c r="P205" s="34"/>
      <c r="R205" s="34"/>
    </row>
    <row r="206" spans="1:18" s="8" customFormat="1" ht="409.5" x14ac:dyDescent="0.2">
      <c r="A206" s="67">
        <v>194</v>
      </c>
      <c r="B206" s="61" t="s">
        <v>285</v>
      </c>
      <c r="C206" s="78"/>
      <c r="D206" s="79"/>
      <c r="E206" s="68"/>
      <c r="F206" s="17"/>
      <c r="G206" s="18" t="s">
        <v>15</v>
      </c>
      <c r="H206" s="95" t="s">
        <v>12</v>
      </c>
      <c r="I206" s="63"/>
      <c r="J206" s="19" t="s">
        <v>11</v>
      </c>
      <c r="M206" s="34"/>
      <c r="N206" s="33">
        <f t="shared" ca="1" si="7"/>
        <v>0</v>
      </c>
      <c r="P206" s="34"/>
      <c r="R206" s="34"/>
    </row>
    <row r="207" spans="1:18" s="8" customFormat="1" ht="409.5" x14ac:dyDescent="0.2">
      <c r="A207" s="67">
        <v>195</v>
      </c>
      <c r="B207" s="61" t="s">
        <v>195</v>
      </c>
      <c r="C207" s="62"/>
      <c r="D207" s="63"/>
      <c r="E207" s="68"/>
      <c r="F207" s="17"/>
      <c r="G207" s="18" t="s">
        <v>15</v>
      </c>
      <c r="H207" s="95" t="s">
        <v>12</v>
      </c>
      <c r="I207" s="63"/>
      <c r="J207" s="19" t="s">
        <v>11</v>
      </c>
      <c r="M207" s="34"/>
      <c r="N207" s="33">
        <f t="shared" ca="1" si="7"/>
        <v>0</v>
      </c>
      <c r="P207" s="34"/>
      <c r="R207" s="34"/>
    </row>
    <row r="208" spans="1:18" s="8" customFormat="1" ht="210" x14ac:dyDescent="0.2">
      <c r="A208" s="67">
        <v>196</v>
      </c>
      <c r="B208" s="61" t="s">
        <v>284</v>
      </c>
      <c r="C208" s="62"/>
      <c r="D208" s="63"/>
      <c r="E208" s="68"/>
      <c r="F208" s="17"/>
      <c r="G208" s="18" t="s">
        <v>15</v>
      </c>
      <c r="H208" s="95" t="s">
        <v>12</v>
      </c>
      <c r="I208" s="63"/>
      <c r="J208" s="19" t="s">
        <v>11</v>
      </c>
      <c r="M208" s="34"/>
      <c r="N208" s="33">
        <f t="shared" ca="1" si="7"/>
        <v>0</v>
      </c>
      <c r="P208" s="34"/>
      <c r="R208" s="34"/>
    </row>
    <row r="209" spans="1:18" s="8" customFormat="1" ht="390" x14ac:dyDescent="0.2">
      <c r="A209" s="67">
        <v>197</v>
      </c>
      <c r="B209" s="61" t="s">
        <v>206</v>
      </c>
      <c r="C209" s="62"/>
      <c r="D209" s="63"/>
      <c r="E209" s="68" t="s">
        <v>39</v>
      </c>
      <c r="F209" s="17"/>
      <c r="G209" s="18" t="s">
        <v>15</v>
      </c>
      <c r="H209" s="95" t="s">
        <v>12</v>
      </c>
      <c r="I209" s="63"/>
      <c r="J209" s="19" t="s">
        <v>11</v>
      </c>
      <c r="M209" s="34"/>
      <c r="N209" s="33">
        <f t="shared" ca="1" si="7"/>
        <v>0</v>
      </c>
      <c r="P209" s="34"/>
      <c r="R209" s="34"/>
    </row>
    <row r="210" spans="1:18" x14ac:dyDescent="0.35">
      <c r="A210" s="5"/>
      <c r="B210" s="2"/>
      <c r="C210" s="2"/>
      <c r="D210" s="2"/>
      <c r="E210" s="6"/>
      <c r="F210" s="2"/>
      <c r="G210" s="3"/>
      <c r="H210" s="4"/>
      <c r="I210" s="4"/>
      <c r="J210" s="4"/>
      <c r="M210" s="36">
        <f>SUM(M2:M209)</f>
        <v>319636.59000000003</v>
      </c>
      <c r="N210" s="36">
        <f ca="1">SUM(N2:N209)</f>
        <v>3197875.9</v>
      </c>
    </row>
  </sheetData>
  <sortState xmlns:xlrd2="http://schemas.microsoft.com/office/spreadsheetml/2017/richdata2" ref="A1:R210">
    <sortCondition ref="L1:L210"/>
  </sortState>
  <printOptions horizontalCentered="1"/>
  <pageMargins left="0.15748031496062992" right="0.15748031496062992" top="0.47244094488188981" bottom="0.35433070866141736" header="0.19685039370078741" footer="0.23622047244094491"/>
  <pageSetup paperSize="9" scale="80" fitToHeight="0" orientation="landscape" r:id="rId1"/>
  <headerFooter alignWithMargins="0">
    <oddHeader>&amp;R&amp;"Arial,Podebljano"&amp;12NEKLASIFICIRANO</oddHeader>
    <oddFooter>&amp;Cstranica &amp;P od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FD89C-ECDA-41C4-B23B-90A311FB624B}">
  <dimension ref="A1:O102"/>
  <sheetViews>
    <sheetView tabSelected="1" workbookViewId="0">
      <selection activeCell="E43" activeCellId="1" sqref="E14 E43"/>
    </sheetView>
  </sheetViews>
  <sheetFormatPr defaultRowHeight="12.75" x14ac:dyDescent="0.2"/>
  <cols>
    <col min="1" max="1" width="17.7109375" style="187" customWidth="1"/>
    <col min="2" max="2" width="24.7109375" style="187" customWidth="1"/>
    <col min="3" max="3" width="17" style="187" customWidth="1"/>
    <col min="4" max="4" width="16" style="202" customWidth="1"/>
    <col min="5" max="5" width="12.7109375" style="187" bestFit="1" customWidth="1"/>
    <col min="6" max="7" width="19.140625" style="187" customWidth="1"/>
    <col min="8" max="8" width="14.42578125" style="212" customWidth="1"/>
    <col min="9" max="9" width="15.85546875" style="212" customWidth="1"/>
    <col min="10" max="16384" width="9.140625" style="187"/>
  </cols>
  <sheetData>
    <row r="1" spans="1:15" s="200" customFormat="1" x14ac:dyDescent="0.2">
      <c r="A1" s="200" t="s">
        <v>399</v>
      </c>
      <c r="B1" s="200" t="s">
        <v>400</v>
      </c>
      <c r="C1" s="200" t="s">
        <v>401</v>
      </c>
      <c r="D1" s="201"/>
      <c r="E1" s="200">
        <v>10</v>
      </c>
      <c r="H1" s="211">
        <v>4</v>
      </c>
      <c r="I1" s="211">
        <v>7</v>
      </c>
    </row>
    <row r="2" spans="1:15" ht="25.5" x14ac:dyDescent="0.2">
      <c r="A2" s="188" t="s">
        <v>392</v>
      </c>
      <c r="B2" s="189">
        <v>150</v>
      </c>
      <c r="C2" s="190">
        <f t="shared" ref="C2:C40" si="0">+B2*$O$2</f>
        <v>1500</v>
      </c>
      <c r="D2" s="202">
        <f>C2/$C$102</f>
        <v>3.7770855750860816E-4</v>
      </c>
      <c r="F2" s="187" t="str">
        <f>+A2</f>
        <v>Alphatools - Bauhaus</v>
      </c>
      <c r="H2" s="212">
        <f>+B2*4</f>
        <v>600</v>
      </c>
      <c r="I2" s="212">
        <f>+B2*7</f>
        <v>1050</v>
      </c>
      <c r="O2" s="187">
        <v>10</v>
      </c>
    </row>
    <row r="3" spans="1:15" ht="25.5" x14ac:dyDescent="0.2">
      <c r="A3" s="188" t="s">
        <v>364</v>
      </c>
      <c r="B3" s="191">
        <v>8400</v>
      </c>
      <c r="C3" s="190">
        <f t="shared" si="0"/>
        <v>84000</v>
      </c>
      <c r="D3" s="202">
        <f>C3/$C$102</f>
        <v>2.1151679220482059E-2</v>
      </c>
      <c r="H3" s="212">
        <f t="shared" ref="H3:H66" si="1">+B3*4</f>
        <v>33600</v>
      </c>
      <c r="I3" s="212">
        <f t="shared" ref="I3:I66" si="2">+B3*7</f>
        <v>58800</v>
      </c>
    </row>
    <row r="4" spans="1:15" x14ac:dyDescent="0.2">
      <c r="A4" s="188" t="s">
        <v>371</v>
      </c>
      <c r="B4" s="191">
        <f>25*2</f>
        <v>50</v>
      </c>
      <c r="C4" s="190">
        <f t="shared" si="0"/>
        <v>500</v>
      </c>
      <c r="H4" s="212">
        <f t="shared" si="1"/>
        <v>200</v>
      </c>
      <c r="I4" s="212">
        <f t="shared" si="2"/>
        <v>350</v>
      </c>
    </row>
    <row r="5" spans="1:15" x14ac:dyDescent="0.2">
      <c r="A5" s="188" t="s">
        <v>371</v>
      </c>
      <c r="B5" s="191">
        <v>1815</v>
      </c>
      <c r="C5" s="190">
        <f t="shared" si="0"/>
        <v>18150</v>
      </c>
      <c r="D5" s="202">
        <f>C5/$C$102</f>
        <v>4.5702735458541593E-3</v>
      </c>
      <c r="E5" s="199">
        <f>SUM(C4:C5)</f>
        <v>18650</v>
      </c>
      <c r="F5" s="187" t="str">
        <f>+A5</f>
        <v>Berner</v>
      </c>
      <c r="H5" s="212">
        <f t="shared" si="1"/>
        <v>7260</v>
      </c>
      <c r="I5" s="212">
        <f t="shared" si="2"/>
        <v>12705</v>
      </c>
    </row>
    <row r="6" spans="1:15" x14ac:dyDescent="0.2">
      <c r="A6" s="188" t="s">
        <v>373</v>
      </c>
      <c r="B6" s="191">
        <f>165*7.5</f>
        <v>1237.5</v>
      </c>
      <c r="C6" s="190">
        <f t="shared" si="0"/>
        <v>12375</v>
      </c>
      <c r="H6" s="212">
        <f t="shared" si="1"/>
        <v>4950</v>
      </c>
      <c r="I6" s="212">
        <f t="shared" si="2"/>
        <v>8662.5</v>
      </c>
    </row>
    <row r="7" spans="1:15" x14ac:dyDescent="0.2">
      <c r="A7" s="188" t="s">
        <v>373</v>
      </c>
      <c r="B7" s="191">
        <f>52.4*7.5</f>
        <v>393</v>
      </c>
      <c r="C7" s="190">
        <f t="shared" si="0"/>
        <v>3930</v>
      </c>
      <c r="H7" s="212">
        <f t="shared" si="1"/>
        <v>1572</v>
      </c>
      <c r="I7" s="212">
        <f t="shared" si="2"/>
        <v>2751</v>
      </c>
    </row>
    <row r="8" spans="1:15" x14ac:dyDescent="0.2">
      <c r="A8" s="188" t="s">
        <v>373</v>
      </c>
      <c r="B8" s="191">
        <f>319*7.5</f>
        <v>2392.5</v>
      </c>
      <c r="C8" s="190">
        <f t="shared" si="0"/>
        <v>23925</v>
      </c>
      <c r="H8" s="212">
        <f t="shared" si="1"/>
        <v>9570</v>
      </c>
      <c r="I8" s="212">
        <f t="shared" si="2"/>
        <v>16747.5</v>
      </c>
    </row>
    <row r="9" spans="1:15" x14ac:dyDescent="0.2">
      <c r="A9" s="188" t="s">
        <v>373</v>
      </c>
      <c r="B9" s="191">
        <f>246.4*7.5</f>
        <v>1848</v>
      </c>
      <c r="C9" s="190">
        <f t="shared" si="0"/>
        <v>18480</v>
      </c>
      <c r="H9" s="212">
        <f t="shared" si="1"/>
        <v>7392</v>
      </c>
      <c r="I9" s="212">
        <f t="shared" si="2"/>
        <v>12936</v>
      </c>
    </row>
    <row r="10" spans="1:15" x14ac:dyDescent="0.2">
      <c r="A10" s="188" t="s">
        <v>373</v>
      </c>
      <c r="B10" s="191">
        <f>125.25*7.5</f>
        <v>939.375</v>
      </c>
      <c r="C10" s="190">
        <f t="shared" si="0"/>
        <v>9393.75</v>
      </c>
      <c r="H10" s="212">
        <f t="shared" si="1"/>
        <v>3757.5</v>
      </c>
      <c r="I10" s="212">
        <f t="shared" si="2"/>
        <v>6575.625</v>
      </c>
    </row>
    <row r="11" spans="1:15" x14ac:dyDescent="0.2">
      <c r="A11" s="188" t="s">
        <v>373</v>
      </c>
      <c r="B11" s="191">
        <f>104*7.5</f>
        <v>780</v>
      </c>
      <c r="C11" s="190">
        <f t="shared" si="0"/>
        <v>7800</v>
      </c>
      <c r="H11" s="212">
        <f t="shared" si="1"/>
        <v>3120</v>
      </c>
      <c r="I11" s="212">
        <f t="shared" si="2"/>
        <v>5460</v>
      </c>
    </row>
    <row r="12" spans="1:15" x14ac:dyDescent="0.2">
      <c r="A12" s="188" t="s">
        <v>373</v>
      </c>
      <c r="B12" s="191">
        <f>113*7.5</f>
        <v>847.5</v>
      </c>
      <c r="C12" s="190">
        <f t="shared" si="0"/>
        <v>8475</v>
      </c>
      <c r="H12" s="212">
        <f t="shared" si="1"/>
        <v>3390</v>
      </c>
      <c r="I12" s="212">
        <f t="shared" si="2"/>
        <v>5932.5</v>
      </c>
    </row>
    <row r="13" spans="1:15" x14ac:dyDescent="0.2">
      <c r="A13" s="188" t="s">
        <v>373</v>
      </c>
      <c r="B13" s="191">
        <f>13.5*7.5</f>
        <v>101.25</v>
      </c>
      <c r="C13" s="190">
        <f t="shared" si="0"/>
        <v>1012.5</v>
      </c>
      <c r="H13" s="212">
        <f t="shared" si="1"/>
        <v>405</v>
      </c>
      <c r="I13" s="212">
        <f t="shared" si="2"/>
        <v>708.75</v>
      </c>
    </row>
    <row r="14" spans="1:15" x14ac:dyDescent="0.2">
      <c r="A14" s="188" t="s">
        <v>373</v>
      </c>
      <c r="B14" s="191">
        <f>17.2*7.5</f>
        <v>129</v>
      </c>
      <c r="C14" s="190">
        <f t="shared" si="0"/>
        <v>1290</v>
      </c>
      <c r="D14" s="202">
        <f>E14/$C$102</f>
        <v>4.8194667666704633E-2</v>
      </c>
      <c r="E14" s="199">
        <f>SUM(C6:C26)</f>
        <v>191396.25</v>
      </c>
      <c r="F14" s="187" t="str">
        <f>+A14</f>
        <v>Borut</v>
      </c>
      <c r="H14" s="212">
        <f t="shared" si="1"/>
        <v>516</v>
      </c>
      <c r="I14" s="212">
        <f t="shared" si="2"/>
        <v>903</v>
      </c>
    </row>
    <row r="15" spans="1:15" x14ac:dyDescent="0.2">
      <c r="A15" s="188" t="s">
        <v>373</v>
      </c>
      <c r="B15" s="191">
        <f>91*7.5</f>
        <v>682.5</v>
      </c>
      <c r="C15" s="190">
        <f t="shared" si="0"/>
        <v>6825</v>
      </c>
      <c r="H15" s="212">
        <f t="shared" si="1"/>
        <v>2730</v>
      </c>
      <c r="I15" s="212">
        <f t="shared" si="2"/>
        <v>4777.5</v>
      </c>
    </row>
    <row r="16" spans="1:15" x14ac:dyDescent="0.2">
      <c r="A16" s="188" t="s">
        <v>373</v>
      </c>
      <c r="B16" s="191">
        <f>131*7.5*2</f>
        <v>1965</v>
      </c>
      <c r="C16" s="190">
        <f t="shared" si="0"/>
        <v>19650</v>
      </c>
      <c r="H16" s="212">
        <f t="shared" si="1"/>
        <v>7860</v>
      </c>
      <c r="I16" s="212">
        <f t="shared" si="2"/>
        <v>13755</v>
      </c>
    </row>
    <row r="17" spans="1:9" x14ac:dyDescent="0.2">
      <c r="A17" s="188" t="s">
        <v>373</v>
      </c>
      <c r="B17" s="191">
        <f>325*7.5</f>
        <v>2437.5</v>
      </c>
      <c r="C17" s="190">
        <f t="shared" si="0"/>
        <v>24375</v>
      </c>
      <c r="H17" s="212">
        <f t="shared" si="1"/>
        <v>9750</v>
      </c>
      <c r="I17" s="212">
        <f t="shared" si="2"/>
        <v>17062.5</v>
      </c>
    </row>
    <row r="18" spans="1:9" x14ac:dyDescent="0.2">
      <c r="A18" s="188" t="s">
        <v>373</v>
      </c>
      <c r="B18" s="191">
        <f>26.4*7.5</f>
        <v>198</v>
      </c>
      <c r="C18" s="190">
        <f t="shared" si="0"/>
        <v>1980</v>
      </c>
      <c r="H18" s="212">
        <f t="shared" si="1"/>
        <v>792</v>
      </c>
      <c r="I18" s="212">
        <f t="shared" si="2"/>
        <v>1386</v>
      </c>
    </row>
    <row r="19" spans="1:9" x14ac:dyDescent="0.2">
      <c r="A19" s="188" t="s">
        <v>373</v>
      </c>
      <c r="B19" s="191">
        <f>14.4*7.5*2</f>
        <v>216</v>
      </c>
      <c r="C19" s="190">
        <f t="shared" si="0"/>
        <v>2160</v>
      </c>
      <c r="H19" s="212">
        <f t="shared" si="1"/>
        <v>864</v>
      </c>
      <c r="I19" s="212">
        <f t="shared" si="2"/>
        <v>1512</v>
      </c>
    </row>
    <row r="20" spans="1:9" x14ac:dyDescent="0.2">
      <c r="A20" s="188" t="s">
        <v>373</v>
      </c>
      <c r="B20" s="191">
        <f>46*7.5</f>
        <v>345</v>
      </c>
      <c r="C20" s="190">
        <f t="shared" si="0"/>
        <v>3450</v>
      </c>
      <c r="H20" s="212">
        <f t="shared" si="1"/>
        <v>1380</v>
      </c>
      <c r="I20" s="212">
        <f t="shared" si="2"/>
        <v>2415</v>
      </c>
    </row>
    <row r="21" spans="1:9" x14ac:dyDescent="0.2">
      <c r="A21" s="188" t="s">
        <v>373</v>
      </c>
      <c r="B21" s="191">
        <f>60*7.5</f>
        <v>450</v>
      </c>
      <c r="C21" s="190">
        <f t="shared" si="0"/>
        <v>4500</v>
      </c>
      <c r="H21" s="212">
        <f t="shared" si="1"/>
        <v>1800</v>
      </c>
      <c r="I21" s="212">
        <f t="shared" si="2"/>
        <v>3150</v>
      </c>
    </row>
    <row r="22" spans="1:9" x14ac:dyDescent="0.2">
      <c r="A22" s="188" t="s">
        <v>373</v>
      </c>
      <c r="B22" s="191">
        <f>23*7.5*3</f>
        <v>517.5</v>
      </c>
      <c r="C22" s="190">
        <f t="shared" si="0"/>
        <v>5175</v>
      </c>
      <c r="H22" s="212">
        <f t="shared" si="1"/>
        <v>2070</v>
      </c>
      <c r="I22" s="212">
        <f t="shared" si="2"/>
        <v>3622.5</v>
      </c>
    </row>
    <row r="23" spans="1:9" x14ac:dyDescent="0.2">
      <c r="A23" s="188" t="s">
        <v>373</v>
      </c>
      <c r="B23" s="191">
        <f>6*7.5*3</f>
        <v>135</v>
      </c>
      <c r="C23" s="190">
        <f t="shared" si="0"/>
        <v>1350</v>
      </c>
      <c r="H23" s="212">
        <f t="shared" si="1"/>
        <v>540</v>
      </c>
      <c r="I23" s="212">
        <f t="shared" si="2"/>
        <v>945</v>
      </c>
    </row>
    <row r="24" spans="1:9" x14ac:dyDescent="0.2">
      <c r="A24" s="188" t="s">
        <v>373</v>
      </c>
      <c r="B24" s="191">
        <f>330*7.5</f>
        <v>2475</v>
      </c>
      <c r="C24" s="190">
        <f t="shared" si="0"/>
        <v>24750</v>
      </c>
      <c r="H24" s="212">
        <f t="shared" si="1"/>
        <v>9900</v>
      </c>
      <c r="I24" s="212">
        <f t="shared" si="2"/>
        <v>17325</v>
      </c>
    </row>
    <row r="25" spans="1:9" x14ac:dyDescent="0.2">
      <c r="A25" s="188" t="s">
        <v>373</v>
      </c>
      <c r="B25" s="191">
        <f>130*7.5</f>
        <v>975</v>
      </c>
      <c r="C25" s="190">
        <f t="shared" si="0"/>
        <v>9750</v>
      </c>
      <c r="H25" s="212">
        <f t="shared" si="1"/>
        <v>3900</v>
      </c>
      <c r="I25" s="212">
        <f t="shared" si="2"/>
        <v>6825</v>
      </c>
    </row>
    <row r="26" spans="1:9" x14ac:dyDescent="0.2">
      <c r="A26" s="188" t="s">
        <v>373</v>
      </c>
      <c r="B26" s="191">
        <f>10*7.5</f>
        <v>75</v>
      </c>
      <c r="C26" s="190">
        <f t="shared" si="0"/>
        <v>750</v>
      </c>
      <c r="H26" s="212">
        <f t="shared" si="1"/>
        <v>300</v>
      </c>
      <c r="I26" s="212">
        <f t="shared" si="2"/>
        <v>525</v>
      </c>
    </row>
    <row r="27" spans="1:9" x14ac:dyDescent="0.2">
      <c r="A27" s="188" t="s">
        <v>389</v>
      </c>
      <c r="B27" s="191">
        <f>69*7.5*2</f>
        <v>1035</v>
      </c>
      <c r="C27" s="190">
        <f t="shared" si="0"/>
        <v>10350</v>
      </c>
      <c r="D27" s="202">
        <f>C27/$C$102</f>
        <v>2.6061890468093963E-3</v>
      </c>
      <c r="F27" s="187" t="str">
        <f>+A27</f>
        <v>Certex</v>
      </c>
      <c r="H27" s="212">
        <f t="shared" si="1"/>
        <v>4140</v>
      </c>
      <c r="I27" s="212">
        <f t="shared" si="2"/>
        <v>7245</v>
      </c>
    </row>
    <row r="28" spans="1:9" x14ac:dyDescent="0.2">
      <c r="A28" s="188" t="s">
        <v>376</v>
      </c>
      <c r="B28" s="192">
        <v>1600</v>
      </c>
      <c r="C28" s="190">
        <f t="shared" si="0"/>
        <v>16000</v>
      </c>
      <c r="D28" s="202">
        <f>C28/$C$102</f>
        <v>4.0288912800918201E-3</v>
      </c>
      <c r="F28" s="187" t="str">
        <f>+A28</f>
        <v>Charvat</v>
      </c>
      <c r="H28" s="212">
        <f t="shared" si="1"/>
        <v>6400</v>
      </c>
      <c r="I28" s="212">
        <f t="shared" si="2"/>
        <v>11200</v>
      </c>
    </row>
    <row r="29" spans="1:9" x14ac:dyDescent="0.2">
      <c r="A29" s="188" t="s">
        <v>363</v>
      </c>
      <c r="B29" s="191">
        <v>11500</v>
      </c>
      <c r="C29" s="190">
        <f t="shared" si="0"/>
        <v>115000</v>
      </c>
      <c r="D29" s="202">
        <f>C29/$C$102</f>
        <v>2.8957656075659959E-2</v>
      </c>
      <c r="F29" s="187" t="str">
        <f>+A29</f>
        <v>Cri</v>
      </c>
      <c r="H29" s="212">
        <f t="shared" si="1"/>
        <v>46000</v>
      </c>
      <c r="I29" s="212">
        <f t="shared" si="2"/>
        <v>80500</v>
      </c>
    </row>
    <row r="30" spans="1:9" x14ac:dyDescent="0.2">
      <c r="A30" s="188" t="s">
        <v>377</v>
      </c>
      <c r="B30" s="191">
        <f>265*8</f>
        <v>2120</v>
      </c>
      <c r="C30" s="190">
        <f t="shared" si="0"/>
        <v>21200</v>
      </c>
      <c r="D30" s="202">
        <f>E30/$C$102</f>
        <v>1.0676561892243324E-2</v>
      </c>
      <c r="E30" s="199">
        <f>+C30+C31</f>
        <v>42400</v>
      </c>
      <c r="F30" s="187" t="str">
        <f>+A30</f>
        <v>Deltafire</v>
      </c>
      <c r="H30" s="212">
        <f t="shared" si="1"/>
        <v>8480</v>
      </c>
      <c r="I30" s="212">
        <f t="shared" si="2"/>
        <v>14840</v>
      </c>
    </row>
    <row r="31" spans="1:9" x14ac:dyDescent="0.2">
      <c r="A31" s="188" t="s">
        <v>377</v>
      </c>
      <c r="B31" s="191">
        <f>265*8</f>
        <v>2120</v>
      </c>
      <c r="C31" s="190">
        <f t="shared" si="0"/>
        <v>21200</v>
      </c>
      <c r="H31" s="212">
        <f t="shared" si="1"/>
        <v>8480</v>
      </c>
      <c r="I31" s="212">
        <f t="shared" si="2"/>
        <v>14840</v>
      </c>
    </row>
    <row r="32" spans="1:9" ht="38.25" x14ac:dyDescent="0.2">
      <c r="A32" s="188" t="s">
        <v>402</v>
      </c>
      <c r="B32" s="191">
        <f>90*7.5</f>
        <v>675</v>
      </c>
      <c r="C32" s="190">
        <f t="shared" si="0"/>
        <v>6750</v>
      </c>
      <c r="D32" s="202">
        <f>C32/$C$102</f>
        <v>1.6996885087887368E-3</v>
      </c>
      <c r="F32" s="210" t="str">
        <f>+A32</f>
        <v>Domeye kanister + pjenilo dyayan ili oboje dyayan</v>
      </c>
      <c r="G32" s="210"/>
      <c r="H32" s="212">
        <f t="shared" si="1"/>
        <v>2700</v>
      </c>
      <c r="I32" s="212">
        <f t="shared" si="2"/>
        <v>4725</v>
      </c>
    </row>
    <row r="33" spans="1:9" x14ac:dyDescent="0.2">
      <c r="A33" s="188" t="s">
        <v>378</v>
      </c>
      <c r="B33" s="191">
        <f>131.1*2*7.5</f>
        <v>1966.5</v>
      </c>
      <c r="C33" s="190">
        <f t="shared" si="0"/>
        <v>19665</v>
      </c>
      <c r="H33" s="212">
        <f t="shared" si="1"/>
        <v>7866</v>
      </c>
      <c r="I33" s="212">
        <f t="shared" si="2"/>
        <v>13765.5</v>
      </c>
    </row>
    <row r="34" spans="1:9" x14ac:dyDescent="0.2">
      <c r="A34" s="188" t="s">
        <v>378</v>
      </c>
      <c r="B34" s="191">
        <f>94.05*2*7.5</f>
        <v>1410.75</v>
      </c>
      <c r="C34" s="190">
        <f t="shared" si="0"/>
        <v>14107.5</v>
      </c>
      <c r="H34" s="212">
        <f t="shared" si="1"/>
        <v>5643</v>
      </c>
      <c r="I34" s="212">
        <f t="shared" si="2"/>
        <v>9875.25</v>
      </c>
    </row>
    <row r="35" spans="1:9" x14ac:dyDescent="0.2">
      <c r="A35" s="188" t="s">
        <v>378</v>
      </c>
      <c r="B35" s="191">
        <f>23.75*7.5</f>
        <v>178.125</v>
      </c>
      <c r="C35" s="190">
        <f t="shared" si="0"/>
        <v>1781.25</v>
      </c>
      <c r="H35" s="212">
        <f t="shared" si="1"/>
        <v>712.5</v>
      </c>
      <c r="I35" s="212">
        <f t="shared" si="2"/>
        <v>1246.875</v>
      </c>
    </row>
    <row r="36" spans="1:9" x14ac:dyDescent="0.2">
      <c r="A36" s="188" t="s">
        <v>378</v>
      </c>
      <c r="B36" s="191">
        <f>1.71*2*7.5</f>
        <v>25.65</v>
      </c>
      <c r="C36" s="190">
        <f t="shared" si="0"/>
        <v>256.5</v>
      </c>
      <c r="H36" s="212">
        <f t="shared" si="1"/>
        <v>102.6</v>
      </c>
      <c r="I36" s="212">
        <f t="shared" si="2"/>
        <v>179.54999999999998</v>
      </c>
    </row>
    <row r="37" spans="1:9" x14ac:dyDescent="0.2">
      <c r="A37" s="188" t="s">
        <v>378</v>
      </c>
      <c r="B37" s="191">
        <f>5.7*4*7.5</f>
        <v>171</v>
      </c>
      <c r="C37" s="190">
        <f t="shared" si="0"/>
        <v>1710</v>
      </c>
      <c r="H37" s="212">
        <f t="shared" si="1"/>
        <v>684</v>
      </c>
      <c r="I37" s="212">
        <f t="shared" si="2"/>
        <v>1197</v>
      </c>
    </row>
    <row r="38" spans="1:9" x14ac:dyDescent="0.2">
      <c r="A38" s="188" t="s">
        <v>378</v>
      </c>
      <c r="B38" s="191">
        <f>114.95*7.5</f>
        <v>862.125</v>
      </c>
      <c r="C38" s="190">
        <f t="shared" si="0"/>
        <v>8621.25</v>
      </c>
      <c r="H38" s="212">
        <f t="shared" si="1"/>
        <v>3448.5</v>
      </c>
      <c r="I38" s="212">
        <f t="shared" si="2"/>
        <v>6034.875</v>
      </c>
    </row>
    <row r="39" spans="1:9" x14ac:dyDescent="0.2">
      <c r="A39" s="188" t="s">
        <v>378</v>
      </c>
      <c r="B39" s="191">
        <f>78.85*3*7.5</f>
        <v>1774.1249999999998</v>
      </c>
      <c r="C39" s="190">
        <f t="shared" si="0"/>
        <v>17741.249999999996</v>
      </c>
      <c r="H39" s="212">
        <f t="shared" si="1"/>
        <v>7096.4999999999991</v>
      </c>
      <c r="I39" s="212">
        <f t="shared" si="2"/>
        <v>12418.874999999998</v>
      </c>
    </row>
    <row r="40" spans="1:9" x14ac:dyDescent="0.2">
      <c r="A40" s="188" t="s">
        <v>378</v>
      </c>
      <c r="B40" s="191">
        <f>38.95*4*7.5</f>
        <v>1168.5</v>
      </c>
      <c r="C40" s="190">
        <f t="shared" si="0"/>
        <v>11685</v>
      </c>
      <c r="H40" s="212">
        <f t="shared" si="1"/>
        <v>4674</v>
      </c>
      <c r="I40" s="212">
        <f t="shared" si="2"/>
        <v>8179.5</v>
      </c>
    </row>
    <row r="41" spans="1:9" x14ac:dyDescent="0.2">
      <c r="A41" s="188" t="s">
        <v>378</v>
      </c>
      <c r="B41" s="194" t="s">
        <v>391</v>
      </c>
      <c r="C41" s="190"/>
    </row>
    <row r="42" spans="1:9" x14ac:dyDescent="0.2">
      <c r="A42" s="188" t="s">
        <v>378</v>
      </c>
      <c r="B42" s="191">
        <f>135.85*7.5</f>
        <v>1018.875</v>
      </c>
      <c r="C42" s="190">
        <f t="shared" ref="C42:C73" si="3">+B42*$O$2</f>
        <v>10188.75</v>
      </c>
      <c r="H42" s="212">
        <f t="shared" si="1"/>
        <v>4075.5</v>
      </c>
      <c r="I42" s="212">
        <f t="shared" si="2"/>
        <v>7132.125</v>
      </c>
    </row>
    <row r="43" spans="1:9" x14ac:dyDescent="0.2">
      <c r="A43" s="188" t="s">
        <v>378</v>
      </c>
      <c r="B43" s="191">
        <f>(314.45+90.25)*7.5</f>
        <v>3035.25</v>
      </c>
      <c r="C43" s="190">
        <f t="shared" si="3"/>
        <v>30352.5</v>
      </c>
      <c r="D43" s="202">
        <f>E43/$C$102</f>
        <v>5.3571726691397176E-2</v>
      </c>
      <c r="E43" s="199">
        <f>SUM(C33:C52)</f>
        <v>212750.25</v>
      </c>
      <c r="F43" s="187" t="str">
        <f>+A43</f>
        <v>Donges</v>
      </c>
      <c r="H43" s="212">
        <f t="shared" si="1"/>
        <v>12141</v>
      </c>
      <c r="I43" s="212">
        <f t="shared" si="2"/>
        <v>21246.75</v>
      </c>
    </row>
    <row r="44" spans="1:9" x14ac:dyDescent="0.2">
      <c r="A44" s="188" t="s">
        <v>378</v>
      </c>
      <c r="B44" s="191">
        <f>235*7.5</f>
        <v>1762.5</v>
      </c>
      <c r="C44" s="190">
        <f t="shared" si="3"/>
        <v>17625</v>
      </c>
      <c r="H44" s="212">
        <f t="shared" si="1"/>
        <v>7050</v>
      </c>
      <c r="I44" s="212">
        <f t="shared" si="2"/>
        <v>12337.5</v>
      </c>
    </row>
    <row r="45" spans="1:9" x14ac:dyDescent="0.2">
      <c r="A45" s="188" t="s">
        <v>385</v>
      </c>
      <c r="B45" s="191">
        <f>532.95*7.5</f>
        <v>3997.1250000000005</v>
      </c>
      <c r="C45" s="190">
        <f t="shared" si="3"/>
        <v>39971.250000000007</v>
      </c>
      <c r="H45" s="212">
        <f t="shared" si="1"/>
        <v>15988.500000000002</v>
      </c>
      <c r="I45" s="212">
        <f t="shared" si="2"/>
        <v>27979.875000000004</v>
      </c>
    </row>
    <row r="46" spans="1:9" x14ac:dyDescent="0.2">
      <c r="A46" s="188" t="s">
        <v>385</v>
      </c>
      <c r="B46" s="189">
        <f>19.95*7.5</f>
        <v>149.625</v>
      </c>
      <c r="C46" s="190">
        <f t="shared" si="3"/>
        <v>1496.25</v>
      </c>
      <c r="H46" s="212">
        <f t="shared" si="1"/>
        <v>598.5</v>
      </c>
      <c r="I46" s="212">
        <f t="shared" si="2"/>
        <v>1047.375</v>
      </c>
    </row>
    <row r="47" spans="1:9" x14ac:dyDescent="0.2">
      <c r="A47" s="188" t="s">
        <v>385</v>
      </c>
      <c r="B47" s="189">
        <f>36*2*7.5</f>
        <v>540</v>
      </c>
      <c r="C47" s="190">
        <f t="shared" si="3"/>
        <v>5400</v>
      </c>
      <c r="H47" s="212">
        <f t="shared" si="1"/>
        <v>2160</v>
      </c>
      <c r="I47" s="212">
        <f t="shared" si="2"/>
        <v>3780</v>
      </c>
    </row>
    <row r="48" spans="1:9" x14ac:dyDescent="0.2">
      <c r="A48" s="188" t="s">
        <v>385</v>
      </c>
      <c r="B48" s="189">
        <f>15.25*7.5</f>
        <v>114.375</v>
      </c>
      <c r="C48" s="190">
        <f t="shared" si="3"/>
        <v>1143.75</v>
      </c>
      <c r="H48" s="212">
        <f t="shared" si="1"/>
        <v>457.5</v>
      </c>
      <c r="I48" s="212">
        <f t="shared" si="2"/>
        <v>800.625</v>
      </c>
    </row>
    <row r="49" spans="1:9" x14ac:dyDescent="0.2">
      <c r="A49" s="188" t="s">
        <v>385</v>
      </c>
      <c r="B49" s="189">
        <f>15.2*7.5</f>
        <v>114</v>
      </c>
      <c r="C49" s="190">
        <f t="shared" si="3"/>
        <v>1140</v>
      </c>
      <c r="H49" s="212">
        <f t="shared" si="1"/>
        <v>456</v>
      </c>
      <c r="I49" s="212">
        <f t="shared" si="2"/>
        <v>798</v>
      </c>
    </row>
    <row r="50" spans="1:9" x14ac:dyDescent="0.2">
      <c r="A50" s="188" t="s">
        <v>385</v>
      </c>
      <c r="B50" s="189">
        <f>30.4*7.5</f>
        <v>228</v>
      </c>
      <c r="C50" s="190">
        <f t="shared" si="3"/>
        <v>2280</v>
      </c>
      <c r="H50" s="212">
        <f t="shared" si="1"/>
        <v>912</v>
      </c>
      <c r="I50" s="212">
        <f t="shared" si="2"/>
        <v>1596</v>
      </c>
    </row>
    <row r="51" spans="1:9" x14ac:dyDescent="0.2">
      <c r="A51" s="188" t="s">
        <v>385</v>
      </c>
      <c r="B51" s="191">
        <f>195*7.5</f>
        <v>1462.5</v>
      </c>
      <c r="C51" s="190">
        <f t="shared" si="3"/>
        <v>14625</v>
      </c>
      <c r="H51" s="212">
        <f t="shared" si="1"/>
        <v>5850</v>
      </c>
      <c r="I51" s="212">
        <f t="shared" si="2"/>
        <v>10237.5</v>
      </c>
    </row>
    <row r="52" spans="1:9" ht="25.5" x14ac:dyDescent="0.2">
      <c r="A52" s="195" t="s">
        <v>396</v>
      </c>
      <c r="B52" s="191">
        <f>57.6*7.5*3</f>
        <v>1296</v>
      </c>
      <c r="C52" s="190">
        <f t="shared" si="3"/>
        <v>12960</v>
      </c>
      <c r="H52" s="212">
        <f t="shared" si="1"/>
        <v>5184</v>
      </c>
      <c r="I52" s="212">
        <f t="shared" si="2"/>
        <v>9072</v>
      </c>
    </row>
    <row r="53" spans="1:9" x14ac:dyDescent="0.2">
      <c r="A53" s="188" t="s">
        <v>369</v>
      </c>
      <c r="B53" s="191">
        <f>8940*2</f>
        <v>17880</v>
      </c>
      <c r="C53" s="190">
        <f t="shared" si="3"/>
        <v>178800</v>
      </c>
      <c r="H53" s="212">
        <f t="shared" si="1"/>
        <v>71520</v>
      </c>
      <c r="I53" s="212">
        <f t="shared" si="2"/>
        <v>125160</v>
      </c>
    </row>
    <row r="54" spans="1:9" x14ac:dyDescent="0.2">
      <c r="A54" s="188" t="s">
        <v>369</v>
      </c>
      <c r="B54" s="191">
        <f>694.15*2</f>
        <v>1388.3</v>
      </c>
      <c r="C54" s="190">
        <f t="shared" si="3"/>
        <v>13883</v>
      </c>
      <c r="D54" s="202">
        <f>E54/$C$102</f>
        <v>0.10779374161597167</v>
      </c>
      <c r="E54" s="199">
        <f>SUM(C53:C55)</f>
        <v>428083</v>
      </c>
      <c r="F54" s="187" t="str">
        <f>+A54</f>
        <v>Drager</v>
      </c>
      <c r="H54" s="212">
        <f t="shared" si="1"/>
        <v>5553.2</v>
      </c>
      <c r="I54" s="212">
        <f t="shared" si="2"/>
        <v>9718.1</v>
      </c>
    </row>
    <row r="55" spans="1:9" x14ac:dyDescent="0.2">
      <c r="A55" s="188" t="s">
        <v>369</v>
      </c>
      <c r="B55" s="191">
        <f>11770*2</f>
        <v>23540</v>
      </c>
      <c r="C55" s="190">
        <f t="shared" si="3"/>
        <v>235400</v>
      </c>
      <c r="H55" s="212">
        <f t="shared" si="1"/>
        <v>94160</v>
      </c>
      <c r="I55" s="212">
        <f t="shared" si="2"/>
        <v>164780</v>
      </c>
    </row>
    <row r="56" spans="1:9" x14ac:dyDescent="0.2">
      <c r="A56" s="188" t="s">
        <v>393</v>
      </c>
      <c r="B56" s="191">
        <f>20*3</f>
        <v>60</v>
      </c>
      <c r="C56" s="190">
        <f t="shared" si="3"/>
        <v>600</v>
      </c>
      <c r="D56" s="202">
        <f>C56/$C$102</f>
        <v>1.5108342300344327E-4</v>
      </c>
      <c r="F56" s="187" t="str">
        <f>+A56</f>
        <v>Ekupi</v>
      </c>
      <c r="H56" s="212">
        <f t="shared" si="1"/>
        <v>240</v>
      </c>
      <c r="I56" s="212">
        <f t="shared" si="2"/>
        <v>420</v>
      </c>
    </row>
    <row r="57" spans="1:9" x14ac:dyDescent="0.2">
      <c r="A57" s="188" t="s">
        <v>372</v>
      </c>
      <c r="B57" s="196">
        <v>1000</v>
      </c>
      <c r="C57" s="190">
        <f t="shared" si="3"/>
        <v>10000</v>
      </c>
      <c r="H57" s="212">
        <f t="shared" si="1"/>
        <v>4000</v>
      </c>
      <c r="I57" s="212">
        <f t="shared" si="2"/>
        <v>7000</v>
      </c>
    </row>
    <row r="58" spans="1:9" x14ac:dyDescent="0.2">
      <c r="A58" s="188" t="s">
        <v>372</v>
      </c>
      <c r="B58" s="197">
        <v>200</v>
      </c>
      <c r="C58" s="190">
        <f t="shared" si="3"/>
        <v>2000</v>
      </c>
      <c r="H58" s="212">
        <f t="shared" si="1"/>
        <v>800</v>
      </c>
      <c r="I58" s="212">
        <f t="shared" si="2"/>
        <v>1400</v>
      </c>
    </row>
    <row r="59" spans="1:9" x14ac:dyDescent="0.2">
      <c r="A59" s="188" t="s">
        <v>372</v>
      </c>
      <c r="B59" s="197">
        <v>500</v>
      </c>
      <c r="C59" s="190">
        <f t="shared" si="3"/>
        <v>5000</v>
      </c>
      <c r="H59" s="212">
        <f t="shared" si="1"/>
        <v>2000</v>
      </c>
      <c r="I59" s="212">
        <f t="shared" si="2"/>
        <v>3500</v>
      </c>
    </row>
    <row r="60" spans="1:9" x14ac:dyDescent="0.2">
      <c r="A60" s="188" t="s">
        <v>372</v>
      </c>
      <c r="B60" s="197">
        <v>500</v>
      </c>
      <c r="C60" s="190">
        <f t="shared" si="3"/>
        <v>5000</v>
      </c>
      <c r="D60" s="202">
        <f>E60/$C$102</f>
        <v>4.7037305695072001E-2</v>
      </c>
      <c r="E60" s="199">
        <f>SUM(C57:C63)</f>
        <v>186800</v>
      </c>
      <c r="F60" s="187" t="str">
        <f>+A60</f>
        <v>Ergotehnika</v>
      </c>
      <c r="H60" s="212">
        <f t="shared" si="1"/>
        <v>2000</v>
      </c>
      <c r="I60" s="212">
        <f t="shared" si="2"/>
        <v>3500</v>
      </c>
    </row>
    <row r="61" spans="1:9" x14ac:dyDescent="0.2">
      <c r="A61" s="188" t="s">
        <v>372</v>
      </c>
      <c r="B61" s="197">
        <v>300</v>
      </c>
      <c r="C61" s="190">
        <f t="shared" si="3"/>
        <v>3000</v>
      </c>
      <c r="H61" s="212">
        <f t="shared" si="1"/>
        <v>1200</v>
      </c>
      <c r="I61" s="212">
        <f t="shared" si="2"/>
        <v>2100</v>
      </c>
    </row>
    <row r="62" spans="1:9" x14ac:dyDescent="0.2">
      <c r="A62" s="188" t="s">
        <v>372</v>
      </c>
      <c r="B62" s="197">
        <v>100</v>
      </c>
      <c r="C62" s="190">
        <f t="shared" si="3"/>
        <v>1000</v>
      </c>
      <c r="H62" s="212">
        <f t="shared" si="1"/>
        <v>400</v>
      </c>
      <c r="I62" s="212">
        <f t="shared" si="2"/>
        <v>700</v>
      </c>
    </row>
    <row r="63" spans="1:9" x14ac:dyDescent="0.2">
      <c r="A63" s="188" t="s">
        <v>372</v>
      </c>
      <c r="B63" s="191">
        <v>16080</v>
      </c>
      <c r="C63" s="190">
        <f t="shared" si="3"/>
        <v>160800</v>
      </c>
      <c r="H63" s="212">
        <f t="shared" si="1"/>
        <v>64320</v>
      </c>
      <c r="I63" s="212">
        <f t="shared" si="2"/>
        <v>112560</v>
      </c>
    </row>
    <row r="64" spans="1:9" x14ac:dyDescent="0.2">
      <c r="A64" s="188" t="s">
        <v>380</v>
      </c>
      <c r="B64" s="191">
        <f>3886.32*2</f>
        <v>7772.64</v>
      </c>
      <c r="C64" s="190">
        <f t="shared" si="3"/>
        <v>77726.400000000009</v>
      </c>
      <c r="D64" s="202">
        <f>C64/$C$102</f>
        <v>1.9571950949558058E-2</v>
      </c>
      <c r="F64" s="187" t="str">
        <f>+A64</f>
        <v>Ivan Radić</v>
      </c>
      <c r="H64" s="212">
        <f t="shared" si="1"/>
        <v>31090.560000000001</v>
      </c>
      <c r="I64" s="212">
        <f t="shared" si="2"/>
        <v>54408.480000000003</v>
      </c>
    </row>
    <row r="65" spans="1:9" x14ac:dyDescent="0.2">
      <c r="A65" s="188" t="s">
        <v>379</v>
      </c>
      <c r="B65" s="191">
        <f>411.4*7.5</f>
        <v>3085.5</v>
      </c>
      <c r="C65" s="190">
        <f t="shared" si="3"/>
        <v>30855</v>
      </c>
      <c r="H65" s="212">
        <f t="shared" si="1"/>
        <v>12342</v>
      </c>
      <c r="I65" s="212">
        <f t="shared" si="2"/>
        <v>21598.5</v>
      </c>
    </row>
    <row r="66" spans="1:9" x14ac:dyDescent="0.2">
      <c r="A66" s="188" t="s">
        <v>379</v>
      </c>
      <c r="B66" s="191">
        <f>259.1*7.5</f>
        <v>1943.2500000000002</v>
      </c>
      <c r="C66" s="190">
        <f t="shared" si="3"/>
        <v>19432.500000000004</v>
      </c>
      <c r="D66" s="202">
        <f>E66/$C$102</f>
        <v>1.2662679390476089E-2</v>
      </c>
      <c r="E66" s="199">
        <f>+C66+C65</f>
        <v>50287.5</v>
      </c>
      <c r="F66" s="187" t="str">
        <f>+A66</f>
        <v>JUST</v>
      </c>
      <c r="H66" s="212">
        <f t="shared" si="1"/>
        <v>7773.0000000000009</v>
      </c>
      <c r="I66" s="212">
        <f t="shared" si="2"/>
        <v>13602.750000000002</v>
      </c>
    </row>
    <row r="67" spans="1:9" x14ac:dyDescent="0.2">
      <c r="A67" s="188" t="s">
        <v>382</v>
      </c>
      <c r="B67" s="191">
        <v>22770</v>
      </c>
      <c r="C67" s="190">
        <f t="shared" si="3"/>
        <v>227700</v>
      </c>
      <c r="D67" s="202">
        <f>C67/$C$102</f>
        <v>5.7336159029806724E-2</v>
      </c>
      <c r="F67" s="187" t="str">
        <f>+A67</f>
        <v>MAG</v>
      </c>
      <c r="H67" s="212">
        <f t="shared" ref="H67:H101" si="4">+B67*4</f>
        <v>91080</v>
      </c>
      <c r="I67" s="212">
        <f t="shared" ref="I67:I101" si="5">+B67*7</f>
        <v>159390</v>
      </c>
    </row>
    <row r="68" spans="1:9" x14ac:dyDescent="0.2">
      <c r="A68" s="188" t="s">
        <v>362</v>
      </c>
      <c r="B68" s="191">
        <f>5800*7.5</f>
        <v>43500</v>
      </c>
      <c r="C68" s="190">
        <f t="shared" si="3"/>
        <v>435000</v>
      </c>
      <c r="D68" s="202">
        <f>E68/$C$102</f>
        <v>0.10953548167749637</v>
      </c>
      <c r="E68" s="199">
        <f>+C68</f>
        <v>435000</v>
      </c>
      <c r="F68" s="187" t="str">
        <f>+A68</f>
        <v>Maleco</v>
      </c>
      <c r="H68" s="212">
        <f t="shared" si="4"/>
        <v>174000</v>
      </c>
      <c r="I68" s="212">
        <f t="shared" si="5"/>
        <v>304500</v>
      </c>
    </row>
    <row r="69" spans="1:9" x14ac:dyDescent="0.2">
      <c r="A69" s="193" t="s">
        <v>358</v>
      </c>
      <c r="B69" s="191">
        <f>2300*7.5</f>
        <v>17250</v>
      </c>
      <c r="C69" s="190">
        <f t="shared" si="3"/>
        <v>172500</v>
      </c>
      <c r="D69" s="202">
        <f>C69/$C$102</f>
        <v>4.3436484113489937E-2</v>
      </c>
      <c r="F69" s="187" t="str">
        <f>+A69</f>
        <v>MCD</v>
      </c>
      <c r="H69" s="212">
        <f t="shared" si="4"/>
        <v>69000</v>
      </c>
      <c r="I69" s="212">
        <f t="shared" si="5"/>
        <v>120750</v>
      </c>
    </row>
    <row r="70" spans="1:9" x14ac:dyDescent="0.2">
      <c r="A70" s="188" t="s">
        <v>374</v>
      </c>
      <c r="B70" s="191">
        <f>21.5*7.5*2</f>
        <v>322.5</v>
      </c>
      <c r="C70" s="190">
        <f t="shared" si="3"/>
        <v>3225</v>
      </c>
      <c r="H70" s="212">
        <f t="shared" si="4"/>
        <v>1290</v>
      </c>
      <c r="I70" s="212">
        <f t="shared" si="5"/>
        <v>2257.5</v>
      </c>
    </row>
    <row r="71" spans="1:9" x14ac:dyDescent="0.2">
      <c r="A71" s="188" t="s">
        <v>374</v>
      </c>
      <c r="B71" s="191">
        <f>34.5*7.5</f>
        <v>258.75</v>
      </c>
      <c r="C71" s="190">
        <f t="shared" si="3"/>
        <v>2587.5</v>
      </c>
      <c r="D71" s="202">
        <f>E71/$C$102</f>
        <v>1.4636206603458567E-3</v>
      </c>
      <c r="E71" s="199">
        <f>+C71+C70</f>
        <v>5812.5</v>
      </c>
      <c r="F71" s="187" t="str">
        <f t="shared" ref="F71:F76" si="6">+A71</f>
        <v>MGS</v>
      </c>
      <c r="H71" s="212">
        <f t="shared" si="4"/>
        <v>1035</v>
      </c>
      <c r="I71" s="212">
        <f t="shared" si="5"/>
        <v>1811.25</v>
      </c>
    </row>
    <row r="72" spans="1:9" x14ac:dyDescent="0.2">
      <c r="A72" s="188" t="s">
        <v>366</v>
      </c>
      <c r="B72" s="192">
        <f>2500+12000</f>
        <v>14500</v>
      </c>
      <c r="C72" s="190">
        <f t="shared" si="3"/>
        <v>145000</v>
      </c>
      <c r="D72" s="202">
        <f>C72/$C$102</f>
        <v>3.6511827225832121E-2</v>
      </c>
      <c r="F72" s="187" t="str">
        <f t="shared" si="6"/>
        <v>Mičetić</v>
      </c>
      <c r="H72" s="212">
        <f t="shared" si="4"/>
        <v>58000</v>
      </c>
      <c r="I72" s="212">
        <f t="shared" si="5"/>
        <v>101500</v>
      </c>
    </row>
    <row r="73" spans="1:9" x14ac:dyDescent="0.2">
      <c r="A73" s="188" t="s">
        <v>375</v>
      </c>
      <c r="B73" s="191">
        <f>740*4</f>
        <v>2960</v>
      </c>
      <c r="C73" s="190">
        <f t="shared" si="3"/>
        <v>29600</v>
      </c>
      <c r="D73" s="202">
        <f>C73/$C$102</f>
        <v>7.4534488681698681E-3</v>
      </c>
      <c r="F73" s="187" t="str">
        <f t="shared" si="6"/>
        <v>Pasarić</v>
      </c>
      <c r="H73" s="212">
        <f t="shared" si="4"/>
        <v>11840</v>
      </c>
      <c r="I73" s="212">
        <f t="shared" si="5"/>
        <v>20720</v>
      </c>
    </row>
    <row r="74" spans="1:9" x14ac:dyDescent="0.2">
      <c r="A74" s="188" t="s">
        <v>367</v>
      </c>
      <c r="B74" s="192">
        <v>500</v>
      </c>
      <c r="C74" s="190">
        <f t="shared" ref="C74:C105" si="7">+B74*$O$2</f>
        <v>5000</v>
      </c>
      <c r="D74" s="202">
        <f>C74/$C$102</f>
        <v>1.2590285250286938E-3</v>
      </c>
      <c r="F74" s="187" t="str">
        <f t="shared" si="6"/>
        <v>Pismotisak</v>
      </c>
      <c r="H74" s="212">
        <f t="shared" si="4"/>
        <v>2000</v>
      </c>
      <c r="I74" s="212">
        <f t="shared" si="5"/>
        <v>3500</v>
      </c>
    </row>
    <row r="75" spans="1:9" ht="25.5" x14ac:dyDescent="0.2">
      <c r="A75" s="188" t="s">
        <v>397</v>
      </c>
      <c r="B75" s="191">
        <v>60000</v>
      </c>
      <c r="C75" s="190">
        <f t="shared" si="7"/>
        <v>600000</v>
      </c>
      <c r="D75" s="202">
        <f>E75/$C$102</f>
        <v>0.15108342300344327</v>
      </c>
      <c r="E75" s="199">
        <f>+C75</f>
        <v>600000</v>
      </c>
      <c r="F75" s="187" t="str">
        <f t="shared" si="6"/>
        <v>Plastika nova - pofarban</v>
      </c>
      <c r="H75" s="212">
        <f t="shared" si="4"/>
        <v>240000</v>
      </c>
      <c r="I75" s="212">
        <f t="shared" si="5"/>
        <v>420000</v>
      </c>
    </row>
    <row r="76" spans="1:9" x14ac:dyDescent="0.2">
      <c r="A76" s="188" t="s">
        <v>384</v>
      </c>
      <c r="B76" s="191">
        <f>60*4</f>
        <v>240</v>
      </c>
      <c r="C76" s="190">
        <f t="shared" si="7"/>
        <v>2400</v>
      </c>
      <c r="D76" s="202">
        <f>C76/$C$102</f>
        <v>6.0433369201377308E-4</v>
      </c>
      <c r="F76" s="187" t="str">
        <f t="shared" si="6"/>
        <v>REMEX</v>
      </c>
      <c r="H76" s="212">
        <f t="shared" si="4"/>
        <v>960</v>
      </c>
      <c r="I76" s="212">
        <f t="shared" si="5"/>
        <v>1680</v>
      </c>
    </row>
    <row r="77" spans="1:9" x14ac:dyDescent="0.2">
      <c r="A77" s="188" t="s">
        <v>368</v>
      </c>
      <c r="B77" s="198"/>
      <c r="C77" s="190">
        <f t="shared" si="7"/>
        <v>0</v>
      </c>
      <c r="H77" s="212">
        <f t="shared" si="4"/>
        <v>0</v>
      </c>
      <c r="I77" s="212">
        <f t="shared" si="5"/>
        <v>0</v>
      </c>
    </row>
    <row r="78" spans="1:9" x14ac:dyDescent="0.2">
      <c r="A78" s="188" t="s">
        <v>368</v>
      </c>
      <c r="B78" s="198"/>
      <c r="C78" s="190">
        <f t="shared" si="7"/>
        <v>0</v>
      </c>
      <c r="H78" s="212">
        <f t="shared" si="4"/>
        <v>0</v>
      </c>
      <c r="I78" s="212">
        <f t="shared" si="5"/>
        <v>0</v>
      </c>
    </row>
    <row r="79" spans="1:9" x14ac:dyDescent="0.2">
      <c r="A79" s="188" t="s">
        <v>386</v>
      </c>
      <c r="B79" s="191">
        <f>50*7.5*2</f>
        <v>750</v>
      </c>
      <c r="C79" s="190">
        <f t="shared" si="7"/>
        <v>7500</v>
      </c>
      <c r="H79" s="212">
        <f t="shared" si="4"/>
        <v>3000</v>
      </c>
      <c r="I79" s="212">
        <f t="shared" si="5"/>
        <v>5250</v>
      </c>
    </row>
    <row r="80" spans="1:9" x14ac:dyDescent="0.2">
      <c r="A80" s="193" t="s">
        <v>359</v>
      </c>
      <c r="B80" s="192">
        <v>250</v>
      </c>
      <c r="C80" s="190">
        <f t="shared" si="7"/>
        <v>2500</v>
      </c>
      <c r="H80" s="212">
        <f t="shared" si="4"/>
        <v>1000</v>
      </c>
      <c r="I80" s="212">
        <f t="shared" si="5"/>
        <v>1750</v>
      </c>
    </row>
    <row r="81" spans="1:9" x14ac:dyDescent="0.2">
      <c r="A81" s="193" t="s">
        <v>365</v>
      </c>
      <c r="B81" s="191">
        <v>1250</v>
      </c>
      <c r="C81" s="190">
        <f t="shared" si="7"/>
        <v>12500</v>
      </c>
      <c r="H81" s="212">
        <f t="shared" si="4"/>
        <v>5000</v>
      </c>
      <c r="I81" s="212">
        <f t="shared" si="5"/>
        <v>8750</v>
      </c>
    </row>
    <row r="82" spans="1:9" x14ac:dyDescent="0.2">
      <c r="A82" s="195" t="s">
        <v>365</v>
      </c>
      <c r="B82" s="192">
        <v>1160</v>
      </c>
      <c r="C82" s="190">
        <f t="shared" si="7"/>
        <v>11600</v>
      </c>
      <c r="H82" s="212">
        <f t="shared" si="4"/>
        <v>4640</v>
      </c>
      <c r="I82" s="212">
        <f t="shared" si="5"/>
        <v>8120</v>
      </c>
    </row>
    <row r="83" spans="1:9" x14ac:dyDescent="0.2">
      <c r="A83" s="193" t="s">
        <v>365</v>
      </c>
      <c r="B83" s="191">
        <v>3000</v>
      </c>
      <c r="C83" s="190">
        <f t="shared" si="7"/>
        <v>30000</v>
      </c>
      <c r="D83" s="202">
        <f>E83/$C$102</f>
        <v>1.9414219855942459E-2</v>
      </c>
      <c r="E83" s="199">
        <f>SUM(C81:C84)</f>
        <v>77100</v>
      </c>
      <c r="F83" s="187" t="str">
        <f>+A83</f>
        <v>Trgoauto</v>
      </c>
      <c r="H83" s="212">
        <f t="shared" si="4"/>
        <v>12000</v>
      </c>
      <c r="I83" s="212">
        <f t="shared" si="5"/>
        <v>21000</v>
      </c>
    </row>
    <row r="84" spans="1:9" x14ac:dyDescent="0.2">
      <c r="A84" s="193" t="s">
        <v>365</v>
      </c>
      <c r="B84" s="191">
        <v>2300</v>
      </c>
      <c r="C84" s="190">
        <f t="shared" si="7"/>
        <v>23000</v>
      </c>
      <c r="H84" s="212">
        <f t="shared" si="4"/>
        <v>9200</v>
      </c>
      <c r="I84" s="212">
        <f t="shared" si="5"/>
        <v>16100</v>
      </c>
    </row>
    <row r="85" spans="1:9" x14ac:dyDescent="0.2">
      <c r="A85" s="188" t="s">
        <v>383</v>
      </c>
      <c r="B85" s="191">
        <f>1190*7.5</f>
        <v>8925</v>
      </c>
      <c r="C85" s="190">
        <f t="shared" si="7"/>
        <v>89250</v>
      </c>
      <c r="D85" s="202">
        <f>C85/$C$102</f>
        <v>2.2473659171762188E-2</v>
      </c>
      <c r="F85" s="187" t="str">
        <f>+A85</f>
        <v>VIP TEHNIKA</v>
      </c>
      <c r="H85" s="212">
        <f t="shared" si="4"/>
        <v>35700</v>
      </c>
      <c r="I85" s="212">
        <f t="shared" si="5"/>
        <v>62475</v>
      </c>
    </row>
    <row r="86" spans="1:9" x14ac:dyDescent="0.2">
      <c r="A86" s="188" t="s">
        <v>381</v>
      </c>
      <c r="B86" s="191">
        <f>211*2</f>
        <v>422</v>
      </c>
      <c r="C86" s="190">
        <f t="shared" si="7"/>
        <v>4220</v>
      </c>
      <c r="H86" s="212">
        <f t="shared" si="4"/>
        <v>1688</v>
      </c>
      <c r="I86" s="212">
        <f t="shared" si="5"/>
        <v>2954</v>
      </c>
    </row>
    <row r="87" spans="1:9" x14ac:dyDescent="0.2">
      <c r="A87" s="188" t="s">
        <v>381</v>
      </c>
      <c r="B87" s="191">
        <f>240*2</f>
        <v>480</v>
      </c>
      <c r="C87" s="190">
        <f t="shared" si="7"/>
        <v>4800</v>
      </c>
      <c r="D87" s="202">
        <f>E87/$C$102</f>
        <v>6.1893842290410596E-3</v>
      </c>
      <c r="E87" s="199">
        <f>SUM(C86:C89)</f>
        <v>24580</v>
      </c>
      <c r="F87" s="187" t="str">
        <f>+A87</f>
        <v>V-TAC</v>
      </c>
      <c r="H87" s="212">
        <f t="shared" si="4"/>
        <v>1920</v>
      </c>
      <c r="I87" s="212">
        <f t="shared" si="5"/>
        <v>3360</v>
      </c>
    </row>
    <row r="88" spans="1:9" x14ac:dyDescent="0.2">
      <c r="A88" s="188" t="s">
        <v>381</v>
      </c>
      <c r="B88" s="191">
        <f>778*2</f>
        <v>1556</v>
      </c>
      <c r="C88" s="190">
        <f t="shared" si="7"/>
        <v>15560</v>
      </c>
      <c r="H88" s="212">
        <f t="shared" si="4"/>
        <v>6224</v>
      </c>
      <c r="I88" s="212">
        <f t="shared" si="5"/>
        <v>10892</v>
      </c>
    </row>
    <row r="89" spans="1:9" x14ac:dyDescent="0.2">
      <c r="A89" s="193" t="s">
        <v>394</v>
      </c>
      <c r="B89" s="190"/>
      <c r="C89" s="190">
        <f t="shared" si="7"/>
        <v>0</v>
      </c>
      <c r="H89" s="212">
        <f t="shared" si="4"/>
        <v>0</v>
      </c>
      <c r="I89" s="212">
        <f t="shared" si="5"/>
        <v>0</v>
      </c>
    </row>
    <row r="90" spans="1:9" x14ac:dyDescent="0.2">
      <c r="A90" s="188" t="s">
        <v>388</v>
      </c>
      <c r="B90" s="191">
        <f>69*2</f>
        <v>138</v>
      </c>
      <c r="C90" s="190">
        <f t="shared" si="7"/>
        <v>1380</v>
      </c>
      <c r="D90" s="202">
        <f>C90/$C$102</f>
        <v>3.4749187290791951E-4</v>
      </c>
      <c r="F90" s="187" t="str">
        <f>+A90</f>
        <v>Zavas</v>
      </c>
      <c r="H90" s="212">
        <f t="shared" si="4"/>
        <v>552</v>
      </c>
      <c r="I90" s="212">
        <f t="shared" si="5"/>
        <v>966</v>
      </c>
    </row>
    <row r="91" spans="1:9" x14ac:dyDescent="0.2">
      <c r="A91" s="188" t="s">
        <v>370</v>
      </c>
      <c r="B91" s="192">
        <v>2250</v>
      </c>
      <c r="C91" s="190">
        <f t="shared" si="7"/>
        <v>22500</v>
      </c>
      <c r="H91" s="212">
        <f t="shared" si="4"/>
        <v>9000</v>
      </c>
      <c r="I91" s="212">
        <f t="shared" si="5"/>
        <v>15750</v>
      </c>
    </row>
    <row r="92" spans="1:9" x14ac:dyDescent="0.2">
      <c r="A92" s="188" t="s">
        <v>370</v>
      </c>
      <c r="B92" s="192">
        <v>400</v>
      </c>
      <c r="C92" s="190">
        <f t="shared" si="7"/>
        <v>4000</v>
      </c>
      <c r="H92" s="212">
        <f t="shared" si="4"/>
        <v>1600</v>
      </c>
      <c r="I92" s="212">
        <f t="shared" si="5"/>
        <v>2800</v>
      </c>
    </row>
    <row r="93" spans="1:9" x14ac:dyDescent="0.2">
      <c r="A93" s="188" t="s">
        <v>370</v>
      </c>
      <c r="B93" s="192">
        <v>2520</v>
      </c>
      <c r="C93" s="190">
        <f t="shared" si="7"/>
        <v>25200</v>
      </c>
      <c r="H93" s="212">
        <f t="shared" si="4"/>
        <v>10080</v>
      </c>
      <c r="I93" s="212">
        <f t="shared" si="5"/>
        <v>17640</v>
      </c>
    </row>
    <row r="94" spans="1:9" x14ac:dyDescent="0.2">
      <c r="A94" s="188" t="s">
        <v>370</v>
      </c>
      <c r="B94" s="192">
        <v>100</v>
      </c>
      <c r="C94" s="190">
        <f t="shared" si="7"/>
        <v>1000</v>
      </c>
      <c r="H94" s="212">
        <f t="shared" si="4"/>
        <v>400</v>
      </c>
      <c r="I94" s="212">
        <f t="shared" si="5"/>
        <v>700</v>
      </c>
    </row>
    <row r="95" spans="1:9" x14ac:dyDescent="0.2">
      <c r="A95" s="188" t="s">
        <v>370</v>
      </c>
      <c r="B95" s="198"/>
      <c r="C95" s="190">
        <f t="shared" si="7"/>
        <v>0</v>
      </c>
      <c r="H95" s="212">
        <f t="shared" si="4"/>
        <v>0</v>
      </c>
      <c r="I95" s="212">
        <f t="shared" si="5"/>
        <v>0</v>
      </c>
    </row>
    <row r="96" spans="1:9" x14ac:dyDescent="0.2">
      <c r="A96" s="188" t="s">
        <v>370</v>
      </c>
      <c r="B96" s="198"/>
      <c r="C96" s="190">
        <f t="shared" si="7"/>
        <v>0</v>
      </c>
      <c r="H96" s="212">
        <f t="shared" si="4"/>
        <v>0</v>
      </c>
      <c r="I96" s="212">
        <f t="shared" si="5"/>
        <v>0</v>
      </c>
    </row>
    <row r="97" spans="1:9" x14ac:dyDescent="0.2">
      <c r="A97" s="188" t="s">
        <v>370</v>
      </c>
      <c r="B97" s="198"/>
      <c r="C97" s="190">
        <f t="shared" si="7"/>
        <v>0</v>
      </c>
      <c r="H97" s="212">
        <f t="shared" si="4"/>
        <v>0</v>
      </c>
      <c r="I97" s="212">
        <f t="shared" si="5"/>
        <v>0</v>
      </c>
    </row>
    <row r="98" spans="1:9" x14ac:dyDescent="0.2">
      <c r="A98" s="188" t="s">
        <v>370</v>
      </c>
      <c r="B98" s="192">
        <v>250</v>
      </c>
      <c r="C98" s="190">
        <f t="shared" si="7"/>
        <v>2500</v>
      </c>
      <c r="D98" s="202">
        <f>E98/$C$102</f>
        <v>1.389967491631678E-2</v>
      </c>
      <c r="E98" s="199">
        <f>SUM(C91:C100)</f>
        <v>55200</v>
      </c>
      <c r="F98" s="187" t="str">
        <f>+A98</f>
        <v>Zvončica</v>
      </c>
      <c r="H98" s="212">
        <f t="shared" si="4"/>
        <v>1000</v>
      </c>
      <c r="I98" s="212">
        <f t="shared" si="5"/>
        <v>1750</v>
      </c>
    </row>
    <row r="99" spans="1:9" x14ac:dyDescent="0.2">
      <c r="A99" s="188" t="s">
        <v>370</v>
      </c>
      <c r="B99" s="198"/>
      <c r="C99" s="190">
        <f t="shared" si="7"/>
        <v>0</v>
      </c>
      <c r="H99" s="212">
        <f t="shared" si="4"/>
        <v>0</v>
      </c>
      <c r="I99" s="212">
        <f t="shared" si="5"/>
        <v>0</v>
      </c>
    </row>
    <row r="100" spans="1:9" x14ac:dyDescent="0.2">
      <c r="A100" s="188" t="s">
        <v>370</v>
      </c>
      <c r="B100" s="198"/>
      <c r="C100" s="190">
        <f t="shared" si="7"/>
        <v>0</v>
      </c>
      <c r="H100" s="212">
        <f t="shared" si="4"/>
        <v>0</v>
      </c>
      <c r="I100" s="212">
        <f t="shared" si="5"/>
        <v>0</v>
      </c>
    </row>
    <row r="101" spans="1:9" x14ac:dyDescent="0.2">
      <c r="A101" s="188" t="s">
        <v>404</v>
      </c>
      <c r="B101" s="198"/>
      <c r="C101" s="190">
        <v>650000</v>
      </c>
      <c r="D101" s="202">
        <f>C101/$C$102</f>
        <v>0.1636737082537302</v>
      </c>
      <c r="F101" s="187" t="str">
        <f>+A101</f>
        <v>Strojopromet</v>
      </c>
      <c r="H101" s="212">
        <f t="shared" si="4"/>
        <v>0</v>
      </c>
      <c r="I101" s="212">
        <f t="shared" si="5"/>
        <v>0</v>
      </c>
    </row>
    <row r="102" spans="1:9" x14ac:dyDescent="0.2">
      <c r="B102" s="199">
        <f>SUM(B3:B101)</f>
        <v>332131.59000000003</v>
      </c>
      <c r="C102" s="199">
        <f>SUM(C3:C101)</f>
        <v>3971315.9</v>
      </c>
      <c r="H102" s="212">
        <f>SUM(H2:H101)</f>
        <v>1329126.3600000001</v>
      </c>
      <c r="I102" s="212">
        <f>SUM(I2:I101)</f>
        <v>2325971.13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3600D-F385-4429-B514-4C3FB542A87A}">
  <dimension ref="A1:C35"/>
  <sheetViews>
    <sheetView zoomScale="130" zoomScaleNormal="130" workbookViewId="0">
      <selection activeCell="A4" sqref="A4"/>
    </sheetView>
  </sheetViews>
  <sheetFormatPr defaultRowHeight="12.75" x14ac:dyDescent="0.2"/>
  <cols>
    <col min="1" max="1" width="20.42578125" customWidth="1"/>
    <col min="2" max="2" width="12.7109375" hidden="1" customWidth="1"/>
    <col min="3" max="3" width="43.7109375" style="205" bestFit="1" customWidth="1"/>
  </cols>
  <sheetData>
    <row r="1" spans="1:3" x14ac:dyDescent="0.2">
      <c r="A1" s="203">
        <v>0.18065128944825753</v>
      </c>
      <c r="B1" s="204">
        <v>600000</v>
      </c>
      <c r="C1" s="205" t="s">
        <v>397</v>
      </c>
    </row>
    <row r="2" spans="1:3" x14ac:dyDescent="0.2">
      <c r="A2" s="203">
        <v>0.1636737082537302</v>
      </c>
      <c r="C2" s="205" t="s">
        <v>404</v>
      </c>
    </row>
    <row r="3" spans="1:3" x14ac:dyDescent="0.2">
      <c r="A3" s="203">
        <v>0.13097218484998671</v>
      </c>
      <c r="B3" s="204">
        <v>435000</v>
      </c>
      <c r="C3" s="205" t="s">
        <v>362</v>
      </c>
    </row>
    <row r="4" spans="1:3" x14ac:dyDescent="0.2">
      <c r="A4" s="203">
        <v>0.12888957656813071</v>
      </c>
      <c r="B4" s="204">
        <v>428083</v>
      </c>
      <c r="C4" s="205" t="s">
        <v>369</v>
      </c>
    </row>
    <row r="5" spans="1:3" x14ac:dyDescent="0.2">
      <c r="A5" s="203">
        <v>6.8557164345613736E-2</v>
      </c>
      <c r="C5" s="205" t="s">
        <v>382</v>
      </c>
    </row>
    <row r="6" spans="1:3" x14ac:dyDescent="0.2">
      <c r="A6" s="203">
        <v>6.405601165489859E-2</v>
      </c>
      <c r="B6" s="204">
        <v>212750.25</v>
      </c>
      <c r="C6" s="205" t="s">
        <v>378</v>
      </c>
    </row>
    <row r="7" spans="1:3" x14ac:dyDescent="0.2">
      <c r="A7" s="203">
        <v>5.7626632263435104E-2</v>
      </c>
      <c r="B7" s="204">
        <v>191396.25</v>
      </c>
      <c r="C7" s="205" t="s">
        <v>373</v>
      </c>
    </row>
    <row r="8" spans="1:3" x14ac:dyDescent="0.2">
      <c r="A8" s="203">
        <v>5.6242768114890852E-2</v>
      </c>
      <c r="B8" s="204">
        <v>186800</v>
      </c>
      <c r="C8" s="205" t="s">
        <v>372</v>
      </c>
    </row>
    <row r="9" spans="1:3" x14ac:dyDescent="0.2">
      <c r="A9" s="203">
        <v>5.1937245716374043E-2</v>
      </c>
      <c r="C9" s="205" t="s">
        <v>358</v>
      </c>
    </row>
    <row r="10" spans="1:3" x14ac:dyDescent="0.2">
      <c r="A10" s="203">
        <v>4.365739494999557E-2</v>
      </c>
      <c r="C10" s="205" t="s">
        <v>366</v>
      </c>
    </row>
    <row r="11" spans="1:3" x14ac:dyDescent="0.2">
      <c r="A11" s="203">
        <v>3.4624830477582698E-2</v>
      </c>
      <c r="C11" s="205" t="s">
        <v>363</v>
      </c>
    </row>
    <row r="12" spans="1:3" x14ac:dyDescent="0.2">
      <c r="A12" s="203">
        <v>2.6871879305428309E-2</v>
      </c>
      <c r="C12" s="205" t="s">
        <v>383</v>
      </c>
    </row>
    <row r="13" spans="1:3" x14ac:dyDescent="0.2">
      <c r="A13" s="203">
        <v>2.5291180522756057E-2</v>
      </c>
      <c r="C13" s="205" t="s">
        <v>364</v>
      </c>
    </row>
    <row r="14" spans="1:3" x14ac:dyDescent="0.2">
      <c r="A14" s="203">
        <v>2.3402290640285078E-2</v>
      </c>
      <c r="C14" s="205" t="s">
        <v>380</v>
      </c>
    </row>
    <row r="15" spans="1:3" x14ac:dyDescent="0.2">
      <c r="A15" s="203">
        <v>2.3213690694101095E-2</v>
      </c>
      <c r="B15" s="204">
        <v>77100</v>
      </c>
      <c r="C15" s="205" t="s">
        <v>365</v>
      </c>
    </row>
    <row r="16" spans="1:3" x14ac:dyDescent="0.2">
      <c r="A16" s="203">
        <v>1.6619918629239696E-2</v>
      </c>
      <c r="B16" s="204">
        <v>55200</v>
      </c>
      <c r="C16" s="205" t="s">
        <v>370</v>
      </c>
    </row>
    <row r="17" spans="1:3" x14ac:dyDescent="0.2">
      <c r="A17" s="203">
        <v>1.5140836196882085E-2</v>
      </c>
      <c r="B17" s="204">
        <v>50287.5</v>
      </c>
      <c r="C17" s="205" t="s">
        <v>379</v>
      </c>
    </row>
    <row r="18" spans="1:3" x14ac:dyDescent="0.2">
      <c r="A18" s="203">
        <v>1.2766024454343534E-2</v>
      </c>
      <c r="B18" s="204">
        <v>42400</v>
      </c>
      <c r="C18" s="205" t="s">
        <v>377</v>
      </c>
    </row>
    <row r="19" spans="1:3" x14ac:dyDescent="0.2">
      <c r="A19" s="203">
        <v>8.9121302794473722E-3</v>
      </c>
      <c r="C19" s="205" t="s">
        <v>375</v>
      </c>
    </row>
    <row r="20" spans="1:3" x14ac:dyDescent="0.2">
      <c r="A20" s="203">
        <v>7.4006811577302838E-3</v>
      </c>
      <c r="B20" s="204">
        <v>24580</v>
      </c>
      <c r="C20" s="205" t="s">
        <v>381</v>
      </c>
    </row>
    <row r="21" spans="1:3" x14ac:dyDescent="0.2">
      <c r="A21" s="203">
        <v>5.4647015058097905E-3</v>
      </c>
      <c r="B21" s="204">
        <v>18650</v>
      </c>
      <c r="C21" s="205" t="s">
        <v>371</v>
      </c>
    </row>
    <row r="22" spans="1:3" x14ac:dyDescent="0.2">
      <c r="A22" s="203">
        <v>4.817367718620201E-3</v>
      </c>
      <c r="C22" s="205" t="s">
        <v>376</v>
      </c>
    </row>
    <row r="23" spans="1:3" x14ac:dyDescent="0.2">
      <c r="A23" s="203">
        <v>3.1162347429824428E-3</v>
      </c>
      <c r="C23" s="205" t="s">
        <v>389</v>
      </c>
    </row>
    <row r="24" spans="1:3" x14ac:dyDescent="0.2">
      <c r="A24" s="203">
        <v>2.0323270062928972E-3</v>
      </c>
      <c r="C24" s="205" t="s">
        <v>403</v>
      </c>
    </row>
    <row r="25" spans="1:3" x14ac:dyDescent="0.2">
      <c r="A25" s="203">
        <v>1.7500593665299949E-3</v>
      </c>
      <c r="B25" s="204">
        <v>5812.5</v>
      </c>
      <c r="C25" s="205" t="s">
        <v>374</v>
      </c>
    </row>
    <row r="26" spans="1:3" x14ac:dyDescent="0.2">
      <c r="A26" s="203">
        <v>1.5054274120688128E-3</v>
      </c>
      <c r="C26" s="205" t="s">
        <v>367</v>
      </c>
    </row>
    <row r="27" spans="1:3" x14ac:dyDescent="0.2">
      <c r="A27" s="203">
        <v>7.2260515779303024E-4</v>
      </c>
      <c r="C27" s="205" t="s">
        <v>384</v>
      </c>
    </row>
    <row r="28" spans="1:3" x14ac:dyDescent="0.2">
      <c r="A28" s="203">
        <v>4.5162822362064385E-4</v>
      </c>
      <c r="C28" s="205" t="s">
        <v>392</v>
      </c>
    </row>
    <row r="29" spans="1:3" x14ac:dyDescent="0.2">
      <c r="A29" s="203">
        <v>4.1549796573099238E-4</v>
      </c>
      <c r="C29" s="205" t="s">
        <v>388</v>
      </c>
    </row>
    <row r="30" spans="1:3" x14ac:dyDescent="0.2">
      <c r="A30" s="203">
        <v>1.8065128944825756E-4</v>
      </c>
      <c r="C30" s="205" t="s">
        <v>393</v>
      </c>
    </row>
    <row r="31" spans="1:3" x14ac:dyDescent="0.2">
      <c r="A31" s="203"/>
    </row>
    <row r="32" spans="1:3" x14ac:dyDescent="0.2">
      <c r="A32" s="207">
        <v>1</v>
      </c>
      <c r="B32" s="208"/>
      <c r="C32" s="209">
        <v>3971315.9</v>
      </c>
    </row>
    <row r="33" spans="1:3" x14ac:dyDescent="0.2">
      <c r="A33" s="202" t="s">
        <v>405</v>
      </c>
      <c r="C33" s="206">
        <f>6*175000</f>
        <v>1050000</v>
      </c>
    </row>
    <row r="34" spans="1:3" x14ac:dyDescent="0.2">
      <c r="A34" s="187" t="s">
        <v>406</v>
      </c>
      <c r="C34" s="206">
        <f>6*50000</f>
        <v>300000</v>
      </c>
    </row>
    <row r="35" spans="1:3" x14ac:dyDescent="0.2">
      <c r="A35" s="187" t="s">
        <v>407</v>
      </c>
      <c r="C35" s="206">
        <f>6*20000</f>
        <v>120000</v>
      </c>
    </row>
  </sheetData>
  <sortState xmlns:xlrd2="http://schemas.microsoft.com/office/spreadsheetml/2017/richdata2" ref="A1:C102">
    <sortCondition descending="1" ref="A1:A10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AE19B-FF4C-4FCD-AD2F-F3790202638D}">
  <dimension ref="F10:O19"/>
  <sheetViews>
    <sheetView workbookViewId="0">
      <selection activeCell="M17" sqref="M17"/>
    </sheetView>
  </sheetViews>
  <sheetFormatPr defaultRowHeight="12.75" x14ac:dyDescent="0.2"/>
  <cols>
    <col min="6" max="6" width="11" bestFit="1" customWidth="1"/>
    <col min="7" max="7" width="17.85546875" style="213" customWidth="1"/>
    <col min="8" max="8" width="21.28515625" style="213" customWidth="1"/>
    <col min="9" max="9" width="15.140625" customWidth="1"/>
    <col min="12" max="12" width="15.5703125" bestFit="1" customWidth="1"/>
  </cols>
  <sheetData>
    <row r="10" spans="6:15" x14ac:dyDescent="0.2">
      <c r="G10" s="213" t="s">
        <v>408</v>
      </c>
      <c r="H10" s="213" t="s">
        <v>409</v>
      </c>
      <c r="I10" t="s">
        <v>415</v>
      </c>
      <c r="L10">
        <v>18000</v>
      </c>
      <c r="M10">
        <f>+L10*7.5</f>
        <v>135000</v>
      </c>
      <c r="N10">
        <v>400000</v>
      </c>
    </row>
    <row r="11" spans="6:15" x14ac:dyDescent="0.2">
      <c r="F11" t="s">
        <v>410</v>
      </c>
      <c r="G11" s="213">
        <v>2111872.4597999994</v>
      </c>
      <c r="H11" s="213">
        <f>1401500+350000+100000</f>
        <v>1851500</v>
      </c>
      <c r="I11" s="214">
        <f>+G11-H11</f>
        <v>260372.45979999937</v>
      </c>
      <c r="N11">
        <f>+N10-100000</f>
        <v>300000</v>
      </c>
      <c r="O11">
        <v>30000</v>
      </c>
    </row>
    <row r="12" spans="6:15" x14ac:dyDescent="0.2">
      <c r="F12" t="s">
        <v>411</v>
      </c>
      <c r="G12" s="213">
        <v>60963</v>
      </c>
      <c r="H12" s="213">
        <v>15000</v>
      </c>
      <c r="I12" s="214">
        <f t="shared" ref="I12:I18" si="0">+G12-H12</f>
        <v>45963</v>
      </c>
    </row>
    <row r="13" spans="6:15" x14ac:dyDescent="0.2">
      <c r="F13" t="s">
        <v>412</v>
      </c>
      <c r="G13" s="213">
        <v>400000</v>
      </c>
      <c r="H13" s="213">
        <v>50000</v>
      </c>
      <c r="I13" s="214">
        <f t="shared" si="0"/>
        <v>350000</v>
      </c>
    </row>
    <row r="14" spans="6:15" x14ac:dyDescent="0.2">
      <c r="F14" t="s">
        <v>413</v>
      </c>
      <c r="G14" s="213">
        <v>500000</v>
      </c>
      <c r="H14" s="213">
        <v>250000</v>
      </c>
      <c r="I14" s="214">
        <f t="shared" si="0"/>
        <v>250000</v>
      </c>
    </row>
    <row r="15" spans="6:15" x14ac:dyDescent="0.2">
      <c r="F15" t="s">
        <v>416</v>
      </c>
      <c r="G15" s="213">
        <v>1999999</v>
      </c>
      <c r="H15" s="213">
        <f>1350000+100000+100000+100000</f>
        <v>1650000</v>
      </c>
      <c r="I15" s="214">
        <f t="shared" si="0"/>
        <v>349999</v>
      </c>
      <c r="L15" s="216">
        <f>+H15+H16</f>
        <v>5621315.9000000004</v>
      </c>
    </row>
    <row r="16" spans="6:15" x14ac:dyDescent="0.2">
      <c r="F16" t="s">
        <v>414</v>
      </c>
      <c r="G16" s="213">
        <v>5300000</v>
      </c>
      <c r="H16" s="213">
        <v>3971315.9</v>
      </c>
      <c r="I16" s="214">
        <f t="shared" si="0"/>
        <v>1328684.1000000001</v>
      </c>
      <c r="L16" s="216">
        <f>+G16+I11+I12+I13</f>
        <v>5956335.4597999994</v>
      </c>
    </row>
    <row r="17" spans="6:12" x14ac:dyDescent="0.2">
      <c r="F17" t="s">
        <v>405</v>
      </c>
      <c r="H17" s="213">
        <v>1200000</v>
      </c>
      <c r="I17" s="214">
        <f t="shared" si="0"/>
        <v>-1200000</v>
      </c>
      <c r="L17" s="216">
        <f>+L16-L15</f>
        <v>335019.559799999</v>
      </c>
    </row>
    <row r="18" spans="6:12" x14ac:dyDescent="0.2">
      <c r="F18" t="s">
        <v>407</v>
      </c>
      <c r="H18" s="213">
        <v>500000</v>
      </c>
      <c r="I18" s="214">
        <f t="shared" si="0"/>
        <v>-500000</v>
      </c>
    </row>
    <row r="19" spans="6:12" x14ac:dyDescent="0.2">
      <c r="I19" s="215">
        <f>SUM(I11:I18)</f>
        <v>885018.55979999946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8EF554E9B15540B45B0253408606D8" ma:contentTypeVersion="13" ma:contentTypeDescription="Create a new document." ma:contentTypeScope="" ma:versionID="66c0be888da48503c458f1a75873c1ac">
  <xsd:schema xmlns:xsd="http://www.w3.org/2001/XMLSchema" xmlns:xs="http://www.w3.org/2001/XMLSchema" xmlns:p="http://schemas.microsoft.com/office/2006/metadata/properties" xmlns:ns3="16e9192f-26f7-49d5-9e44-8360387f5ebc" xmlns:ns4="8740d6dc-77a3-4e88-9b42-86048f15aa17" targetNamespace="http://schemas.microsoft.com/office/2006/metadata/properties" ma:root="true" ma:fieldsID="33cb9635accb6bf2bb5dd227a978516d" ns3:_="" ns4:_="">
    <xsd:import namespace="16e9192f-26f7-49d5-9e44-8360387f5ebc"/>
    <xsd:import namespace="8740d6dc-77a3-4e88-9b42-86048f15aa17"/>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e9192f-26f7-49d5-9e44-8360387f5e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40d6dc-77a3-4e88-9b42-86048f15aa1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691746C-C596-4258-B5B4-1A6200FF2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e9192f-26f7-49d5-9e44-8360387f5ebc"/>
    <ds:schemaRef ds:uri="8740d6dc-77a3-4e88-9b42-86048f15aa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1CF569-C507-4596-B059-EFEE328C23A5}">
  <ds:schemaRefs>
    <ds:schemaRef ds:uri="http://schemas.microsoft.com/sharepoint/v3/contenttype/forms"/>
  </ds:schemaRefs>
</ds:datastoreItem>
</file>

<file path=customXml/itemProps3.xml><?xml version="1.0" encoding="utf-8"?>
<ds:datastoreItem xmlns:ds="http://schemas.openxmlformats.org/officeDocument/2006/customXml" ds:itemID="{1D371019-BA5F-455C-9292-55DBF3CB3DB6}">
  <ds:schemaRefs>
    <ds:schemaRef ds:uri="http://purl.org/dc/elements/1.1/"/>
    <ds:schemaRef ds:uri="http://schemas.microsoft.com/office/2006/metadata/properties"/>
    <ds:schemaRef ds:uri="http://www.w3.org/XML/1998/namespac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8740d6dc-77a3-4e88-9b42-86048f15aa17"/>
    <ds:schemaRef ds:uri="16e9192f-26f7-49d5-9e44-8360387f5eb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1.krug-tehnička specifikacija</vt:lpstr>
      <vt:lpstr>2.krug - JAMSTVA</vt:lpstr>
      <vt:lpstr>računica za trošak financirnjaa</vt:lpstr>
      <vt:lpstr>Sheet1</vt:lpstr>
      <vt:lpstr>Sheet3</vt:lpstr>
      <vt:lpstr>Sheet4</vt:lpstr>
      <vt:lpstr>'1.krug-tehnička specifikacija'!Print_Area</vt:lpstr>
      <vt:lpstr>'2.krug - JAMSTVA'!Print_Area</vt:lpstr>
      <vt:lpstr>'računica za trošak financirnjaa'!Print_Area</vt:lpstr>
      <vt:lpstr>'1.krug-tehnička specifikacija'!Print_Titles</vt:lpstr>
      <vt:lpstr>'računica za trošak financirnjaa'!Print_Titles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Počinok Vlatka</dc:creator>
  <cp:lastModifiedBy>Edo Seifried</cp:lastModifiedBy>
  <cp:lastPrinted>2019-08-06T08:57:18Z</cp:lastPrinted>
  <dcterms:created xsi:type="dcterms:W3CDTF">2010-04-13T10:21:28Z</dcterms:created>
  <dcterms:modified xsi:type="dcterms:W3CDTF">2020-06-15T10:06:12Z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0x010100D68EF554E9B15540B45B0253408606D8</vt:lpwstr>
  </property>
</Properties>
</file>