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e\BriefCase\CarryOn\Courses\MHDNumerical\Figures\"/>
    </mc:Choice>
  </mc:AlternateContent>
  <bookViews>
    <workbookView xWindow="0" yWindow="0" windowWidth="18585" windowHeight="8865" activeTab="1"/>
  </bookViews>
  <sheets>
    <sheet name="Hydrodynamics" sheetId="1" r:id="rId1"/>
    <sheet name="Rieman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4" i="1"/>
  <c r="P3" i="1"/>
  <c r="A24" i="2"/>
  <c r="A22" i="2" s="1"/>
  <c r="D4" i="2" s="1"/>
  <c r="E7" i="2"/>
  <c r="B7" i="2"/>
  <c r="M6" i="2"/>
  <c r="L6" i="2"/>
  <c r="G6" i="2"/>
  <c r="F6" i="2"/>
  <c r="M5" i="2"/>
  <c r="L5" i="2"/>
  <c r="G5" i="2"/>
  <c r="F5" i="2"/>
  <c r="M4" i="2"/>
  <c r="L4" i="2"/>
  <c r="G4" i="2"/>
  <c r="F4" i="2"/>
  <c r="E2" i="2"/>
  <c r="E25" i="2" s="1"/>
  <c r="D2" i="2"/>
  <c r="C2" i="2"/>
  <c r="D12" i="2" l="1"/>
  <c r="D13" i="2" s="1"/>
  <c r="J4" i="2"/>
  <c r="K4" i="2"/>
  <c r="E8" i="2"/>
  <c r="E9" i="2" s="1"/>
  <c r="E10" i="2" s="1"/>
  <c r="B8" i="2"/>
  <c r="E24" i="2"/>
  <c r="E22" i="2" s="1"/>
  <c r="E26" i="2"/>
  <c r="D1" i="1"/>
  <c r="G1" i="1"/>
  <c r="J1" i="1"/>
  <c r="L3" i="1"/>
  <c r="L7" i="1" s="1"/>
  <c r="L4" i="1"/>
  <c r="L6" i="1" s="1"/>
  <c r="L5" i="1"/>
  <c r="B6" i="1"/>
  <c r="I6" i="1"/>
  <c r="M6" i="1"/>
  <c r="B7" i="1"/>
  <c r="M7" i="1" s="1"/>
  <c r="I7" i="1"/>
  <c r="I8" i="1" s="1"/>
  <c r="B16" i="1"/>
  <c r="C16" i="1"/>
  <c r="D16" i="1"/>
  <c r="I16" i="1"/>
  <c r="J16" i="1"/>
  <c r="K16" i="1"/>
  <c r="L16" i="1"/>
  <c r="M16" i="1"/>
  <c r="N16" i="1"/>
  <c r="C17" i="1"/>
  <c r="J17" i="1"/>
  <c r="C18" i="1"/>
  <c r="J18" i="1"/>
  <c r="I11" i="1" l="1"/>
  <c r="B11" i="1"/>
  <c r="M11" i="1" s="1"/>
  <c r="F25" i="2"/>
  <c r="D14" i="2"/>
  <c r="D7" i="2" s="1"/>
  <c r="D8" i="2"/>
  <c r="B24" i="2"/>
  <c r="B9" i="2"/>
  <c r="B25" i="2"/>
  <c r="B26" i="2"/>
  <c r="F26" i="2"/>
  <c r="F24" i="2"/>
  <c r="F22" i="2" s="1"/>
  <c r="E11" i="2"/>
  <c r="L11" i="1"/>
  <c r="L8" i="1"/>
  <c r="K14" i="1"/>
  <c r="I10" i="1"/>
  <c r="K17" i="1" s="1"/>
  <c r="I12" i="1"/>
  <c r="K15" i="1"/>
  <c r="I9" i="1"/>
  <c r="I17" i="1" s="1"/>
  <c r="K13" i="1"/>
  <c r="J14" i="1"/>
  <c r="K18" i="1"/>
  <c r="L9" i="1"/>
  <c r="M17" i="1"/>
  <c r="L10" i="1"/>
  <c r="N17" i="1" s="1"/>
  <c r="L12" i="1"/>
  <c r="M14" i="1"/>
  <c r="M18" i="1"/>
  <c r="I18" i="1"/>
  <c r="I14" i="1"/>
  <c r="B8" i="1"/>
  <c r="D18" i="1" s="1"/>
  <c r="L17" i="1" l="1"/>
  <c r="N1" i="1"/>
  <c r="B22" i="2"/>
  <c r="C24" i="2"/>
  <c r="C22" i="2" s="1"/>
  <c r="C4" i="2" s="1"/>
  <c r="B11" i="2"/>
  <c r="B10" i="2"/>
  <c r="B19" i="2" s="1"/>
  <c r="C26" i="2"/>
  <c r="D26" i="2" s="1"/>
  <c r="G26" i="2" s="1"/>
  <c r="D9" i="2"/>
  <c r="D10" i="2" s="1"/>
  <c r="C8" i="2"/>
  <c r="C25" i="2"/>
  <c r="D25" i="2" s="1"/>
  <c r="G25" i="2" s="1"/>
  <c r="C7" i="2"/>
  <c r="D6" i="2"/>
  <c r="D5" i="2"/>
  <c r="L13" i="1"/>
  <c r="M15" i="1"/>
  <c r="M13" i="1"/>
  <c r="L15" i="1"/>
  <c r="B9" i="1"/>
  <c r="C14" i="1"/>
  <c r="D14" i="1"/>
  <c r="M8" i="1"/>
  <c r="B14" i="1"/>
  <c r="B18" i="1"/>
  <c r="B10" i="1"/>
  <c r="B12" i="1"/>
  <c r="D13" i="1"/>
  <c r="D15" i="1"/>
  <c r="J15" i="1"/>
  <c r="I13" i="1"/>
  <c r="J13" i="1"/>
  <c r="I15" i="1"/>
  <c r="I20" i="1"/>
  <c r="I23" i="1"/>
  <c r="J20" i="1"/>
  <c r="K20" i="1"/>
  <c r="N15" i="1"/>
  <c r="N14" i="1"/>
  <c r="N13" i="1"/>
  <c r="L14" i="1"/>
  <c r="P23" i="1" s="1"/>
  <c r="L18" i="1"/>
  <c r="N18" i="1"/>
  <c r="P22" i="1" l="1"/>
  <c r="Q27" i="1"/>
  <c r="Q25" i="1"/>
  <c r="Q26" i="1"/>
  <c r="P24" i="1"/>
  <c r="D11" i="2"/>
  <c r="J5" i="2"/>
  <c r="K5" i="2"/>
  <c r="D17" i="2"/>
  <c r="D24" i="2"/>
  <c r="K6" i="2"/>
  <c r="J6" i="2"/>
  <c r="C6" i="2"/>
  <c r="H4" i="2"/>
  <c r="C12" i="2"/>
  <c r="B12" i="2"/>
  <c r="B13" i="2" s="1"/>
  <c r="B16" i="2" s="1"/>
  <c r="C5" i="2"/>
  <c r="I4" i="2"/>
  <c r="C9" i="2"/>
  <c r="C11" i="2" s="1"/>
  <c r="F3" i="2"/>
  <c r="G3" i="2"/>
  <c r="M20" i="1"/>
  <c r="L23" i="1"/>
  <c r="N20" i="1"/>
  <c r="L20" i="1"/>
  <c r="J19" i="1"/>
  <c r="I22" i="1"/>
  <c r="K19" i="1"/>
  <c r="I19" i="1"/>
  <c r="B13" i="1"/>
  <c r="B15" i="1"/>
  <c r="C13" i="1"/>
  <c r="C15" i="1"/>
  <c r="M12" i="1"/>
  <c r="L21" i="1"/>
  <c r="M21" i="1"/>
  <c r="N21" i="1"/>
  <c r="L24" i="1"/>
  <c r="D17" i="1"/>
  <c r="M10" i="1"/>
  <c r="I21" i="1"/>
  <c r="J21" i="1"/>
  <c r="I24" i="1"/>
  <c r="K21" i="1"/>
  <c r="D20" i="1"/>
  <c r="C20" i="1"/>
  <c r="B23" i="1"/>
  <c r="M23" i="1" s="1"/>
  <c r="M9" i="1"/>
  <c r="B17" i="1"/>
  <c r="B20" i="1" s="1"/>
  <c r="N19" i="1"/>
  <c r="L22" i="1"/>
  <c r="M19" i="1"/>
  <c r="L19" i="1"/>
  <c r="R26" i="1" l="1"/>
  <c r="R25" i="1"/>
  <c r="R27" i="1"/>
  <c r="P27" i="1"/>
  <c r="P26" i="1"/>
  <c r="P25" i="1"/>
  <c r="G24" i="2"/>
  <c r="G22" i="2" s="1"/>
  <c r="D22" i="2"/>
  <c r="C18" i="2"/>
  <c r="H5" i="2"/>
  <c r="I5" i="2"/>
  <c r="H6" i="2"/>
  <c r="I6" i="2"/>
  <c r="M3" i="2"/>
  <c r="L3" i="2"/>
  <c r="K3" i="2"/>
  <c r="B14" i="2"/>
  <c r="B15" i="2" s="1"/>
  <c r="C10" i="2"/>
  <c r="C19" i="2" s="1"/>
  <c r="H3" i="2" s="1"/>
  <c r="L27" i="1"/>
  <c r="L26" i="1"/>
  <c r="L25" i="1"/>
  <c r="D21" i="1"/>
  <c r="B24" i="1"/>
  <c r="M24" i="1" s="1"/>
  <c r="C21" i="1"/>
  <c r="B21" i="1"/>
  <c r="I26" i="1"/>
  <c r="I27" i="1"/>
  <c r="I25" i="1"/>
  <c r="B19" i="1"/>
  <c r="C19" i="1"/>
  <c r="B22" i="1"/>
  <c r="M22" i="1" s="1"/>
  <c r="D19" i="1"/>
  <c r="S27" i="1" l="1"/>
  <c r="F5" i="1"/>
  <c r="E5" i="1"/>
  <c r="H5" i="1"/>
  <c r="F3" i="1"/>
  <c r="G3" i="1" s="1"/>
  <c r="K3" i="1" s="1"/>
  <c r="S25" i="1"/>
  <c r="H3" i="1"/>
  <c r="E3" i="1"/>
  <c r="S26" i="1"/>
  <c r="F4" i="1"/>
  <c r="E4" i="1"/>
  <c r="H4" i="1"/>
  <c r="J3" i="2"/>
  <c r="I3" i="2"/>
  <c r="B25" i="1"/>
  <c r="M25" i="1" s="1"/>
  <c r="B26" i="1"/>
  <c r="M26" i="1" s="1"/>
  <c r="B27" i="1"/>
  <c r="M27" i="1" s="1"/>
  <c r="G4" i="1" l="1"/>
  <c r="F6" i="1"/>
  <c r="F7" i="1" s="1"/>
  <c r="G5" i="1"/>
  <c r="F8" i="1" l="1"/>
  <c r="F11" i="1"/>
  <c r="K5" i="1"/>
  <c r="F12" i="1"/>
  <c r="F9" i="1"/>
  <c r="F10" i="1"/>
  <c r="K4" i="1"/>
  <c r="G6" i="1"/>
  <c r="G7" i="1" l="1"/>
  <c r="G8" i="1" l="1"/>
  <c r="G11" i="1"/>
  <c r="G9" i="1" l="1"/>
  <c r="G10" i="1"/>
  <c r="G12" i="1"/>
</calcChain>
</file>

<file path=xl/comments1.xml><?xml version="1.0" encoding="utf-8"?>
<comments xmlns="http://schemas.openxmlformats.org/spreadsheetml/2006/main">
  <authors>
    <author>Hue Ray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Hue Ray:</t>
        </r>
        <r>
          <rPr>
            <sz val="9"/>
            <color indexed="81"/>
            <rFont val="宋体"/>
            <charset val="134"/>
          </rPr>
          <t xml:space="preserve">
\nu =(gamma-1)/(gamma+1)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Hue Ray:</t>
        </r>
        <r>
          <rPr>
            <sz val="9"/>
            <color indexed="81"/>
            <rFont val="宋体"/>
            <charset val="134"/>
          </rPr>
          <t xml:space="preserve">
\gamma^* = 2/(\gamma-1)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Hue Ray:</t>
        </r>
        <r>
          <rPr>
            <sz val="9"/>
            <color indexed="81"/>
            <rFont val="宋体"/>
            <charset val="134"/>
          </rPr>
          <t xml:space="preserve">
\gamma^{**} = 2/(gamma+1)</t>
        </r>
      </text>
    </comment>
    <comment ref="A7" authorId="0" shapeId="0">
      <text>
        <r>
          <rPr>
            <b/>
            <sz val="9"/>
            <color indexed="81"/>
            <rFont val="宋体"/>
            <charset val="134"/>
          </rPr>
          <t>Hue Ray:</t>
        </r>
        <r>
          <rPr>
            <sz val="9"/>
            <color indexed="81"/>
            <rFont val="宋体"/>
            <charset val="134"/>
          </rPr>
          <t xml:space="preserve">
p = (\gamma - 1) (E - \frac{1}{2}\rho u^2)</t>
        </r>
      </text>
    </comment>
    <comment ref="A13" authorId="0" shapeId="0">
      <text>
        <r>
          <rPr>
            <b/>
            <sz val="9"/>
            <color indexed="81"/>
            <rFont val="宋体"/>
            <charset val="134"/>
          </rPr>
          <t>Hue Ray:</t>
        </r>
        <r>
          <rPr>
            <sz val="9"/>
            <color indexed="81"/>
            <rFont val="宋体"/>
            <charset val="134"/>
          </rPr>
          <t xml:space="preserve">
L =&amp; \frac{\gamma - 1}{2 c^2} \left[\begin{array}{ccc} \frac{1}{2} u \left(u + \frac{2
c}{\gamma - 1}\right) &amp; -\left(u + \frac{c}{\gamma - 1}\right) &amp; 1
\\
2(H - u^2) &amp; 2 u &amp; - 2
\\
\frac{1}{2} u \left(u - \frac{2 c}{\gamma - 1}\right) &amp; -\left(u - \frac{c}{\gamma -
1}\right) &amp; 1
\end{array}
\right]
</t>
        </r>
      </text>
    </comment>
    <comment ref="A16" authorId="0" shapeId="0">
      <text>
        <r>
          <rPr>
            <b/>
            <sz val="9"/>
            <color indexed="81"/>
            <rFont val="宋体"/>
            <charset val="134"/>
          </rPr>
          <t>Hue Ray:</t>
        </r>
        <r>
          <rPr>
            <sz val="9"/>
            <color indexed="81"/>
            <rFont val="宋体"/>
            <charset val="134"/>
          </rPr>
          <t xml:space="preserve">
R =&amp; \left[\begin{array}{ccc} 1 &amp; 1 &amp; 1
\\
u - c &amp; u &amp; u + c
\\
H - u c &amp; \frac{1}{2} u^2 &amp; H + u c
\end{array}
\right]</t>
        </r>
      </text>
    </comment>
  </commentList>
</comments>
</file>

<file path=xl/comments2.xml><?xml version="1.0" encoding="utf-8"?>
<comments xmlns="http://schemas.openxmlformats.org/spreadsheetml/2006/main">
  <authors>
    <author>Hue Ray</author>
  </authors>
  <commentList>
    <comment ref="N3" authorId="0" shapeId="0">
      <text>
        <r>
          <rPr>
            <b/>
            <sz val="9"/>
            <color indexed="81"/>
            <rFont val="宋体"/>
            <charset val="134"/>
          </rPr>
          <t>Hue Ray:</t>
        </r>
        <r>
          <rPr>
            <sz val="9"/>
            <color indexed="81"/>
            <rFont val="宋体"/>
            <charset val="134"/>
          </rPr>
          <t xml:space="preserve">
Time</t>
        </r>
      </text>
    </comment>
    <comment ref="N4" authorId="0" shapeId="0">
      <text>
        <r>
          <rPr>
            <b/>
            <sz val="9"/>
            <color indexed="81"/>
            <rFont val="宋体"/>
            <charset val="1"/>
          </rPr>
          <t>Hue Ray:</t>
        </r>
        <r>
          <rPr>
            <sz val="9"/>
            <color indexed="81"/>
            <rFont val="宋体"/>
            <charset val="1"/>
          </rPr>
          <t xml:space="preserve">
Base/rho</t>
        </r>
      </text>
    </comment>
    <comment ref="O4" authorId="0" shapeId="0">
      <text>
        <r>
          <rPr>
            <b/>
            <sz val="9"/>
            <color indexed="81"/>
            <rFont val="宋体"/>
            <charset val="1"/>
          </rPr>
          <t>Hue Ray:</t>
        </r>
        <r>
          <rPr>
            <sz val="9"/>
            <color indexed="81"/>
            <rFont val="宋体"/>
            <charset val="1"/>
          </rPr>
          <t xml:space="preserve">
Scale/rho</t>
        </r>
      </text>
    </comment>
    <comment ref="N5" authorId="0" shapeId="0">
      <text>
        <r>
          <rPr>
            <b/>
            <sz val="9"/>
            <color indexed="81"/>
            <rFont val="宋体"/>
            <charset val="1"/>
          </rPr>
          <t>Hue Ray:</t>
        </r>
        <r>
          <rPr>
            <sz val="9"/>
            <color indexed="81"/>
            <rFont val="宋体"/>
            <charset val="1"/>
          </rPr>
          <t xml:space="preserve">
Base/m</t>
        </r>
      </text>
    </comment>
    <comment ref="O5" authorId="0" shapeId="0">
      <text>
        <r>
          <rPr>
            <b/>
            <sz val="9"/>
            <color indexed="81"/>
            <rFont val="宋体"/>
            <charset val="1"/>
          </rPr>
          <t>Hue Ray:</t>
        </r>
        <r>
          <rPr>
            <sz val="9"/>
            <color indexed="81"/>
            <rFont val="宋体"/>
            <charset val="1"/>
          </rPr>
          <t xml:space="preserve">
Scale/m</t>
        </r>
      </text>
    </comment>
    <comment ref="N6" authorId="0" shapeId="0">
      <text>
        <r>
          <rPr>
            <b/>
            <sz val="9"/>
            <color indexed="81"/>
            <rFont val="宋体"/>
            <charset val="1"/>
          </rPr>
          <t>Hue Ray:</t>
        </r>
        <r>
          <rPr>
            <sz val="9"/>
            <color indexed="81"/>
            <rFont val="宋体"/>
            <charset val="1"/>
          </rPr>
          <t xml:space="preserve">
Base/E</t>
        </r>
      </text>
    </comment>
    <comment ref="O6" authorId="0" shapeId="0">
      <text>
        <r>
          <rPr>
            <b/>
            <sz val="9"/>
            <color indexed="81"/>
            <rFont val="宋体"/>
            <charset val="1"/>
          </rPr>
          <t>Hue Ray:</t>
        </r>
        <r>
          <rPr>
            <sz val="9"/>
            <color indexed="81"/>
            <rFont val="宋体"/>
            <charset val="1"/>
          </rPr>
          <t xml:space="preserve">
Scale/E</t>
        </r>
      </text>
    </comment>
  </commentList>
</comments>
</file>

<file path=xl/sharedStrings.xml><?xml version="1.0" encoding="utf-8"?>
<sst xmlns="http://schemas.openxmlformats.org/spreadsheetml/2006/main" count="31" uniqueCount="30">
  <si>
    <t>\alpha=LU</t>
  </si>
  <si>
    <t>LR</t>
  </si>
  <si>
    <t>R</t>
  </si>
  <si>
    <t>L</t>
  </si>
  <si>
    <t>u / a</t>
  </si>
  <si>
    <t>H</t>
  </si>
  <si>
    <t>u + a</t>
  </si>
  <si>
    <t>u - a</t>
  </si>
  <si>
    <t>a</t>
  </si>
  <si>
    <t>p</t>
  </si>
  <si>
    <t>u</t>
  </si>
  <si>
    <t>E</t>
  </si>
  <si>
    <t>m = \rho u</t>
  </si>
  <si>
    <t>\rho</t>
  </si>
  <si>
    <t>Interface</t>
  </si>
  <si>
    <t>\gamma^{**}</t>
  </si>
  <si>
    <t>\gamma^*</t>
  </si>
  <si>
    <t>\nu</t>
  </si>
  <si>
    <t>\gamma</t>
  </si>
  <si>
    <t>u'</t>
  </si>
  <si>
    <t>p'</t>
  </si>
  <si>
    <t>Difference</t>
  </si>
  <si>
    <t>\alpha=L\Delta U</t>
  </si>
  <si>
    <t>\sum\alpha R</t>
  </si>
  <si>
    <t>DTvDX</t>
  </si>
  <si>
    <t>New Time</t>
  </si>
  <si>
    <t>CFL</t>
  </si>
  <si>
    <t>t+</t>
  </si>
  <si>
    <t>w=\alpha 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</si>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</sst>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14" x14ac:knownFonts="1">
    <font>
      <sz val="10"/>
      <name val="Courier New"/>
      <family val="3"/>
    </font>
    <font>
      <sz val="10"/>
      <name val="Courier New"/>
      <family val="3"/>
    </font>
    <font>
      <b/>
      <sz val="10"/>
      <name val="Courier New"/>
      <family val="3"/>
    </font>
    <font>
      <sz val="10"/>
      <color indexed="12"/>
      <name val="Courier New"/>
      <family val="3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0"/>
      <color rgb="FF00B0F0"/>
      <name val="Courier New"/>
      <family val="3"/>
    </font>
    <font>
      <sz val="10"/>
      <color indexed="22"/>
      <name val="Courier New"/>
      <family val="3"/>
    </font>
    <font>
      <sz val="10"/>
      <color indexed="10"/>
      <name val="Courier New"/>
      <family val="3"/>
    </font>
    <font>
      <b/>
      <sz val="10"/>
      <color rgb="FFFF0000"/>
      <name val="Courier New"/>
      <family val="3"/>
    </font>
    <font>
      <b/>
      <sz val="10"/>
      <color indexed="12"/>
      <name val="Courier New"/>
      <family val="3"/>
    </font>
    <font>
      <sz val="10"/>
      <color rgb="FFFF0000"/>
      <name val="Courier New"/>
      <family val="3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0" fillId="0" borderId="1" xfId="0" applyBorder="1"/>
    <xf numFmtId="164" fontId="2" fillId="2" borderId="0" xfId="0" applyNumberFormat="1" applyFont="1" applyFill="1" applyProtection="1">
      <protection locked="0"/>
    </xf>
    <xf numFmtId="164" fontId="3" fillId="0" borderId="0" xfId="0" applyNumberFormat="1" applyFont="1"/>
    <xf numFmtId="0" fontId="2" fillId="0" borderId="2" xfId="0" applyFont="1" applyBorder="1"/>
    <xf numFmtId="0" fontId="0" fillId="0" borderId="3" xfId="0" applyBorder="1"/>
    <xf numFmtId="164" fontId="7" fillId="0" borderId="0" xfId="0" applyNumberFormat="1" applyFont="1" applyFill="1"/>
    <xf numFmtId="164" fontId="2" fillId="2" borderId="4" xfId="0" applyNumberFormat="1" applyFont="1" applyFill="1" applyBorder="1" applyProtection="1">
      <protection locked="0"/>
    </xf>
    <xf numFmtId="0" fontId="2" fillId="2" borderId="5" xfId="0" applyFont="1" applyFill="1" applyBorder="1"/>
    <xf numFmtId="164" fontId="2" fillId="2" borderId="6" xfId="0" applyNumberFormat="1" applyFont="1" applyFill="1" applyBorder="1" applyProtection="1">
      <protection locked="0"/>
    </xf>
    <xf numFmtId="164" fontId="2" fillId="2" borderId="1" xfId="0" applyNumberFormat="1" applyFont="1" applyFill="1" applyBorder="1" applyProtection="1">
      <protection locked="0"/>
    </xf>
    <xf numFmtId="164" fontId="2" fillId="0" borderId="0" xfId="0" applyNumberFormat="1" applyFont="1" applyProtection="1">
      <protection locked="0"/>
    </xf>
    <xf numFmtId="164" fontId="2" fillId="2" borderId="7" xfId="0" applyNumberFormat="1" applyFont="1" applyFill="1" applyBorder="1" applyProtection="1">
      <protection locked="0"/>
    </xf>
    <xf numFmtId="164" fontId="2" fillId="2" borderId="3" xfId="0" applyNumberFormat="1" applyFont="1" applyFill="1" applyBorder="1" applyProtection="1">
      <protection locked="0"/>
    </xf>
    <xf numFmtId="164" fontId="8" fillId="0" borderId="2" xfId="0" applyNumberFormat="1" applyFont="1" applyBorder="1"/>
    <xf numFmtId="164" fontId="0" fillId="0" borderId="2" xfId="0" applyNumberFormat="1" applyBorder="1"/>
    <xf numFmtId="164" fontId="8" fillId="0" borderId="0" xfId="0" applyNumberFormat="1" applyFont="1"/>
    <xf numFmtId="164" fontId="9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164" fontId="10" fillId="0" borderId="0" xfId="0" applyNumberFormat="1" applyFont="1"/>
    <xf numFmtId="165" fontId="0" fillId="0" borderId="0" xfId="0" applyNumberFormat="1"/>
    <xf numFmtId="164" fontId="11" fillId="0" borderId="0" xfId="0" applyNumberFormat="1" applyFont="1" applyProtection="1"/>
    <xf numFmtId="164" fontId="1" fillId="0" borderId="0" xfId="0" applyNumberFormat="1" applyFont="1"/>
    <xf numFmtId="164" fontId="11" fillId="0" borderId="0" xfId="0" applyNumberFormat="1" applyFont="1"/>
    <xf numFmtId="164" fontId="1" fillId="2" borderId="0" xfId="0" applyNumberFormat="1" applyFont="1" applyFill="1" applyProtection="1">
      <protection locked="0"/>
    </xf>
    <xf numFmtId="164" fontId="2" fillId="2" borderId="12" xfId="0" applyNumberFormat="1" applyFont="1" applyFill="1" applyBorder="1" applyProtection="1">
      <protection locked="0"/>
    </xf>
    <xf numFmtId="164" fontId="2" fillId="2" borderId="0" xfId="0" applyNumberFormat="1" applyFont="1" applyFill="1" applyBorder="1" applyProtection="1">
      <protection locked="0"/>
    </xf>
    <xf numFmtId="0" fontId="0" fillId="0" borderId="0" xfId="0" applyProtection="1"/>
    <xf numFmtId="164" fontId="0" fillId="0" borderId="0" xfId="0" applyNumberFormat="1" applyProtection="1"/>
    <xf numFmtId="0" fontId="1" fillId="0" borderId="0" xfId="0" applyFont="1" applyProtection="1"/>
    <xf numFmtId="0" fontId="0" fillId="0" borderId="1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164" fontId="0" fillId="0" borderId="12" xfId="0" applyNumberFormat="1" applyBorder="1" applyProtection="1"/>
    <xf numFmtId="164" fontId="0" fillId="0" borderId="0" xfId="0" applyNumberFormat="1" applyBorder="1" applyProtection="1"/>
    <xf numFmtId="164" fontId="3" fillId="0" borderId="12" xfId="0" applyNumberFormat="1" applyFont="1" applyBorder="1" applyProtection="1"/>
    <xf numFmtId="164" fontId="6" fillId="0" borderId="12" xfId="0" applyNumberFormat="1" applyFont="1" applyBorder="1" applyProtection="1"/>
    <xf numFmtId="164" fontId="0" fillId="0" borderId="13" xfId="0" applyNumberFormat="1" applyBorder="1" applyProtection="1"/>
    <xf numFmtId="0" fontId="0" fillId="0" borderId="14" xfId="0" applyBorder="1" applyProtection="1"/>
    <xf numFmtId="164" fontId="3" fillId="0" borderId="0" xfId="0" applyNumberFormat="1" applyFont="1" applyBorder="1" applyProtection="1"/>
    <xf numFmtId="164" fontId="6" fillId="0" borderId="0" xfId="0" applyNumberFormat="1" applyFont="1" applyBorder="1" applyProtection="1"/>
    <xf numFmtId="164" fontId="0" fillId="0" borderId="15" xfId="0" applyNumberFormat="1" applyBorder="1" applyProtection="1"/>
    <xf numFmtId="0" fontId="0" fillId="0" borderId="0" xfId="0" applyBorder="1" applyProtection="1"/>
    <xf numFmtId="164" fontId="6" fillId="0" borderId="0" xfId="0" applyNumberFormat="1" applyFont="1" applyProtection="1"/>
    <xf numFmtId="0" fontId="0" fillId="0" borderId="14" xfId="0" applyFill="1" applyBorder="1" applyProtection="1"/>
    <xf numFmtId="0" fontId="1" fillId="0" borderId="19" xfId="0" applyFont="1" applyBorder="1" applyProtection="1"/>
    <xf numFmtId="0" fontId="1" fillId="0" borderId="8" xfId="0" applyFont="1" applyBorder="1" applyProtection="1"/>
    <xf numFmtId="0" fontId="1" fillId="0" borderId="16" xfId="0" applyFont="1" applyBorder="1" applyProtection="1"/>
    <xf numFmtId="164" fontId="0" fillId="0" borderId="17" xfId="0" applyNumberFormat="1" applyBorder="1" applyProtection="1"/>
    <xf numFmtId="164" fontId="0" fillId="0" borderId="18" xfId="0" applyNumberFormat="1" applyBorder="1" applyProtection="1"/>
    <xf numFmtId="164" fontId="6" fillId="0" borderId="13" xfId="0" applyNumberFormat="1" applyFont="1" applyBorder="1" applyProtection="1"/>
    <xf numFmtId="164" fontId="6" fillId="0" borderId="15" xfId="0" applyNumberFormat="1" applyFont="1" applyBorder="1" applyProtection="1"/>
    <xf numFmtId="0" fontId="0" fillId="0" borderId="19" xfId="0" applyBorder="1" applyProtection="1"/>
    <xf numFmtId="0" fontId="0" fillId="0" borderId="8" xfId="0" applyFont="1" applyBorder="1" applyProtection="1"/>
    <xf numFmtId="0" fontId="0" fillId="0" borderId="16" xfId="0" applyBorder="1" applyProtection="1"/>
    <xf numFmtId="164" fontId="6" fillId="0" borderId="17" xfId="0" applyNumberFormat="1" applyFont="1" applyBorder="1" applyProtection="1"/>
    <xf numFmtId="164" fontId="6" fillId="0" borderId="18" xfId="0" applyNumberFormat="1" applyFont="1" applyBorder="1" applyProtection="1"/>
    <xf numFmtId="0" fontId="0" fillId="0" borderId="0" xfId="0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164" fontId="9" fillId="0" borderId="9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67551092235204E-2"/>
          <c:y val="4.7619195248001144E-2"/>
          <c:w val="0.80769343128649074"/>
          <c:h val="0.90793932272855504"/>
        </c:manualLayout>
      </c:layout>
      <c:scatterChart>
        <c:scatterStyle val="lineMarker"/>
        <c:varyColors val="0"/>
        <c:ser>
          <c:idx val="0"/>
          <c:order val="0"/>
          <c:tx>
            <c:v>Density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Riemann!$F$3:$M$3</c:f>
              <c:numCache>
                <c:formatCode>0.000</c:formatCode>
                <c:ptCount val="8"/>
                <c:pt idx="0">
                  <c:v>-1.3685585583001356</c:v>
                </c:pt>
                <c:pt idx="1">
                  <c:v>-0.36855855830013567</c:v>
                </c:pt>
                <c:pt idx="2">
                  <c:v>-0.22909937580277209</c:v>
                </c:pt>
                <c:pt idx="3">
                  <c:v>0.21406212957632034</c:v>
                </c:pt>
                <c:pt idx="4">
                  <c:v>0.21406212957632034</c:v>
                </c:pt>
                <c:pt idx="5">
                  <c:v>0.3471439633197585</c:v>
                </c:pt>
                <c:pt idx="6">
                  <c:v>0.3471439633197585</c:v>
                </c:pt>
                <c:pt idx="7">
                  <c:v>1.3471439633197586</c:v>
                </c:pt>
              </c:numCache>
            </c:numRef>
          </c:xVal>
          <c:yVal>
            <c:numRef>
              <c:f>Riemann!$F$4:$M$4</c:f>
              <c:numCache>
                <c:formatCode>0.000</c:formatCode>
                <c:ptCount val="8"/>
                <c:pt idx="0">
                  <c:v>0.44500000000000001</c:v>
                </c:pt>
                <c:pt idx="1">
                  <c:v>0.44500000000000001</c:v>
                </c:pt>
                <c:pt idx="2">
                  <c:v>0.34464470006331149</c:v>
                </c:pt>
                <c:pt idx="3">
                  <c:v>0.34464470006331149</c:v>
                </c:pt>
                <c:pt idx="4">
                  <c:v>1.3042500000000001</c:v>
                </c:pt>
                <c:pt idx="5">
                  <c:v>1.3042500000000001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Mass flux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Riemann!$F$3:$M$3</c:f>
              <c:numCache>
                <c:formatCode>0.000</c:formatCode>
                <c:ptCount val="8"/>
                <c:pt idx="0">
                  <c:v>-1.3685585583001356</c:v>
                </c:pt>
                <c:pt idx="1">
                  <c:v>-0.36855855830013567</c:v>
                </c:pt>
                <c:pt idx="2">
                  <c:v>-0.22909937580277209</c:v>
                </c:pt>
                <c:pt idx="3">
                  <c:v>0.21406212957632034</c:v>
                </c:pt>
                <c:pt idx="4">
                  <c:v>0.21406212957632034</c:v>
                </c:pt>
                <c:pt idx="5">
                  <c:v>0.3471439633197585</c:v>
                </c:pt>
                <c:pt idx="6">
                  <c:v>0.3471439633197585</c:v>
                </c:pt>
                <c:pt idx="7">
                  <c:v>1.3471439633197586</c:v>
                </c:pt>
              </c:numCache>
            </c:numRef>
          </c:xVal>
          <c:yVal>
            <c:numRef>
              <c:f>Riemann!$F$5:$M$5</c:f>
              <c:numCache>
                <c:formatCode>0.000</c:formatCode>
                <c:ptCount val="8"/>
                <c:pt idx="0">
                  <c:v>1.5109999999999999</c:v>
                </c:pt>
                <c:pt idx="1">
                  <c:v>1.5109999999999999</c:v>
                </c:pt>
                <c:pt idx="2">
                  <c:v>1.7269669888767474</c:v>
                </c:pt>
                <c:pt idx="3">
                  <c:v>1.7269669888767474</c:v>
                </c:pt>
                <c:pt idx="4">
                  <c:v>3.1942180892851129</c:v>
                </c:pt>
                <c:pt idx="5">
                  <c:v>3.1942180892851129</c:v>
                </c:pt>
                <c:pt idx="6">
                  <c:v>1.2</c:v>
                </c:pt>
                <c:pt idx="7">
                  <c:v>1.2</c:v>
                </c:pt>
              </c:numCache>
            </c:numRef>
          </c:yVal>
          <c:smooth val="0"/>
        </c:ser>
        <c:ser>
          <c:idx val="2"/>
          <c:order val="2"/>
          <c:tx>
            <c:v>Energy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Riemann!$F$3:$M$3</c:f>
              <c:numCache>
                <c:formatCode>0.000</c:formatCode>
                <c:ptCount val="8"/>
                <c:pt idx="0">
                  <c:v>-1.3685585583001356</c:v>
                </c:pt>
                <c:pt idx="1">
                  <c:v>-0.36855855830013567</c:v>
                </c:pt>
                <c:pt idx="2">
                  <c:v>-0.22909937580277209</c:v>
                </c:pt>
                <c:pt idx="3">
                  <c:v>0.21406212957632034</c:v>
                </c:pt>
                <c:pt idx="4">
                  <c:v>0.21406212957632034</c:v>
                </c:pt>
                <c:pt idx="5">
                  <c:v>0.3471439633197585</c:v>
                </c:pt>
                <c:pt idx="6">
                  <c:v>0.3471439633197585</c:v>
                </c:pt>
                <c:pt idx="7">
                  <c:v>1.3471439633197586</c:v>
                </c:pt>
              </c:numCache>
            </c:numRef>
          </c:xVal>
          <c:yVal>
            <c:numRef>
              <c:f>Riemann!$F$6:$M$6</c:f>
              <c:numCache>
                <c:formatCode>0.000</c:formatCode>
                <c:ptCount val="8"/>
                <c:pt idx="0">
                  <c:v>4.6783999999999999</c:v>
                </c:pt>
                <c:pt idx="1">
                  <c:v>4.6783999999999999</c:v>
                </c:pt>
                <c:pt idx="2">
                  <c:v>3.9708657252364672</c:v>
                </c:pt>
                <c:pt idx="3">
                  <c:v>3.9708657252364672</c:v>
                </c:pt>
                <c:pt idx="4">
                  <c:v>4.307383112925697</c:v>
                </c:pt>
                <c:pt idx="5">
                  <c:v>4.307383112925697</c:v>
                </c:pt>
                <c:pt idx="6">
                  <c:v>2.4282499999999998</c:v>
                </c:pt>
                <c:pt idx="7">
                  <c:v>2.4282499999999998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19952"/>
        <c:axId val="348317208"/>
      </c:scatterChart>
      <c:valAx>
        <c:axId val="34831995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48317208"/>
        <c:crosses val="autoZero"/>
        <c:crossBetween val="midCat"/>
      </c:valAx>
      <c:valAx>
        <c:axId val="348317208"/>
        <c:scaling>
          <c:orientation val="minMax"/>
        </c:scaling>
        <c:delete val="1"/>
        <c:axPos val="l"/>
        <c:numFmt formatCode="0.000" sourceLinked="1"/>
        <c:majorTickMark val="out"/>
        <c:minorTickMark val="none"/>
        <c:tickLblPos val="nextTo"/>
        <c:crossAx val="3483199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73054116098734"/>
          <c:y val="0.39047752364287797"/>
          <c:w val="0.14387479342859921"/>
          <c:h val="0.222222888805566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85725</xdr:colOff>
          <xdr:row>3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133350</xdr:colOff>
          <xdr:row>4</xdr:row>
          <xdr:rowOff>114300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123825</xdr:colOff>
          <xdr:row>5</xdr:row>
          <xdr:rowOff>152400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85725</xdr:colOff>
          <xdr:row>6</xdr:row>
          <xdr:rowOff>114300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85725</xdr:colOff>
          <xdr:row>7</xdr:row>
          <xdr:rowOff>114300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85725</xdr:colOff>
          <xdr:row>0</xdr:row>
          <xdr:rowOff>114300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76200</xdr:colOff>
          <xdr:row>8</xdr:row>
          <xdr:rowOff>114300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352425</xdr:colOff>
          <xdr:row>9</xdr:row>
          <xdr:rowOff>104775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352425</xdr:colOff>
          <xdr:row>10</xdr:row>
          <xdr:rowOff>142875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161925</xdr:rowOff>
        </xdr:from>
        <xdr:to>
          <xdr:col>0</xdr:col>
          <xdr:colOff>76200</xdr:colOff>
          <xdr:row>11</xdr:row>
          <xdr:rowOff>104775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561975</xdr:colOff>
          <xdr:row>0</xdr:row>
          <xdr:rowOff>238125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123825</xdr:colOff>
          <xdr:row>12</xdr:row>
          <xdr:rowOff>152400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180975</xdr:colOff>
          <xdr:row>14</xdr:row>
          <xdr:rowOff>9525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209550</xdr:colOff>
          <xdr:row>14</xdr:row>
          <xdr:rowOff>9525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571500</xdr:colOff>
          <xdr:row>0</xdr:row>
          <xdr:rowOff>228600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1209675</xdr:colOff>
          <xdr:row>20</xdr:row>
          <xdr:rowOff>333375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2</xdr:col>
          <xdr:colOff>676275</xdr:colOff>
          <xdr:row>20</xdr:row>
          <xdr:rowOff>209550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895350</xdr:colOff>
          <xdr:row>20</xdr:row>
          <xdr:rowOff>0</xdr:rowOff>
        </xdr:from>
        <xdr:to>
          <xdr:col>3</xdr:col>
          <xdr:colOff>1038225</xdr:colOff>
          <xdr:row>20</xdr:row>
          <xdr:rowOff>304800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1543050</xdr:colOff>
          <xdr:row>20</xdr:row>
          <xdr:rowOff>0</xdr:rowOff>
        </xdr:from>
        <xdr:to>
          <xdr:col>4</xdr:col>
          <xdr:colOff>885825</xdr:colOff>
          <xdr:row>20</xdr:row>
          <xdr:rowOff>295275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1066800</xdr:colOff>
          <xdr:row>20</xdr:row>
          <xdr:rowOff>0</xdr:rowOff>
        </xdr:from>
        <xdr:to>
          <xdr:col>5</xdr:col>
          <xdr:colOff>1019175</xdr:colOff>
          <xdr:row>20</xdr:row>
          <xdr:rowOff>228600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209550</xdr:colOff>
          <xdr:row>0</xdr:row>
          <xdr:rowOff>228600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123825</xdr:colOff>
          <xdr:row>20</xdr:row>
          <xdr:rowOff>114300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1276350</xdr:colOff>
          <xdr:row>19</xdr:row>
          <xdr:rowOff>161925</xdr:rowOff>
        </xdr:from>
        <xdr:to>
          <xdr:col>6</xdr:col>
          <xdr:colOff>1066800</xdr:colOff>
          <xdr:row>20</xdr:row>
          <xdr:rowOff>171450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</xdr:row>
          <xdr:rowOff>9525</xdr:rowOff>
        </xdr:from>
        <xdr:to>
          <xdr:col>0</xdr:col>
          <xdr:colOff>123825</xdr:colOff>
          <xdr:row>18</xdr:row>
          <xdr:rowOff>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158750</xdr:colOff>
      <xdr:row>2</xdr:row>
      <xdr:rowOff>31750</xdr:rowOff>
    </xdr:from>
    <xdr:to>
      <xdr:col>13</xdr:col>
      <xdr:colOff>120650</xdr:colOff>
      <xdr:row>19</xdr:row>
      <xdr:rowOff>95250</xdr:rowOff>
    </xdr:to>
    <xdr:graphicFrame macro="">
      <xdr:nvGraphicFramePr>
        <xdr:cNvPr id="26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8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47" Type="http://schemas.openxmlformats.org/officeDocument/2006/relationships/image" Target="../media/image22.emf"/><Relationship Id="rId50" Type="http://schemas.openxmlformats.org/officeDocument/2006/relationships/oleObject" Target="../embeddings/oleObject24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2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49" Type="http://schemas.openxmlformats.org/officeDocument/2006/relationships/image" Target="../media/image23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1.bin"/><Relationship Id="rId52" Type="http://schemas.openxmlformats.org/officeDocument/2006/relationships/comments" Target="../comments2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oleObject" Target="../embeddings/oleObject23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" sqref="I5"/>
    </sheetView>
  </sheetViews>
  <sheetFormatPr defaultRowHeight="13.5" x14ac:dyDescent="0.25"/>
  <cols>
    <col min="1" max="1" width="15.125" customWidth="1"/>
    <col min="2" max="4" width="6.875" bestFit="1" customWidth="1"/>
    <col min="5" max="5" width="6.875" customWidth="1"/>
    <col min="6" max="6" width="8.875" bestFit="1" customWidth="1"/>
    <col min="7" max="7" width="7.875" bestFit="1" customWidth="1"/>
    <col min="8" max="8" width="7.875" customWidth="1"/>
    <col min="9" max="9" width="11.875" bestFit="1" customWidth="1"/>
    <col min="10" max="10" width="6.875" bestFit="1" customWidth="1"/>
    <col min="15" max="15" width="17.125" bestFit="1" customWidth="1"/>
    <col min="16" max="16" width="10.875" bestFit="1" customWidth="1"/>
    <col min="19" max="19" width="6.875" bestFit="1" customWidth="1"/>
  </cols>
  <sheetData>
    <row r="1" spans="1:20" x14ac:dyDescent="0.25">
      <c r="A1" s="28" t="s">
        <v>18</v>
      </c>
      <c r="B1" s="26">
        <v>1.4</v>
      </c>
      <c r="C1" s="28" t="s">
        <v>17</v>
      </c>
      <c r="D1" s="29">
        <f>(B1-1)/(B1+1)</f>
        <v>0.16666666666666663</v>
      </c>
      <c r="E1" s="29"/>
      <c r="F1" s="30" t="s">
        <v>16</v>
      </c>
      <c r="G1" s="29">
        <f>2/(B1-1)</f>
        <v>5.0000000000000009</v>
      </c>
      <c r="H1" s="29"/>
      <c r="I1" s="30" t="s">
        <v>15</v>
      </c>
      <c r="J1" s="29">
        <f>2/(B1+1)</f>
        <v>0.83333333333333337</v>
      </c>
      <c r="K1" s="28" t="s">
        <v>26</v>
      </c>
      <c r="L1" s="26">
        <v>5</v>
      </c>
      <c r="M1" s="28" t="s">
        <v>24</v>
      </c>
      <c r="N1" s="28">
        <f>L1/MAX(ABS(L9),ABS(L6),ABS(L10),ABS(B9),ABS(B6),ABS(B10),ABS(I9),ABS(I6),ABS(I10))</f>
        <v>1.2405981456539321</v>
      </c>
      <c r="O1" s="28"/>
      <c r="P1" s="28"/>
      <c r="Q1" s="28"/>
      <c r="R1" s="28"/>
      <c r="S1" s="28"/>
      <c r="T1" s="28"/>
    </row>
    <row r="2" spans="1:20" x14ac:dyDescent="0.25">
      <c r="A2" s="31"/>
      <c r="B2" s="32">
        <v>3</v>
      </c>
      <c r="C2" s="28"/>
      <c r="D2" s="32"/>
      <c r="E2" s="32" t="s">
        <v>27</v>
      </c>
      <c r="F2" s="32">
        <v>2</v>
      </c>
      <c r="G2" s="32">
        <v>1</v>
      </c>
      <c r="H2" s="28" t="s">
        <v>27</v>
      </c>
      <c r="I2" s="32">
        <v>0</v>
      </c>
      <c r="J2" s="28"/>
      <c r="K2" s="28"/>
      <c r="L2" s="30" t="s">
        <v>14</v>
      </c>
      <c r="M2" s="28"/>
      <c r="N2" s="28"/>
      <c r="O2" s="28"/>
      <c r="P2" s="28" t="s">
        <v>21</v>
      </c>
      <c r="Q2" s="28"/>
      <c r="R2" s="28"/>
      <c r="S2" s="28"/>
      <c r="T2" s="28" t="s">
        <v>25</v>
      </c>
    </row>
    <row r="3" spans="1:20" x14ac:dyDescent="0.25">
      <c r="A3" s="33" t="s">
        <v>13</v>
      </c>
      <c r="B3" s="26">
        <v>0.44500000000000001</v>
      </c>
      <c r="C3" s="28"/>
      <c r="D3" s="34"/>
      <c r="E3" s="35">
        <f>B3-$N$1*(MIN(0,L9)*P25+MIN(0,L6)*Q25+MIN(0,L10)*R25)</f>
        <v>-2.1697367421509239E-2</v>
      </c>
      <c r="F3" s="36">
        <f>B3+P25</f>
        <v>0.26937445724854781</v>
      </c>
      <c r="G3" s="36">
        <f>F3+Q25</f>
        <v>0.80880606085982076</v>
      </c>
      <c r="H3" s="35">
        <f>I3-$N$1*(MAX(0,L9)*P25+MAX(0,L6)*Q25+MAX(0,L10)*R25)</f>
        <v>1.3525233907198821</v>
      </c>
      <c r="I3" s="26">
        <v>0.5</v>
      </c>
      <c r="J3" s="28"/>
      <c r="K3" s="37">
        <f>G3+R25</f>
        <v>0.5</v>
      </c>
      <c r="L3" s="38">
        <f>AVERAGE(B3,I3)</f>
        <v>0.47250000000000003</v>
      </c>
      <c r="M3" s="28"/>
      <c r="N3" s="28"/>
      <c r="O3" s="28"/>
      <c r="P3" s="29">
        <f>I3-B3</f>
        <v>5.4999999999999993E-2</v>
      </c>
      <c r="Q3" s="28"/>
      <c r="R3" s="28"/>
      <c r="S3" s="28"/>
      <c r="T3" s="28"/>
    </row>
    <row r="4" spans="1:20" x14ac:dyDescent="0.25">
      <c r="A4" s="39" t="s">
        <v>12</v>
      </c>
      <c r="B4" s="27">
        <v>0.311</v>
      </c>
      <c r="C4" s="28"/>
      <c r="D4" s="35"/>
      <c r="E4" s="35">
        <f>B4-$N$1*(MIN(0,L9)*P26+MIN(0,L6)*Q26+MIN(0,L10)*R26)</f>
        <v>1.3106590340446806</v>
      </c>
      <c r="F4" s="40">
        <f t="shared" ref="F4:F5" si="0">B4+P26</f>
        <v>0.68718738110841548</v>
      </c>
      <c r="G4" s="40">
        <f t="shared" ref="G4:G5" si="1">F4+Q26</f>
        <v>0.86471460727043226</v>
      </c>
      <c r="H4" s="35">
        <f>I4-$N$1*(MAX(0,L9)*P26+MAX(0,L6)*Q26+MAX(0,L10)*R26)</f>
        <v>2.9314564890258579</v>
      </c>
      <c r="I4" s="27">
        <v>0</v>
      </c>
      <c r="J4" s="28"/>
      <c r="K4" s="41">
        <f>G4+R26</f>
        <v>0</v>
      </c>
      <c r="L4" s="42">
        <f>AVERAGE(B4,I4)</f>
        <v>0.1555</v>
      </c>
      <c r="M4" s="28"/>
      <c r="N4" s="28"/>
      <c r="O4" s="28"/>
      <c r="P4" s="29">
        <f t="shared" ref="P4:P5" si="2">I4-B4</f>
        <v>-0.311</v>
      </c>
      <c r="Q4" s="28"/>
      <c r="R4" s="28"/>
      <c r="S4" s="28"/>
      <c r="T4" s="28"/>
    </row>
    <row r="5" spans="1:20" x14ac:dyDescent="0.25">
      <c r="A5" s="39" t="s">
        <v>11</v>
      </c>
      <c r="B5" s="27">
        <v>8.9280000000000008</v>
      </c>
      <c r="C5" s="28"/>
      <c r="D5" s="35"/>
      <c r="E5" s="35">
        <f>B5-$N$1*(MIN(0,L9)*P27+MIN(0,L6)*Q27+MIN(0,L10)*R27)</f>
        <v>2.1578152960271808</v>
      </c>
      <c r="F5" s="40">
        <f t="shared" si="0"/>
        <v>6.3802732585099076</v>
      </c>
      <c r="G5" s="40">
        <f t="shared" si="1"/>
        <v>6.4094854105397419</v>
      </c>
      <c r="H5" s="35">
        <f>I5-$N$1*(MAX(0,L9)*P27+MAX(0,L6)*Q27+MAX(0,L10)*R27)</f>
        <v>18.722524013156171</v>
      </c>
      <c r="I5" s="27">
        <v>1.4275</v>
      </c>
      <c r="J5" s="28"/>
      <c r="K5" s="41">
        <f>G5+R27</f>
        <v>1.4275000000000011</v>
      </c>
      <c r="L5" s="42">
        <f>AVERAGE(B5,I5)</f>
        <v>5.1777500000000005</v>
      </c>
      <c r="M5" s="28"/>
      <c r="N5" s="28"/>
      <c r="O5" s="28"/>
      <c r="P5" s="29">
        <f t="shared" si="2"/>
        <v>-7.5005000000000006</v>
      </c>
      <c r="Q5" s="28"/>
      <c r="R5" s="28"/>
      <c r="S5" s="28"/>
      <c r="T5" s="28"/>
    </row>
    <row r="6" spans="1:20" x14ac:dyDescent="0.25">
      <c r="A6" s="39" t="s">
        <v>10</v>
      </c>
      <c r="B6" s="35">
        <f>B4/B3</f>
        <v>0.69887640449438204</v>
      </c>
      <c r="C6" s="35"/>
      <c r="D6" s="35"/>
      <c r="E6" s="35"/>
      <c r="F6" s="35">
        <f>F4/F3</f>
        <v>2.5510487821581314</v>
      </c>
      <c r="G6" s="35">
        <f>G4/G3</f>
        <v>1.0691247866653923</v>
      </c>
      <c r="H6" s="35"/>
      <c r="I6" s="35">
        <f>I4/I3</f>
        <v>0</v>
      </c>
      <c r="J6" s="43"/>
      <c r="K6" s="43"/>
      <c r="L6" s="42">
        <f>L4/L3</f>
        <v>0.32910052910052906</v>
      </c>
      <c r="M6" s="44">
        <f t="shared" ref="M6:M12" si="3">AVERAGE(B6,I6)</f>
        <v>0.34943820224719102</v>
      </c>
      <c r="N6" s="28"/>
      <c r="O6" s="28"/>
      <c r="P6" s="28"/>
      <c r="Q6" s="28"/>
      <c r="R6" s="28"/>
      <c r="S6" s="28"/>
      <c r="T6" s="28"/>
    </row>
    <row r="7" spans="1:20" x14ac:dyDescent="0.25">
      <c r="A7" s="39" t="s">
        <v>9</v>
      </c>
      <c r="B7" s="35">
        <f>($B$1-1)*(B5-0.5*B3*B6*B6)</f>
        <v>3.5277298876404495</v>
      </c>
      <c r="C7" s="35"/>
      <c r="D7" s="35"/>
      <c r="E7" s="35"/>
      <c r="F7" s="35">
        <f>($B$1-1)*(F5-0.5*F3*F6*F6)</f>
        <v>2.2014995970657507</v>
      </c>
      <c r="G7" s="35">
        <f>($B$1-1)*(G5-0.5*G3*G6*G6)</f>
        <v>2.3788966002110064</v>
      </c>
      <c r="H7" s="35"/>
      <c r="I7" s="35">
        <f>($B$1-1)*(I5-0.5*I3*I6*I6)</f>
        <v>0.57099999999999984</v>
      </c>
      <c r="J7" s="43"/>
      <c r="K7" s="43"/>
      <c r="L7" s="42">
        <f>($B$1-1)*(L5-0.5*L3*L6*L6)</f>
        <v>2.0608649735449736</v>
      </c>
      <c r="M7" s="44">
        <f t="shared" si="3"/>
        <v>2.0493649438202248</v>
      </c>
      <c r="N7" s="28"/>
      <c r="O7" s="28"/>
      <c r="P7" s="28"/>
      <c r="Q7" s="28"/>
      <c r="R7" s="28"/>
      <c r="S7" s="28"/>
      <c r="T7" s="28"/>
    </row>
    <row r="8" spans="1:20" x14ac:dyDescent="0.25">
      <c r="A8" s="39" t="s">
        <v>8</v>
      </c>
      <c r="B8" s="35">
        <f>SQRT($B$1*B7/B3)</f>
        <v>3.3314375352096368</v>
      </c>
      <c r="C8" s="35"/>
      <c r="D8" s="35"/>
      <c r="E8" s="35"/>
      <c r="F8" s="35">
        <f>SQRT($B$1*F7/F3)</f>
        <v>3.3825569459878939</v>
      </c>
      <c r="G8" s="35">
        <f>SQRT($B$1*G7/G3)</f>
        <v>2.0292221870739366</v>
      </c>
      <c r="H8" s="35"/>
      <c r="I8" s="35">
        <f>SQRT($B$1*I7/I3)</f>
        <v>1.2644366334458994</v>
      </c>
      <c r="J8" s="43"/>
      <c r="K8" s="43"/>
      <c r="L8" s="42">
        <f>SQRT($B$1*L7/L3)</f>
        <v>2.4710861151083754</v>
      </c>
      <c r="M8" s="44">
        <f t="shared" si="3"/>
        <v>2.297937084327768</v>
      </c>
      <c r="N8" s="28"/>
      <c r="O8" s="28"/>
      <c r="P8" s="28"/>
      <c r="Q8" s="28"/>
      <c r="R8" s="28"/>
      <c r="S8" s="28"/>
      <c r="T8" s="28"/>
    </row>
    <row r="9" spans="1:20" x14ac:dyDescent="0.25">
      <c r="A9" s="39" t="s">
        <v>7</v>
      </c>
      <c r="B9" s="35">
        <f>B6-B8</f>
        <v>-2.6325611307152545</v>
      </c>
      <c r="C9" s="35"/>
      <c r="D9" s="35"/>
      <c r="E9" s="35"/>
      <c r="F9" s="35">
        <f>F6-F8</f>
        <v>-0.83150816382976256</v>
      </c>
      <c r="G9" s="35">
        <f>G6-G8</f>
        <v>-0.9600974004085443</v>
      </c>
      <c r="H9" s="35"/>
      <c r="I9" s="35">
        <f>I6-I8</f>
        <v>-1.2644366334458994</v>
      </c>
      <c r="J9" s="43"/>
      <c r="K9" s="43"/>
      <c r="L9" s="42">
        <f>L6-L8</f>
        <v>-2.1419855860078463</v>
      </c>
      <c r="M9" s="44">
        <f t="shared" si="3"/>
        <v>-1.9484988820805769</v>
      </c>
      <c r="N9" s="28"/>
      <c r="O9" s="28"/>
      <c r="P9" s="28"/>
      <c r="Q9" s="28"/>
      <c r="R9" s="28"/>
      <c r="S9" s="28"/>
      <c r="T9" s="28"/>
    </row>
    <row r="10" spans="1:20" x14ac:dyDescent="0.25">
      <c r="A10" s="39" t="s">
        <v>6</v>
      </c>
      <c r="B10" s="35">
        <f>B6+B8</f>
        <v>4.0303139397040191</v>
      </c>
      <c r="C10" s="35"/>
      <c r="D10" s="35"/>
      <c r="E10" s="35"/>
      <c r="F10" s="35">
        <f>F6+F8</f>
        <v>5.9336057281460253</v>
      </c>
      <c r="G10" s="35">
        <f>G6+G8</f>
        <v>3.098346973739329</v>
      </c>
      <c r="H10" s="35"/>
      <c r="I10" s="35">
        <f>I6+I8</f>
        <v>1.2644366334458994</v>
      </c>
      <c r="J10" s="43"/>
      <c r="K10" s="43"/>
      <c r="L10" s="42">
        <f>L6+L8</f>
        <v>2.8001866442089045</v>
      </c>
      <c r="M10" s="44">
        <f t="shared" si="3"/>
        <v>2.6473752865749591</v>
      </c>
      <c r="N10" s="28"/>
      <c r="O10" s="28"/>
      <c r="P10" s="28"/>
      <c r="Q10" s="28"/>
      <c r="R10" s="28"/>
      <c r="S10" s="28"/>
      <c r="T10" s="28"/>
    </row>
    <row r="11" spans="1:20" x14ac:dyDescent="0.25">
      <c r="A11" s="45" t="s">
        <v>5</v>
      </c>
      <c r="B11" s="35">
        <f>(B5+B7)/B3</f>
        <v>27.990404241888651</v>
      </c>
      <c r="C11" s="35"/>
      <c r="D11" s="35"/>
      <c r="E11" s="35"/>
      <c r="F11" s="35">
        <f>(F5+F7)/F3</f>
        <v>31.858153676602615</v>
      </c>
      <c r="G11" s="35">
        <f>(G5+G7)/G3</f>
        <v>10.865870616013989</v>
      </c>
      <c r="H11" s="35"/>
      <c r="I11" s="35">
        <f>(I5+I7)/I3</f>
        <v>3.9969999999999999</v>
      </c>
      <c r="J11" s="43"/>
      <c r="K11" s="43"/>
      <c r="L11" s="42">
        <f>(L5+L7)/L3</f>
        <v>15.319820049830632</v>
      </c>
      <c r="M11" s="44">
        <f t="shared" si="3"/>
        <v>15.993702120944326</v>
      </c>
      <c r="N11" s="28"/>
      <c r="O11" s="28"/>
      <c r="P11" s="28"/>
      <c r="Q11" s="28"/>
      <c r="R11" s="28"/>
      <c r="S11" s="28"/>
      <c r="T11" s="28"/>
    </row>
    <row r="12" spans="1:20" x14ac:dyDescent="0.25">
      <c r="A12" s="46" t="s">
        <v>4</v>
      </c>
      <c r="B12" s="35">
        <f>B6/B8</f>
        <v>0.20978223277729982</v>
      </c>
      <c r="C12" s="35"/>
      <c r="D12" s="35"/>
      <c r="E12" s="35"/>
      <c r="F12" s="35">
        <f>F6/F8</f>
        <v>0.75417763038223851</v>
      </c>
      <c r="G12" s="35">
        <f>G6/G8</f>
        <v>0.52686432933548333</v>
      </c>
      <c r="H12" s="35"/>
      <c r="I12" s="35">
        <f>I6/I8</f>
        <v>0</v>
      </c>
      <c r="J12" s="43"/>
      <c r="K12" s="43"/>
      <c r="L12" s="42">
        <f>L6/L8</f>
        <v>0.13318051810836853</v>
      </c>
      <c r="M12" s="44">
        <f t="shared" si="3"/>
        <v>0.10489111638864991</v>
      </c>
      <c r="N12" s="28"/>
      <c r="O12" s="28"/>
      <c r="P12" s="28"/>
      <c r="Q12" s="28"/>
      <c r="R12" s="28"/>
      <c r="S12" s="28"/>
      <c r="T12" s="28"/>
    </row>
    <row r="13" spans="1:20" x14ac:dyDescent="0.25">
      <c r="A13" s="47" t="s">
        <v>3</v>
      </c>
      <c r="B13" s="34">
        <f>0.5*B12*(1+B12/$G$1)</f>
        <v>0.10929197490755284</v>
      </c>
      <c r="C13" s="34">
        <f>(-0.5-B12/$G$1)/B8</f>
        <v>-0.16267945618898008</v>
      </c>
      <c r="D13" s="34">
        <f>1/($G$1*B8*B8)</f>
        <v>1.8020492100076523E-2</v>
      </c>
      <c r="E13" s="34"/>
      <c r="F13" s="34"/>
      <c r="G13" s="34"/>
      <c r="H13" s="34"/>
      <c r="I13" s="34">
        <f>0.5*I12*(1+I12/$G$1)</f>
        <v>0</v>
      </c>
      <c r="J13" s="34">
        <f>(-0.5-I12/$G$1)/I8</f>
        <v>-0.39543302271888281</v>
      </c>
      <c r="K13" s="34">
        <f>1/($G$1*I8*I8)</f>
        <v>0.12509382036527394</v>
      </c>
      <c r="L13" s="34">
        <f>0.5*L12*(1+L12/$G$1)</f>
        <v>6.8363964094545621E-2</v>
      </c>
      <c r="M13" s="34">
        <f>(-0.5-L12/$G$1)/L8</f>
        <v>-0.21311928402728966</v>
      </c>
      <c r="N13" s="38">
        <f>1/($G$1*L8*L8)</f>
        <v>3.275323753204977E-2</v>
      </c>
      <c r="O13" s="29"/>
      <c r="P13" s="28"/>
      <c r="Q13" s="28"/>
      <c r="R13" s="28"/>
      <c r="S13" s="28"/>
      <c r="T13" s="28"/>
    </row>
    <row r="14" spans="1:20" x14ac:dyDescent="0.25">
      <c r="A14" s="46"/>
      <c r="B14" s="35">
        <f>2*(B11-B6*B6)/($G$1*B8*B8)</f>
        <v>0.99119828296219392</v>
      </c>
      <c r="C14" s="35">
        <f>2*B6/($G$1*B8*B8)</f>
        <v>2.518819345224179E-2</v>
      </c>
      <c r="D14" s="35">
        <f>-2/($G$1*B8*B8)</f>
        <v>-3.6040984200153045E-2</v>
      </c>
      <c r="E14" s="35"/>
      <c r="F14" s="35"/>
      <c r="G14" s="35"/>
      <c r="H14" s="35"/>
      <c r="I14" s="35">
        <f>2*(I11-I6*I6)/($G$1*I8*I8)</f>
        <v>0.99999999999999989</v>
      </c>
      <c r="J14" s="35">
        <f>2*I6/($G$1*I8*I8)</f>
        <v>0</v>
      </c>
      <c r="K14" s="35">
        <f>-2/($G$1*I8*I8)</f>
        <v>-0.25018764073054789</v>
      </c>
      <c r="L14" s="35">
        <f>2*(L11-L6*L6)/($G$1*L8*L8)</f>
        <v>0.9964525899192771</v>
      </c>
      <c r="M14" s="35">
        <f>2*L6/($G$1*L8*L8)</f>
        <v>2.1558215603105772E-2</v>
      </c>
      <c r="N14" s="42">
        <f>-2/($G$1*L8*L8)</f>
        <v>-6.550647506409954E-2</v>
      </c>
      <c r="O14" s="29"/>
      <c r="P14" s="28"/>
      <c r="Q14" s="28"/>
      <c r="R14" s="28"/>
      <c r="S14" s="28"/>
      <c r="T14" s="28"/>
    </row>
    <row r="15" spans="1:20" x14ac:dyDescent="0.25">
      <c r="A15" s="48"/>
      <c r="B15" s="49">
        <f>0.5*B12*(-1+B12/$G$1)</f>
        <v>-0.100490257869747</v>
      </c>
      <c r="C15" s="49">
        <f>(0.5-B12/$G$1)/B8</f>
        <v>0.13749126273673831</v>
      </c>
      <c r="D15" s="49">
        <f>1/($G$1*B8*B8)</f>
        <v>1.8020492100076523E-2</v>
      </c>
      <c r="E15" s="49"/>
      <c r="F15" s="49"/>
      <c r="G15" s="49"/>
      <c r="H15" s="49"/>
      <c r="I15" s="49">
        <f>0.5*I12*(-1+I12/$G$1)</f>
        <v>0</v>
      </c>
      <c r="J15" s="49">
        <f>(0.5-I12/$G$1)/I8</f>
        <v>0.39543302271888281</v>
      </c>
      <c r="K15" s="49">
        <f>1/($G$1*I8*I8)</f>
        <v>0.12509382036527394</v>
      </c>
      <c r="L15" s="49">
        <f>0.5*L12*(-1+L12/$G$1)</f>
        <v>-6.4816554013822927E-2</v>
      </c>
      <c r="M15" s="49">
        <f>(0.5-L12/$G$1)/L8</f>
        <v>0.19156106842418391</v>
      </c>
      <c r="N15" s="50">
        <f>1/($G$1*L8*L8)</f>
        <v>3.275323753204977E-2</v>
      </c>
      <c r="O15" s="29"/>
      <c r="P15" s="28"/>
      <c r="Q15" s="28"/>
      <c r="R15" s="28"/>
      <c r="S15" s="28"/>
      <c r="T15" s="28"/>
    </row>
    <row r="16" spans="1:20" x14ac:dyDescent="0.25">
      <c r="A16" s="47" t="s">
        <v>2</v>
      </c>
      <c r="B16" s="34">
        <f>1</f>
        <v>1</v>
      </c>
      <c r="C16" s="34">
        <f>1</f>
        <v>1</v>
      </c>
      <c r="D16" s="34">
        <f>1</f>
        <v>1</v>
      </c>
      <c r="E16" s="34"/>
      <c r="F16" s="34"/>
      <c r="G16" s="34"/>
      <c r="H16" s="34"/>
      <c r="I16" s="34">
        <f>1</f>
        <v>1</v>
      </c>
      <c r="J16" s="34">
        <f>1</f>
        <v>1</v>
      </c>
      <c r="K16" s="34">
        <f>1</f>
        <v>1</v>
      </c>
      <c r="L16" s="34">
        <f>1</f>
        <v>1</v>
      </c>
      <c r="M16" s="34">
        <f>1</f>
        <v>1</v>
      </c>
      <c r="N16" s="38">
        <f>1</f>
        <v>1</v>
      </c>
      <c r="O16" s="29"/>
      <c r="P16" s="28"/>
      <c r="Q16" s="28"/>
      <c r="R16" s="28"/>
      <c r="S16" s="28"/>
      <c r="T16" s="28"/>
    </row>
    <row r="17" spans="1:20" x14ac:dyDescent="0.25">
      <c r="A17" s="46"/>
      <c r="B17" s="35">
        <f>B9</f>
        <v>-2.6325611307152545</v>
      </c>
      <c r="C17" s="35">
        <f>B6</f>
        <v>0.69887640449438204</v>
      </c>
      <c r="D17" s="35">
        <f>B10</f>
        <v>4.0303139397040191</v>
      </c>
      <c r="E17" s="35"/>
      <c r="F17" s="35"/>
      <c r="G17" s="35"/>
      <c r="H17" s="35"/>
      <c r="I17" s="35">
        <f>I9</f>
        <v>-1.2644366334458994</v>
      </c>
      <c r="J17" s="35">
        <f>I6</f>
        <v>0</v>
      </c>
      <c r="K17" s="35">
        <f>I10</f>
        <v>1.2644366334458994</v>
      </c>
      <c r="L17" s="35">
        <f>L9</f>
        <v>-2.1419855860078463</v>
      </c>
      <c r="M17" s="35">
        <f>L6</f>
        <v>0.32910052910052906</v>
      </c>
      <c r="N17" s="42">
        <f>L10</f>
        <v>2.8001866442089045</v>
      </c>
      <c r="O17" s="29"/>
      <c r="P17" s="28"/>
      <c r="Q17" s="28"/>
      <c r="R17" s="28"/>
      <c r="S17" s="28"/>
      <c r="T17" s="28"/>
    </row>
    <row r="18" spans="1:20" x14ac:dyDescent="0.25">
      <c r="A18" s="48"/>
      <c r="B18" s="49">
        <f>B11-B6*B8</f>
        <v>25.662141155483713</v>
      </c>
      <c r="C18" s="49">
        <f>0.5*B6*B6</f>
        <v>0.24421411437949755</v>
      </c>
      <c r="D18" s="49">
        <f>B11+B6*B8</f>
        <v>30.318667328293589</v>
      </c>
      <c r="E18" s="49"/>
      <c r="F18" s="49"/>
      <c r="G18" s="49"/>
      <c r="H18" s="49"/>
      <c r="I18" s="49">
        <f>I11-I6*I8</f>
        <v>3.9969999999999999</v>
      </c>
      <c r="J18" s="49">
        <f>0.5*I6*I6</f>
        <v>0</v>
      </c>
      <c r="K18" s="49">
        <f>I11+I6*I8</f>
        <v>3.9969999999999999</v>
      </c>
      <c r="L18" s="49">
        <f>L11-L6*L8</f>
        <v>14.506584301895495</v>
      </c>
      <c r="M18" s="49">
        <f>0.5*L6*L6</f>
        <v>5.4153579127124089E-2</v>
      </c>
      <c r="N18" s="50">
        <f>L11+L6*L8</f>
        <v>16.13305579776577</v>
      </c>
      <c r="O18" s="29"/>
      <c r="P18" s="28"/>
      <c r="Q18" s="28"/>
      <c r="R18" s="28"/>
      <c r="S18" s="28"/>
      <c r="T18" s="28"/>
    </row>
    <row r="19" spans="1:20" x14ac:dyDescent="0.25">
      <c r="A19" s="47" t="s">
        <v>1</v>
      </c>
      <c r="B19" s="37">
        <f>B13*B16+C13*B17+D13*B18</f>
        <v>0.99999999999999989</v>
      </c>
      <c r="C19" s="37">
        <f>B13*C16+C13*C17+D13*C18</f>
        <v>1.9949319973733282E-17</v>
      </c>
      <c r="D19" s="37">
        <f>B13*D16+C13*D17+D13*D18</f>
        <v>0</v>
      </c>
      <c r="E19" s="37"/>
      <c r="F19" s="34"/>
      <c r="G19" s="34"/>
      <c r="H19" s="34"/>
      <c r="I19" s="37">
        <f>I13*I16+J13*I17+K13*I18</f>
        <v>1</v>
      </c>
      <c r="J19" s="37">
        <f>I13*J16+J13*J17+K13*J18</f>
        <v>0</v>
      </c>
      <c r="K19" s="37">
        <f>I13*K16+J13*K17+K13*K18</f>
        <v>0</v>
      </c>
      <c r="L19" s="37">
        <f>L13*L16+M13*L17+N13*L18</f>
        <v>0.99999999999999989</v>
      </c>
      <c r="M19" s="37">
        <f>L13*M16+M13*M17+N13*M18</f>
        <v>8.0230960763927328E-18</v>
      </c>
      <c r="N19" s="51">
        <f>L13*N16+M13*N17+N13*N18</f>
        <v>0</v>
      </c>
      <c r="O19" s="29"/>
      <c r="P19" s="28"/>
      <c r="Q19" s="28"/>
      <c r="R19" s="28"/>
      <c r="S19" s="28"/>
      <c r="T19" s="28"/>
    </row>
    <row r="20" spans="1:20" x14ac:dyDescent="0.25">
      <c r="A20" s="46"/>
      <c r="B20" s="41">
        <f>B14*B16+C14*B17+D14*B18</f>
        <v>0</v>
      </c>
      <c r="C20" s="41">
        <f>B14*C16+C14*C17+D14*C18</f>
        <v>0.99999999999999978</v>
      </c>
      <c r="D20" s="41">
        <f>B14*D16+C14*D17+D14*D18</f>
        <v>0</v>
      </c>
      <c r="E20" s="41"/>
      <c r="F20" s="35"/>
      <c r="G20" s="35"/>
      <c r="H20" s="35"/>
      <c r="I20" s="41">
        <f>I14*I16+J14*I17+K14*I18</f>
        <v>0</v>
      </c>
      <c r="J20" s="41">
        <f>I14*J16+J14*J17+K14*J18</f>
        <v>0.99999999999999989</v>
      </c>
      <c r="K20" s="41">
        <f>I14*K16+J14*K17+K14*K18</f>
        <v>0</v>
      </c>
      <c r="L20" s="41">
        <f>L14*L16+M14*L17+N14*L18</f>
        <v>0</v>
      </c>
      <c r="M20" s="41">
        <f>L14*M16+M14*M17+N14*M18</f>
        <v>0.99999999999999978</v>
      </c>
      <c r="N20" s="52">
        <f>L14*N16+M14*N17+N14*N18</f>
        <v>0</v>
      </c>
      <c r="O20" s="29"/>
      <c r="P20" s="28"/>
      <c r="Q20" s="28"/>
      <c r="R20" s="28"/>
      <c r="S20" s="28"/>
      <c r="T20" s="28"/>
    </row>
    <row r="21" spans="1:20" x14ac:dyDescent="0.25">
      <c r="A21" s="46"/>
      <c r="B21" s="41">
        <f>B15*B16+C15*B17+D15*B18</f>
        <v>0</v>
      </c>
      <c r="C21" s="41">
        <f>B15*C16+C15*C17+D15*C18</f>
        <v>0</v>
      </c>
      <c r="D21" s="41">
        <f>B15*D16+C15*D17+D15*D18</f>
        <v>1</v>
      </c>
      <c r="E21" s="41"/>
      <c r="F21" s="35"/>
      <c r="G21" s="35"/>
      <c r="H21" s="35"/>
      <c r="I21" s="41">
        <f>I15*I16+J15*I17+K15*I18</f>
        <v>0</v>
      </c>
      <c r="J21" s="41">
        <f>I15*J16+J15*J17+K15*J18</f>
        <v>0</v>
      </c>
      <c r="K21" s="41">
        <f>I15*K16+J15*K17+K15*K18</f>
        <v>1</v>
      </c>
      <c r="L21" s="41">
        <f>L15*L16+M15*L17+N15*L18</f>
        <v>0</v>
      </c>
      <c r="M21" s="41">
        <f>L15*M16+M15*M17+N15*M18</f>
        <v>-5.8546917314217239E-18</v>
      </c>
      <c r="N21" s="52">
        <f>L15*N16+M15*N17+N15*N18</f>
        <v>1</v>
      </c>
      <c r="O21" s="29"/>
      <c r="P21" s="28"/>
      <c r="Q21" s="28"/>
      <c r="R21" s="28"/>
      <c r="S21" s="28"/>
      <c r="T21" s="28"/>
    </row>
    <row r="22" spans="1:20" x14ac:dyDescent="0.25">
      <c r="A22" s="47" t="s">
        <v>0</v>
      </c>
      <c r="B22" s="34">
        <f>B13*B3+C13*B4+D13*B5</f>
        <v>0.15892857142857142</v>
      </c>
      <c r="C22" s="34"/>
      <c r="D22" s="34"/>
      <c r="E22" s="34"/>
      <c r="F22" s="34"/>
      <c r="G22" s="34"/>
      <c r="H22" s="34"/>
      <c r="I22" s="34">
        <f>I13*I3+J13*I4+K13*I5</f>
        <v>0.17857142857142855</v>
      </c>
      <c r="J22" s="34"/>
      <c r="K22" s="34"/>
      <c r="L22" s="34">
        <f>L13*L3+M13*L4+N13*L5</f>
        <v>0.16874999999999998</v>
      </c>
      <c r="M22" s="37">
        <f t="shared" ref="M22:M27" si="4">AVERAGE(B22,I22)</f>
        <v>0.16874999999999998</v>
      </c>
      <c r="N22" s="34"/>
      <c r="O22" s="34" t="s">
        <v>22</v>
      </c>
      <c r="P22" s="38">
        <f>L13*P3+M13*P4+N13*P5</f>
        <v>-0.1756255427514522</v>
      </c>
      <c r="Q22" s="29"/>
      <c r="R22" s="29"/>
      <c r="S22" s="29"/>
      <c r="T22" s="28"/>
    </row>
    <row r="23" spans="1:20" x14ac:dyDescent="0.25">
      <c r="A23" s="53"/>
      <c r="B23" s="35">
        <f>B14*B3+C14*B4+D14*B5</f>
        <v>0.12714285714285706</v>
      </c>
      <c r="C23" s="35"/>
      <c r="D23" s="35"/>
      <c r="E23" s="35"/>
      <c r="F23" s="35"/>
      <c r="G23" s="35"/>
      <c r="H23" s="35"/>
      <c r="I23" s="35">
        <f>I14*I3+J14*I4+K14*I5</f>
        <v>0.14285714285714285</v>
      </c>
      <c r="J23" s="35"/>
      <c r="K23" s="35"/>
      <c r="L23" s="35">
        <f>L14*L3+M14*L4+N14*L5</f>
        <v>0.13499999999999995</v>
      </c>
      <c r="M23" s="41">
        <f t="shared" si="4"/>
        <v>0.13499999999999995</v>
      </c>
      <c r="N23" s="35"/>
      <c r="O23" s="35"/>
      <c r="P23" s="42">
        <f>L14*P3+M14*P4+N14*P5</f>
        <v>0.53943160361127296</v>
      </c>
      <c r="Q23" s="29"/>
      <c r="R23" s="29"/>
      <c r="S23" s="29"/>
      <c r="T23" s="28"/>
    </row>
    <row r="24" spans="1:20" x14ac:dyDescent="0.25">
      <c r="A24" s="53"/>
      <c r="B24" s="35">
        <f>B15*B3+C15*B4+D15*B5</f>
        <v>0.15892857142857139</v>
      </c>
      <c r="C24" s="35"/>
      <c r="D24" s="35"/>
      <c r="E24" s="35"/>
      <c r="F24" s="35"/>
      <c r="G24" s="35"/>
      <c r="H24" s="35"/>
      <c r="I24" s="35">
        <f>I15*I3+J15*I4+K15*I5</f>
        <v>0.17857142857142855</v>
      </c>
      <c r="J24" s="35"/>
      <c r="K24" s="35"/>
      <c r="L24" s="35">
        <f>L15*L3+M15*L4+N15*L5</f>
        <v>0.16874999999999998</v>
      </c>
      <c r="M24" s="41">
        <f t="shared" si="4"/>
        <v>0.16874999999999996</v>
      </c>
      <c r="N24" s="35"/>
      <c r="O24" s="35"/>
      <c r="P24" s="42">
        <f>L15*P3+M15*P4+N15*P5</f>
        <v>-0.30880606085982076</v>
      </c>
      <c r="Q24" s="29"/>
      <c r="R24" s="29"/>
      <c r="S24" s="29"/>
      <c r="T24" s="28"/>
    </row>
    <row r="25" spans="1:20" x14ac:dyDescent="0.25">
      <c r="A25" s="54" t="s">
        <v>23</v>
      </c>
      <c r="B25" s="41">
        <f>B22*B16+B23*C16+B24*D16</f>
        <v>0.44499999999999984</v>
      </c>
      <c r="C25" s="34"/>
      <c r="D25" s="34"/>
      <c r="E25" s="34"/>
      <c r="F25" s="34"/>
      <c r="G25" s="34"/>
      <c r="H25" s="34"/>
      <c r="I25" s="34">
        <f>I22*I16+I23*J16+I24*K16</f>
        <v>0.49999999999999994</v>
      </c>
      <c r="J25" s="34"/>
      <c r="K25" s="34"/>
      <c r="L25" s="34">
        <f>L22*L16+L23*M16+L24*N16</f>
        <v>0.47249999999999992</v>
      </c>
      <c r="M25" s="37">
        <f t="shared" si="4"/>
        <v>0.47249999999999992</v>
      </c>
      <c r="N25" s="34"/>
      <c r="O25" s="34" t="s">
        <v>28</v>
      </c>
      <c r="P25" s="34">
        <f>P22*L16</f>
        <v>-0.1756255427514522</v>
      </c>
      <c r="Q25" s="34">
        <f>P23*M16</f>
        <v>0.53943160361127296</v>
      </c>
      <c r="R25" s="34">
        <f>P24*N16</f>
        <v>-0.30880606085982076</v>
      </c>
      <c r="S25" s="51">
        <f>SUM(P25:R25)</f>
        <v>5.4999999999999993E-2</v>
      </c>
      <c r="T25" s="28"/>
    </row>
    <row r="26" spans="1:20" x14ac:dyDescent="0.25">
      <c r="A26" s="53"/>
      <c r="B26" s="41">
        <f>B22*B17+B23*C17+B24*D17</f>
        <v>0.31099999999999989</v>
      </c>
      <c r="C26" s="35"/>
      <c r="D26" s="35"/>
      <c r="E26" s="35"/>
      <c r="F26" s="35"/>
      <c r="G26" s="35"/>
      <c r="H26" s="35"/>
      <c r="I26" s="35">
        <f>I22*I17+I23*J17+I24*K17</f>
        <v>0</v>
      </c>
      <c r="J26" s="35"/>
      <c r="K26" s="35"/>
      <c r="L26" s="35">
        <f>L22*L17+L23*M17+L24*N17</f>
        <v>0.15549999999999997</v>
      </c>
      <c r="M26" s="41">
        <f t="shared" si="4"/>
        <v>0.15549999999999994</v>
      </c>
      <c r="N26" s="35"/>
      <c r="O26" s="35"/>
      <c r="P26" s="35">
        <f>P22*L17</f>
        <v>0.37618738110841543</v>
      </c>
      <c r="Q26" s="35">
        <f>P23*M17</f>
        <v>0.1775272261620168</v>
      </c>
      <c r="R26" s="35">
        <f>P24*N17</f>
        <v>-0.86471460727043226</v>
      </c>
      <c r="S26" s="52">
        <f t="shared" ref="S26:S27" si="5">SUM(P26:R26)</f>
        <v>-0.31100000000000005</v>
      </c>
      <c r="T26" s="28"/>
    </row>
    <row r="27" spans="1:20" x14ac:dyDescent="0.25">
      <c r="A27" s="55"/>
      <c r="B27" s="41">
        <f>B22*B18+B23*C18+B24*D18</f>
        <v>8.927999999999999</v>
      </c>
      <c r="C27" s="49"/>
      <c r="D27" s="49"/>
      <c r="E27" s="49"/>
      <c r="F27" s="49"/>
      <c r="G27" s="49"/>
      <c r="H27" s="49"/>
      <c r="I27" s="49">
        <f>I22*I18+I23*J18+I24*K18</f>
        <v>1.4274999999999998</v>
      </c>
      <c r="J27" s="49"/>
      <c r="K27" s="49"/>
      <c r="L27" s="49">
        <f>L22*L18+L23*M18+L24*N18</f>
        <v>5.1777499999999996</v>
      </c>
      <c r="M27" s="56">
        <f t="shared" si="4"/>
        <v>5.1777499999999996</v>
      </c>
      <c r="N27" s="49"/>
      <c r="O27" s="49"/>
      <c r="P27" s="49">
        <f>P22*L18</f>
        <v>-2.5477267414900928</v>
      </c>
      <c r="Q27" s="49">
        <f>P23*M18</f>
        <v>2.9212152029834508E-2</v>
      </c>
      <c r="R27" s="49">
        <f>P24*N18</f>
        <v>-4.9819854105397408</v>
      </c>
      <c r="S27" s="57">
        <f t="shared" si="5"/>
        <v>-7.5004999999999988</v>
      </c>
      <c r="T27" s="28"/>
    </row>
  </sheetData>
  <sheetProtection algorithmName="SHA-512" hashValue="VHfSzet28IvOTv0QEyrnw3nU8byb1BNMZYHENhIpWmEpKsEs1CzHu/A0tHSPrcimwQvFUCFj4DA/Knl1T19ymg==" saltValue="Ohq3EdX5TpYrbOqAF35AXw==" spinCount="100000" sheet="1" objects="1" scenarios="1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zoomScaleNormal="100" workbookViewId="0">
      <selection activeCell="C6" sqref="C6"/>
    </sheetView>
  </sheetViews>
  <sheetFormatPr defaultRowHeight="13.5" x14ac:dyDescent="0.25"/>
  <cols>
    <col min="1" max="1" width="5.875" bestFit="1" customWidth="1"/>
    <col min="2" max="7" width="17.125" customWidth="1"/>
    <col min="257" max="257" width="5.875" bestFit="1" customWidth="1"/>
    <col min="258" max="263" width="17.125" customWidth="1"/>
    <col min="513" max="513" width="5.875" bestFit="1" customWidth="1"/>
    <col min="514" max="519" width="17.125" customWidth="1"/>
    <col min="769" max="769" width="5.875" bestFit="1" customWidth="1"/>
    <col min="770" max="775" width="17.125" customWidth="1"/>
    <col min="1025" max="1025" width="5.875" bestFit="1" customWidth="1"/>
    <col min="1026" max="1031" width="17.125" customWidth="1"/>
    <col min="1281" max="1281" width="5.875" bestFit="1" customWidth="1"/>
    <col min="1282" max="1287" width="17.125" customWidth="1"/>
    <col min="1537" max="1537" width="5.875" bestFit="1" customWidth="1"/>
    <col min="1538" max="1543" width="17.125" customWidth="1"/>
    <col min="1793" max="1793" width="5.875" bestFit="1" customWidth="1"/>
    <col min="1794" max="1799" width="17.125" customWidth="1"/>
    <col min="2049" max="2049" width="5.875" bestFit="1" customWidth="1"/>
    <col min="2050" max="2055" width="17.125" customWidth="1"/>
    <col min="2305" max="2305" width="5.875" bestFit="1" customWidth="1"/>
    <col min="2306" max="2311" width="17.125" customWidth="1"/>
    <col min="2561" max="2561" width="5.875" bestFit="1" customWidth="1"/>
    <col min="2562" max="2567" width="17.125" customWidth="1"/>
    <col min="2817" max="2817" width="5.875" bestFit="1" customWidth="1"/>
    <col min="2818" max="2823" width="17.125" customWidth="1"/>
    <col min="3073" max="3073" width="5.875" bestFit="1" customWidth="1"/>
    <col min="3074" max="3079" width="17.125" customWidth="1"/>
    <col min="3329" max="3329" width="5.875" bestFit="1" customWidth="1"/>
    <col min="3330" max="3335" width="17.125" customWidth="1"/>
    <col min="3585" max="3585" width="5.875" bestFit="1" customWidth="1"/>
    <col min="3586" max="3591" width="17.125" customWidth="1"/>
    <col min="3841" max="3841" width="5.875" bestFit="1" customWidth="1"/>
    <col min="3842" max="3847" width="17.125" customWidth="1"/>
    <col min="4097" max="4097" width="5.875" bestFit="1" customWidth="1"/>
    <col min="4098" max="4103" width="17.125" customWidth="1"/>
    <col min="4353" max="4353" width="5.875" bestFit="1" customWidth="1"/>
    <col min="4354" max="4359" width="17.125" customWidth="1"/>
    <col min="4609" max="4609" width="5.875" bestFit="1" customWidth="1"/>
    <col min="4610" max="4615" width="17.125" customWidth="1"/>
    <col min="4865" max="4865" width="5.875" bestFit="1" customWidth="1"/>
    <col min="4866" max="4871" width="17.125" customWidth="1"/>
    <col min="5121" max="5121" width="5.875" bestFit="1" customWidth="1"/>
    <col min="5122" max="5127" width="17.125" customWidth="1"/>
    <col min="5377" max="5377" width="5.875" bestFit="1" customWidth="1"/>
    <col min="5378" max="5383" width="17.125" customWidth="1"/>
    <col min="5633" max="5633" width="5.875" bestFit="1" customWidth="1"/>
    <col min="5634" max="5639" width="17.125" customWidth="1"/>
    <col min="5889" max="5889" width="5.875" bestFit="1" customWidth="1"/>
    <col min="5890" max="5895" width="17.125" customWidth="1"/>
    <col min="6145" max="6145" width="5.875" bestFit="1" customWidth="1"/>
    <col min="6146" max="6151" width="17.125" customWidth="1"/>
    <col min="6401" max="6401" width="5.875" bestFit="1" customWidth="1"/>
    <col min="6402" max="6407" width="17.125" customWidth="1"/>
    <col min="6657" max="6657" width="5.875" bestFit="1" customWidth="1"/>
    <col min="6658" max="6663" width="17.125" customWidth="1"/>
    <col min="6913" max="6913" width="5.875" bestFit="1" customWidth="1"/>
    <col min="6914" max="6919" width="17.125" customWidth="1"/>
    <col min="7169" max="7169" width="5.875" bestFit="1" customWidth="1"/>
    <col min="7170" max="7175" width="17.125" customWidth="1"/>
    <col min="7425" max="7425" width="5.875" bestFit="1" customWidth="1"/>
    <col min="7426" max="7431" width="17.125" customWidth="1"/>
    <col min="7681" max="7681" width="5.875" bestFit="1" customWidth="1"/>
    <col min="7682" max="7687" width="17.125" customWidth="1"/>
    <col min="7937" max="7937" width="5.875" bestFit="1" customWidth="1"/>
    <col min="7938" max="7943" width="17.125" customWidth="1"/>
    <col min="8193" max="8193" width="5.875" bestFit="1" customWidth="1"/>
    <col min="8194" max="8199" width="17.125" customWidth="1"/>
    <col min="8449" max="8449" width="5.875" bestFit="1" customWidth="1"/>
    <col min="8450" max="8455" width="17.125" customWidth="1"/>
    <col min="8705" max="8705" width="5.875" bestFit="1" customWidth="1"/>
    <col min="8706" max="8711" width="17.125" customWidth="1"/>
    <col min="8961" max="8961" width="5.875" bestFit="1" customWidth="1"/>
    <col min="8962" max="8967" width="17.125" customWidth="1"/>
    <col min="9217" max="9217" width="5.875" bestFit="1" customWidth="1"/>
    <col min="9218" max="9223" width="17.125" customWidth="1"/>
    <col min="9473" max="9473" width="5.875" bestFit="1" customWidth="1"/>
    <col min="9474" max="9479" width="17.125" customWidth="1"/>
    <col min="9729" max="9729" width="5.875" bestFit="1" customWidth="1"/>
    <col min="9730" max="9735" width="17.125" customWidth="1"/>
    <col min="9985" max="9985" width="5.875" bestFit="1" customWidth="1"/>
    <col min="9986" max="9991" width="17.125" customWidth="1"/>
    <col min="10241" max="10241" width="5.875" bestFit="1" customWidth="1"/>
    <col min="10242" max="10247" width="17.125" customWidth="1"/>
    <col min="10497" max="10497" width="5.875" bestFit="1" customWidth="1"/>
    <col min="10498" max="10503" width="17.125" customWidth="1"/>
    <col min="10753" max="10753" width="5.875" bestFit="1" customWidth="1"/>
    <col min="10754" max="10759" width="17.125" customWidth="1"/>
    <col min="11009" max="11009" width="5.875" bestFit="1" customWidth="1"/>
    <col min="11010" max="11015" width="17.125" customWidth="1"/>
    <col min="11265" max="11265" width="5.875" bestFit="1" customWidth="1"/>
    <col min="11266" max="11271" width="17.125" customWidth="1"/>
    <col min="11521" max="11521" width="5.875" bestFit="1" customWidth="1"/>
    <col min="11522" max="11527" width="17.125" customWidth="1"/>
    <col min="11777" max="11777" width="5.875" bestFit="1" customWidth="1"/>
    <col min="11778" max="11783" width="17.125" customWidth="1"/>
    <col min="12033" max="12033" width="5.875" bestFit="1" customWidth="1"/>
    <col min="12034" max="12039" width="17.125" customWidth="1"/>
    <col min="12289" max="12289" width="5.875" bestFit="1" customWidth="1"/>
    <col min="12290" max="12295" width="17.125" customWidth="1"/>
    <col min="12545" max="12545" width="5.875" bestFit="1" customWidth="1"/>
    <col min="12546" max="12551" width="17.125" customWidth="1"/>
    <col min="12801" max="12801" width="5.875" bestFit="1" customWidth="1"/>
    <col min="12802" max="12807" width="17.125" customWidth="1"/>
    <col min="13057" max="13057" width="5.875" bestFit="1" customWidth="1"/>
    <col min="13058" max="13063" width="17.125" customWidth="1"/>
    <col min="13313" max="13313" width="5.875" bestFit="1" customWidth="1"/>
    <col min="13314" max="13319" width="17.125" customWidth="1"/>
    <col min="13569" max="13569" width="5.875" bestFit="1" customWidth="1"/>
    <col min="13570" max="13575" width="17.125" customWidth="1"/>
    <col min="13825" max="13825" width="5.875" bestFit="1" customWidth="1"/>
    <col min="13826" max="13831" width="17.125" customWidth="1"/>
    <col min="14081" max="14081" width="5.875" bestFit="1" customWidth="1"/>
    <col min="14082" max="14087" width="17.125" customWidth="1"/>
    <col min="14337" max="14337" width="5.875" bestFit="1" customWidth="1"/>
    <col min="14338" max="14343" width="17.125" customWidth="1"/>
    <col min="14593" max="14593" width="5.875" bestFit="1" customWidth="1"/>
    <col min="14594" max="14599" width="17.125" customWidth="1"/>
    <col min="14849" max="14849" width="5.875" bestFit="1" customWidth="1"/>
    <col min="14850" max="14855" width="17.125" customWidth="1"/>
    <col min="15105" max="15105" width="5.875" bestFit="1" customWidth="1"/>
    <col min="15106" max="15111" width="17.125" customWidth="1"/>
    <col min="15361" max="15361" width="5.875" bestFit="1" customWidth="1"/>
    <col min="15362" max="15367" width="17.125" customWidth="1"/>
    <col min="15617" max="15617" width="5.875" bestFit="1" customWidth="1"/>
    <col min="15618" max="15623" width="17.125" customWidth="1"/>
    <col min="15873" max="15873" width="5.875" bestFit="1" customWidth="1"/>
    <col min="15874" max="15879" width="17.125" customWidth="1"/>
    <col min="16129" max="16129" width="5.875" bestFit="1" customWidth="1"/>
    <col min="16130" max="16135" width="17.125" customWidth="1"/>
  </cols>
  <sheetData>
    <row r="1" spans="1:15" ht="20.25" customHeight="1" x14ac:dyDescent="0.25">
      <c r="A1" t="s">
        <v>29</v>
      </c>
    </row>
    <row r="2" spans="1:15" ht="14.25" thickBot="1" x14ac:dyDescent="0.3">
      <c r="B2" s="25">
        <v>1.4</v>
      </c>
      <c r="C2">
        <f>(B2-1)/(B2+1)</f>
        <v>0.16666666666666663</v>
      </c>
      <c r="D2">
        <f>2/(B2-1)</f>
        <v>5.0000000000000009</v>
      </c>
      <c r="E2">
        <f>2/(B2+1)</f>
        <v>0.83333333333333337</v>
      </c>
    </row>
    <row r="3" spans="1:15" ht="14.25" thickBot="1" x14ac:dyDescent="0.3">
      <c r="A3" s="6"/>
      <c r="B3" s="5">
        <v>3</v>
      </c>
      <c r="C3" s="5">
        <v>2</v>
      </c>
      <c r="D3" s="5">
        <v>1</v>
      </c>
      <c r="E3" s="5">
        <v>0</v>
      </c>
      <c r="F3" s="7">
        <f>B19*N3-1</f>
        <v>-1.3685585583001356</v>
      </c>
      <c r="G3" s="7">
        <f>B19*N3</f>
        <v>-0.36855855830013567</v>
      </c>
      <c r="H3" s="7">
        <f>C19*N3</f>
        <v>-0.22909937580277209</v>
      </c>
      <c r="I3" s="7">
        <f>C18*N3</f>
        <v>0.21406212957632034</v>
      </c>
      <c r="J3" s="7">
        <f>C18*N3</f>
        <v>0.21406212957632034</v>
      </c>
      <c r="K3" s="7">
        <f>D17*N3</f>
        <v>0.3471439633197585</v>
      </c>
      <c r="L3" s="7">
        <f>D17*N3</f>
        <v>0.3471439633197585</v>
      </c>
      <c r="M3" s="7">
        <f>D17*N3+1</f>
        <v>1.3471439633197586</v>
      </c>
      <c r="N3" s="8">
        <v>0.14000000000000001</v>
      </c>
      <c r="O3" s="9"/>
    </row>
    <row r="4" spans="1:15" x14ac:dyDescent="0.25">
      <c r="A4" s="2"/>
      <c r="B4" s="3">
        <v>0.44500000000000001</v>
      </c>
      <c r="C4" s="4">
        <f>D4*C22</f>
        <v>0.34464470006331149</v>
      </c>
      <c r="D4" s="4">
        <f>E4*A22</f>
        <v>1.3042500000000001</v>
      </c>
      <c r="E4" s="3">
        <v>0.5</v>
      </c>
      <c r="F4" s="7">
        <f>B4*O4+N4</f>
        <v>0.44500000000000001</v>
      </c>
      <c r="G4" s="7">
        <f>B4*O4+N4</f>
        <v>0.44500000000000001</v>
      </c>
      <c r="H4" s="7">
        <f>C4*O4+N4</f>
        <v>0.34464470006331149</v>
      </c>
      <c r="I4" s="7">
        <f>C4*O4+N4</f>
        <v>0.34464470006331149</v>
      </c>
      <c r="J4" s="7">
        <f>D4*O4+N4</f>
        <v>1.3042500000000001</v>
      </c>
      <c r="K4" s="7">
        <f>D4*O4+N4</f>
        <v>1.3042500000000001</v>
      </c>
      <c r="L4" s="7">
        <f>E4*O4+N4</f>
        <v>0.5</v>
      </c>
      <c r="M4" s="7">
        <f>E4*O4+N4</f>
        <v>0.5</v>
      </c>
      <c r="N4" s="10">
        <v>0</v>
      </c>
      <c r="O4" s="11">
        <v>1</v>
      </c>
    </row>
    <row r="5" spans="1:15" x14ac:dyDescent="0.25">
      <c r="A5" s="2"/>
      <c r="B5" s="3">
        <v>0.311</v>
      </c>
      <c r="C5" s="4">
        <f>C4*C7</f>
        <v>0.52696698887674742</v>
      </c>
      <c r="D5" s="4">
        <f>D4*D7</f>
        <v>1.9942180892851129</v>
      </c>
      <c r="E5" s="3">
        <v>0</v>
      </c>
      <c r="F5" s="12">
        <f>B5*O5+N5</f>
        <v>1.5109999999999999</v>
      </c>
      <c r="G5" s="7">
        <f>B5*O5+N5</f>
        <v>1.5109999999999999</v>
      </c>
      <c r="H5" s="7">
        <f>C5*O5+N5</f>
        <v>1.7269669888767474</v>
      </c>
      <c r="I5" s="7">
        <f>C5*O5+N5</f>
        <v>1.7269669888767474</v>
      </c>
      <c r="J5" s="7">
        <f>D5*O5+N5</f>
        <v>3.1942180892851129</v>
      </c>
      <c r="K5" s="7">
        <f>D5*O5+N5</f>
        <v>3.1942180892851129</v>
      </c>
      <c r="L5" s="7">
        <f>E5*O5+N5</f>
        <v>1.2</v>
      </c>
      <c r="M5" s="7">
        <f>E5*O5+N5</f>
        <v>1.2</v>
      </c>
      <c r="N5" s="10">
        <v>1.2</v>
      </c>
      <c r="O5" s="11">
        <v>1</v>
      </c>
    </row>
    <row r="6" spans="1:15" ht="14.25" thickBot="1" x14ac:dyDescent="0.3">
      <c r="A6" s="2"/>
      <c r="B6" s="3">
        <v>8.9280000000000008</v>
      </c>
      <c r="C6" s="4">
        <f>0.5*C4*C7*C7+C8/($B$2-1)</f>
        <v>6.5695524174548918</v>
      </c>
      <c r="D6" s="4">
        <f>0.5*D4*D7*D7+D8/($B$2-1)</f>
        <v>7.6912770430856563</v>
      </c>
      <c r="E6" s="3">
        <v>1.4275</v>
      </c>
      <c r="F6" s="7">
        <f>B6*O6+N6</f>
        <v>4.6783999999999999</v>
      </c>
      <c r="G6" s="7">
        <f>B6*O6+N6</f>
        <v>4.6783999999999999</v>
      </c>
      <c r="H6" s="7">
        <f>C6*O6+N6</f>
        <v>3.9708657252364672</v>
      </c>
      <c r="I6" s="7">
        <f>C6*O6+N6</f>
        <v>3.9708657252364672</v>
      </c>
      <c r="J6" s="7">
        <f>D6*O6+N6</f>
        <v>4.307383112925697</v>
      </c>
      <c r="K6" s="7">
        <f>D6*O6+N6</f>
        <v>4.307383112925697</v>
      </c>
      <c r="L6" s="7">
        <f>E6*O6+N6</f>
        <v>2.4282499999999998</v>
      </c>
      <c r="M6" s="7">
        <f>E6*O6+N6</f>
        <v>2.4282499999999998</v>
      </c>
      <c r="N6" s="13">
        <v>2</v>
      </c>
      <c r="O6" s="14">
        <v>0.3</v>
      </c>
    </row>
    <row r="7" spans="1:15" x14ac:dyDescent="0.25">
      <c r="A7" s="2"/>
      <c r="B7" s="1">
        <f>B5/B4</f>
        <v>0.69887640449438204</v>
      </c>
      <c r="C7" s="4">
        <f>D7</f>
        <v>1.5290152112594309</v>
      </c>
      <c r="D7" s="4">
        <f>D14+E7</f>
        <v>1.5290152112594309</v>
      </c>
      <c r="E7" s="1">
        <f>E5/E4</f>
        <v>0</v>
      </c>
    </row>
    <row r="8" spans="1:15" x14ac:dyDescent="0.25">
      <c r="A8" s="2"/>
      <c r="B8" s="1">
        <f>($B$2-1)*(B6-0.5*B4*B7*B7)</f>
        <v>3.5277298876404495</v>
      </c>
      <c r="C8" s="4">
        <f>D8</f>
        <v>2.4666728586171307</v>
      </c>
      <c r="D8" s="4">
        <f>D13*E8</f>
        <v>2.4666728586171307</v>
      </c>
      <c r="E8" s="1">
        <f>($B$2-1)*(E6-0.5*E4*E7*E7)</f>
        <v>0.57099999999999984</v>
      </c>
    </row>
    <row r="9" spans="1:15" x14ac:dyDescent="0.25">
      <c r="A9" s="2"/>
      <c r="B9" s="1">
        <f>SQRT($B$2*B8/B4)</f>
        <v>3.3314375352096368</v>
      </c>
      <c r="C9" s="4">
        <f>SQRT($B$2*C8/C4)</f>
        <v>3.1654393241363743</v>
      </c>
      <c r="D9" s="4">
        <f>SQRT($B$2*D8/D4)</f>
        <v>1.627194144421974</v>
      </c>
      <c r="E9" s="1">
        <f>SQRT($B$2*E8/E4)</f>
        <v>1.2644366334458994</v>
      </c>
    </row>
    <row r="10" spans="1:15" x14ac:dyDescent="0.25">
      <c r="A10" s="2"/>
      <c r="B10" s="1">
        <f>B7-B9</f>
        <v>-2.6325611307152545</v>
      </c>
      <c r="C10" s="4">
        <f>C7-C9</f>
        <v>-1.6364241128769434</v>
      </c>
      <c r="D10" s="4">
        <f>D7-D9</f>
        <v>-9.8178933162543114E-2</v>
      </c>
      <c r="E10" s="1">
        <f>E7-E9</f>
        <v>-1.2644366334458994</v>
      </c>
    </row>
    <row r="11" spans="1:15" x14ac:dyDescent="0.25">
      <c r="A11" s="2"/>
      <c r="B11" s="1">
        <f>B7+B9</f>
        <v>4.0303139397040191</v>
      </c>
      <c r="C11" s="4">
        <f>C7+C9</f>
        <v>4.6944545353958054</v>
      </c>
      <c r="D11" s="4">
        <f>D7+D9</f>
        <v>3.1562093556814048</v>
      </c>
      <c r="E11" s="1">
        <f>E7+E9</f>
        <v>1.2644366334458994</v>
      </c>
    </row>
    <row r="12" spans="1:15" ht="14.25" thickBot="1" x14ac:dyDescent="0.3">
      <c r="A12" s="6"/>
      <c r="B12" s="15">
        <f>B4/C4</f>
        <v>1.2911848054481998</v>
      </c>
      <c r="C12" s="15">
        <f>C4/D4</f>
        <v>0.26424742193851752</v>
      </c>
      <c r="D12" s="15">
        <f>D4/E4</f>
        <v>2.6085000000000003</v>
      </c>
      <c r="E12" s="16"/>
    </row>
    <row r="13" spans="1:15" x14ac:dyDescent="0.25">
      <c r="A13" s="2"/>
      <c r="B13" s="17">
        <f>B12^$B$2</f>
        <v>1.4301571752073234</v>
      </c>
      <c r="C13" s="17"/>
      <c r="D13" s="17">
        <f>(D12-$C$2)/(1-$C$2*D12)</f>
        <v>4.3199174406604754</v>
      </c>
      <c r="E13" s="1"/>
    </row>
    <row r="14" spans="1:15" x14ac:dyDescent="0.25">
      <c r="A14" s="2"/>
      <c r="B14" s="17">
        <f>$D$2*C9*(1-SQRT(B13/B12))</f>
        <v>-0.82999105536631479</v>
      </c>
      <c r="C14" s="17"/>
      <c r="D14" s="17">
        <f>(D13-1)*SQRT((1-$C$2)*E8/(E4*(D13+$C$2)))</f>
        <v>1.5290152112594309</v>
      </c>
      <c r="E14" s="1"/>
    </row>
    <row r="15" spans="1:15" x14ac:dyDescent="0.25">
      <c r="A15" s="2" t="s">
        <v>19</v>
      </c>
      <c r="B15" s="17">
        <f>C7+B14</f>
        <v>0.69902415589311606</v>
      </c>
      <c r="C15" s="17"/>
      <c r="D15" s="17"/>
      <c r="E15" s="1"/>
    </row>
    <row r="16" spans="1:15" x14ac:dyDescent="0.25">
      <c r="A16" s="2" t="s">
        <v>20</v>
      </c>
      <c r="B16" s="17">
        <f>C8*B13</f>
        <v>3.527729887640449</v>
      </c>
      <c r="C16" s="17"/>
      <c r="D16" s="17"/>
      <c r="E16" s="1"/>
    </row>
    <row r="17" spans="1:7" x14ac:dyDescent="0.25">
      <c r="A17" s="58"/>
      <c r="B17" s="18"/>
      <c r="C17" s="18"/>
      <c r="D17" s="59">
        <f>(D5-E5)/(D4-E4)</f>
        <v>2.4795997379982748</v>
      </c>
      <c r="E17" s="60"/>
    </row>
    <row r="18" spans="1:7" x14ac:dyDescent="0.25">
      <c r="A18" s="58"/>
      <c r="B18" s="18"/>
      <c r="C18" s="59">
        <f>(C5-D5)/(C4-D4)</f>
        <v>1.5290152112594309</v>
      </c>
      <c r="D18" s="60"/>
      <c r="E18" s="18"/>
    </row>
    <row r="19" spans="1:7" x14ac:dyDescent="0.25">
      <c r="A19" s="58"/>
      <c r="B19" s="19">
        <f>B10</f>
        <v>-2.6325611307152545</v>
      </c>
      <c r="C19" s="19">
        <f>C10</f>
        <v>-1.6364241128769434</v>
      </c>
      <c r="D19" s="18"/>
      <c r="E19" s="18"/>
    </row>
    <row r="21" spans="1:7" ht="39" customHeight="1" x14ac:dyDescent="0.25"/>
    <row r="22" spans="1:7" s="4" customFormat="1" x14ac:dyDescent="0.25">
      <c r="A22" s="20">
        <f>A24</f>
        <v>2.6085000000000003</v>
      </c>
      <c r="B22" s="20">
        <f t="shared" ref="B22:G22" si="0">B24</f>
        <v>1.2911848054481998</v>
      </c>
      <c r="C22" s="20">
        <f t="shared" si="0"/>
        <v>0.26424742193851752</v>
      </c>
      <c r="D22" s="20">
        <f t="shared" si="0"/>
        <v>-0.79706189676657113</v>
      </c>
      <c r="E22" s="20">
        <f t="shared" si="0"/>
        <v>1.4683528895784332</v>
      </c>
      <c r="F22" s="20">
        <f t="shared" si="0"/>
        <v>0.6711491033187601</v>
      </c>
      <c r="G22" s="20">
        <f t="shared" si="0"/>
        <v>1.4188949310200982E-4</v>
      </c>
    </row>
    <row r="23" spans="1:7" x14ac:dyDescent="0.25">
      <c r="A23" s="21"/>
      <c r="B23" s="21"/>
      <c r="C23" s="21"/>
      <c r="D23" s="21"/>
      <c r="E23" s="21"/>
      <c r="F23" s="21"/>
      <c r="G23" s="21"/>
    </row>
    <row r="24" spans="1:7" s="23" customFormat="1" x14ac:dyDescent="0.25">
      <c r="A24" s="22">
        <f>AVERAGE(A25:A26)</f>
        <v>2.6085000000000003</v>
      </c>
      <c r="B24" s="23">
        <f>(B$8*(1-$C$2*A24)/(E$8*(A24-$C$2)))^(1/$B$2)</f>
        <v>1.2911848054481998</v>
      </c>
      <c r="C24" s="23">
        <f>B$4/(E$4*A24*B24)</f>
        <v>0.26424742193851752</v>
      </c>
      <c r="D24" s="23">
        <f>$D$2*(1-B24^(1/$D$2))*SQRT((A24-$C$2)/C24)</f>
        <v>-0.79706189676657113</v>
      </c>
      <c r="E24" s="23">
        <f>(A24-1)*SQRT($E$2)</f>
        <v>1.4683528895784332</v>
      </c>
      <c r="F24" s="23">
        <f>(B$7-E$7)*SQRT(A24*(1-$C$2*A24))/E$9</f>
        <v>0.6711491033187601</v>
      </c>
      <c r="G24" s="24">
        <f>D24+E24-F24</f>
        <v>1.4188949310200982E-4</v>
      </c>
    </row>
    <row r="25" spans="1:7" s="23" customFormat="1" x14ac:dyDescent="0.25">
      <c r="A25" s="25">
        <v>2.6080000000000001</v>
      </c>
      <c r="B25" s="23">
        <f>(B$8*(1-$C$2*A25)/(E$8*(A25-$C$2)))^(1/$B$2)</f>
        <v>1.2915096730590625</v>
      </c>
      <c r="C25" s="23">
        <f>B$4/(E$4*A25*B25)</f>
        <v>0.26423160107144644</v>
      </c>
      <c r="D25" s="23">
        <f>$D$2*(1-B25^(1/$D$2))*SQRT((A25-$C$2)/C25)</f>
        <v>-0.79780895656540307</v>
      </c>
      <c r="E25" s="23">
        <f>(A25-1)*SQRT($E$2)</f>
        <v>1.4678964541138453</v>
      </c>
      <c r="F25" s="23">
        <f>(B$7-E$7)*SQRT(A25*(1-$C$2*A25))/E$9</f>
        <v>0.67113424327223237</v>
      </c>
      <c r="G25" s="24">
        <f>D25+E25-F25</f>
        <v>-1.0467457237901545E-3</v>
      </c>
    </row>
    <row r="26" spans="1:7" s="23" customFormat="1" x14ac:dyDescent="0.25">
      <c r="A26" s="25">
        <v>2.609</v>
      </c>
      <c r="B26" s="23">
        <f>(B$8*(1-$C$2*A26)/(E$8*(A26-$C$2)))^(1/$B$2)</f>
        <v>1.2908600381741597</v>
      </c>
      <c r="C26" s="23">
        <f>B$4/(E$4*A26*B26)</f>
        <v>0.26426324965060277</v>
      </c>
      <c r="D26" s="23">
        <f>$D$2*(1-B26^(1/$D$2))*SQRT((A26-$C$2)/C26)</f>
        <v>-0.79631478558274227</v>
      </c>
      <c r="E26" s="23">
        <f>(A26-1)*SQRT($E$2)</f>
        <v>1.4688093250430205</v>
      </c>
      <c r="F26" s="23">
        <f>(B$7-E$7)*SQRT(A26*(1-$C$2*A26))/E$9</f>
        <v>0.67116394407066904</v>
      </c>
      <c r="G26" s="24">
        <f>D26+E26-F26</f>
        <v>1.3305953896092237E-3</v>
      </c>
    </row>
  </sheetData>
  <sheetProtection algorithmName="SHA-512" hashValue="ya6mIt9yBlrI9+DQK9sWWfZMs6IQnOivr+j0IfgDRxsI8bhBQ65KxIl/Ke2RbK0tquerb294nLYvrB6oBE9ErQ==" saltValue="E6apbO2U4evZimV32iKUqw==" spinCount="100000" sheet="1" objects="1" scenarios="1"/>
  <scenarios current="1" show="0">
    <scenario name="1.4" locked="1" count="2" user="Huinan Zheng" comment="创建者 Huinan Zheng 日期 2009-11-8_x000a_修改者 Huinan Zheng 日期 2009-11-8">
      <inputCells r="B2" val="1.4"/>
      <inputCells r="A22" val="2.608440341"/>
    </scenario>
    <scenario name="5/3" locked="1" count="2" user="Huinan Zheng" comment="创建者 Huinan Zheng 日期 2009-11-8">
      <inputCells r="B2" val="1.66666666666667"/>
      <inputCells r="A22" val="2.407334"/>
    </scenario>
  </scenarios>
  <mergeCells count="3">
    <mergeCell ref="A17:A19"/>
    <mergeCell ref="D17:E17"/>
    <mergeCell ref="C18:D18"/>
  </mergeCells>
  <pageMargins left="0.75" right="0.75" top="1" bottom="1" header="0.5" footer="0.5"/>
  <pageSetup paperSize="9" orientation="landscape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Ribbit" shapeId="2049" r:id="rId4">
          <object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85725</xdr:colOff>
                <xdr:row>3</xdr:row>
                <xdr:rowOff>114300</xdr:rowOff>
              </to>
            </anchor>
          </objectPr>
        </oleObject>
      </mc:Choice>
      <mc:Fallback>
        <oleObject progId="Equation.Ribbit" shapeId="2049" r:id="rId4"/>
      </mc:Fallback>
    </mc:AlternateContent>
    <mc:AlternateContent xmlns:mc="http://schemas.openxmlformats.org/markup-compatibility/2006">
      <mc:Choice Requires="x14">
        <oleObject progId="Equation.Ribbit" shapeId="2050" r:id="rId6">
          <objectPr defaultSize="0" r:id="rId7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133350</xdr:colOff>
                <xdr:row>4</xdr:row>
                <xdr:rowOff>114300</xdr:rowOff>
              </to>
            </anchor>
          </objectPr>
        </oleObject>
      </mc:Choice>
      <mc:Fallback>
        <oleObject progId="Equation.Ribbit" shapeId="2050" r:id="rId6"/>
      </mc:Fallback>
    </mc:AlternateContent>
    <mc:AlternateContent xmlns:mc="http://schemas.openxmlformats.org/markup-compatibility/2006">
      <mc:Choice Requires="x14">
        <oleObject progId="Equation.Ribbit" shapeId="2051" r:id="rId8">
          <object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123825</xdr:colOff>
                <xdr:row>5</xdr:row>
                <xdr:rowOff>152400</xdr:rowOff>
              </to>
            </anchor>
          </objectPr>
        </oleObject>
      </mc:Choice>
      <mc:Fallback>
        <oleObject progId="Equation.Ribbit" shapeId="2051" r:id="rId8"/>
      </mc:Fallback>
    </mc:AlternateContent>
    <mc:AlternateContent xmlns:mc="http://schemas.openxmlformats.org/markup-compatibility/2006">
      <mc:Choice Requires="x14">
        <oleObject progId="Equation.Ribbit" shapeId="2052" r:id="rId10">
          <objectPr defaultSize="0" r:id="rId11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85725</xdr:colOff>
                <xdr:row>6</xdr:row>
                <xdr:rowOff>114300</xdr:rowOff>
              </to>
            </anchor>
          </objectPr>
        </oleObject>
      </mc:Choice>
      <mc:Fallback>
        <oleObject progId="Equation.Ribbit" shapeId="2052" r:id="rId10"/>
      </mc:Fallback>
    </mc:AlternateContent>
    <mc:AlternateContent xmlns:mc="http://schemas.openxmlformats.org/markup-compatibility/2006">
      <mc:Choice Requires="x14">
        <oleObject progId="Equation.Ribbit" shapeId="2053" r:id="rId12">
          <objectPr defaultSize="0" r:id="rId13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85725</xdr:colOff>
                <xdr:row>7</xdr:row>
                <xdr:rowOff>114300</xdr:rowOff>
              </to>
            </anchor>
          </objectPr>
        </oleObject>
      </mc:Choice>
      <mc:Fallback>
        <oleObject progId="Equation.Ribbit" shapeId="2053" r:id="rId12"/>
      </mc:Fallback>
    </mc:AlternateContent>
    <mc:AlternateContent xmlns:mc="http://schemas.openxmlformats.org/markup-compatibility/2006">
      <mc:Choice Requires="x14">
        <oleObject progId="Equation.Ribbit" shapeId="2054" r:id="rId14">
          <objectPr defaultSize="0" r:id="rId1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85725</xdr:colOff>
                <xdr:row>0</xdr:row>
                <xdr:rowOff>114300</xdr:rowOff>
              </to>
            </anchor>
          </objectPr>
        </oleObject>
      </mc:Choice>
      <mc:Fallback>
        <oleObject progId="Equation.Ribbit" shapeId="2054" r:id="rId14"/>
      </mc:Fallback>
    </mc:AlternateContent>
    <mc:AlternateContent xmlns:mc="http://schemas.openxmlformats.org/markup-compatibility/2006">
      <mc:Choice Requires="x14">
        <oleObject progId="Equation.Ribbit" shapeId="2055" r:id="rId16">
          <objectPr defaultSize="0" r:id="rId17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76200</xdr:colOff>
                <xdr:row>8</xdr:row>
                <xdr:rowOff>114300</xdr:rowOff>
              </to>
            </anchor>
          </objectPr>
        </oleObject>
      </mc:Choice>
      <mc:Fallback>
        <oleObject progId="Equation.Ribbit" shapeId="2055" r:id="rId16"/>
      </mc:Fallback>
    </mc:AlternateContent>
    <mc:AlternateContent xmlns:mc="http://schemas.openxmlformats.org/markup-compatibility/2006">
      <mc:Choice Requires="x14">
        <oleObject progId="Equation.Ribbit" shapeId="2056" r:id="rId18">
          <objectPr defaultSize="0" r:id="rId19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352425</xdr:colOff>
                <xdr:row>9</xdr:row>
                <xdr:rowOff>104775</xdr:rowOff>
              </to>
            </anchor>
          </objectPr>
        </oleObject>
      </mc:Choice>
      <mc:Fallback>
        <oleObject progId="Equation.Ribbit" shapeId="2056" r:id="rId18"/>
      </mc:Fallback>
    </mc:AlternateContent>
    <mc:AlternateContent xmlns:mc="http://schemas.openxmlformats.org/markup-compatibility/2006">
      <mc:Choice Requires="x14">
        <oleObject progId="Equation.Ribbit" shapeId="2057" r:id="rId20">
          <objectPr defaultSize="0" r:id="rId21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352425</xdr:colOff>
                <xdr:row>10</xdr:row>
                <xdr:rowOff>142875</xdr:rowOff>
              </to>
            </anchor>
          </objectPr>
        </oleObject>
      </mc:Choice>
      <mc:Fallback>
        <oleObject progId="Equation.Ribbit" shapeId="2057" r:id="rId20"/>
      </mc:Fallback>
    </mc:AlternateContent>
    <mc:AlternateContent xmlns:mc="http://schemas.openxmlformats.org/markup-compatibility/2006">
      <mc:Choice Requires="x14">
        <oleObject progId="Equation.Ribbit" shapeId="2058" r:id="rId22">
          <objectPr defaultSize="0" r:id="rId23">
            <anchor moveWithCells="1">
              <from>
                <xdr:col>0</xdr:col>
                <xdr:colOff>0</xdr:colOff>
                <xdr:row>10</xdr:row>
                <xdr:rowOff>161925</xdr:rowOff>
              </from>
              <to>
                <xdr:col>0</xdr:col>
                <xdr:colOff>76200</xdr:colOff>
                <xdr:row>11</xdr:row>
                <xdr:rowOff>104775</xdr:rowOff>
              </to>
            </anchor>
          </objectPr>
        </oleObject>
      </mc:Choice>
      <mc:Fallback>
        <oleObject progId="Equation.Ribbit" shapeId="2058" r:id="rId22"/>
      </mc:Fallback>
    </mc:AlternateContent>
    <mc:AlternateContent xmlns:mc="http://schemas.openxmlformats.org/markup-compatibility/2006">
      <mc:Choice Requires="x14">
        <oleObject progId="Equation.Ribbit" shapeId="2059" r:id="rId24">
          <objectPr defaultSize="0" r:id="rId2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561975</xdr:colOff>
                <xdr:row>0</xdr:row>
                <xdr:rowOff>238125</xdr:rowOff>
              </to>
            </anchor>
          </objectPr>
        </oleObject>
      </mc:Choice>
      <mc:Fallback>
        <oleObject progId="Equation.Ribbit" shapeId="2059" r:id="rId24"/>
      </mc:Fallback>
    </mc:AlternateContent>
    <mc:AlternateContent xmlns:mc="http://schemas.openxmlformats.org/markup-compatibility/2006">
      <mc:Choice Requires="x14">
        <oleObject progId="Equation.Ribbit" shapeId="2060" r:id="rId26">
          <objectPr defaultSize="0" r:id="rId27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123825</xdr:colOff>
                <xdr:row>12</xdr:row>
                <xdr:rowOff>152400</xdr:rowOff>
              </to>
            </anchor>
          </objectPr>
        </oleObject>
      </mc:Choice>
      <mc:Fallback>
        <oleObject progId="Equation.Ribbit" shapeId="2060" r:id="rId26"/>
      </mc:Fallback>
    </mc:AlternateContent>
    <mc:AlternateContent xmlns:mc="http://schemas.openxmlformats.org/markup-compatibility/2006">
      <mc:Choice Requires="x14">
        <oleObject progId="Equation.Ribbit" shapeId="2061" r:id="rId28">
          <objectPr defaultSize="0" r:id="rId29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180975</xdr:colOff>
                <xdr:row>14</xdr:row>
                <xdr:rowOff>9525</xdr:rowOff>
              </to>
            </anchor>
          </objectPr>
        </oleObject>
      </mc:Choice>
      <mc:Fallback>
        <oleObject progId="Equation.Ribbit" shapeId="2061" r:id="rId28"/>
      </mc:Fallback>
    </mc:AlternateContent>
    <mc:AlternateContent xmlns:mc="http://schemas.openxmlformats.org/markup-compatibility/2006">
      <mc:Choice Requires="x14">
        <oleObject progId="Equation.Ribbit" shapeId="2062" r:id="rId30">
          <objectPr defaultSize="0" r:id="rId31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209550</xdr:colOff>
                <xdr:row>14</xdr:row>
                <xdr:rowOff>9525</xdr:rowOff>
              </to>
            </anchor>
          </objectPr>
        </oleObject>
      </mc:Choice>
      <mc:Fallback>
        <oleObject progId="Equation.Ribbit" shapeId="2062" r:id="rId30"/>
      </mc:Fallback>
    </mc:AlternateContent>
    <mc:AlternateContent xmlns:mc="http://schemas.openxmlformats.org/markup-compatibility/2006">
      <mc:Choice Requires="x14">
        <oleObject progId="Equation.Ribbit" shapeId="2063" r:id="rId32">
          <objectPr defaultSize="0" r:id="rId33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571500</xdr:colOff>
                <xdr:row>0</xdr:row>
                <xdr:rowOff>228600</xdr:rowOff>
              </to>
            </anchor>
          </objectPr>
        </oleObject>
      </mc:Choice>
      <mc:Fallback>
        <oleObject progId="Equation.Ribbit" shapeId="2063" r:id="rId32"/>
      </mc:Fallback>
    </mc:AlternateContent>
    <mc:AlternateContent xmlns:mc="http://schemas.openxmlformats.org/markup-compatibility/2006">
      <mc:Choice Requires="x14">
        <oleObject progId="Equation.Ribbit" shapeId="2064" r:id="rId34">
          <objectPr defaultSize="0" r:id="rId35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1209675</xdr:colOff>
                <xdr:row>20</xdr:row>
                <xdr:rowOff>333375</xdr:rowOff>
              </to>
            </anchor>
          </objectPr>
        </oleObject>
      </mc:Choice>
      <mc:Fallback>
        <oleObject progId="Equation.Ribbit" shapeId="2064" r:id="rId34"/>
      </mc:Fallback>
    </mc:AlternateContent>
    <mc:AlternateContent xmlns:mc="http://schemas.openxmlformats.org/markup-compatibility/2006">
      <mc:Choice Requires="x14">
        <oleObject progId="Equation.Ribbit" shapeId="2065" r:id="rId36">
          <objectPr defaultSize="0" r:id="rId37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2</xdr:col>
                <xdr:colOff>676275</xdr:colOff>
                <xdr:row>20</xdr:row>
                <xdr:rowOff>209550</xdr:rowOff>
              </to>
            </anchor>
          </objectPr>
        </oleObject>
      </mc:Choice>
      <mc:Fallback>
        <oleObject progId="Equation.Ribbit" shapeId="2065" r:id="rId36"/>
      </mc:Fallback>
    </mc:AlternateContent>
    <mc:AlternateContent xmlns:mc="http://schemas.openxmlformats.org/markup-compatibility/2006">
      <mc:Choice Requires="x14">
        <oleObject progId="Equation.Ribbit" shapeId="2066" r:id="rId38">
          <objectPr defaultSize="0" r:id="rId39">
            <anchor moveWithCells="1">
              <from>
                <xdr:col>2</xdr:col>
                <xdr:colOff>895350</xdr:colOff>
                <xdr:row>20</xdr:row>
                <xdr:rowOff>0</xdr:rowOff>
              </from>
              <to>
                <xdr:col>3</xdr:col>
                <xdr:colOff>1038225</xdr:colOff>
                <xdr:row>20</xdr:row>
                <xdr:rowOff>304800</xdr:rowOff>
              </to>
            </anchor>
          </objectPr>
        </oleObject>
      </mc:Choice>
      <mc:Fallback>
        <oleObject progId="Equation.Ribbit" shapeId="2066" r:id="rId38"/>
      </mc:Fallback>
    </mc:AlternateContent>
    <mc:AlternateContent xmlns:mc="http://schemas.openxmlformats.org/markup-compatibility/2006">
      <mc:Choice Requires="x14">
        <oleObject progId="Equation.Ribbit" shapeId="2067" r:id="rId40">
          <objectPr defaultSize="0" r:id="rId41">
            <anchor moveWithCells="1">
              <from>
                <xdr:col>3</xdr:col>
                <xdr:colOff>1543050</xdr:colOff>
                <xdr:row>20</xdr:row>
                <xdr:rowOff>0</xdr:rowOff>
              </from>
              <to>
                <xdr:col>4</xdr:col>
                <xdr:colOff>885825</xdr:colOff>
                <xdr:row>20</xdr:row>
                <xdr:rowOff>295275</xdr:rowOff>
              </to>
            </anchor>
          </objectPr>
        </oleObject>
      </mc:Choice>
      <mc:Fallback>
        <oleObject progId="Equation.Ribbit" shapeId="2067" r:id="rId40"/>
      </mc:Fallback>
    </mc:AlternateContent>
    <mc:AlternateContent xmlns:mc="http://schemas.openxmlformats.org/markup-compatibility/2006">
      <mc:Choice Requires="x14">
        <oleObject progId="Equation.Ribbit" shapeId="2068" r:id="rId42">
          <objectPr defaultSize="0" r:id="rId43">
            <anchor moveWithCells="1">
              <from>
                <xdr:col>4</xdr:col>
                <xdr:colOff>1066800</xdr:colOff>
                <xdr:row>20</xdr:row>
                <xdr:rowOff>0</xdr:rowOff>
              </from>
              <to>
                <xdr:col>5</xdr:col>
                <xdr:colOff>1019175</xdr:colOff>
                <xdr:row>20</xdr:row>
                <xdr:rowOff>228600</xdr:rowOff>
              </to>
            </anchor>
          </objectPr>
        </oleObject>
      </mc:Choice>
      <mc:Fallback>
        <oleObject progId="Equation.Ribbit" shapeId="2068" r:id="rId42"/>
      </mc:Fallback>
    </mc:AlternateContent>
    <mc:AlternateContent xmlns:mc="http://schemas.openxmlformats.org/markup-compatibility/2006">
      <mc:Choice Requires="x14">
        <oleObject progId="Equation.Ribbit" shapeId="2069" r:id="rId44">
          <objectPr defaultSize="0" r:id="rId45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209550</xdr:colOff>
                <xdr:row>0</xdr:row>
                <xdr:rowOff>228600</xdr:rowOff>
              </to>
            </anchor>
          </objectPr>
        </oleObject>
      </mc:Choice>
      <mc:Fallback>
        <oleObject progId="Equation.Ribbit" shapeId="2069" r:id="rId44"/>
      </mc:Fallback>
    </mc:AlternateContent>
    <mc:AlternateContent xmlns:mc="http://schemas.openxmlformats.org/markup-compatibility/2006">
      <mc:Choice Requires="x14">
        <oleObject progId="Equation.Ribbit" shapeId="2070" r:id="rId46">
          <objectPr defaultSize="0" r:id="rId47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123825</xdr:colOff>
                <xdr:row>20</xdr:row>
                <xdr:rowOff>114300</xdr:rowOff>
              </to>
            </anchor>
          </objectPr>
        </oleObject>
      </mc:Choice>
      <mc:Fallback>
        <oleObject progId="Equation.Ribbit" shapeId="2070" r:id="rId46"/>
      </mc:Fallback>
    </mc:AlternateContent>
    <mc:AlternateContent xmlns:mc="http://schemas.openxmlformats.org/markup-compatibility/2006">
      <mc:Choice Requires="x14">
        <oleObject progId="Equation.Ribbit" shapeId="2071" r:id="rId48">
          <objectPr defaultSize="0" r:id="rId49">
            <anchor moveWithCells="1">
              <from>
                <xdr:col>5</xdr:col>
                <xdr:colOff>1276350</xdr:colOff>
                <xdr:row>19</xdr:row>
                <xdr:rowOff>161925</xdr:rowOff>
              </from>
              <to>
                <xdr:col>6</xdr:col>
                <xdr:colOff>1066800</xdr:colOff>
                <xdr:row>20</xdr:row>
                <xdr:rowOff>171450</xdr:rowOff>
              </to>
            </anchor>
          </objectPr>
        </oleObject>
      </mc:Choice>
      <mc:Fallback>
        <oleObject progId="Equation.Ribbit" shapeId="2071" r:id="rId48"/>
      </mc:Fallback>
    </mc:AlternateContent>
    <mc:AlternateContent xmlns:mc="http://schemas.openxmlformats.org/markup-compatibility/2006">
      <mc:Choice Requires="x14">
        <oleObject progId="Equation.Ribbit" shapeId="2072" r:id="rId50">
          <objectPr defaultSize="0" r:id="rId51">
            <anchor moveWithCells="1">
              <from>
                <xdr:col>0</xdr:col>
                <xdr:colOff>38100</xdr:colOff>
                <xdr:row>17</xdr:row>
                <xdr:rowOff>9525</xdr:rowOff>
              </from>
              <to>
                <xdr:col>0</xdr:col>
                <xdr:colOff>123825</xdr:colOff>
                <xdr:row>18</xdr:row>
                <xdr:rowOff>0</xdr:rowOff>
              </to>
            </anchor>
          </objectPr>
        </oleObject>
      </mc:Choice>
      <mc:Fallback>
        <oleObject progId="Equation.Ribbit" shapeId="2072" r:id="rId5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Hydrodynamics</vt:lpstr>
      <vt:lpstr>Riemann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 Ray</dc:creator>
  <cp:lastModifiedBy>Hue Ray</cp:lastModifiedBy>
  <dcterms:created xsi:type="dcterms:W3CDTF">2015-11-03T06:58:31Z</dcterms:created>
  <dcterms:modified xsi:type="dcterms:W3CDTF">2015-11-06T02:13:08Z</dcterms:modified>
</cp:coreProperties>
</file>