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e\BriefCase\CarryOn\Courses\MHDNumerical\2018Fall\Assignment\"/>
    </mc:Choice>
  </mc:AlternateContent>
  <bookViews>
    <workbookView xWindow="0" yWindow="0" windowWidth="20490" windowHeight="8360"/>
  </bookViews>
  <sheets>
    <sheet name="FnS" sheetId="3" r:id="rId1"/>
    <sheet name="Dai199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3" l="1"/>
  <c r="R10" i="3" s="1"/>
  <c r="R8" i="3"/>
  <c r="R7" i="3"/>
  <c r="R6" i="3"/>
  <c r="R5" i="3"/>
  <c r="R4" i="3"/>
  <c r="H8" i="3"/>
  <c r="H7" i="3"/>
  <c r="H5" i="3"/>
  <c r="H4" i="3"/>
  <c r="H6" i="3"/>
  <c r="H6" i="2" l="1"/>
  <c r="I2" i="3" l="1"/>
  <c r="N14" i="3"/>
  <c r="L14" i="3"/>
  <c r="F14" i="3"/>
  <c r="D14" i="3"/>
  <c r="B14" i="3"/>
  <c r="N13" i="3"/>
  <c r="L13" i="3"/>
  <c r="D13" i="3"/>
  <c r="C19" i="3" s="1"/>
  <c r="R12" i="3"/>
  <c r="P12" i="3"/>
  <c r="N12" i="3"/>
  <c r="L12" i="3"/>
  <c r="H12" i="3"/>
  <c r="F12" i="3"/>
  <c r="D12" i="3"/>
  <c r="B12" i="3"/>
  <c r="N11" i="3"/>
  <c r="N15" i="3" s="1"/>
  <c r="L11" i="3"/>
  <c r="L15" i="3" s="1"/>
  <c r="D11" i="3"/>
  <c r="D15" i="3" s="1"/>
  <c r="D10" i="3"/>
  <c r="C20" i="3" s="1"/>
  <c r="B10" i="3"/>
  <c r="B13" i="3" s="1"/>
  <c r="B11" i="3" s="1"/>
  <c r="B15" i="3" s="1"/>
  <c r="P9" i="3"/>
  <c r="H9" i="3"/>
  <c r="F9" i="3"/>
  <c r="R2" i="3"/>
  <c r="R14" i="3" s="1"/>
  <c r="Q2" i="3"/>
  <c r="P2" i="3"/>
  <c r="K2" i="3"/>
  <c r="N16" i="3" s="1"/>
  <c r="H2" i="3"/>
  <c r="H14" i="3" s="1"/>
  <c r="G2" i="3"/>
  <c r="F2" i="3"/>
  <c r="A2" i="3"/>
  <c r="N17" i="3" l="1"/>
  <c r="N18" i="3" s="1"/>
  <c r="F13" i="3"/>
  <c r="F11" i="3" s="1"/>
  <c r="F15" i="3" s="1"/>
  <c r="M13" i="3"/>
  <c r="F10" i="3"/>
  <c r="P10" i="3"/>
  <c r="P13" i="3" s="1"/>
  <c r="P11" i="3" s="1"/>
  <c r="P15" i="3" s="1"/>
  <c r="C13" i="3"/>
  <c r="P14" i="3"/>
  <c r="H16" i="3"/>
  <c r="P16" i="3"/>
  <c r="D21" i="3"/>
  <c r="C23" i="3" s="1"/>
  <c r="N21" i="3"/>
  <c r="M23" i="3" s="1"/>
  <c r="D22" i="3"/>
  <c r="N22" i="3"/>
  <c r="D16" i="3"/>
  <c r="D17" i="3" s="1"/>
  <c r="D18" i="3" s="1"/>
  <c r="L16" i="3"/>
  <c r="L17" i="3" s="1"/>
  <c r="L18" i="3" s="1"/>
  <c r="M19" i="3"/>
  <c r="M20" i="3"/>
  <c r="H10" i="3"/>
  <c r="R13" i="3"/>
  <c r="Q19" i="3" s="1"/>
  <c r="F16" i="3"/>
  <c r="F17" i="3" s="1"/>
  <c r="F18" i="3" s="1"/>
  <c r="R16" i="3"/>
  <c r="B16" i="3"/>
  <c r="B17" i="3" s="1"/>
  <c r="B18" i="3" s="1"/>
  <c r="R9" i="2"/>
  <c r="S2" i="2"/>
  <c r="Q2" i="2"/>
  <c r="P2" i="2"/>
  <c r="H10" i="2"/>
  <c r="H9" i="2"/>
  <c r="I2" i="2"/>
  <c r="G2" i="2"/>
  <c r="F2" i="2"/>
  <c r="F9" i="2"/>
  <c r="R11" i="3" l="1"/>
  <c r="R15" i="3" s="1"/>
  <c r="R17" i="3" s="1"/>
  <c r="R18" i="3" s="1"/>
  <c r="M11" i="3"/>
  <c r="M10" i="3"/>
  <c r="M9" i="3"/>
  <c r="P17" i="3"/>
  <c r="P18" i="3" s="1"/>
  <c r="H13" i="3"/>
  <c r="C24" i="3"/>
  <c r="C25" i="3" s="1"/>
  <c r="C10" i="3"/>
  <c r="C11" i="3"/>
  <c r="C9" i="3"/>
  <c r="Q20" i="3"/>
  <c r="M24" i="3"/>
  <c r="M25" i="3" s="1"/>
  <c r="S2" i="3"/>
  <c r="R22" i="3"/>
  <c r="N21" i="2"/>
  <c r="M23" i="2" s="1"/>
  <c r="D21" i="2"/>
  <c r="C23" i="2" s="1"/>
  <c r="M20" i="2"/>
  <c r="M19" i="2"/>
  <c r="P14" i="2"/>
  <c r="N14" i="2"/>
  <c r="L14" i="2"/>
  <c r="H14" i="2"/>
  <c r="F14" i="2"/>
  <c r="D14" i="2"/>
  <c r="B14" i="2"/>
  <c r="N13" i="2"/>
  <c r="M13" i="2" s="1"/>
  <c r="L13" i="2"/>
  <c r="D13" i="2"/>
  <c r="C19" i="2" s="1"/>
  <c r="R12" i="2"/>
  <c r="P12" i="2"/>
  <c r="N12" i="2"/>
  <c r="L12" i="2"/>
  <c r="H12" i="2"/>
  <c r="F12" i="2"/>
  <c r="D12" i="2"/>
  <c r="B12" i="2"/>
  <c r="N11" i="2"/>
  <c r="N15" i="2" s="1"/>
  <c r="L11" i="2"/>
  <c r="L15" i="2" s="1"/>
  <c r="D11" i="2"/>
  <c r="D15" i="2" s="1"/>
  <c r="P10" i="2"/>
  <c r="P13" i="2" s="1"/>
  <c r="P11" i="2" s="1"/>
  <c r="P15" i="2" s="1"/>
  <c r="F10" i="2"/>
  <c r="F13" i="2" s="1"/>
  <c r="F11" i="2" s="1"/>
  <c r="F15" i="2" s="1"/>
  <c r="D10" i="2"/>
  <c r="C20" i="2" s="1"/>
  <c r="B10" i="2"/>
  <c r="B13" i="2" s="1"/>
  <c r="P9" i="2"/>
  <c r="R2" i="2"/>
  <c r="R14" i="2" s="1"/>
  <c r="N2" i="2"/>
  <c r="K2" i="2"/>
  <c r="N16" i="2" s="1"/>
  <c r="H2" i="2"/>
  <c r="A2" i="2"/>
  <c r="Q13" i="3" l="1"/>
  <c r="R21" i="3"/>
  <c r="Q23" i="3" s="1"/>
  <c r="M26" i="3"/>
  <c r="M5" i="3" s="1"/>
  <c r="M22" i="3" s="1"/>
  <c r="C4" i="3"/>
  <c r="C14" i="3" s="1"/>
  <c r="Q9" i="3"/>
  <c r="Q11" i="3"/>
  <c r="Q21" i="3" s="1"/>
  <c r="Q10" i="3"/>
  <c r="M4" i="3"/>
  <c r="M14" i="3" s="1"/>
  <c r="C26" i="3"/>
  <c r="C5" i="3" s="1"/>
  <c r="M21" i="3"/>
  <c r="H21" i="3"/>
  <c r="G13" i="3"/>
  <c r="G19" i="3"/>
  <c r="H11" i="3"/>
  <c r="S24" i="3"/>
  <c r="C21" i="3"/>
  <c r="G20" i="3"/>
  <c r="M21" i="2"/>
  <c r="M10" i="2"/>
  <c r="M11" i="2"/>
  <c r="M9" i="2"/>
  <c r="N17" i="2"/>
  <c r="N18" i="2" s="1"/>
  <c r="B11" i="2"/>
  <c r="B15" i="2" s="1"/>
  <c r="H16" i="2"/>
  <c r="D22" i="2"/>
  <c r="M24" i="2"/>
  <c r="M26" i="2" s="1"/>
  <c r="M5" i="2" s="1"/>
  <c r="H13" i="2"/>
  <c r="R10" i="2"/>
  <c r="R13" i="2" s="1"/>
  <c r="Q19" i="2" s="1"/>
  <c r="F16" i="2"/>
  <c r="F17" i="2" s="1"/>
  <c r="F18" i="2" s="1"/>
  <c r="R16" i="2"/>
  <c r="P16" i="2"/>
  <c r="P17" i="2" s="1"/>
  <c r="P18" i="2" s="1"/>
  <c r="N22" i="2"/>
  <c r="D16" i="2"/>
  <c r="D17" i="2" s="1"/>
  <c r="D18" i="2" s="1"/>
  <c r="L16" i="2"/>
  <c r="L17" i="2" s="1"/>
  <c r="L18" i="2" s="1"/>
  <c r="B16" i="2"/>
  <c r="B17" i="2" s="1"/>
  <c r="B18" i="2" s="1"/>
  <c r="Q24" i="3" l="1"/>
  <c r="Q26" i="3" s="1"/>
  <c r="Q5" i="3" s="1"/>
  <c r="Q22" i="3" s="1"/>
  <c r="G10" i="3"/>
  <c r="G9" i="3"/>
  <c r="G11" i="3"/>
  <c r="G21" i="3" s="1"/>
  <c r="G23" i="3"/>
  <c r="C16" i="3"/>
  <c r="C22" i="3"/>
  <c r="M15" i="3"/>
  <c r="H15" i="3"/>
  <c r="H17" i="3" s="1"/>
  <c r="H18" i="3" s="1"/>
  <c r="H22" i="3"/>
  <c r="G24" i="3" s="1"/>
  <c r="G25" i="3" s="1"/>
  <c r="M16" i="3"/>
  <c r="C15" i="3"/>
  <c r="M27" i="3"/>
  <c r="M30" i="3" s="1"/>
  <c r="M12" i="3" s="1"/>
  <c r="C27" i="3"/>
  <c r="M22" i="2"/>
  <c r="H11" i="2"/>
  <c r="G13" i="2" s="1"/>
  <c r="G19" i="2"/>
  <c r="R11" i="2"/>
  <c r="Q13" i="2" s="1"/>
  <c r="Q20" i="2"/>
  <c r="C24" i="2"/>
  <c r="C25" i="2" s="1"/>
  <c r="C13" i="2"/>
  <c r="M25" i="2"/>
  <c r="G20" i="2"/>
  <c r="Q25" i="3" l="1"/>
  <c r="Q4" i="3" s="1"/>
  <c r="Q14" i="3" s="1"/>
  <c r="Q27" i="3" s="1"/>
  <c r="G26" i="3"/>
  <c r="G5" i="3" s="1"/>
  <c r="G22" i="3" s="1"/>
  <c r="G4" i="3"/>
  <c r="G14" i="3" s="1"/>
  <c r="D27" i="3"/>
  <c r="M17" i="3"/>
  <c r="M29" i="3" s="1"/>
  <c r="M8" i="3"/>
  <c r="M7" i="3"/>
  <c r="C30" i="3"/>
  <c r="C12" i="3" s="1"/>
  <c r="N27" i="3"/>
  <c r="C17" i="3"/>
  <c r="C29" i="3" s="1"/>
  <c r="C26" i="2"/>
  <c r="C5" i="2" s="1"/>
  <c r="H21" i="2"/>
  <c r="Q9" i="2"/>
  <c r="Q11" i="2"/>
  <c r="Q10" i="2"/>
  <c r="C4" i="2"/>
  <c r="C14" i="2" s="1"/>
  <c r="C16" i="2"/>
  <c r="G23" i="2"/>
  <c r="G9" i="2"/>
  <c r="G10" i="2"/>
  <c r="G11" i="2"/>
  <c r="C9" i="2"/>
  <c r="C11" i="2"/>
  <c r="C15" i="2" s="1"/>
  <c r="C10" i="2"/>
  <c r="S24" i="2"/>
  <c r="R15" i="2"/>
  <c r="R17" i="2" s="1"/>
  <c r="R18" i="2" s="1"/>
  <c r="R22" i="2"/>
  <c r="M4" i="2"/>
  <c r="R21" i="2"/>
  <c r="Q23" i="2" s="1"/>
  <c r="H15" i="2"/>
  <c r="H17" i="2" s="1"/>
  <c r="H18" i="2" s="1"/>
  <c r="H22" i="2"/>
  <c r="Q16" i="3" l="1"/>
  <c r="Q15" i="3"/>
  <c r="Q17" i="3" s="1"/>
  <c r="Q29" i="3" s="1"/>
  <c r="G15" i="3"/>
  <c r="G27" i="3"/>
  <c r="G30" i="3" s="1"/>
  <c r="G12" i="3" s="1"/>
  <c r="R27" i="3"/>
  <c r="Q30" i="3"/>
  <c r="Q12" i="3" s="1"/>
  <c r="M28" i="3"/>
  <c r="M6" i="3" s="1"/>
  <c r="M18" i="3" s="1"/>
  <c r="N29" i="3"/>
  <c r="D29" i="3"/>
  <c r="C28" i="3"/>
  <c r="C6" i="3" s="1"/>
  <c r="C18" i="3" s="1"/>
  <c r="G16" i="3"/>
  <c r="G17" i="3" s="1"/>
  <c r="C8" i="3"/>
  <c r="C7" i="3"/>
  <c r="Q24" i="2"/>
  <c r="C22" i="2"/>
  <c r="M14" i="2"/>
  <c r="M15" i="2"/>
  <c r="M16" i="2"/>
  <c r="C17" i="2"/>
  <c r="Q25" i="2"/>
  <c r="G21" i="2"/>
  <c r="G24" i="2"/>
  <c r="G25" i="2" s="1"/>
  <c r="Q21" i="2"/>
  <c r="Q26" i="2"/>
  <c r="Q5" i="2" s="1"/>
  <c r="C21" i="2"/>
  <c r="C27" i="2"/>
  <c r="G8" i="3" l="1"/>
  <c r="G7" i="3"/>
  <c r="R29" i="3"/>
  <c r="Q28" i="3"/>
  <c r="Q6" i="3" s="1"/>
  <c r="Q18" i="3" s="1"/>
  <c r="Q8" i="3"/>
  <c r="Q7" i="3"/>
  <c r="G29" i="3"/>
  <c r="H27" i="3"/>
  <c r="G26" i="2"/>
  <c r="G5" i="2" s="1"/>
  <c r="G4" i="2"/>
  <c r="C29" i="2"/>
  <c r="D27" i="2"/>
  <c r="Q4" i="2"/>
  <c r="Q16" i="2" s="1"/>
  <c r="C30" i="2"/>
  <c r="C12" i="2" s="1"/>
  <c r="M27" i="2"/>
  <c r="M30" i="2"/>
  <c r="M12" i="2" s="1"/>
  <c r="Q22" i="2"/>
  <c r="M17" i="2"/>
  <c r="H29" i="3" l="1"/>
  <c r="G28" i="3"/>
  <c r="G6" i="3" s="1"/>
  <c r="G18" i="3" s="1"/>
  <c r="G16" i="2"/>
  <c r="G22" i="2"/>
  <c r="M29" i="2"/>
  <c r="N27" i="2"/>
  <c r="C28" i="2"/>
  <c r="C6" i="2" s="1"/>
  <c r="C18" i="2" s="1"/>
  <c r="D29" i="2"/>
  <c r="G14" i="2"/>
  <c r="G15" i="2"/>
  <c r="Q14" i="2"/>
  <c r="Q15" i="2"/>
  <c r="Q17" i="2" s="1"/>
  <c r="M8" i="2"/>
  <c r="M7" i="2"/>
  <c r="C7" i="2"/>
  <c r="C8" i="2"/>
  <c r="G17" i="2" l="1"/>
  <c r="M28" i="2"/>
  <c r="M6" i="2" s="1"/>
  <c r="M18" i="2" s="1"/>
  <c r="N29" i="2"/>
  <c r="G27" i="2"/>
  <c r="Q27" i="2"/>
  <c r="G29" i="2" l="1"/>
  <c r="H27" i="2"/>
  <c r="Q29" i="2"/>
  <c r="R27" i="2"/>
  <c r="G30" i="2"/>
  <c r="G12" i="2" s="1"/>
  <c r="Q30" i="2"/>
  <c r="Q12" i="2" s="1"/>
  <c r="R29" i="2" l="1"/>
  <c r="Q28" i="2"/>
  <c r="Q6" i="2" s="1"/>
  <c r="Q18" i="2" s="1"/>
  <c r="Q8" i="2"/>
  <c r="Q7" i="2"/>
  <c r="H29" i="2"/>
  <c r="G28" i="2"/>
  <c r="G6" i="2" s="1"/>
  <c r="G18" i="2" s="1"/>
  <c r="G8" i="2"/>
  <c r="G7" i="2"/>
</calcChain>
</file>

<file path=xl/sharedStrings.xml><?xml version="1.0" encoding="utf-8"?>
<sst xmlns="http://schemas.openxmlformats.org/spreadsheetml/2006/main" count="144" uniqueCount="38">
  <si>
    <t>$\gamma$</t>
  </si>
  <si>
    <t>beta</t>
  </si>
  <si>
    <t>$H_n$</t>
  </si>
  <si>
    <t>$h_f$</t>
  </si>
  <si>
    <t>$h_s$</t>
  </si>
  <si>
    <t>State</t>
  </si>
  <si>
    <t>$\rho$</t>
  </si>
  <si>
    <t>$p$</t>
  </si>
  <si>
    <t>$v_n$</t>
  </si>
  <si>
    <t>$v_y$</t>
  </si>
  <si>
    <t>$v_z$</t>
  </si>
  <si>
    <t>$H_y$</t>
  </si>
  <si>
    <t>$H_z$</t>
  </si>
  <si>
    <t>$H$</t>
  </si>
  <si>
    <t>$v_t$</t>
  </si>
  <si>
    <t>$H_t$</t>
  </si>
  <si>
    <t>$b_n$</t>
  </si>
  <si>
    <t>$b$</t>
  </si>
  <si>
    <t>$a$</t>
  </si>
  <si>
    <t>$c_f$</t>
  </si>
  <si>
    <t>$c_s$</t>
  </si>
  <si>
    <t>v_n+c_f</t>
  </si>
  <si>
    <t>v_n+c_s</t>
  </si>
  <si>
    <t>$\cos\varphi$</t>
  </si>
  <si>
    <t>$\sin\varphi$</t>
  </si>
  <si>
    <t>$\sin\theta$</t>
  </si>
  <si>
    <t>$s = \gamma \frac{4\pi p_0}{\mu H_0^2}$</t>
  </si>
  <si>
    <t>$\hat{h}_f$</t>
  </si>
  <si>
    <t>$\hat{h}_s$</t>
  </si>
  <si>
    <t>$R(h_f)$</t>
  </si>
  <si>
    <t>$R(h_s)$</t>
  </si>
  <si>
    <t>$\bar{\eta}_f$</t>
  </si>
  <si>
    <t>$\bar{\eta}_s$</t>
  </si>
  <si>
    <t>$\bar{Y}_f$</t>
  </si>
  <si>
    <t>$\tilde{v}_x$</t>
  </si>
  <si>
    <t>$\tilde{\lambda}$</t>
  </si>
  <si>
    <t>Mach Number</t>
  </si>
  <si>
    <t>$[v_t]$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</si>
</sst>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"/>
  </numFmts>
  <fonts count="5" x14ac:knownFonts="1">
    <font>
      <sz val="10"/>
      <name val="Courier New"/>
      <family val="3"/>
    </font>
    <font>
      <b/>
      <sz val="10"/>
      <color indexed="12"/>
      <name val="Courier New"/>
      <family val="3"/>
    </font>
    <font>
      <b/>
      <sz val="10"/>
      <name val="Courier New"/>
      <family val="3"/>
    </font>
    <font>
      <b/>
      <sz val="10"/>
      <color rgb="FFFF0000"/>
      <name val="Courier New"/>
      <family val="3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76" fontId="1" fillId="0" borderId="0" xfId="0" applyNumberFormat="1" applyFont="1"/>
    <xf numFmtId="0" fontId="2" fillId="0" borderId="1" xfId="0" applyFont="1" applyBorder="1"/>
    <xf numFmtId="0" fontId="3" fillId="0" borderId="2" xfId="0" applyNumberFormat="1" applyFont="1" applyBorder="1"/>
    <xf numFmtId="0" fontId="0" fillId="0" borderId="2" xfId="0" applyNumberFormat="1" applyFont="1" applyBorder="1"/>
    <xf numFmtId="0" fontId="2" fillId="0" borderId="3" xfId="0" applyNumberFormat="1" applyFont="1" applyBorder="1"/>
    <xf numFmtId="0" fontId="2" fillId="0" borderId="0" xfId="0" applyFont="1"/>
    <xf numFmtId="0" fontId="2" fillId="0" borderId="4" xfId="0" applyFont="1" applyBorder="1"/>
    <xf numFmtId="176" fontId="3" fillId="0" borderId="5" xfId="0" applyNumberFormat="1" applyFont="1" applyBorder="1"/>
    <xf numFmtId="176" fontId="0" fillId="0" borderId="5" xfId="0" applyNumberFormat="1" applyFont="1" applyBorder="1"/>
    <xf numFmtId="176" fontId="1" fillId="0" borderId="6" xfId="0" applyNumberFormat="1" applyFont="1" applyBorder="1"/>
    <xf numFmtId="176" fontId="0" fillId="0" borderId="0" xfId="0" applyNumberFormat="1"/>
    <xf numFmtId="0" fontId="2" fillId="0" borderId="7" xfId="0" applyFont="1" applyBorder="1"/>
    <xf numFmtId="176" fontId="3" fillId="0" borderId="8" xfId="0" applyNumberFormat="1" applyFont="1" applyBorder="1"/>
    <xf numFmtId="176" fontId="0" fillId="0" borderId="8" xfId="0" applyNumberFormat="1" applyFont="1" applyBorder="1"/>
    <xf numFmtId="176" fontId="1" fillId="0" borderId="9" xfId="0" applyNumberFormat="1" applyFont="1" applyBorder="1"/>
    <xf numFmtId="0" fontId="0" fillId="0" borderId="10" xfId="0" applyBorder="1"/>
    <xf numFmtId="177" fontId="0" fillId="0" borderId="10" xfId="0" applyNumberFormat="1" applyBorder="1"/>
    <xf numFmtId="177" fontId="0" fillId="0" borderId="10" xfId="0" applyNumberFormat="1" applyFont="1" applyBorder="1"/>
    <xf numFmtId="0" fontId="2" fillId="0" borderId="0" xfId="0" applyFont="1" applyBorder="1"/>
    <xf numFmtId="176" fontId="0" fillId="0" borderId="0" xfId="0" applyNumberFormat="1" applyFont="1" applyBorder="1"/>
    <xf numFmtId="177" fontId="0" fillId="0" borderId="0" xfId="0" applyNumberFormat="1"/>
    <xf numFmtId="176" fontId="0" fillId="0" borderId="0" xfId="0" applyNumberFormat="1" applyBorder="1"/>
    <xf numFmtId="176" fontId="0" fillId="0" borderId="2" xfId="0" applyNumberFormat="1" applyBorder="1"/>
    <xf numFmtId="176" fontId="0" fillId="0" borderId="5" xfId="0" applyNumberFormat="1" applyBorder="1"/>
    <xf numFmtId="0" fontId="0" fillId="0" borderId="4" xfId="0" applyBorder="1"/>
    <xf numFmtId="176" fontId="0" fillId="0" borderId="6" xfId="0" applyNumberFormat="1" applyBorder="1"/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15" xfId="0" applyBorder="1" applyAlignment="1">
      <alignment wrapText="1"/>
    </xf>
    <xf numFmtId="176" fontId="0" fillId="0" borderId="16" xfId="0" applyNumberFormat="1" applyBorder="1"/>
    <xf numFmtId="176" fontId="2" fillId="0" borderId="0" xfId="0" applyNumberFormat="1" applyFont="1" applyBorder="1"/>
    <xf numFmtId="0" fontId="0" fillId="0" borderId="0" xfId="0" applyFont="1"/>
    <xf numFmtId="177" fontId="0" fillId="0" borderId="0" xfId="0" applyNumberFormat="1" applyFont="1"/>
    <xf numFmtId="176" fontId="2" fillId="0" borderId="6" xfId="0" applyNumberFormat="1" applyFont="1" applyBorder="1"/>
    <xf numFmtId="176" fontId="0" fillId="0" borderId="11" xfId="0" applyNumberFormat="1" applyBorder="1" applyAlignment="1">
      <alignment horizontal="center"/>
    </xf>
    <xf numFmtId="176" fontId="0" fillId="0" borderId="12" xfId="0" applyNumberFormat="1" applyBorder="1" applyAlignment="1">
      <alignment horizontal="center"/>
    </xf>
    <xf numFmtId="176" fontId="0" fillId="0" borderId="13" xfId="0" applyNumberFormat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6" fontId="2" fillId="0" borderId="14" xfId="0" applyNumberFormat="1" applyFont="1" applyBorder="1" applyAlignment="1">
      <alignment horizontal="center"/>
    </xf>
    <xf numFmtId="177" fontId="0" fillId="0" borderId="16" xfId="0" applyNumberFormat="1" applyBorder="1" applyAlignment="1">
      <alignment horizontal="center"/>
    </xf>
    <xf numFmtId="177" fontId="0" fillId="0" borderId="17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activeCell="R2" sqref="R2"/>
    </sheetView>
  </sheetViews>
  <sheetFormatPr defaultRowHeight="13" x14ac:dyDescent="0.3"/>
  <cols>
    <col min="1" max="1" width="17.08203125" bestFit="1" customWidth="1"/>
    <col min="2" max="3" width="8.83203125" bestFit="1" customWidth="1"/>
    <col min="4" max="4" width="9.1640625" bestFit="1" customWidth="1"/>
    <col min="6" max="7" width="8.83203125" bestFit="1" customWidth="1"/>
    <col min="8" max="8" width="9.1640625" bestFit="1" customWidth="1"/>
    <col min="13" max="13" width="13" bestFit="1" customWidth="1"/>
    <col min="14" max="14" width="7.83203125" bestFit="1" customWidth="1"/>
    <col min="261" max="261" width="18.08203125" bestFit="1" customWidth="1"/>
    <col min="262" max="262" width="8.83203125" bestFit="1" customWidth="1"/>
    <col min="268" max="268" width="13" bestFit="1" customWidth="1"/>
    <col min="517" max="517" width="18.08203125" bestFit="1" customWidth="1"/>
    <col min="518" max="518" width="8.83203125" bestFit="1" customWidth="1"/>
    <col min="524" max="524" width="13" bestFit="1" customWidth="1"/>
    <col min="773" max="773" width="18.08203125" bestFit="1" customWidth="1"/>
    <col min="774" max="774" width="8.83203125" bestFit="1" customWidth="1"/>
    <col min="780" max="780" width="13" bestFit="1" customWidth="1"/>
    <col min="1029" max="1029" width="18.08203125" bestFit="1" customWidth="1"/>
    <col min="1030" max="1030" width="8.83203125" bestFit="1" customWidth="1"/>
    <col min="1036" max="1036" width="13" bestFit="1" customWidth="1"/>
    <col min="1285" max="1285" width="18.08203125" bestFit="1" customWidth="1"/>
    <col min="1286" max="1286" width="8.83203125" bestFit="1" customWidth="1"/>
    <col min="1292" max="1292" width="13" bestFit="1" customWidth="1"/>
    <col min="1541" max="1541" width="18.08203125" bestFit="1" customWidth="1"/>
    <col min="1542" max="1542" width="8.83203125" bestFit="1" customWidth="1"/>
    <col min="1548" max="1548" width="13" bestFit="1" customWidth="1"/>
    <col min="1797" max="1797" width="18.08203125" bestFit="1" customWidth="1"/>
    <col min="1798" max="1798" width="8.83203125" bestFit="1" customWidth="1"/>
    <col min="1804" max="1804" width="13" bestFit="1" customWidth="1"/>
    <col min="2053" max="2053" width="18.08203125" bestFit="1" customWidth="1"/>
    <col min="2054" max="2054" width="8.83203125" bestFit="1" customWidth="1"/>
    <col min="2060" max="2060" width="13" bestFit="1" customWidth="1"/>
    <col min="2309" max="2309" width="18.08203125" bestFit="1" customWidth="1"/>
    <col min="2310" max="2310" width="8.83203125" bestFit="1" customWidth="1"/>
    <col min="2316" max="2316" width="13" bestFit="1" customWidth="1"/>
    <col min="2565" max="2565" width="18.08203125" bestFit="1" customWidth="1"/>
    <col min="2566" max="2566" width="8.83203125" bestFit="1" customWidth="1"/>
    <col min="2572" max="2572" width="13" bestFit="1" customWidth="1"/>
    <col min="2821" max="2821" width="18.08203125" bestFit="1" customWidth="1"/>
    <col min="2822" max="2822" width="8.83203125" bestFit="1" customWidth="1"/>
    <col min="2828" max="2828" width="13" bestFit="1" customWidth="1"/>
    <col min="3077" max="3077" width="18.08203125" bestFit="1" customWidth="1"/>
    <col min="3078" max="3078" width="8.83203125" bestFit="1" customWidth="1"/>
    <col min="3084" max="3084" width="13" bestFit="1" customWidth="1"/>
    <col min="3333" max="3333" width="18.08203125" bestFit="1" customWidth="1"/>
    <col min="3334" max="3334" width="8.83203125" bestFit="1" customWidth="1"/>
    <col min="3340" max="3340" width="13" bestFit="1" customWidth="1"/>
    <col min="3589" max="3589" width="18.08203125" bestFit="1" customWidth="1"/>
    <col min="3590" max="3590" width="8.83203125" bestFit="1" customWidth="1"/>
    <col min="3596" max="3596" width="13" bestFit="1" customWidth="1"/>
    <col min="3845" max="3845" width="18.08203125" bestFit="1" customWidth="1"/>
    <col min="3846" max="3846" width="8.83203125" bestFit="1" customWidth="1"/>
    <col min="3852" max="3852" width="13" bestFit="1" customWidth="1"/>
    <col min="4101" max="4101" width="18.08203125" bestFit="1" customWidth="1"/>
    <col min="4102" max="4102" width="8.83203125" bestFit="1" customWidth="1"/>
    <col min="4108" max="4108" width="13" bestFit="1" customWidth="1"/>
    <col min="4357" max="4357" width="18.08203125" bestFit="1" customWidth="1"/>
    <col min="4358" max="4358" width="8.83203125" bestFit="1" customWidth="1"/>
    <col min="4364" max="4364" width="13" bestFit="1" customWidth="1"/>
    <col min="4613" max="4613" width="18.08203125" bestFit="1" customWidth="1"/>
    <col min="4614" max="4614" width="8.83203125" bestFit="1" customWidth="1"/>
    <col min="4620" max="4620" width="13" bestFit="1" customWidth="1"/>
    <col min="4869" max="4869" width="18.08203125" bestFit="1" customWidth="1"/>
    <col min="4870" max="4870" width="8.83203125" bestFit="1" customWidth="1"/>
    <col min="4876" max="4876" width="13" bestFit="1" customWidth="1"/>
    <col min="5125" max="5125" width="18.08203125" bestFit="1" customWidth="1"/>
    <col min="5126" max="5126" width="8.83203125" bestFit="1" customWidth="1"/>
    <col min="5132" max="5132" width="13" bestFit="1" customWidth="1"/>
    <col min="5381" max="5381" width="18.08203125" bestFit="1" customWidth="1"/>
    <col min="5382" max="5382" width="8.83203125" bestFit="1" customWidth="1"/>
    <col min="5388" max="5388" width="13" bestFit="1" customWidth="1"/>
    <col min="5637" max="5637" width="18.08203125" bestFit="1" customWidth="1"/>
    <col min="5638" max="5638" width="8.83203125" bestFit="1" customWidth="1"/>
    <col min="5644" max="5644" width="13" bestFit="1" customWidth="1"/>
    <col min="5893" max="5893" width="18.08203125" bestFit="1" customWidth="1"/>
    <col min="5894" max="5894" width="8.83203125" bestFit="1" customWidth="1"/>
    <col min="5900" max="5900" width="13" bestFit="1" customWidth="1"/>
    <col min="6149" max="6149" width="18.08203125" bestFit="1" customWidth="1"/>
    <col min="6150" max="6150" width="8.83203125" bestFit="1" customWidth="1"/>
    <col min="6156" max="6156" width="13" bestFit="1" customWidth="1"/>
    <col min="6405" max="6405" width="18.08203125" bestFit="1" customWidth="1"/>
    <col min="6406" max="6406" width="8.83203125" bestFit="1" customWidth="1"/>
    <col min="6412" max="6412" width="13" bestFit="1" customWidth="1"/>
    <col min="6661" max="6661" width="18.08203125" bestFit="1" customWidth="1"/>
    <col min="6662" max="6662" width="8.83203125" bestFit="1" customWidth="1"/>
    <col min="6668" max="6668" width="13" bestFit="1" customWidth="1"/>
    <col min="6917" max="6917" width="18.08203125" bestFit="1" customWidth="1"/>
    <col min="6918" max="6918" width="8.83203125" bestFit="1" customWidth="1"/>
    <col min="6924" max="6924" width="13" bestFit="1" customWidth="1"/>
    <col min="7173" max="7173" width="18.08203125" bestFit="1" customWidth="1"/>
    <col min="7174" max="7174" width="8.83203125" bestFit="1" customWidth="1"/>
    <col min="7180" max="7180" width="13" bestFit="1" customWidth="1"/>
    <col min="7429" max="7429" width="18.08203125" bestFit="1" customWidth="1"/>
    <col min="7430" max="7430" width="8.83203125" bestFit="1" customWidth="1"/>
    <col min="7436" max="7436" width="13" bestFit="1" customWidth="1"/>
    <col min="7685" max="7685" width="18.08203125" bestFit="1" customWidth="1"/>
    <col min="7686" max="7686" width="8.83203125" bestFit="1" customWidth="1"/>
    <col min="7692" max="7692" width="13" bestFit="1" customWidth="1"/>
    <col min="7941" max="7941" width="18.08203125" bestFit="1" customWidth="1"/>
    <col min="7942" max="7942" width="8.83203125" bestFit="1" customWidth="1"/>
    <col min="7948" max="7948" width="13" bestFit="1" customWidth="1"/>
    <col min="8197" max="8197" width="18.08203125" bestFit="1" customWidth="1"/>
    <col min="8198" max="8198" width="8.83203125" bestFit="1" customWidth="1"/>
    <col min="8204" max="8204" width="13" bestFit="1" customWidth="1"/>
    <col min="8453" max="8453" width="18.08203125" bestFit="1" customWidth="1"/>
    <col min="8454" max="8454" width="8.83203125" bestFit="1" customWidth="1"/>
    <col min="8460" max="8460" width="13" bestFit="1" customWidth="1"/>
    <col min="8709" max="8709" width="18.08203125" bestFit="1" customWidth="1"/>
    <col min="8710" max="8710" width="8.83203125" bestFit="1" customWidth="1"/>
    <col min="8716" max="8716" width="13" bestFit="1" customWidth="1"/>
    <col min="8965" max="8965" width="18.08203125" bestFit="1" customWidth="1"/>
    <col min="8966" max="8966" width="8.83203125" bestFit="1" customWidth="1"/>
    <col min="8972" max="8972" width="13" bestFit="1" customWidth="1"/>
    <col min="9221" max="9221" width="18.08203125" bestFit="1" customWidth="1"/>
    <col min="9222" max="9222" width="8.83203125" bestFit="1" customWidth="1"/>
    <col min="9228" max="9228" width="13" bestFit="1" customWidth="1"/>
    <col min="9477" max="9477" width="18.08203125" bestFit="1" customWidth="1"/>
    <col min="9478" max="9478" width="8.83203125" bestFit="1" customWidth="1"/>
    <col min="9484" max="9484" width="13" bestFit="1" customWidth="1"/>
    <col min="9733" max="9733" width="18.08203125" bestFit="1" customWidth="1"/>
    <col min="9734" max="9734" width="8.83203125" bestFit="1" customWidth="1"/>
    <col min="9740" max="9740" width="13" bestFit="1" customWidth="1"/>
    <col min="9989" max="9989" width="18.08203125" bestFit="1" customWidth="1"/>
    <col min="9990" max="9990" width="8.83203125" bestFit="1" customWidth="1"/>
    <col min="9996" max="9996" width="13" bestFit="1" customWidth="1"/>
    <col min="10245" max="10245" width="18.08203125" bestFit="1" customWidth="1"/>
    <col min="10246" max="10246" width="8.83203125" bestFit="1" customWidth="1"/>
    <col min="10252" max="10252" width="13" bestFit="1" customWidth="1"/>
    <col min="10501" max="10501" width="18.08203125" bestFit="1" customWidth="1"/>
    <col min="10502" max="10502" width="8.83203125" bestFit="1" customWidth="1"/>
    <col min="10508" max="10508" width="13" bestFit="1" customWidth="1"/>
    <col min="10757" max="10757" width="18.08203125" bestFit="1" customWidth="1"/>
    <col min="10758" max="10758" width="8.83203125" bestFit="1" customWidth="1"/>
    <col min="10764" max="10764" width="13" bestFit="1" customWidth="1"/>
    <col min="11013" max="11013" width="18.08203125" bestFit="1" customWidth="1"/>
    <col min="11014" max="11014" width="8.83203125" bestFit="1" customWidth="1"/>
    <col min="11020" max="11020" width="13" bestFit="1" customWidth="1"/>
    <col min="11269" max="11269" width="18.08203125" bestFit="1" customWidth="1"/>
    <col min="11270" max="11270" width="8.83203125" bestFit="1" customWidth="1"/>
    <col min="11276" max="11276" width="13" bestFit="1" customWidth="1"/>
    <col min="11525" max="11525" width="18.08203125" bestFit="1" customWidth="1"/>
    <col min="11526" max="11526" width="8.83203125" bestFit="1" customWidth="1"/>
    <col min="11532" max="11532" width="13" bestFit="1" customWidth="1"/>
    <col min="11781" max="11781" width="18.08203125" bestFit="1" customWidth="1"/>
    <col min="11782" max="11782" width="8.83203125" bestFit="1" customWidth="1"/>
    <col min="11788" max="11788" width="13" bestFit="1" customWidth="1"/>
    <col min="12037" max="12037" width="18.08203125" bestFit="1" customWidth="1"/>
    <col min="12038" max="12038" width="8.83203125" bestFit="1" customWidth="1"/>
    <col min="12044" max="12044" width="13" bestFit="1" customWidth="1"/>
    <col min="12293" max="12293" width="18.08203125" bestFit="1" customWidth="1"/>
    <col min="12294" max="12294" width="8.83203125" bestFit="1" customWidth="1"/>
    <col min="12300" max="12300" width="13" bestFit="1" customWidth="1"/>
    <col min="12549" max="12549" width="18.08203125" bestFit="1" customWidth="1"/>
    <col min="12550" max="12550" width="8.83203125" bestFit="1" customWidth="1"/>
    <col min="12556" max="12556" width="13" bestFit="1" customWidth="1"/>
    <col min="12805" max="12805" width="18.08203125" bestFit="1" customWidth="1"/>
    <col min="12806" max="12806" width="8.83203125" bestFit="1" customWidth="1"/>
    <col min="12812" max="12812" width="13" bestFit="1" customWidth="1"/>
    <col min="13061" max="13061" width="18.08203125" bestFit="1" customWidth="1"/>
    <col min="13062" max="13062" width="8.83203125" bestFit="1" customWidth="1"/>
    <col min="13068" max="13068" width="13" bestFit="1" customWidth="1"/>
    <col min="13317" max="13317" width="18.08203125" bestFit="1" customWidth="1"/>
    <col min="13318" max="13318" width="8.83203125" bestFit="1" customWidth="1"/>
    <col min="13324" max="13324" width="13" bestFit="1" customWidth="1"/>
    <col min="13573" max="13573" width="18.08203125" bestFit="1" customWidth="1"/>
    <col min="13574" max="13574" width="8.83203125" bestFit="1" customWidth="1"/>
    <col min="13580" max="13580" width="13" bestFit="1" customWidth="1"/>
    <col min="13829" max="13829" width="18.08203125" bestFit="1" customWidth="1"/>
    <col min="13830" max="13830" width="8.83203125" bestFit="1" customWidth="1"/>
    <col min="13836" max="13836" width="13" bestFit="1" customWidth="1"/>
    <col min="14085" max="14085" width="18.08203125" bestFit="1" customWidth="1"/>
    <col min="14086" max="14086" width="8.83203125" bestFit="1" customWidth="1"/>
    <col min="14092" max="14092" width="13" bestFit="1" customWidth="1"/>
    <col min="14341" max="14341" width="18.08203125" bestFit="1" customWidth="1"/>
    <col min="14342" max="14342" width="8.83203125" bestFit="1" customWidth="1"/>
    <col min="14348" max="14348" width="13" bestFit="1" customWidth="1"/>
    <col min="14597" max="14597" width="18.08203125" bestFit="1" customWidth="1"/>
    <col min="14598" max="14598" width="8.83203125" bestFit="1" customWidth="1"/>
    <col min="14604" max="14604" width="13" bestFit="1" customWidth="1"/>
    <col min="14853" max="14853" width="18.08203125" bestFit="1" customWidth="1"/>
    <col min="14854" max="14854" width="8.83203125" bestFit="1" customWidth="1"/>
    <col min="14860" max="14860" width="13" bestFit="1" customWidth="1"/>
    <col min="15109" max="15109" width="18.08203125" bestFit="1" customWidth="1"/>
    <col min="15110" max="15110" width="8.83203125" bestFit="1" customWidth="1"/>
    <col min="15116" max="15116" width="13" bestFit="1" customWidth="1"/>
    <col min="15365" max="15365" width="18.08203125" bestFit="1" customWidth="1"/>
    <col min="15366" max="15366" width="8.83203125" bestFit="1" customWidth="1"/>
    <col min="15372" max="15372" width="13" bestFit="1" customWidth="1"/>
    <col min="15621" max="15621" width="18.08203125" bestFit="1" customWidth="1"/>
    <col min="15622" max="15622" width="8.83203125" bestFit="1" customWidth="1"/>
    <col min="15628" max="15628" width="13" bestFit="1" customWidth="1"/>
    <col min="15877" max="15877" width="18.08203125" bestFit="1" customWidth="1"/>
    <col min="15878" max="15878" width="8.83203125" bestFit="1" customWidth="1"/>
    <col min="15884" max="15884" width="13" bestFit="1" customWidth="1"/>
    <col min="16133" max="16133" width="18.08203125" bestFit="1" customWidth="1"/>
    <col min="16134" max="16134" width="8.83203125" bestFit="1" customWidth="1"/>
    <col min="16140" max="16140" width="13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4</v>
      </c>
      <c r="P1" t="s">
        <v>0</v>
      </c>
      <c r="Q1" t="s">
        <v>1</v>
      </c>
      <c r="R1" t="s">
        <v>2</v>
      </c>
      <c r="S1" t="s">
        <v>4</v>
      </c>
    </row>
    <row r="2" spans="1:19" ht="14" thickBot="1" x14ac:dyDescent="0.4">
      <c r="A2" s="1">
        <f>5/3</f>
        <v>1.6666666666666667</v>
      </c>
      <c r="B2" s="1">
        <v>2</v>
      </c>
      <c r="C2" s="1">
        <v>5</v>
      </c>
      <c r="D2" s="1">
        <v>1</v>
      </c>
      <c r="E2" s="1"/>
      <c r="F2" s="1">
        <f>A2</f>
        <v>1.6666666666666667</v>
      </c>
      <c r="G2" s="1">
        <f>B2</f>
        <v>2</v>
      </c>
      <c r="H2" s="1">
        <f>C2/SQRT(4*PI())</f>
        <v>1.4104739588693909</v>
      </c>
      <c r="I2" s="1">
        <f>D2</f>
        <v>1</v>
      </c>
      <c r="K2" s="1">
        <f>5/3</f>
        <v>1.6666666666666667</v>
      </c>
      <c r="L2" s="1">
        <v>2</v>
      </c>
      <c r="M2" s="1">
        <v>5</v>
      </c>
      <c r="N2" s="1">
        <v>0.05</v>
      </c>
      <c r="P2" s="1">
        <f>K2</f>
        <v>1.6666666666666667</v>
      </c>
      <c r="Q2" s="1">
        <f>L2</f>
        <v>2</v>
      </c>
      <c r="R2" s="1">
        <f>M2/SQRT(4*PI())</f>
        <v>1.4104739588693909</v>
      </c>
      <c r="S2" s="1">
        <f>N2</f>
        <v>0.05</v>
      </c>
    </row>
    <row r="3" spans="1:19" s="6" customFormat="1" ht="13.5" x14ac:dyDescent="0.35">
      <c r="A3" s="2" t="s">
        <v>5</v>
      </c>
      <c r="B3" s="3">
        <v>1</v>
      </c>
      <c r="C3" s="4">
        <v>1</v>
      </c>
      <c r="D3" s="5">
        <v>0</v>
      </c>
      <c r="F3" s="3">
        <v>1</v>
      </c>
      <c r="G3" s="4">
        <v>1</v>
      </c>
      <c r="H3" s="5">
        <v>0</v>
      </c>
      <c r="K3" s="2" t="s">
        <v>5</v>
      </c>
      <c r="L3" s="3">
        <v>1</v>
      </c>
      <c r="M3" s="4">
        <v>1</v>
      </c>
      <c r="N3" s="5">
        <v>0</v>
      </c>
      <c r="P3" s="3">
        <v>1</v>
      </c>
      <c r="Q3" s="4">
        <v>1</v>
      </c>
      <c r="R3" s="5">
        <v>0</v>
      </c>
    </row>
    <row r="4" spans="1:19" ht="13.5" x14ac:dyDescent="0.35">
      <c r="A4" s="7" t="s">
        <v>6</v>
      </c>
      <c r="B4" s="8">
        <v>3.8959999999999999</v>
      </c>
      <c r="C4" s="9">
        <f>D4*(1+C25)</f>
        <v>2.1210922888503996</v>
      </c>
      <c r="D4" s="10">
        <v>1</v>
      </c>
      <c r="E4" s="11"/>
      <c r="F4" s="8">
        <v>3.8959999999999999</v>
      </c>
      <c r="G4" s="9">
        <f>H4*(1+G25)</f>
        <v>2.1210922888503916</v>
      </c>
      <c r="H4" s="10">
        <f>D4</f>
        <v>1</v>
      </c>
      <c r="I4" s="11"/>
      <c r="J4" s="11"/>
      <c r="K4" s="7" t="s">
        <v>6</v>
      </c>
      <c r="L4" s="8">
        <v>3.1080000000000001</v>
      </c>
      <c r="M4" s="9">
        <f>N4*(1+M25)</f>
        <v>2.2192427131381267</v>
      </c>
      <c r="N4" s="10">
        <v>1</v>
      </c>
      <c r="O4" s="11"/>
      <c r="P4" s="8">
        <v>3.1080000000000001</v>
      </c>
      <c r="Q4" s="9">
        <f>R4*(1+Q25)</f>
        <v>2.2192427131381276</v>
      </c>
      <c r="R4" s="10">
        <f>N4</f>
        <v>1</v>
      </c>
      <c r="S4" s="11"/>
    </row>
    <row r="5" spans="1:19" ht="13.5" x14ac:dyDescent="0.35">
      <c r="A5" s="7" t="s">
        <v>7</v>
      </c>
      <c r="B5" s="8">
        <v>305.89999999999998</v>
      </c>
      <c r="C5" s="9">
        <f>D5*(1+C26)</f>
        <v>4.9804769994370037</v>
      </c>
      <c r="D5" s="10">
        <v>1</v>
      </c>
      <c r="E5" s="11"/>
      <c r="F5" s="8">
        <v>305.89999999999998</v>
      </c>
      <c r="G5" s="9">
        <f>H5*(1+G26)</f>
        <v>4.9804769994370037</v>
      </c>
      <c r="H5" s="10">
        <f>D5</f>
        <v>1</v>
      </c>
      <c r="I5" s="11"/>
      <c r="J5" s="11"/>
      <c r="K5" s="7" t="s">
        <v>7</v>
      </c>
      <c r="L5" s="8">
        <v>1.4336</v>
      </c>
      <c r="M5" s="9">
        <f>N5*(1+M26)</f>
        <v>0.44417712599378273</v>
      </c>
      <c r="N5" s="10">
        <v>0.1</v>
      </c>
      <c r="O5" s="11"/>
      <c r="P5" s="8">
        <v>1.4336</v>
      </c>
      <c r="Q5" s="9">
        <f>R5*(1+Q26)</f>
        <v>0.4441771259937829</v>
      </c>
      <c r="R5" s="10">
        <f>N5</f>
        <v>0.1</v>
      </c>
      <c r="S5" s="11"/>
    </row>
    <row r="6" spans="1:19" ht="13.5" x14ac:dyDescent="0.35">
      <c r="A6" s="7" t="s">
        <v>8</v>
      </c>
      <c r="B6" s="8">
        <v>0</v>
      </c>
      <c r="C6" s="9">
        <f>-C28-C27</f>
        <v>-13.27243775179695</v>
      </c>
      <c r="D6" s="10">
        <v>-15.3</v>
      </c>
      <c r="E6" s="11"/>
      <c r="F6" s="8">
        <v>0</v>
      </c>
      <c r="G6" s="9">
        <f>-G28-G27</f>
        <v>-13.272437751796982</v>
      </c>
      <c r="H6" s="10">
        <f>D6</f>
        <v>-15.3</v>
      </c>
      <c r="I6" s="11"/>
      <c r="J6" s="11"/>
      <c r="K6" s="7" t="s">
        <v>8</v>
      </c>
      <c r="L6" s="8">
        <v>0</v>
      </c>
      <c r="M6" s="9">
        <f>M28+M27</f>
        <v>0.50476631267435734</v>
      </c>
      <c r="N6" s="10">
        <v>-0.92249999999999999</v>
      </c>
      <c r="O6" s="11"/>
      <c r="P6" s="8">
        <v>0</v>
      </c>
      <c r="Q6" s="9">
        <f>Q28+Q27</f>
        <v>0.50476631267435712</v>
      </c>
      <c r="R6" s="10">
        <f>N6</f>
        <v>-0.92249999999999999</v>
      </c>
      <c r="S6" s="11"/>
    </row>
    <row r="7" spans="1:19" ht="13.5" x14ac:dyDescent="0.35">
      <c r="A7" s="7" t="s">
        <v>9</v>
      </c>
      <c r="B7" s="8">
        <v>-5.7999999999999996E-3</v>
      </c>
      <c r="C7" s="9">
        <f>C12*C19</f>
        <v>-0.1630301502304555</v>
      </c>
      <c r="D7" s="10">
        <v>0</v>
      </c>
      <c r="E7" s="11"/>
      <c r="F7" s="8">
        <v>-5.7999999999999996E-3</v>
      </c>
      <c r="G7" s="9">
        <f>G12*G19</f>
        <v>-0.16303015023045728</v>
      </c>
      <c r="H7" s="10">
        <f>D7</f>
        <v>0</v>
      </c>
      <c r="I7" s="11"/>
      <c r="J7" s="11"/>
      <c r="K7" s="7" t="s">
        <v>9</v>
      </c>
      <c r="L7" s="8">
        <v>0.26329999999999998</v>
      </c>
      <c r="M7" s="9">
        <f>M12*M19</f>
        <v>9.6135302128584954E-2</v>
      </c>
      <c r="N7" s="10">
        <v>0</v>
      </c>
      <c r="O7" s="11"/>
      <c r="P7" s="8">
        <v>0.26329999999999998</v>
      </c>
      <c r="Q7" s="9">
        <f>Q12*Q19</f>
        <v>9.6135302128584968E-2</v>
      </c>
      <c r="R7" s="10">
        <f>N7</f>
        <v>0</v>
      </c>
      <c r="S7" s="11"/>
    </row>
    <row r="8" spans="1:19" ht="13.5" x14ac:dyDescent="0.35">
      <c r="A8" s="7" t="s">
        <v>10</v>
      </c>
      <c r="B8" s="8">
        <v>-2.8E-3</v>
      </c>
      <c r="C8" s="9">
        <f>C12*C20</f>
        <v>-0.652120600921822</v>
      </c>
      <c r="D8" s="10">
        <v>0</v>
      </c>
      <c r="F8" s="8">
        <v>-2.8E-3</v>
      </c>
      <c r="G8" s="9">
        <f>G12*G20</f>
        <v>-0.65212060092182911</v>
      </c>
      <c r="H8" s="10">
        <f>D8</f>
        <v>0</v>
      </c>
      <c r="K8" s="7" t="s">
        <v>10</v>
      </c>
      <c r="L8" s="8">
        <v>0.26329999999999998</v>
      </c>
      <c r="M8" s="9">
        <f>M12*M20</f>
        <v>9.6135302128584954E-2</v>
      </c>
      <c r="N8" s="10">
        <v>0</v>
      </c>
      <c r="P8" s="8">
        <v>0.26329999999999998</v>
      </c>
      <c r="Q8" s="9">
        <f>Q12*Q20</f>
        <v>9.6135302128584968E-2</v>
      </c>
      <c r="R8" s="10">
        <f>N8</f>
        <v>0</v>
      </c>
    </row>
    <row r="9" spans="1:19" ht="13.5" x14ac:dyDescent="0.35">
      <c r="A9" s="7" t="s">
        <v>11</v>
      </c>
      <c r="B9" s="8">
        <v>3.9510000000000001</v>
      </c>
      <c r="C9" s="9">
        <f>C13*C19</f>
        <v>2.5718104959867518</v>
      </c>
      <c r="D9" s="10">
        <v>1</v>
      </c>
      <c r="F9" s="8">
        <f>B9/SQRT(4*PI())</f>
        <v>1.1145565222985927</v>
      </c>
      <c r="G9" s="9">
        <f>G13*G19</f>
        <v>0.72549434634725685</v>
      </c>
      <c r="H9" s="10">
        <f>D9/SQRT(4*PI())</f>
        <v>0.28209479177387814</v>
      </c>
      <c r="K9" s="7" t="s">
        <v>11</v>
      </c>
      <c r="L9" s="8">
        <v>0.1</v>
      </c>
      <c r="M9" s="9">
        <f>M13*M19</f>
        <v>0.81628826929126153</v>
      </c>
      <c r="N9" s="10">
        <v>1</v>
      </c>
      <c r="P9" s="8">
        <f>0.1/SQRT(4*PI())</f>
        <v>2.8209479177387819E-2</v>
      </c>
      <c r="Q9" s="9">
        <f>Q13*Q19</f>
        <v>0.23027066935317783</v>
      </c>
      <c r="R9" s="10">
        <f>N9/SQRT(4*PI())</f>
        <v>0.28209479177387814</v>
      </c>
    </row>
    <row r="10" spans="1:19" ht="13.5" x14ac:dyDescent="0.35">
      <c r="A10" s="12" t="s">
        <v>12</v>
      </c>
      <c r="B10" s="13">
        <f>4*B9</f>
        <v>15.804</v>
      </c>
      <c r="C10" s="14">
        <f>C13*C20</f>
        <v>10.287241983947007</v>
      </c>
      <c r="D10" s="15">
        <f>4*D9</f>
        <v>4</v>
      </c>
      <c r="F10" s="13">
        <f>4*F9</f>
        <v>4.4582260891943708</v>
      </c>
      <c r="G10" s="14">
        <f>G13*G20</f>
        <v>2.9019773853890274</v>
      </c>
      <c r="H10" s="15">
        <f>D10*H9</f>
        <v>1.1283791670955126</v>
      </c>
      <c r="K10" s="12" t="s">
        <v>12</v>
      </c>
      <c r="L10" s="13">
        <v>0.1</v>
      </c>
      <c r="M10" s="14">
        <f>M13*M20</f>
        <v>0.81628826929126153</v>
      </c>
      <c r="N10" s="15">
        <v>1</v>
      </c>
      <c r="P10" s="13">
        <f>P9</f>
        <v>2.8209479177387819E-2</v>
      </c>
      <c r="Q10" s="14">
        <f>Q13*Q20</f>
        <v>0.23027066935317783</v>
      </c>
      <c r="R10" s="15">
        <f>N10*R9</f>
        <v>0.28209479177387814</v>
      </c>
    </row>
    <row r="11" spans="1:19" x14ac:dyDescent="0.3">
      <c r="A11" s="16" t="s">
        <v>13</v>
      </c>
      <c r="B11" s="17">
        <f>SQRT($C$2*$C$2+B13*B13)</f>
        <v>17.04044650236607</v>
      </c>
      <c r="C11" s="18">
        <f>SQRT($C$2*$C$2+C13*C13)</f>
        <v>11.723547110987765</v>
      </c>
      <c r="D11" s="17">
        <f>SQRT($C$2*$C$2+D13*D13)</f>
        <v>6.4807406984078604</v>
      </c>
      <c r="F11" s="17">
        <f>SQRT($C$2*$C$2+F13*F13)</f>
        <v>6.7910246725933545</v>
      </c>
      <c r="G11" s="18">
        <f>SQRT($H$2*$H$2+G13*G13)</f>
        <v>3.307151581125344</v>
      </c>
      <c r="H11" s="17">
        <f>SQRT($H$2*$H$2+H13*H13)</f>
        <v>1.8281831978578631</v>
      </c>
      <c r="K11" s="16" t="s">
        <v>13</v>
      </c>
      <c r="L11" s="17">
        <f>SQRT(M2*C$2+L13*L13)</f>
        <v>5.0019996001599196</v>
      </c>
      <c r="M11" s="18">
        <f>SQRT($M$2*$M$2+M13*M13)</f>
        <v>5.1315351579390986</v>
      </c>
      <c r="N11" s="17">
        <f>SQRT($M$2*$M$2+N13*N13)</f>
        <v>5.196152422706632</v>
      </c>
      <c r="P11" s="17">
        <f>SQRT($R$2*$R$2+P13*P13)</f>
        <v>1.4110380356601344</v>
      </c>
      <c r="Q11" s="17">
        <f>SQRT($R$2*$R$2+Q13*Q13)</f>
        <v>1.4475793418591649</v>
      </c>
      <c r="R11" s="17">
        <f>SQRT($R$2*R2+R13*R13)</f>
        <v>1.4658075357087599</v>
      </c>
    </row>
    <row r="12" spans="1:19" ht="13.5" x14ac:dyDescent="0.35">
      <c r="A12" s="19" t="s">
        <v>14</v>
      </c>
      <c r="B12" s="31">
        <f>SQRT(B7*B7+B8*B8)</f>
        <v>6.4404968752418473E-3</v>
      </c>
      <c r="C12" s="20">
        <f>-C30-D12</f>
        <v>-0.67219052956048342</v>
      </c>
      <c r="D12" s="31">
        <f>SQRT(D7*D7+D8*D8)</f>
        <v>0</v>
      </c>
      <c r="F12" s="31">
        <f>SQRT(F7*F7+F8*F8)</f>
        <v>6.4404968752418473E-3</v>
      </c>
      <c r="G12" s="20">
        <f>-G30-H12</f>
        <v>-0.67219052956049075</v>
      </c>
      <c r="H12" s="31">
        <f>SQRT(H7*H7+H8*H8)</f>
        <v>0</v>
      </c>
      <c r="I12" s="32"/>
      <c r="J12" s="32"/>
      <c r="K12" s="19" t="s">
        <v>14</v>
      </c>
      <c r="L12" s="31">
        <f>SQRT(L7*L7+L8*L8)</f>
        <v>0.37236243097283589</v>
      </c>
      <c r="M12" s="20">
        <f>-M30-N12</f>
        <v>0.13595584809307992</v>
      </c>
      <c r="N12" s="31">
        <f>SQRT(N7*N7+N8*N8)</f>
        <v>0</v>
      </c>
      <c r="O12" s="32"/>
      <c r="P12" s="31">
        <f>SQRT(P7*P7+P8*P8)</f>
        <v>0.37236243097283589</v>
      </c>
      <c r="Q12" s="20">
        <f>-Q30-R12</f>
        <v>0.13595584809307992</v>
      </c>
      <c r="R12" s="31">
        <f>SQRT(R7*R7+R8*R8)</f>
        <v>0</v>
      </c>
      <c r="S12" s="32"/>
    </row>
    <row r="13" spans="1:19" ht="13.5" x14ac:dyDescent="0.35">
      <c r="A13" s="19" t="s">
        <v>15</v>
      </c>
      <c r="B13" s="31">
        <f>SQRT(B9*B9+B10*B10)</f>
        <v>16.290390326815377</v>
      </c>
      <c r="C13" s="20">
        <f>D13+D11*D2</f>
        <v>10.603846324025522</v>
      </c>
      <c r="D13" s="31">
        <f>SQRT(D9*D9+D10*D10)</f>
        <v>4.1231056256176606</v>
      </c>
      <c r="E13" s="21"/>
      <c r="F13" s="31">
        <f>SQRT(F9*F9+F10*F10)</f>
        <v>4.5954342671581836</v>
      </c>
      <c r="G13" s="20">
        <f>H13+H11*I2</f>
        <v>2.9912898207781824</v>
      </c>
      <c r="H13" s="31">
        <f>SQRT(H9*H9+H10*H10)</f>
        <v>1.1631066229203195</v>
      </c>
      <c r="I13" s="33"/>
      <c r="J13" s="32"/>
      <c r="K13" s="19" t="s">
        <v>15</v>
      </c>
      <c r="L13" s="31">
        <f>SQRT(L9*L9+L10*L10)</f>
        <v>0.14142135623730953</v>
      </c>
      <c r="M13" s="20">
        <f>N13-N11*N2</f>
        <v>1.1544059412377634</v>
      </c>
      <c r="N13" s="31">
        <f>SQRT(N9*N9+N10*N10)</f>
        <v>1.4142135623730951</v>
      </c>
      <c r="O13" s="32"/>
      <c r="P13" s="31">
        <f>SQRT(P9*P9+P10*P10)</f>
        <v>3.9894228040143274E-2</v>
      </c>
      <c r="Q13" s="20">
        <f>R13-R11*S2</f>
        <v>0.32565190361599466</v>
      </c>
      <c r="R13" s="31">
        <f>SQRT(R9*R9+R10*R10)</f>
        <v>0.39894228040143265</v>
      </c>
      <c r="S13" s="33"/>
    </row>
    <row r="14" spans="1:19" ht="13.5" x14ac:dyDescent="0.35">
      <c r="A14" s="19" t="s">
        <v>16</v>
      </c>
      <c r="B14" s="22">
        <f>$C$2/(SQRT(4*PI()*B4))</f>
        <v>0.71458780149061596</v>
      </c>
      <c r="C14" s="20">
        <f>$C$2/(SQRT(4*PI()*C4))</f>
        <v>0.96846803207673182</v>
      </c>
      <c r="D14" s="22">
        <f>$C$2/(SQRT(4*PI()*D4))</f>
        <v>1.4104739588693909</v>
      </c>
      <c r="E14" s="21"/>
      <c r="F14" s="22">
        <f>$C$2/(SQRT(4*PI()*F4))</f>
        <v>0.71458780149061596</v>
      </c>
      <c r="G14" s="20">
        <f>$C$2/(SQRT(4*PI()*G4))</f>
        <v>0.9684680320767336</v>
      </c>
      <c r="H14" s="22">
        <f>$H$2/(SQRT(H4))</f>
        <v>1.4104739588693909</v>
      </c>
      <c r="I14" s="21"/>
      <c r="K14" s="19" t="s">
        <v>16</v>
      </c>
      <c r="L14" s="22">
        <f>$M$2/(SQRT(4*PI()*L4))</f>
        <v>0.80006370174483199</v>
      </c>
      <c r="M14" s="20">
        <f>$M$2/(SQRT(4*PI()*M4))</f>
        <v>0.94680963994161937</v>
      </c>
      <c r="N14" s="22">
        <f>$M$2/(SQRT(4*PI()*N4))</f>
        <v>1.4104739588693909</v>
      </c>
      <c r="P14" s="22">
        <f>ABS($R$2)/(SQRT(P4))</f>
        <v>0.80006370174483199</v>
      </c>
      <c r="Q14" s="22">
        <f>ABS($R$2)/(SQRT(Q4))</f>
        <v>0.94680963994161926</v>
      </c>
      <c r="R14" s="22">
        <f>ABS($R$2)/(SQRT(R4))</f>
        <v>1.4104739588693909</v>
      </c>
      <c r="S14" s="21"/>
    </row>
    <row r="15" spans="1:19" ht="13.5" x14ac:dyDescent="0.35">
      <c r="A15" s="19" t="s">
        <v>17</v>
      </c>
      <c r="B15" s="22">
        <f>B11/SQRT(4*PI()*B4)</f>
        <v>2.4353790405088453</v>
      </c>
      <c r="C15" s="20">
        <f>C11/SQRT(4*PI()*C4)</f>
        <v>2.2707761199074352</v>
      </c>
      <c r="D15" s="22">
        <f>D11/SQRT(4*PI()*D4)</f>
        <v>1.8281831978578631</v>
      </c>
      <c r="E15" s="21"/>
      <c r="F15" s="22">
        <f>F11/SQRT(4*PI()*F4)</f>
        <v>0.97055667813140301</v>
      </c>
      <c r="G15" s="20">
        <f>G11/SQRT(G4)</f>
        <v>2.2707761199074392</v>
      </c>
      <c r="H15" s="22">
        <f>H11/SQRT(H4)</f>
        <v>1.8281831978578631</v>
      </c>
      <c r="I15" s="21"/>
      <c r="K15" s="19" t="s">
        <v>17</v>
      </c>
      <c r="L15" s="22">
        <f>L11/SQRT(4*PI()*L4)</f>
        <v>0.80038366324602295</v>
      </c>
      <c r="M15" s="20">
        <f>M11/SQRT(4*PI()*M4)</f>
        <v>0.97171739104721577</v>
      </c>
      <c r="N15" s="22">
        <f>N11/SQRT(4*PI()*N4)</f>
        <v>1.4658075357087599</v>
      </c>
      <c r="P15" s="22">
        <f>P11/SQRT(P4)</f>
        <v>0.80038366324602295</v>
      </c>
      <c r="Q15" s="22">
        <f>Q11/SQRT(Q4)</f>
        <v>0.97171739104721555</v>
      </c>
      <c r="R15" s="22">
        <f>R11/SQRT(R4)</f>
        <v>1.4658075357087599</v>
      </c>
      <c r="S15" s="21"/>
    </row>
    <row r="16" spans="1:19" ht="13.5" x14ac:dyDescent="0.35">
      <c r="A16" s="19" t="s">
        <v>18</v>
      </c>
      <c r="B16" s="22">
        <f>SQRT($A$2*B5/B4)</f>
        <v>11.439436692477678</v>
      </c>
      <c r="C16" s="20">
        <f>SQRT($A$2*C5/C4)</f>
        <v>1.9782449313667605</v>
      </c>
      <c r="D16" s="22">
        <f>SQRT($A$2*D5/D4)</f>
        <v>1.2909944487358056</v>
      </c>
      <c r="E16" s="21"/>
      <c r="F16" s="22">
        <f>SQRT($A$2*F5/F4)</f>
        <v>11.439436692477678</v>
      </c>
      <c r="G16" s="20">
        <f>SQRT($A$2*G5/G4)</f>
        <v>1.978244931366764</v>
      </c>
      <c r="H16" s="22">
        <f>SQRT($A$2*H5/H4)</f>
        <v>1.2909944487358056</v>
      </c>
      <c r="I16" s="21"/>
      <c r="K16" s="19" t="s">
        <v>18</v>
      </c>
      <c r="L16" s="22">
        <f>SQRT($K$2*L5/L4)</f>
        <v>0.87679459896190559</v>
      </c>
      <c r="M16" s="20">
        <f>SQRT($K$2*M5/M4)</f>
        <v>0.57756393734360145</v>
      </c>
      <c r="N16" s="22">
        <f>SQRT($K$2*N5/N4)</f>
        <v>0.40824829046386302</v>
      </c>
      <c r="P16" s="20">
        <f>SQRT($K$2*P5/P4)</f>
        <v>0.87679459896190559</v>
      </c>
      <c r="Q16" s="20">
        <f>SQRT($K$2*Q5/Q4)</f>
        <v>0.57756393734360145</v>
      </c>
      <c r="R16" s="22">
        <f>SQRT(0.5*$Q$2*$P$2*R5/R4)</f>
        <v>0.40824829046386302</v>
      </c>
      <c r="S16" s="21"/>
    </row>
    <row r="17" spans="1:19" ht="13.5" x14ac:dyDescent="0.35">
      <c r="A17" s="19" t="s">
        <v>19</v>
      </c>
      <c r="B17" s="22">
        <f>SQRT(0.5*(B16*B16+B15*B15+SQRT((B16*B16+B15*B15)*(B16*B16+B15*B15)-4*B16*B16*B14*B14)))</f>
        <v>11.67482464520857</v>
      </c>
      <c r="C17" s="20">
        <f>SQRT(0.5*(C16*C16+C15*C15+SQRT((C16*C16+C15*C15)*(C16*C16+C15*C15)-4*C16*C16*C14*C14)))</f>
        <v>2.9402901555212364</v>
      </c>
      <c r="D17" s="22">
        <f>SQRT(0.5*(D16*D16+D15*D15+SQRT((D16*D16+D15*D15)*(D16*D16+D15*D15)-4*D16*D16*D14*D14)))</f>
        <v>2.0552213728704971</v>
      </c>
      <c r="E17" s="21"/>
      <c r="F17" s="22">
        <f>SQRT(0.5*(F16*F16+F15*F15+SQRT((F16*F16+F15*F15)*(F16*F16+F15*F15)-4*F16*F16*F14*F14)))</f>
        <v>11.458348072152704</v>
      </c>
      <c r="G17" s="20">
        <f>SQRT(0.5*(G16*G16+G15*G15+SQRT((G16*G16+G15*G15)*(G16*G16+G15*G15)-4*G16*G16*G14*G14)))</f>
        <v>2.9402901555212413</v>
      </c>
      <c r="H17" s="22">
        <f>SQRT(0.5*(H16*H16+H15*H15+SQRT((H16*H16+H15*H15)*(H16*H16+H15*H15)-4*H16*H16*H14*H14)))</f>
        <v>2.0552213728704971</v>
      </c>
      <c r="I17" s="21"/>
      <c r="K17" s="19" t="s">
        <v>20</v>
      </c>
      <c r="L17" s="22">
        <f>SQRT(0.5*(L16*L16+L15*L15+SQRT((L16*L16+L15*L15)*(L16*L16+L15*L15)-4*L16*L16*L14*L14)))</f>
        <v>0.87850459265216962</v>
      </c>
      <c r="M17" s="20">
        <f>SQRT(0.5*(M16*M16+M15*M15+SQRT((M16*M16+M15*M15)*(M16*M16+M15*M15)-4*M16*M16*M14*M14)))</f>
        <v>0.98453496067880952</v>
      </c>
      <c r="N17" s="22">
        <f>SQRT(0.5*(N16*N16+N15*N15-SQRT((N16*N16+N15*N15)*(N16*N16+N15*N15)-4*N16*N16*N14*N14)))</f>
        <v>0.3916273468439973</v>
      </c>
      <c r="P17" s="22">
        <f>SQRT(0.5*(P16*P16+P15*P15+SQRT((P16*P16+P15*P15)*(P16*P16+P15*P15)-4*P16*P16*P14*P14)))</f>
        <v>0.87850459265216962</v>
      </c>
      <c r="Q17" s="20">
        <f>SQRT(0.5*(Q16*Q16+Q15*Q15+SQRT((Q16*Q16+Q15*Q15)*(Q16*Q16+Q15*Q15)-4*Q16*Q16*Q14*Q14)))</f>
        <v>0.9845349606788093</v>
      </c>
      <c r="R17" s="22">
        <f>SQRT(0.5*(R16*R16+R15*R15-SQRT((R16*R16+R15*R15)*(R16*R16+R15*R15)-4*R16*R16*R14*R14)))</f>
        <v>0.3916273468439973</v>
      </c>
      <c r="S17" s="21"/>
    </row>
    <row r="18" spans="1:19" ht="14" thickBot="1" x14ac:dyDescent="0.4">
      <c r="A18" s="19" t="s">
        <v>21</v>
      </c>
      <c r="B18" s="22">
        <f>B6+B17</f>
        <v>11.67482464520857</v>
      </c>
      <c r="C18" s="22">
        <f t="shared" ref="C18:D18" si="0">C6+C17</f>
        <v>-10.332147596275714</v>
      </c>
      <c r="D18" s="22">
        <f t="shared" si="0"/>
        <v>-13.244778627129504</v>
      </c>
      <c r="E18" s="21"/>
      <c r="F18" s="22">
        <f t="shared" ref="F18:H18" si="1">F6+F17</f>
        <v>11.458348072152704</v>
      </c>
      <c r="G18" s="22">
        <f t="shared" si="1"/>
        <v>-10.332147596275741</v>
      </c>
      <c r="H18" s="22">
        <f t="shared" si="1"/>
        <v>-13.244778627129504</v>
      </c>
      <c r="I18" s="21"/>
      <c r="K18" s="19" t="s">
        <v>22</v>
      </c>
      <c r="L18" s="22">
        <f t="shared" ref="L18:N18" si="2">L6+L17</f>
        <v>0.87850459265216962</v>
      </c>
      <c r="M18" s="22">
        <f t="shared" si="2"/>
        <v>1.489301273353167</v>
      </c>
      <c r="N18" s="22">
        <f t="shared" si="2"/>
        <v>-0.53087265315600263</v>
      </c>
      <c r="P18" s="22">
        <f t="shared" ref="P18:R18" si="3">P6+P17</f>
        <v>0.87850459265216962</v>
      </c>
      <c r="Q18" s="22">
        <f t="shared" si="3"/>
        <v>1.4893012733531665</v>
      </c>
      <c r="R18" s="22">
        <f t="shared" si="3"/>
        <v>-0.53087265315600263</v>
      </c>
      <c r="S18" s="21"/>
    </row>
    <row r="19" spans="1:19" ht="13.5" x14ac:dyDescent="0.35">
      <c r="A19" s="2" t="s">
        <v>23</v>
      </c>
      <c r="B19" s="23"/>
      <c r="C19" s="35">
        <f>D9/D13</f>
        <v>0.24253562503633297</v>
      </c>
      <c r="D19" s="36"/>
      <c r="E19" s="21"/>
      <c r="F19" s="23"/>
      <c r="G19" s="35">
        <f>H9/H13</f>
        <v>0.24253562503633297</v>
      </c>
      <c r="H19" s="36"/>
      <c r="I19" s="21"/>
      <c r="K19" s="2" t="s">
        <v>23</v>
      </c>
      <c r="L19" s="23"/>
      <c r="M19" s="35">
        <f>N9/N13</f>
        <v>0.70710678118654746</v>
      </c>
      <c r="N19" s="36"/>
      <c r="P19" s="23"/>
      <c r="Q19" s="35">
        <f>R9/R13</f>
        <v>0.70710678118654757</v>
      </c>
      <c r="R19" s="36"/>
      <c r="S19" s="21"/>
    </row>
    <row r="20" spans="1:19" ht="13.5" x14ac:dyDescent="0.35">
      <c r="A20" s="7" t="s">
        <v>24</v>
      </c>
      <c r="B20" s="24"/>
      <c r="C20" s="37">
        <f>D10/D13</f>
        <v>0.97014250014533188</v>
      </c>
      <c r="D20" s="38"/>
      <c r="E20" s="21"/>
      <c r="F20" s="24"/>
      <c r="G20" s="37">
        <f>H10/H13</f>
        <v>0.97014250014533188</v>
      </c>
      <c r="H20" s="38"/>
      <c r="I20" s="21"/>
      <c r="K20" s="7" t="s">
        <v>24</v>
      </c>
      <c r="L20" s="24"/>
      <c r="M20" s="37">
        <f>N10/N13</f>
        <v>0.70710678118654746</v>
      </c>
      <c r="N20" s="38"/>
      <c r="P20" s="24"/>
      <c r="Q20" s="37">
        <f>R10/R13</f>
        <v>0.70710678118654757</v>
      </c>
      <c r="R20" s="38"/>
      <c r="S20" s="21"/>
    </row>
    <row r="21" spans="1:19" x14ac:dyDescent="0.3">
      <c r="A21" s="25" t="s">
        <v>25</v>
      </c>
      <c r="B21" s="24"/>
      <c r="C21" s="24">
        <f>C13/C11</f>
        <v>0.90449129633190828</v>
      </c>
      <c r="D21" s="26">
        <f>D13/D11</f>
        <v>0.63620901028035182</v>
      </c>
      <c r="F21" s="24"/>
      <c r="G21" s="24">
        <f>G13/G11</f>
        <v>0.90449129633190828</v>
      </c>
      <c r="H21" s="26">
        <f>H13/H11</f>
        <v>0.63620901028035171</v>
      </c>
      <c r="K21" s="25" t="s">
        <v>25</v>
      </c>
      <c r="L21" s="24"/>
      <c r="M21" s="24">
        <f>M13/M11</f>
        <v>0.22496307746264962</v>
      </c>
      <c r="N21" s="26">
        <f>N13/N11</f>
        <v>0.27216552697590868</v>
      </c>
      <c r="P21" s="24"/>
      <c r="Q21" s="24">
        <f>Q13/Q11</f>
        <v>0.22496307746264962</v>
      </c>
      <c r="R21" s="26">
        <f>R13/R11</f>
        <v>0.27216552697590862</v>
      </c>
    </row>
    <row r="22" spans="1:19" s="6" customFormat="1" ht="78.5" x14ac:dyDescent="0.35">
      <c r="A22" s="27" t="s">
        <v>26</v>
      </c>
      <c r="B22" s="24"/>
      <c r="C22" s="24">
        <f>0.5*$A$2*$B$2*C5/(C11*C11)</f>
        <v>6.0395088563371058E-2</v>
      </c>
      <c r="D22" s="26">
        <f>$A$2*4*PI()*D5/(D11*D11)</f>
        <v>0.49866550056980846</v>
      </c>
      <c r="E22"/>
      <c r="F22" s="24"/>
      <c r="G22" s="24">
        <f>0.5*$A$2*$B$2*G5/(G11*G11)</f>
        <v>0.7589470661743658</v>
      </c>
      <c r="H22" s="26">
        <f>0.5*F2*G2*H5/(H11*H11)</f>
        <v>0.49866550056980835</v>
      </c>
      <c r="I22"/>
      <c r="J22"/>
      <c r="K22" s="27" t="s">
        <v>26</v>
      </c>
      <c r="L22" s="24"/>
      <c r="M22" s="24">
        <f>$A$2*4*PI()*M5/(M11*M11)</f>
        <v>0.35328092256802601</v>
      </c>
      <c r="N22" s="26">
        <f>K2*4*PI()*N5/(N11*N11)</f>
        <v>7.7570188977525767E-2</v>
      </c>
      <c r="P22" s="24"/>
      <c r="Q22" s="24">
        <f>$A$2*4*PI()*Q5/(Q11*Q11)</f>
        <v>4.4394590039725426</v>
      </c>
      <c r="R22" s="26">
        <f>0.5*$Q$2*$P$2*R5/(R11*R11)</f>
        <v>7.7570188977525753E-2</v>
      </c>
      <c r="S22"/>
    </row>
    <row r="23" spans="1:19" ht="26" x14ac:dyDescent="0.3">
      <c r="A23" s="27" t="s">
        <v>27</v>
      </c>
      <c r="B23" s="28"/>
      <c r="C23" s="37">
        <f>2*D21/($A$2-1)</f>
        <v>1.9086270308410553</v>
      </c>
      <c r="D23" s="38"/>
      <c r="E23" s="21"/>
      <c r="F23" s="28"/>
      <c r="G23" s="37">
        <f>2*H21/(F2-1)</f>
        <v>1.9086270308410549</v>
      </c>
      <c r="H23" s="38"/>
      <c r="I23" s="21"/>
      <c r="J23" s="21"/>
      <c r="K23" s="27" t="s">
        <v>28</v>
      </c>
      <c r="L23" s="28"/>
      <c r="M23" s="37">
        <f>N21</f>
        <v>0.27216552697590868</v>
      </c>
      <c r="N23" s="38"/>
      <c r="O23" s="11"/>
      <c r="P23" s="28"/>
      <c r="Q23" s="37">
        <f>R21</f>
        <v>0.27216552697590862</v>
      </c>
      <c r="R23" s="38"/>
      <c r="S23" s="21"/>
    </row>
    <row r="24" spans="1:19" x14ac:dyDescent="0.3">
      <c r="A24" s="27" t="s">
        <v>29</v>
      </c>
      <c r="B24" s="28"/>
      <c r="C24" s="37">
        <f>$D$2*$D$2*(0.25*$A$2*A2*D21*D21-($A$2-1))+$D$2*D21*(2-$A$2)*(1+D22)+4*D22*D21*D21+(1-D22)*(1-D22)</f>
        <v>0.99093895942192312</v>
      </c>
      <c r="D24" s="38"/>
      <c r="E24" s="21"/>
      <c r="F24" s="28"/>
      <c r="G24" s="37">
        <f>I2*I2*(0.25*F2*F2*H21*H21-(F2-1))+I2*H21*(2-F2)*(1+H22)+4*H22*H21*H21+(1-H22)*(1-H22)</f>
        <v>0.99093895942192245</v>
      </c>
      <c r="H24" s="38"/>
      <c r="I24" s="21"/>
      <c r="J24" s="21"/>
      <c r="K24" s="27" t="s">
        <v>30</v>
      </c>
      <c r="L24" s="28"/>
      <c r="M24" s="37">
        <f>N2*N2*(0.25*K2*K2*N21*N21-(K2-1))-N2*N21*(2-K2)*(1+N22)+4*N22*N21*N21+(1-N22)*(1-N22)</f>
        <v>0.86743449247743754</v>
      </c>
      <c r="N24" s="38"/>
      <c r="P24" s="28"/>
      <c r="Q24" s="37">
        <f>S2*S2*(0.25*P2*P2*R21*R21-(P2-1))-S2*R21*(2-P2)*(1+R22)+4*R22*R21*R21+(1-R22)*(1-R22)</f>
        <v>0.86743449247743754</v>
      </c>
      <c r="R24" s="38"/>
      <c r="S24" s="21">
        <f>S2*S2*(0.25*P2*P2*R21*R21-(P2-1))-S2*R21*(2-P2)*(1+R22)+4*R22*R21*R21+(1-R22)*(1-R22)</f>
        <v>0.86743449247743754</v>
      </c>
    </row>
    <row r="25" spans="1:19" x14ac:dyDescent="0.3">
      <c r="A25" s="25" t="s">
        <v>31</v>
      </c>
      <c r="B25" s="24"/>
      <c r="C25" s="39">
        <f>D2*(-0.5*A2*D2*D21-(1-D22)+SQRT(C24))/(2*D22*D21-(A2-1)*D2)</f>
        <v>1.1210922888503998</v>
      </c>
      <c r="D25" s="40"/>
      <c r="E25" s="21"/>
      <c r="F25" s="24"/>
      <c r="G25" s="39">
        <f>I2*(-0.5*$F$2*I2*H21-(1-H22)+SQRT(G24))/(2*H22*H21-($F$2-1)*I2)</f>
        <v>1.1210922888503916</v>
      </c>
      <c r="H25" s="40"/>
      <c r="I25" s="21"/>
      <c r="J25" s="21"/>
      <c r="K25" s="25" t="s">
        <v>32</v>
      </c>
      <c r="L25" s="24"/>
      <c r="M25" s="39">
        <f>N2*(-0.5*K2*N2*N21+(1-N22)+SQRT(M24))/(2*N22*N21+(K2-1)*N2)</f>
        <v>1.2192427131381269</v>
      </c>
      <c r="N25" s="40"/>
      <c r="P25" s="24"/>
      <c r="Q25" s="39">
        <f>S2*(-0.5*P2*S2*R21+(1-R22)+SQRT(Q24))/(2*R22*R21+(P2-1)*S2)</f>
        <v>1.2192427131381274</v>
      </c>
      <c r="R25" s="40"/>
      <c r="S25" s="21"/>
    </row>
    <row r="26" spans="1:19" ht="26" x14ac:dyDescent="0.3">
      <c r="A26" s="27" t="s">
        <v>33</v>
      </c>
      <c r="B26" s="24"/>
      <c r="C26" s="39">
        <f>D2*A2*(-0.5*D2+(0.5*A2*D2*D21-(1-D22)+SQRT(C24))/(2*D21-(A2-1)*D2))/D22</f>
        <v>3.9804769994370037</v>
      </c>
      <c r="D26" s="40"/>
      <c r="E26" s="21"/>
      <c r="F26" s="24"/>
      <c r="G26" s="39">
        <f>I2*$F$2*(-0.5*I2+(0.5*$F$2*I2*H21-(1-H22)+SQRT(G24))/(2*H21-($F$2-1)*I2))/H22</f>
        <v>3.9804769994370042</v>
      </c>
      <c r="H26" s="40"/>
      <c r="I26" s="21"/>
      <c r="J26" s="21"/>
      <c r="K26" s="27" t="s">
        <v>33</v>
      </c>
      <c r="L26" s="24"/>
      <c r="M26" s="39">
        <f>N2*K2*(-0.5*N2+(0.5*K2*N2*N21+(1-N22)+SQRT(M24))/(2*N21+(K2-1)*N2))/N22</f>
        <v>3.4417712599378265</v>
      </c>
      <c r="N26" s="40"/>
      <c r="P26" s="24"/>
      <c r="Q26" s="39">
        <f>S2*P2*(-0.5*S2+(0.5*P2*S2*R21+(1-R22)+SQRT(Q24))/(2*R21+(P2-1)*S2))/R22</f>
        <v>3.4417712599378287</v>
      </c>
      <c r="R26" s="40"/>
      <c r="S26" s="21"/>
    </row>
    <row r="27" spans="1:19" ht="26" x14ac:dyDescent="0.3">
      <c r="A27" s="27" t="s">
        <v>34</v>
      </c>
      <c r="B27" s="24"/>
      <c r="C27" s="24">
        <f>C14/SQRT(1-C25*D21/D2)</f>
        <v>1.8085596238309434</v>
      </c>
      <c r="D27" s="26">
        <f>(1+C25)*C27</f>
        <v>3.8361218720339934</v>
      </c>
      <c r="E27" s="21"/>
      <c r="F27" s="24"/>
      <c r="G27" s="24">
        <f>G14/SQRT(1-G25*H21/I2)</f>
        <v>1.8085596238309298</v>
      </c>
      <c r="H27" s="26">
        <f>(1+G25)*G27</f>
        <v>3.8361218720339503</v>
      </c>
      <c r="I27" s="21"/>
      <c r="J27" s="21"/>
      <c r="K27" s="27" t="s">
        <v>34</v>
      </c>
      <c r="L27" s="24"/>
      <c r="M27" s="24">
        <f>M14/SQRT(1+M25*N21/N2)</f>
        <v>0.34261733354999196</v>
      </c>
      <c r="N27" s="26">
        <f>(1+M25)*M27</f>
        <v>0.76035102087563466</v>
      </c>
      <c r="P27" s="24"/>
      <c r="Q27" s="24">
        <f>Q14/SQRT(1+Q25*R21/S2)</f>
        <v>0.34261733354999185</v>
      </c>
      <c r="R27" s="26">
        <f>(1+Q25)*Q27</f>
        <v>0.76035102087563478</v>
      </c>
      <c r="S27" s="21"/>
    </row>
    <row r="28" spans="1:19" ht="39.5" x14ac:dyDescent="0.35">
      <c r="A28" s="27" t="s">
        <v>35</v>
      </c>
      <c r="B28" s="24"/>
      <c r="C28" s="41">
        <f>-D6-D27</f>
        <v>11.463878127966007</v>
      </c>
      <c r="D28" s="42"/>
      <c r="E28" s="21"/>
      <c r="F28" s="24"/>
      <c r="G28" s="41">
        <f>-H6-H27</f>
        <v>11.463878127966051</v>
      </c>
      <c r="H28" s="42"/>
      <c r="I28" s="21"/>
      <c r="J28" s="21"/>
      <c r="K28" s="27" t="s">
        <v>35</v>
      </c>
      <c r="L28" s="24"/>
      <c r="M28" s="41">
        <f>-N6-N27</f>
        <v>0.16214897912436532</v>
      </c>
      <c r="N28" s="42"/>
      <c r="P28" s="24"/>
      <c r="Q28" s="41">
        <f>-R6-R27</f>
        <v>0.16214897912436521</v>
      </c>
      <c r="R28" s="42"/>
      <c r="S28" s="21"/>
    </row>
    <row r="29" spans="1:19" ht="26.5" x14ac:dyDescent="0.35">
      <c r="A29" s="27" t="s">
        <v>36</v>
      </c>
      <c r="B29" s="24"/>
      <c r="C29" s="24">
        <f>C27/C17</f>
        <v>0.61509562940067497</v>
      </c>
      <c r="D29" s="34">
        <f>D27/D17</f>
        <v>1.8665249022182653</v>
      </c>
      <c r="E29" s="21"/>
      <c r="F29" s="24"/>
      <c r="G29" s="24">
        <f>G27/G17</f>
        <v>0.61509562940066931</v>
      </c>
      <c r="H29" s="34">
        <f>H27/H17</f>
        <v>1.8665249022182442</v>
      </c>
      <c r="I29" s="21"/>
      <c r="J29" s="21"/>
      <c r="K29" s="27" t="s">
        <v>36</v>
      </c>
      <c r="L29" s="24"/>
      <c r="M29" s="24">
        <f>M27/M17</f>
        <v>0.34799915415270455</v>
      </c>
      <c r="N29" s="34">
        <f>N27/N17</f>
        <v>1.9415166662978633</v>
      </c>
      <c r="P29" s="24"/>
      <c r="Q29" s="24">
        <f>Q27/Q17</f>
        <v>0.34799915415270455</v>
      </c>
      <c r="R29" s="34">
        <f>R27/R17</f>
        <v>1.9415166662978636</v>
      </c>
      <c r="S29" s="21"/>
    </row>
    <row r="30" spans="1:19" ht="13.5" thickBot="1" x14ac:dyDescent="0.35">
      <c r="A30" s="29" t="s">
        <v>37</v>
      </c>
      <c r="B30" s="30"/>
      <c r="C30" s="43">
        <f>C14*C14*D2/(C27*SQRT(1-D21*D21))</f>
        <v>0.67219052956048342</v>
      </c>
      <c r="D30" s="44"/>
      <c r="E30" s="21"/>
      <c r="F30" s="30"/>
      <c r="G30" s="43">
        <f>G14*G14*I2/(G27*SQRT(1-H21*H21))</f>
        <v>0.67219052956049075</v>
      </c>
      <c r="H30" s="44"/>
      <c r="I30" s="21"/>
      <c r="J30" s="21"/>
      <c r="K30" s="29" t="s">
        <v>37</v>
      </c>
      <c r="L30" s="30"/>
      <c r="M30" s="43">
        <f>-M14*M14*N2/(M27*SQRT(1-N21*N21))</f>
        <v>-0.13595584809307992</v>
      </c>
      <c r="N30" s="44"/>
      <c r="P30" s="30"/>
      <c r="Q30" s="43">
        <f>-Q14*Q14*S2/(Q27*SQRT(1-R21*R21))</f>
        <v>-0.13595584809307992</v>
      </c>
      <c r="R30" s="44"/>
      <c r="S30" s="21"/>
    </row>
  </sheetData>
  <mergeCells count="32">
    <mergeCell ref="C28:D28"/>
    <mergeCell ref="G28:H28"/>
    <mergeCell ref="M28:N28"/>
    <mergeCell ref="Q28:R28"/>
    <mergeCell ref="C30:D30"/>
    <mergeCell ref="G30:H30"/>
    <mergeCell ref="M30:N30"/>
    <mergeCell ref="Q30:R30"/>
    <mergeCell ref="C25:D25"/>
    <mergeCell ref="G25:H25"/>
    <mergeCell ref="M25:N25"/>
    <mergeCell ref="Q25:R25"/>
    <mergeCell ref="C26:D26"/>
    <mergeCell ref="G26:H26"/>
    <mergeCell ref="M26:N26"/>
    <mergeCell ref="Q26:R26"/>
    <mergeCell ref="C23:D23"/>
    <mergeCell ref="G23:H23"/>
    <mergeCell ref="M23:N23"/>
    <mergeCell ref="Q23:R23"/>
    <mergeCell ref="C24:D24"/>
    <mergeCell ref="G24:H24"/>
    <mergeCell ref="M24:N24"/>
    <mergeCell ref="Q24:R24"/>
    <mergeCell ref="C19:D19"/>
    <mergeCell ref="G19:H19"/>
    <mergeCell ref="M19:N19"/>
    <mergeCell ref="Q19:R19"/>
    <mergeCell ref="C20:D20"/>
    <mergeCell ref="G20:H20"/>
    <mergeCell ref="M20:N20"/>
    <mergeCell ref="Q20:R20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H6" sqref="H6"/>
    </sheetView>
  </sheetViews>
  <sheetFormatPr defaultRowHeight="13" x14ac:dyDescent="0.3"/>
  <cols>
    <col min="1" max="1" width="17.08203125" bestFit="1" customWidth="1"/>
    <col min="2" max="4" width="8.83203125" bestFit="1" customWidth="1"/>
    <col min="6" max="7" width="8.83203125" bestFit="1" customWidth="1"/>
    <col min="8" max="8" width="9.1640625" bestFit="1" customWidth="1"/>
    <col min="13" max="13" width="13" bestFit="1" customWidth="1"/>
    <col min="14" max="14" width="7.83203125" bestFit="1" customWidth="1"/>
    <col min="261" max="261" width="18.08203125" bestFit="1" customWidth="1"/>
    <col min="262" max="262" width="8.83203125" bestFit="1" customWidth="1"/>
    <col min="268" max="268" width="13" bestFit="1" customWidth="1"/>
    <col min="517" max="517" width="18.08203125" bestFit="1" customWidth="1"/>
    <col min="518" max="518" width="8.83203125" bestFit="1" customWidth="1"/>
    <col min="524" max="524" width="13" bestFit="1" customWidth="1"/>
    <col min="773" max="773" width="18.08203125" bestFit="1" customWidth="1"/>
    <col min="774" max="774" width="8.83203125" bestFit="1" customWidth="1"/>
    <col min="780" max="780" width="13" bestFit="1" customWidth="1"/>
    <col min="1029" max="1029" width="18.08203125" bestFit="1" customWidth="1"/>
    <col min="1030" max="1030" width="8.83203125" bestFit="1" customWidth="1"/>
    <col min="1036" max="1036" width="13" bestFit="1" customWidth="1"/>
    <col min="1285" max="1285" width="18.08203125" bestFit="1" customWidth="1"/>
    <col min="1286" max="1286" width="8.83203125" bestFit="1" customWidth="1"/>
    <col min="1292" max="1292" width="13" bestFit="1" customWidth="1"/>
    <col min="1541" max="1541" width="18.08203125" bestFit="1" customWidth="1"/>
    <col min="1542" max="1542" width="8.83203125" bestFit="1" customWidth="1"/>
    <col min="1548" max="1548" width="13" bestFit="1" customWidth="1"/>
    <col min="1797" max="1797" width="18.08203125" bestFit="1" customWidth="1"/>
    <col min="1798" max="1798" width="8.83203125" bestFit="1" customWidth="1"/>
    <col min="1804" max="1804" width="13" bestFit="1" customWidth="1"/>
    <col min="2053" max="2053" width="18.08203125" bestFit="1" customWidth="1"/>
    <col min="2054" max="2054" width="8.83203125" bestFit="1" customWidth="1"/>
    <col min="2060" max="2060" width="13" bestFit="1" customWidth="1"/>
    <col min="2309" max="2309" width="18.08203125" bestFit="1" customWidth="1"/>
    <col min="2310" max="2310" width="8.83203125" bestFit="1" customWidth="1"/>
    <col min="2316" max="2316" width="13" bestFit="1" customWidth="1"/>
    <col min="2565" max="2565" width="18.08203125" bestFit="1" customWidth="1"/>
    <col min="2566" max="2566" width="8.83203125" bestFit="1" customWidth="1"/>
    <col min="2572" max="2572" width="13" bestFit="1" customWidth="1"/>
    <col min="2821" max="2821" width="18.08203125" bestFit="1" customWidth="1"/>
    <col min="2822" max="2822" width="8.83203125" bestFit="1" customWidth="1"/>
    <col min="2828" max="2828" width="13" bestFit="1" customWidth="1"/>
    <col min="3077" max="3077" width="18.08203125" bestFit="1" customWidth="1"/>
    <col min="3078" max="3078" width="8.83203125" bestFit="1" customWidth="1"/>
    <col min="3084" max="3084" width="13" bestFit="1" customWidth="1"/>
    <col min="3333" max="3333" width="18.08203125" bestFit="1" customWidth="1"/>
    <col min="3334" max="3334" width="8.83203125" bestFit="1" customWidth="1"/>
    <col min="3340" max="3340" width="13" bestFit="1" customWidth="1"/>
    <col min="3589" max="3589" width="18.08203125" bestFit="1" customWidth="1"/>
    <col min="3590" max="3590" width="8.83203125" bestFit="1" customWidth="1"/>
    <col min="3596" max="3596" width="13" bestFit="1" customWidth="1"/>
    <col min="3845" max="3845" width="18.08203125" bestFit="1" customWidth="1"/>
    <col min="3846" max="3846" width="8.83203125" bestFit="1" customWidth="1"/>
    <col min="3852" max="3852" width="13" bestFit="1" customWidth="1"/>
    <col min="4101" max="4101" width="18.08203125" bestFit="1" customWidth="1"/>
    <col min="4102" max="4102" width="8.83203125" bestFit="1" customWidth="1"/>
    <col min="4108" max="4108" width="13" bestFit="1" customWidth="1"/>
    <col min="4357" max="4357" width="18.08203125" bestFit="1" customWidth="1"/>
    <col min="4358" max="4358" width="8.83203125" bestFit="1" customWidth="1"/>
    <col min="4364" max="4364" width="13" bestFit="1" customWidth="1"/>
    <col min="4613" max="4613" width="18.08203125" bestFit="1" customWidth="1"/>
    <col min="4614" max="4614" width="8.83203125" bestFit="1" customWidth="1"/>
    <col min="4620" max="4620" width="13" bestFit="1" customWidth="1"/>
    <col min="4869" max="4869" width="18.08203125" bestFit="1" customWidth="1"/>
    <col min="4870" max="4870" width="8.83203125" bestFit="1" customWidth="1"/>
    <col min="4876" max="4876" width="13" bestFit="1" customWidth="1"/>
    <col min="5125" max="5125" width="18.08203125" bestFit="1" customWidth="1"/>
    <col min="5126" max="5126" width="8.83203125" bestFit="1" customWidth="1"/>
    <col min="5132" max="5132" width="13" bestFit="1" customWidth="1"/>
    <col min="5381" max="5381" width="18.08203125" bestFit="1" customWidth="1"/>
    <col min="5382" max="5382" width="8.83203125" bestFit="1" customWidth="1"/>
    <col min="5388" max="5388" width="13" bestFit="1" customWidth="1"/>
    <col min="5637" max="5637" width="18.08203125" bestFit="1" customWidth="1"/>
    <col min="5638" max="5638" width="8.83203125" bestFit="1" customWidth="1"/>
    <col min="5644" max="5644" width="13" bestFit="1" customWidth="1"/>
    <col min="5893" max="5893" width="18.08203125" bestFit="1" customWidth="1"/>
    <col min="5894" max="5894" width="8.83203125" bestFit="1" customWidth="1"/>
    <col min="5900" max="5900" width="13" bestFit="1" customWidth="1"/>
    <col min="6149" max="6149" width="18.08203125" bestFit="1" customWidth="1"/>
    <col min="6150" max="6150" width="8.83203125" bestFit="1" customWidth="1"/>
    <col min="6156" max="6156" width="13" bestFit="1" customWidth="1"/>
    <col min="6405" max="6405" width="18.08203125" bestFit="1" customWidth="1"/>
    <col min="6406" max="6406" width="8.83203125" bestFit="1" customWidth="1"/>
    <col min="6412" max="6412" width="13" bestFit="1" customWidth="1"/>
    <col min="6661" max="6661" width="18.08203125" bestFit="1" customWidth="1"/>
    <col min="6662" max="6662" width="8.83203125" bestFit="1" customWidth="1"/>
    <col min="6668" max="6668" width="13" bestFit="1" customWidth="1"/>
    <col min="6917" max="6917" width="18.08203125" bestFit="1" customWidth="1"/>
    <col min="6918" max="6918" width="8.83203125" bestFit="1" customWidth="1"/>
    <col min="6924" max="6924" width="13" bestFit="1" customWidth="1"/>
    <col min="7173" max="7173" width="18.08203125" bestFit="1" customWidth="1"/>
    <col min="7174" max="7174" width="8.83203125" bestFit="1" customWidth="1"/>
    <col min="7180" max="7180" width="13" bestFit="1" customWidth="1"/>
    <col min="7429" max="7429" width="18.08203125" bestFit="1" customWidth="1"/>
    <col min="7430" max="7430" width="8.83203125" bestFit="1" customWidth="1"/>
    <col min="7436" max="7436" width="13" bestFit="1" customWidth="1"/>
    <col min="7685" max="7685" width="18.08203125" bestFit="1" customWidth="1"/>
    <col min="7686" max="7686" width="8.83203125" bestFit="1" customWidth="1"/>
    <col min="7692" max="7692" width="13" bestFit="1" customWidth="1"/>
    <col min="7941" max="7941" width="18.08203125" bestFit="1" customWidth="1"/>
    <col min="7942" max="7942" width="8.83203125" bestFit="1" customWidth="1"/>
    <col min="7948" max="7948" width="13" bestFit="1" customWidth="1"/>
    <col min="8197" max="8197" width="18.08203125" bestFit="1" customWidth="1"/>
    <col min="8198" max="8198" width="8.83203125" bestFit="1" customWidth="1"/>
    <col min="8204" max="8204" width="13" bestFit="1" customWidth="1"/>
    <col min="8453" max="8453" width="18.08203125" bestFit="1" customWidth="1"/>
    <col min="8454" max="8454" width="8.83203125" bestFit="1" customWidth="1"/>
    <col min="8460" max="8460" width="13" bestFit="1" customWidth="1"/>
    <col min="8709" max="8709" width="18.08203125" bestFit="1" customWidth="1"/>
    <col min="8710" max="8710" width="8.83203125" bestFit="1" customWidth="1"/>
    <col min="8716" max="8716" width="13" bestFit="1" customWidth="1"/>
    <col min="8965" max="8965" width="18.08203125" bestFit="1" customWidth="1"/>
    <col min="8966" max="8966" width="8.83203125" bestFit="1" customWidth="1"/>
    <col min="8972" max="8972" width="13" bestFit="1" customWidth="1"/>
    <col min="9221" max="9221" width="18.08203125" bestFit="1" customWidth="1"/>
    <col min="9222" max="9222" width="8.83203125" bestFit="1" customWidth="1"/>
    <col min="9228" max="9228" width="13" bestFit="1" customWidth="1"/>
    <col min="9477" max="9477" width="18.08203125" bestFit="1" customWidth="1"/>
    <col min="9478" max="9478" width="8.83203125" bestFit="1" customWidth="1"/>
    <col min="9484" max="9484" width="13" bestFit="1" customWidth="1"/>
    <col min="9733" max="9733" width="18.08203125" bestFit="1" customWidth="1"/>
    <col min="9734" max="9734" width="8.83203125" bestFit="1" customWidth="1"/>
    <col min="9740" max="9740" width="13" bestFit="1" customWidth="1"/>
    <col min="9989" max="9989" width="18.08203125" bestFit="1" customWidth="1"/>
    <col min="9990" max="9990" width="8.83203125" bestFit="1" customWidth="1"/>
    <col min="9996" max="9996" width="13" bestFit="1" customWidth="1"/>
    <col min="10245" max="10245" width="18.08203125" bestFit="1" customWidth="1"/>
    <col min="10246" max="10246" width="8.83203125" bestFit="1" customWidth="1"/>
    <col min="10252" max="10252" width="13" bestFit="1" customWidth="1"/>
    <col min="10501" max="10501" width="18.08203125" bestFit="1" customWidth="1"/>
    <col min="10502" max="10502" width="8.83203125" bestFit="1" customWidth="1"/>
    <col min="10508" max="10508" width="13" bestFit="1" customWidth="1"/>
    <col min="10757" max="10757" width="18.08203125" bestFit="1" customWidth="1"/>
    <col min="10758" max="10758" width="8.83203125" bestFit="1" customWidth="1"/>
    <col min="10764" max="10764" width="13" bestFit="1" customWidth="1"/>
    <col min="11013" max="11013" width="18.08203125" bestFit="1" customWidth="1"/>
    <col min="11014" max="11014" width="8.83203125" bestFit="1" customWidth="1"/>
    <col min="11020" max="11020" width="13" bestFit="1" customWidth="1"/>
    <col min="11269" max="11269" width="18.08203125" bestFit="1" customWidth="1"/>
    <col min="11270" max="11270" width="8.83203125" bestFit="1" customWidth="1"/>
    <col min="11276" max="11276" width="13" bestFit="1" customWidth="1"/>
    <col min="11525" max="11525" width="18.08203125" bestFit="1" customWidth="1"/>
    <col min="11526" max="11526" width="8.83203125" bestFit="1" customWidth="1"/>
    <col min="11532" max="11532" width="13" bestFit="1" customWidth="1"/>
    <col min="11781" max="11781" width="18.08203125" bestFit="1" customWidth="1"/>
    <col min="11782" max="11782" width="8.83203125" bestFit="1" customWidth="1"/>
    <col min="11788" max="11788" width="13" bestFit="1" customWidth="1"/>
    <col min="12037" max="12037" width="18.08203125" bestFit="1" customWidth="1"/>
    <col min="12038" max="12038" width="8.83203125" bestFit="1" customWidth="1"/>
    <col min="12044" max="12044" width="13" bestFit="1" customWidth="1"/>
    <col min="12293" max="12293" width="18.08203125" bestFit="1" customWidth="1"/>
    <col min="12294" max="12294" width="8.83203125" bestFit="1" customWidth="1"/>
    <col min="12300" max="12300" width="13" bestFit="1" customWidth="1"/>
    <col min="12549" max="12549" width="18.08203125" bestFit="1" customWidth="1"/>
    <col min="12550" max="12550" width="8.83203125" bestFit="1" customWidth="1"/>
    <col min="12556" max="12556" width="13" bestFit="1" customWidth="1"/>
    <col min="12805" max="12805" width="18.08203125" bestFit="1" customWidth="1"/>
    <col min="12806" max="12806" width="8.83203125" bestFit="1" customWidth="1"/>
    <col min="12812" max="12812" width="13" bestFit="1" customWidth="1"/>
    <col min="13061" max="13061" width="18.08203125" bestFit="1" customWidth="1"/>
    <col min="13062" max="13062" width="8.83203125" bestFit="1" customWidth="1"/>
    <col min="13068" max="13068" width="13" bestFit="1" customWidth="1"/>
    <col min="13317" max="13317" width="18.08203125" bestFit="1" customWidth="1"/>
    <col min="13318" max="13318" width="8.83203125" bestFit="1" customWidth="1"/>
    <col min="13324" max="13324" width="13" bestFit="1" customWidth="1"/>
    <col min="13573" max="13573" width="18.08203125" bestFit="1" customWidth="1"/>
    <col min="13574" max="13574" width="8.83203125" bestFit="1" customWidth="1"/>
    <col min="13580" max="13580" width="13" bestFit="1" customWidth="1"/>
    <col min="13829" max="13829" width="18.08203125" bestFit="1" customWidth="1"/>
    <col min="13830" max="13830" width="8.83203125" bestFit="1" customWidth="1"/>
    <col min="13836" max="13836" width="13" bestFit="1" customWidth="1"/>
    <col min="14085" max="14085" width="18.08203125" bestFit="1" customWidth="1"/>
    <col min="14086" max="14086" width="8.83203125" bestFit="1" customWidth="1"/>
    <col min="14092" max="14092" width="13" bestFit="1" customWidth="1"/>
    <col min="14341" max="14341" width="18.08203125" bestFit="1" customWidth="1"/>
    <col min="14342" max="14342" width="8.83203125" bestFit="1" customWidth="1"/>
    <col min="14348" max="14348" width="13" bestFit="1" customWidth="1"/>
    <col min="14597" max="14597" width="18.08203125" bestFit="1" customWidth="1"/>
    <col min="14598" max="14598" width="8.83203125" bestFit="1" customWidth="1"/>
    <col min="14604" max="14604" width="13" bestFit="1" customWidth="1"/>
    <col min="14853" max="14853" width="18.08203125" bestFit="1" customWidth="1"/>
    <col min="14854" max="14854" width="8.83203125" bestFit="1" customWidth="1"/>
    <col min="14860" max="14860" width="13" bestFit="1" customWidth="1"/>
    <col min="15109" max="15109" width="18.08203125" bestFit="1" customWidth="1"/>
    <col min="15110" max="15110" width="8.83203125" bestFit="1" customWidth="1"/>
    <col min="15116" max="15116" width="13" bestFit="1" customWidth="1"/>
    <col min="15365" max="15365" width="18.08203125" bestFit="1" customWidth="1"/>
    <col min="15366" max="15366" width="8.83203125" bestFit="1" customWidth="1"/>
    <col min="15372" max="15372" width="13" bestFit="1" customWidth="1"/>
    <col min="15621" max="15621" width="18.08203125" bestFit="1" customWidth="1"/>
    <col min="15622" max="15622" width="8.83203125" bestFit="1" customWidth="1"/>
    <col min="15628" max="15628" width="13" bestFit="1" customWidth="1"/>
    <col min="15877" max="15877" width="18.08203125" bestFit="1" customWidth="1"/>
    <col min="15878" max="15878" width="8.83203125" bestFit="1" customWidth="1"/>
    <col min="15884" max="15884" width="13" bestFit="1" customWidth="1"/>
    <col min="16133" max="16133" width="18.08203125" bestFit="1" customWidth="1"/>
    <col min="16134" max="16134" width="8.83203125" bestFit="1" customWidth="1"/>
    <col min="16140" max="16140" width="13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4</v>
      </c>
      <c r="P1" t="s">
        <v>0</v>
      </c>
      <c r="Q1" t="s">
        <v>1</v>
      </c>
      <c r="R1" t="s">
        <v>2</v>
      </c>
      <c r="S1" t="s">
        <v>4</v>
      </c>
    </row>
    <row r="2" spans="1:19" ht="14" thickBot="1" x14ac:dyDescent="0.4">
      <c r="A2" s="1">
        <f>5/3</f>
        <v>1.6666666666666667</v>
      </c>
      <c r="B2" s="1">
        <v>2</v>
      </c>
      <c r="C2" s="1">
        <v>5</v>
      </c>
      <c r="D2" s="1">
        <v>1.8771500000000001</v>
      </c>
      <c r="E2" s="1"/>
      <c r="F2" s="1">
        <f>A2</f>
        <v>1.6666666666666667</v>
      </c>
      <c r="G2" s="1">
        <f>B2</f>
        <v>2</v>
      </c>
      <c r="H2" s="1">
        <f>C2/SQRT(4*PI())</f>
        <v>1.4104739588693909</v>
      </c>
      <c r="I2" s="1">
        <f>D2</f>
        <v>1.8771500000000001</v>
      </c>
      <c r="K2" s="1">
        <f>5/3</f>
        <v>1.6666666666666667</v>
      </c>
      <c r="L2" s="1">
        <v>2</v>
      </c>
      <c r="M2" s="1">
        <v>5</v>
      </c>
      <c r="N2" s="1">
        <f>(N13-L13)/N11</f>
        <v>0.24494897427831783</v>
      </c>
      <c r="P2" s="1">
        <f>K2</f>
        <v>1.6666666666666667</v>
      </c>
      <c r="Q2" s="1">
        <f>L2</f>
        <v>2</v>
      </c>
      <c r="R2" s="1">
        <f>M2/SQRT(4*PI())</f>
        <v>1.4104739588693909</v>
      </c>
      <c r="S2" s="1">
        <f>N2</f>
        <v>0.24494897427831783</v>
      </c>
    </row>
    <row r="3" spans="1:19" s="6" customFormat="1" ht="13.5" x14ac:dyDescent="0.35">
      <c r="A3" s="2" t="s">
        <v>5</v>
      </c>
      <c r="B3" s="3">
        <v>1</v>
      </c>
      <c r="C3" s="4">
        <v>1</v>
      </c>
      <c r="D3" s="5">
        <v>0</v>
      </c>
      <c r="F3" s="3">
        <v>1</v>
      </c>
      <c r="G3" s="4">
        <v>1</v>
      </c>
      <c r="H3" s="5">
        <v>0</v>
      </c>
      <c r="K3" s="2" t="s">
        <v>5</v>
      </c>
      <c r="L3" s="3">
        <v>1</v>
      </c>
      <c r="M3" s="4">
        <v>1</v>
      </c>
      <c r="N3" s="5">
        <v>0</v>
      </c>
      <c r="P3" s="3">
        <v>1</v>
      </c>
      <c r="Q3" s="4">
        <v>1</v>
      </c>
      <c r="R3" s="5">
        <v>0</v>
      </c>
    </row>
    <row r="4" spans="1:19" ht="13.5" x14ac:dyDescent="0.35">
      <c r="A4" s="7" t="s">
        <v>6</v>
      </c>
      <c r="B4" s="8">
        <v>3.8959999999999999</v>
      </c>
      <c r="C4" s="9">
        <f>D4*(1+C25)</f>
        <v>3.8964610187211783</v>
      </c>
      <c r="D4" s="10">
        <v>1</v>
      </c>
      <c r="E4" s="11"/>
      <c r="F4" s="8">
        <v>3.8959999999999999</v>
      </c>
      <c r="G4" s="9">
        <f>H4*(1+G25)</f>
        <v>3.8964610187211797</v>
      </c>
      <c r="H4" s="10">
        <v>1</v>
      </c>
      <c r="I4" s="11"/>
      <c r="J4" s="11"/>
      <c r="K4" s="7" t="s">
        <v>6</v>
      </c>
      <c r="L4" s="8">
        <v>3.1080000000000001</v>
      </c>
      <c r="M4" s="9">
        <f>N4*(1+M25)</f>
        <v>3.1078013505307416</v>
      </c>
      <c r="N4" s="10">
        <v>1</v>
      </c>
      <c r="O4" s="11"/>
      <c r="P4" s="8">
        <v>3.1080000000000001</v>
      </c>
      <c r="Q4" s="9">
        <f>R4*(1+Q25)</f>
        <v>3.107801350530742</v>
      </c>
      <c r="R4" s="10">
        <v>1</v>
      </c>
      <c r="S4" s="11"/>
    </row>
    <row r="5" spans="1:19" ht="13.5" x14ac:dyDescent="0.35">
      <c r="A5" s="7" t="s">
        <v>7</v>
      </c>
      <c r="B5" s="8">
        <v>305.89999999999998</v>
      </c>
      <c r="C5" s="9">
        <f>D5*(1+C26)</f>
        <v>305.60239919763086</v>
      </c>
      <c r="D5" s="10">
        <v>1</v>
      </c>
      <c r="E5" s="11"/>
      <c r="F5" s="8">
        <v>305.89999999999998</v>
      </c>
      <c r="G5" s="9">
        <f>H5*(1+G26)</f>
        <v>305.60239919763393</v>
      </c>
      <c r="H5" s="10">
        <v>1</v>
      </c>
      <c r="I5" s="11"/>
      <c r="J5" s="11"/>
      <c r="K5" s="7" t="s">
        <v>7</v>
      </c>
      <c r="L5" s="8">
        <v>1.4336</v>
      </c>
      <c r="M5" s="9">
        <f>N5*(1+M26)</f>
        <v>1.4335200771601555</v>
      </c>
      <c r="N5" s="10">
        <v>0.1</v>
      </c>
      <c r="O5" s="11"/>
      <c r="P5" s="8">
        <v>1.4336</v>
      </c>
      <c r="Q5" s="9">
        <f>R5*(1+Q26)</f>
        <v>1.4335200771601557</v>
      </c>
      <c r="R5" s="10">
        <v>0.1</v>
      </c>
      <c r="S5" s="11"/>
    </row>
    <row r="6" spans="1:19" ht="13.5" x14ac:dyDescent="0.35">
      <c r="A6" s="7" t="s">
        <v>8</v>
      </c>
      <c r="B6" s="8">
        <v>0</v>
      </c>
      <c r="C6" s="9">
        <f>-C28-C27</f>
        <v>-7.3873137997257032E-2</v>
      </c>
      <c r="D6" s="10">
        <v>-15.3635</v>
      </c>
      <c r="E6" s="11"/>
      <c r="F6" s="8">
        <v>0</v>
      </c>
      <c r="G6" s="9">
        <f>-G28-G27</f>
        <v>-7.3873137997160221E-2</v>
      </c>
      <c r="H6" s="10">
        <f>D6</f>
        <v>-15.3635</v>
      </c>
      <c r="I6" s="11"/>
      <c r="J6" s="11"/>
      <c r="K6" s="7" t="s">
        <v>8</v>
      </c>
      <c r="L6" s="8">
        <v>0</v>
      </c>
      <c r="M6" s="9">
        <f>M28+M27</f>
        <v>3.3346404252343476E-6</v>
      </c>
      <c r="N6" s="10">
        <v>-0.92249999999999999</v>
      </c>
      <c r="O6" s="11"/>
      <c r="P6" s="8">
        <v>0</v>
      </c>
      <c r="Q6" s="9">
        <f>Q28+Q27</f>
        <v>3.3346404252343476E-6</v>
      </c>
      <c r="R6" s="10">
        <v>-0.92249999999999999</v>
      </c>
      <c r="S6" s="11"/>
    </row>
    <row r="7" spans="1:19" ht="13.5" x14ac:dyDescent="0.35">
      <c r="A7" s="7" t="s">
        <v>9</v>
      </c>
      <c r="B7" s="8">
        <v>-5.7999999999999996E-3</v>
      </c>
      <c r="C7" s="9">
        <f>C12*C19</f>
        <v>-5.7076819925476391E-2</v>
      </c>
      <c r="D7" s="10">
        <v>0</v>
      </c>
      <c r="E7" s="11"/>
      <c r="F7" s="8">
        <v>-5.7999999999999996E-3</v>
      </c>
      <c r="G7" s="9">
        <f>G12*G19</f>
        <v>-5.7076819925476023E-2</v>
      </c>
      <c r="H7" s="10">
        <v>0</v>
      </c>
      <c r="I7" s="11"/>
      <c r="J7" s="11"/>
      <c r="K7" s="7" t="s">
        <v>9</v>
      </c>
      <c r="L7" s="8">
        <v>0.26329999999999998</v>
      </c>
      <c r="M7" s="9">
        <f>M12*M19</f>
        <v>0.26327781934763184</v>
      </c>
      <c r="N7" s="10">
        <v>0</v>
      </c>
      <c r="O7" s="11"/>
      <c r="P7" s="8">
        <v>0.26329999999999998</v>
      </c>
      <c r="Q7" s="9">
        <f>Q12*Q19</f>
        <v>0.26327781934763184</v>
      </c>
      <c r="R7" s="10">
        <v>0</v>
      </c>
      <c r="S7" s="11"/>
    </row>
    <row r="8" spans="1:19" ht="13.5" x14ac:dyDescent="0.35">
      <c r="A8" s="7" t="s">
        <v>10</v>
      </c>
      <c r="B8" s="8">
        <v>-2.8E-3</v>
      </c>
      <c r="C8" s="9">
        <f>C12*C20</f>
        <v>-0.22830727970190556</v>
      </c>
      <c r="D8" s="10">
        <v>0</v>
      </c>
      <c r="F8" s="8">
        <v>-2.8E-3</v>
      </c>
      <c r="G8" s="9">
        <f>G12*G20</f>
        <v>-0.22830727970190409</v>
      </c>
      <c r="H8" s="10">
        <v>0</v>
      </c>
      <c r="K8" s="7" t="s">
        <v>10</v>
      </c>
      <c r="L8" s="8">
        <v>0.26329999999999998</v>
      </c>
      <c r="M8" s="9">
        <f>M12*M20</f>
        <v>0.26327781934763184</v>
      </c>
      <c r="N8" s="10">
        <v>0</v>
      </c>
      <c r="P8" s="8">
        <v>0.26329999999999998</v>
      </c>
      <c r="Q8" s="9">
        <f>Q12*Q20</f>
        <v>0.26327781934763184</v>
      </c>
      <c r="R8" s="10">
        <v>0</v>
      </c>
    </row>
    <row r="9" spans="1:19" ht="13.5" x14ac:dyDescent="0.35">
      <c r="A9" s="7" t="s">
        <v>11</v>
      </c>
      <c r="B9" s="8">
        <v>3.9510000000000001</v>
      </c>
      <c r="C9" s="9">
        <f>C13*C19</f>
        <v>3.9505240725415307</v>
      </c>
      <c r="D9" s="10">
        <v>1</v>
      </c>
      <c r="F9" s="8">
        <f>B9/SQRT(4*PI())</f>
        <v>1.1145565222985927</v>
      </c>
      <c r="G9" s="9">
        <f>G13*G19</f>
        <v>1.1144222656412961</v>
      </c>
      <c r="H9" s="10">
        <f>D9/SQRT(4*PI())</f>
        <v>0.28209479177387814</v>
      </c>
      <c r="K9" s="7" t="s">
        <v>11</v>
      </c>
      <c r="L9" s="8">
        <v>0.1</v>
      </c>
      <c r="M9" s="9">
        <f>M13*M19</f>
        <v>9.999999999999995E-2</v>
      </c>
      <c r="N9" s="10">
        <v>1</v>
      </c>
      <c r="P9" s="8">
        <f>0.1/SQRT(4*PI())</f>
        <v>2.8209479177387819E-2</v>
      </c>
      <c r="Q9" s="9">
        <f>Q13*Q19</f>
        <v>2.8209479177387767E-2</v>
      </c>
      <c r="R9" s="10">
        <f>N9/SQRT(4*PI())</f>
        <v>0.28209479177387814</v>
      </c>
    </row>
    <row r="10" spans="1:19" ht="13.5" x14ac:dyDescent="0.35">
      <c r="A10" s="12" t="s">
        <v>12</v>
      </c>
      <c r="B10" s="13">
        <f>4*B9</f>
        <v>15.804</v>
      </c>
      <c r="C10" s="14">
        <f>C13*C20</f>
        <v>15.802096290166123</v>
      </c>
      <c r="D10" s="15">
        <f>4*D9</f>
        <v>4</v>
      </c>
      <c r="F10" s="13">
        <f>4*F9</f>
        <v>4.4582260891943708</v>
      </c>
      <c r="G10" s="14">
        <f>G13*G20</f>
        <v>4.4576890625651844</v>
      </c>
      <c r="H10" s="15">
        <f>D10*H9</f>
        <v>1.1283791670955126</v>
      </c>
      <c r="K10" s="12" t="s">
        <v>12</v>
      </c>
      <c r="L10" s="13">
        <v>0.1</v>
      </c>
      <c r="M10" s="14">
        <f>M13*M20</f>
        <v>9.999999999999995E-2</v>
      </c>
      <c r="N10" s="15">
        <v>1</v>
      </c>
      <c r="P10" s="13">
        <f>P9</f>
        <v>2.8209479177387819E-2</v>
      </c>
      <c r="Q10" s="14">
        <f>Q13*Q20</f>
        <v>2.8209479177387767E-2</v>
      </c>
      <c r="R10" s="15">
        <f>R9</f>
        <v>0.28209479177387814</v>
      </c>
    </row>
    <row r="11" spans="1:19" x14ac:dyDescent="0.3">
      <c r="A11" s="16" t="s">
        <v>13</v>
      </c>
      <c r="B11" s="17">
        <f>SQRT($C$2*$C$2+B13*B13)</f>
        <v>17.04044650236607</v>
      </c>
      <c r="C11" s="18">
        <f>SQRT($C$2*$C$2+C13*C13)</f>
        <v>17.038570585920993</v>
      </c>
      <c r="D11" s="17">
        <f>SQRT($C$2*$C$2+D13*D13)</f>
        <v>6.4807406984078604</v>
      </c>
      <c r="F11" s="17">
        <f>SQRT($C$2*$C$2+F13*F13)</f>
        <v>6.7910246725933545</v>
      </c>
      <c r="G11" s="18">
        <f>SQRT($H$2*$H$2+G13*G13)</f>
        <v>4.8064920215599072</v>
      </c>
      <c r="H11" s="17">
        <f>SQRT($H$2*$H$2+H13*H13)</f>
        <v>1.8281831978578631</v>
      </c>
      <c r="K11" s="16" t="s">
        <v>13</v>
      </c>
      <c r="L11" s="17">
        <f>SQRT(M2*C$2+L13*L13)</f>
        <v>5.0019996001599196</v>
      </c>
      <c r="M11" s="18">
        <f>SQRT($M$2*$M$2+M13*M13)</f>
        <v>5.0019996001599196</v>
      </c>
      <c r="N11" s="17">
        <f>SQRT($M$2*$M$2+N13*N13)</f>
        <v>5.196152422706632</v>
      </c>
      <c r="P11" s="17">
        <f>SQRT($R$2*$R$2+P13*P13)</f>
        <v>1.4110380356601344</v>
      </c>
      <c r="Q11" s="17">
        <f>SQRT($R$2*$R$2+Q13*Q13)</f>
        <v>1.4110380356601344</v>
      </c>
      <c r="R11" s="17">
        <f>SQRT($R$2*R2+R13*R13)</f>
        <v>1.4658075357087599</v>
      </c>
    </row>
    <row r="12" spans="1:19" ht="13.5" x14ac:dyDescent="0.35">
      <c r="A12" s="19" t="s">
        <v>14</v>
      </c>
      <c r="B12" s="31">
        <f>SQRT(B7*B7+B8*B8)</f>
        <v>6.4404968752418473E-3</v>
      </c>
      <c r="C12" s="20">
        <f>-C30-D12</f>
        <v>-0.23533375732709788</v>
      </c>
      <c r="D12" s="31">
        <f>SQRT(D7*D7+D8*D8)</f>
        <v>0</v>
      </c>
      <c r="F12" s="31">
        <f>SQRT(F7*F7+F8*F8)</f>
        <v>6.4404968752418473E-3</v>
      </c>
      <c r="G12" s="20">
        <f>-G30-H12</f>
        <v>-0.23533375732709638</v>
      </c>
      <c r="H12" s="31">
        <f>SQRT(H7*H7+H8*H8)</f>
        <v>0</v>
      </c>
      <c r="I12" s="32"/>
      <c r="J12" s="32"/>
      <c r="K12" s="19" t="s">
        <v>14</v>
      </c>
      <c r="L12" s="31">
        <f>SQRT(L7*L7+L8*L8)</f>
        <v>0.37236243097283589</v>
      </c>
      <c r="M12" s="20">
        <f>-M30-N12</f>
        <v>0.37233106279343459</v>
      </c>
      <c r="N12" s="31">
        <f>SQRT(N7*N7+N8*N8)</f>
        <v>0</v>
      </c>
      <c r="O12" s="32"/>
      <c r="P12" s="31">
        <f>SQRT(P7*P7+P8*P8)</f>
        <v>0.37236243097283589</v>
      </c>
      <c r="Q12" s="20">
        <f>-Q30-R12</f>
        <v>0.37233106279343459</v>
      </c>
      <c r="R12" s="31">
        <f>SQRT(R7*R7+R8*R8)</f>
        <v>0</v>
      </c>
      <c r="S12" s="32"/>
    </row>
    <row r="13" spans="1:19" ht="13.5" x14ac:dyDescent="0.35">
      <c r="A13" s="19" t="s">
        <v>15</v>
      </c>
      <c r="B13" s="31">
        <f>SQRT(B9*B9+B10*B10)</f>
        <v>16.290390326815377</v>
      </c>
      <c r="C13" s="20">
        <f>D13+D11*D2</f>
        <v>16.288428027633977</v>
      </c>
      <c r="D13" s="31">
        <f>SQRT(D9*D9+D10*D10)</f>
        <v>4.1231056256176606</v>
      </c>
      <c r="E13" s="21"/>
      <c r="F13" s="31">
        <f>SQRT(F9*F9+F10*F10)</f>
        <v>4.5954342671581836</v>
      </c>
      <c r="G13" s="20">
        <f>H13+H11*I2</f>
        <v>4.5948807127792071</v>
      </c>
      <c r="H13" s="31">
        <f>SQRT(H9*H9+H10*H10)</f>
        <v>1.1631066229203195</v>
      </c>
      <c r="I13" s="33"/>
      <c r="J13" s="32"/>
      <c r="K13" s="19" t="s">
        <v>15</v>
      </c>
      <c r="L13" s="31">
        <f>SQRT(L9*L9+L10*L10)</f>
        <v>0.14142135623730953</v>
      </c>
      <c r="M13" s="20">
        <f>N13-N11*N2</f>
        <v>0.14142135623730945</v>
      </c>
      <c r="N13" s="31">
        <f>SQRT(N9*N9+N10*N10)</f>
        <v>1.4142135623730951</v>
      </c>
      <c r="O13" s="32"/>
      <c r="P13" s="31">
        <f>SQRT(P9*P9+P10*P10)</f>
        <v>3.9894228040143274E-2</v>
      </c>
      <c r="Q13" s="20">
        <f>R13-R11*S2</f>
        <v>3.9894228040143198E-2</v>
      </c>
      <c r="R13" s="31">
        <f>SQRT(R9*R9+R10*R10)</f>
        <v>0.39894228040143265</v>
      </c>
      <c r="S13" s="33"/>
    </row>
    <row r="14" spans="1:19" ht="13.5" x14ac:dyDescent="0.35">
      <c r="A14" s="19" t="s">
        <v>16</v>
      </c>
      <c r="B14" s="22">
        <f>$C$2/(SQRT(4*PI()*B4))</f>
        <v>0.71458780149061596</v>
      </c>
      <c r="C14" s="20">
        <f>$C$2/(SQRT(4*PI()*C4))</f>
        <v>0.71454552619285594</v>
      </c>
      <c r="D14" s="22">
        <f>$C$2/(SQRT(4*PI()*D4))</f>
        <v>1.4104739588693909</v>
      </c>
      <c r="E14" s="21"/>
      <c r="F14" s="22">
        <f>$C$2/(SQRT(4*PI()*F4))</f>
        <v>0.71458780149061596</v>
      </c>
      <c r="G14" s="20">
        <f>$C$2/(SQRT(4*PI()*G4))</f>
        <v>0.71454552619285583</v>
      </c>
      <c r="H14" s="22">
        <f>$H$2/(SQRT(H4))</f>
        <v>1.4104739588693909</v>
      </c>
      <c r="I14" s="21"/>
      <c r="K14" s="19" t="s">
        <v>16</v>
      </c>
      <c r="L14" s="22">
        <f>$M$2/(SQRT(4*PI()*L4))</f>
        <v>0.80006370174483199</v>
      </c>
      <c r="M14" s="20">
        <f>$M$2/(SQRT(4*PI()*M4))</f>
        <v>0.80008927121857853</v>
      </c>
      <c r="N14" s="22">
        <f>$M$2/(SQRT(4*PI()*N4))</f>
        <v>1.4104739588693909</v>
      </c>
      <c r="P14" s="22">
        <f>ABS($R$2)/(SQRT(P4))</f>
        <v>0.80006370174483199</v>
      </c>
      <c r="Q14" s="22">
        <f>ABS($R$2)/(SQRT(Q4))</f>
        <v>0.80008927121857853</v>
      </c>
      <c r="R14" s="22">
        <f>ABS($R$2)/(SQRT(R4))</f>
        <v>1.4104739588693909</v>
      </c>
      <c r="S14" s="21"/>
    </row>
    <row r="15" spans="1:19" ht="13.5" x14ac:dyDescent="0.35">
      <c r="A15" s="19" t="s">
        <v>17</v>
      </c>
      <c r="B15" s="22">
        <f>B11/SQRT(4*PI()*B4)</f>
        <v>2.4353790405088453</v>
      </c>
      <c r="C15" s="20">
        <f>C11/SQRT(4*PI()*C4)</f>
        <v>2.4349668769782071</v>
      </c>
      <c r="D15" s="22">
        <f>D11/SQRT(4*PI()*D4)</f>
        <v>1.8281831978578631</v>
      </c>
      <c r="E15" s="21"/>
      <c r="F15" s="22">
        <f>F11/SQRT(4*PI()*F4)</f>
        <v>0.97055667813140301</v>
      </c>
      <c r="G15" s="20">
        <f>G11/SQRT(G4)</f>
        <v>2.4349668769782062</v>
      </c>
      <c r="H15" s="22">
        <f>H11/SQRT(H4)</f>
        <v>1.8281831978578631</v>
      </c>
      <c r="I15" s="21"/>
      <c r="K15" s="19" t="s">
        <v>17</v>
      </c>
      <c r="L15" s="22">
        <f>L11/SQRT(4*PI()*L4)</f>
        <v>0.80038366324602295</v>
      </c>
      <c r="M15" s="20">
        <f>M11/SQRT(4*PI()*M4)</f>
        <v>0.80040924294551419</v>
      </c>
      <c r="N15" s="22">
        <f>N11/SQRT(4*PI()*N4)</f>
        <v>1.4658075357087599</v>
      </c>
      <c r="P15" s="22">
        <f>P11/SQRT(P4)</f>
        <v>0.80038366324602295</v>
      </c>
      <c r="Q15" s="22">
        <f>Q11/SQRT(Q4)</f>
        <v>0.8004092429455143</v>
      </c>
      <c r="R15" s="22">
        <f>R11/SQRT(R4)</f>
        <v>1.4658075357087599</v>
      </c>
      <c r="S15" s="21"/>
    </row>
    <row r="16" spans="1:19" ht="13.5" x14ac:dyDescent="0.35">
      <c r="A16" s="19" t="s">
        <v>18</v>
      </c>
      <c r="B16" s="22">
        <f>SQRT($A$2*B5/B4)</f>
        <v>11.439436692477678</v>
      </c>
      <c r="C16" s="20">
        <f>SQRT($A$2*C5/C4)</f>
        <v>11.433194366149667</v>
      </c>
      <c r="D16" s="22">
        <f>SQRT($A$2*D5/D4)</f>
        <v>1.2909944487358056</v>
      </c>
      <c r="E16" s="21"/>
      <c r="F16" s="22">
        <f>SQRT($A$2*F5/F4)</f>
        <v>11.439436692477678</v>
      </c>
      <c r="G16" s="20">
        <f>SQRT($A$2*G5/G4)</f>
        <v>11.433194366149724</v>
      </c>
      <c r="H16" s="22">
        <f>SQRT($A$2*H5/H4)</f>
        <v>1.2909944487358056</v>
      </c>
      <c r="I16" s="21"/>
      <c r="K16" s="19" t="s">
        <v>18</v>
      </c>
      <c r="L16" s="22">
        <f>SQRT($K$2*L5/L4)</f>
        <v>0.87679459896190559</v>
      </c>
      <c r="M16" s="20">
        <f>SQRT($K$2*M5/M4)</f>
        <v>0.87679817904014135</v>
      </c>
      <c r="N16" s="22">
        <f>SQRT($K$2*N5/N4)</f>
        <v>0.40824829046386302</v>
      </c>
      <c r="P16" s="20">
        <f>SQRT($K$2*P5/P4)</f>
        <v>0.87679459896190559</v>
      </c>
      <c r="Q16" s="20">
        <f>SQRT($K$2*Q5/Q4)</f>
        <v>0.87679817904014135</v>
      </c>
      <c r="R16" s="22">
        <f>SQRT(0.5*$Q$2*$P$2*R5/R4)</f>
        <v>0.40824829046386302</v>
      </c>
      <c r="S16" s="21"/>
    </row>
    <row r="17" spans="1:19" ht="13.5" x14ac:dyDescent="0.35">
      <c r="A17" s="19" t="s">
        <v>19</v>
      </c>
      <c r="B17" s="22">
        <f>SQRT(0.5*(B16*B16+B15*B15+SQRT((B16*B16+B15*B15)*(B16*B16+B15*B15)-4*B16*B16*B14*B14)))</f>
        <v>11.67482464520857</v>
      </c>
      <c r="C17" s="20">
        <f>SQRT(0.5*(C16*C16+C15*C15+SQRT((C16*C16+C15*C15)*(C16*C16+C15*C15)-4*C16*C16*C14*C14)))</f>
        <v>11.66862533040845</v>
      </c>
      <c r="D17" s="22">
        <f>SQRT(0.5*(D16*D16+D15*D15+SQRT((D16*D16+D15*D15)*(D16*D16+D15*D15)-4*D16*D16*D14*D14)))</f>
        <v>2.0552213728704971</v>
      </c>
      <c r="E17" s="21"/>
      <c r="F17" s="22">
        <f>SQRT(0.5*(F16*F16+F15*F15+SQRT((F16*F16+F15*F15)*(F16*F16+F15*F15)-4*F16*F16*F14*F14)))</f>
        <v>11.458348072152704</v>
      </c>
      <c r="G17" s="20">
        <f>SQRT(0.5*(G16*G16+G15*G15+SQRT((G16*G16+G15*G15)*(G16*G16+G15*G15)-4*G16*G16*G14*G14)))</f>
        <v>11.668625330408505</v>
      </c>
      <c r="H17" s="22">
        <f>SQRT(0.5*(H16*H16+H15*H15+SQRT((H16*H16+H15*H15)*(H16*H16+H15*H15)-4*H16*H16*H14*H14)))</f>
        <v>2.0552213728704971</v>
      </c>
      <c r="I17" s="21"/>
      <c r="K17" s="19" t="s">
        <v>20</v>
      </c>
      <c r="L17" s="22">
        <f>SQRT(0.5*(L16*L16+L15*L15+SQRT((L16*L16+L15*L15)*(L16*L16+L15*L15)-4*L16*L16*L14*L14)))</f>
        <v>0.87850459265216962</v>
      </c>
      <c r="M17" s="20">
        <f>SQRT(0.5*(M16*M16+M15*M15+SQRT((M16*M16+M15*M15)*(M16*M16+M15*M15)-4*M16*M16*M14*M14)))</f>
        <v>0.8785087277684529</v>
      </c>
      <c r="N17" s="22">
        <f>SQRT(0.5*(N16*N16+N15*N15-SQRT((N16*N16+N15*N15)*(N16*N16+N15*N15)-4*N16*N16*N14*N14)))</f>
        <v>0.3916273468439973</v>
      </c>
      <c r="P17" s="22">
        <f>SQRT(0.5*(P16*P16+P15*P15+SQRT((P16*P16+P15*P15)*(P16*P16+P15*P15)-4*P16*P16*P14*P14)))</f>
        <v>0.87850459265216962</v>
      </c>
      <c r="Q17" s="20">
        <f>SQRT(0.5*(Q16*Q16+Q15*Q15+SQRT((Q16*Q16+Q15*Q15)*(Q16*Q16+Q15*Q15)-4*Q16*Q16*Q14*Q14)))</f>
        <v>0.87850872776845446</v>
      </c>
      <c r="R17" s="22">
        <f>SQRT(0.5*(R16*R16+R15*R15-SQRT((R16*R16+R15*R15)*(R16*R16+R15*R15)-4*R16*R16*R14*R14)))</f>
        <v>0.3916273468439973</v>
      </c>
      <c r="S17" s="21"/>
    </row>
    <row r="18" spans="1:19" ht="14" thickBot="1" x14ac:dyDescent="0.4">
      <c r="A18" s="19" t="s">
        <v>21</v>
      </c>
      <c r="B18" s="22">
        <f>B6+B17</f>
        <v>11.67482464520857</v>
      </c>
      <c r="C18" s="22">
        <f t="shared" ref="C18:D18" si="0">C6+C17</f>
        <v>11.594752192411192</v>
      </c>
      <c r="D18" s="22">
        <f t="shared" si="0"/>
        <v>-13.308278627129503</v>
      </c>
      <c r="E18" s="21"/>
      <c r="F18" s="22">
        <f t="shared" ref="F18:H18" si="1">F6+F17</f>
        <v>11.458348072152704</v>
      </c>
      <c r="G18" s="22">
        <f t="shared" si="1"/>
        <v>11.594752192411345</v>
      </c>
      <c r="H18" s="22">
        <f t="shared" si="1"/>
        <v>-13.308278627129503</v>
      </c>
      <c r="I18" s="21"/>
      <c r="K18" s="19" t="s">
        <v>22</v>
      </c>
      <c r="L18" s="22">
        <f t="shared" ref="L18:N18" si="2">L6+L17</f>
        <v>0.87850459265216962</v>
      </c>
      <c r="M18" s="22">
        <f t="shared" si="2"/>
        <v>0.87851206240887814</v>
      </c>
      <c r="N18" s="22">
        <f t="shared" si="2"/>
        <v>-0.53087265315600263</v>
      </c>
      <c r="P18" s="22">
        <f t="shared" ref="P18:R18" si="3">P6+P17</f>
        <v>0.87850459265216962</v>
      </c>
      <c r="Q18" s="22">
        <f t="shared" si="3"/>
        <v>0.87851206240887969</v>
      </c>
      <c r="R18" s="22">
        <f t="shared" si="3"/>
        <v>-0.53087265315600263</v>
      </c>
      <c r="S18" s="21"/>
    </row>
    <row r="19" spans="1:19" ht="13.5" x14ac:dyDescent="0.35">
      <c r="A19" s="2" t="s">
        <v>23</v>
      </c>
      <c r="B19" s="23"/>
      <c r="C19" s="35">
        <f>D9/D13</f>
        <v>0.24253562503633297</v>
      </c>
      <c r="D19" s="36"/>
      <c r="E19" s="21"/>
      <c r="F19" s="23"/>
      <c r="G19" s="35">
        <f>H9/H13</f>
        <v>0.24253562503633297</v>
      </c>
      <c r="H19" s="36"/>
      <c r="I19" s="21"/>
      <c r="K19" s="2" t="s">
        <v>23</v>
      </c>
      <c r="L19" s="23"/>
      <c r="M19" s="35">
        <f>N9/N13</f>
        <v>0.70710678118654746</v>
      </c>
      <c r="N19" s="36"/>
      <c r="P19" s="23"/>
      <c r="Q19" s="35">
        <f>R9/R13</f>
        <v>0.70710678118654757</v>
      </c>
      <c r="R19" s="36"/>
      <c r="S19" s="21"/>
    </row>
    <row r="20" spans="1:19" ht="13.5" x14ac:dyDescent="0.35">
      <c r="A20" s="7" t="s">
        <v>24</v>
      </c>
      <c r="B20" s="24"/>
      <c r="C20" s="37">
        <f>D10/D13</f>
        <v>0.97014250014533188</v>
      </c>
      <c r="D20" s="38"/>
      <c r="E20" s="21"/>
      <c r="F20" s="24"/>
      <c r="G20" s="37">
        <f>H10/H13</f>
        <v>0.97014250014533188</v>
      </c>
      <c r="H20" s="38"/>
      <c r="I20" s="21"/>
      <c r="K20" s="7" t="s">
        <v>24</v>
      </c>
      <c r="L20" s="24"/>
      <c r="M20" s="37">
        <f>N10/N13</f>
        <v>0.70710678118654746</v>
      </c>
      <c r="N20" s="38"/>
      <c r="P20" s="24"/>
      <c r="Q20" s="37">
        <f>R10/R13</f>
        <v>0.70710678118654757</v>
      </c>
      <c r="R20" s="38"/>
      <c r="S20" s="21"/>
    </row>
    <row r="21" spans="1:19" x14ac:dyDescent="0.3">
      <c r="A21" s="25" t="s">
        <v>25</v>
      </c>
      <c r="B21" s="24"/>
      <c r="C21" s="24">
        <f>C13/C11</f>
        <v>0.95597385622788911</v>
      </c>
      <c r="D21" s="26">
        <f>D13/D11</f>
        <v>0.63620901028035182</v>
      </c>
      <c r="F21" s="24"/>
      <c r="G21" s="24">
        <f>G13/G11</f>
        <v>0.95597385622788922</v>
      </c>
      <c r="H21" s="26">
        <f>H13/H11</f>
        <v>0.63620901028035171</v>
      </c>
      <c r="K21" s="25" t="s">
        <v>25</v>
      </c>
      <c r="L21" s="24"/>
      <c r="M21" s="24">
        <f>M13/M11</f>
        <v>2.827296432266569E-2</v>
      </c>
      <c r="N21" s="26">
        <f>N13/N11</f>
        <v>0.27216552697590868</v>
      </c>
      <c r="P21" s="24"/>
      <c r="Q21" s="24">
        <f>Q13/Q11</f>
        <v>2.8272964322665649E-2</v>
      </c>
      <c r="R21" s="26">
        <f>R13/R11</f>
        <v>0.27216552697590862</v>
      </c>
    </row>
    <row r="22" spans="1:19" s="6" customFormat="1" ht="78.5" x14ac:dyDescent="0.35">
      <c r="A22" s="27" t="s">
        <v>26</v>
      </c>
      <c r="B22" s="24"/>
      <c r="C22" s="24">
        <f>0.5*$A$2*$B$2*C5/(C11*C11)</f>
        <v>1.7544427193249743</v>
      </c>
      <c r="D22" s="26">
        <f>$A$2*4*PI()*D5/(D11*D11)</f>
        <v>0.49866550056980846</v>
      </c>
      <c r="E22"/>
      <c r="F22" s="24"/>
      <c r="G22" s="24">
        <f>0.5*$A$2*$B$2*G5/(G11*G11)</f>
        <v>22.046977432701979</v>
      </c>
      <c r="H22" s="26">
        <f>0.5*F2*G2*H5/(H11*H11)</f>
        <v>0.49866550056980835</v>
      </c>
      <c r="I22"/>
      <c r="J22"/>
      <c r="K22" s="27" t="s">
        <v>26</v>
      </c>
      <c r="L22" s="24"/>
      <c r="M22" s="24">
        <f>$A$2*4*PI()*M5/(M11*M11)</f>
        <v>1.1999829851265171</v>
      </c>
      <c r="N22" s="26">
        <f>K2*4*PI()*N5/(N11*N11)</f>
        <v>7.7570188977525767E-2</v>
      </c>
      <c r="P22" s="24"/>
      <c r="Q22" s="24">
        <f>$A$2*4*PI()*Q5/(Q11*Q11)</f>
        <v>15.079430922024864</v>
      </c>
      <c r="R22" s="26">
        <f>0.5*$Q$2*$P$2*R5/(R11*R11)</f>
        <v>7.7570188977525753E-2</v>
      </c>
      <c r="S22"/>
    </row>
    <row r="23" spans="1:19" ht="26" x14ac:dyDescent="0.3">
      <c r="A23" s="27" t="s">
        <v>27</v>
      </c>
      <c r="B23" s="28"/>
      <c r="C23" s="37">
        <f>2*D21/($A$2-1)</f>
        <v>1.9086270308410553</v>
      </c>
      <c r="D23" s="38"/>
      <c r="E23" s="21"/>
      <c r="F23" s="28"/>
      <c r="G23" s="37">
        <f>2*H21/(F2-1)</f>
        <v>1.9086270308410549</v>
      </c>
      <c r="H23" s="38"/>
      <c r="I23" s="21"/>
      <c r="J23" s="21"/>
      <c r="K23" s="27" t="s">
        <v>28</v>
      </c>
      <c r="L23" s="28"/>
      <c r="M23" s="37">
        <f>N21</f>
        <v>0.27216552697590868</v>
      </c>
      <c r="N23" s="38"/>
      <c r="O23" s="11"/>
      <c r="P23" s="28"/>
      <c r="Q23" s="37">
        <f>R21</f>
        <v>0.27216552697590862</v>
      </c>
      <c r="R23" s="38"/>
      <c r="S23" s="21"/>
    </row>
    <row r="24" spans="1:19" x14ac:dyDescent="0.3">
      <c r="A24" s="27" t="s">
        <v>29</v>
      </c>
      <c r="B24" s="28"/>
      <c r="C24" s="37">
        <f>$D$2*$D$2*(0.25*$A$2*A2*D21*D21-($A$2-1))+$D$2*D21*(2-$A$2)*(1+D22)+4*D22*D21*D21+(1-D22)*(1-D22)</f>
        <v>0.29662580396019761</v>
      </c>
      <c r="D24" s="38"/>
      <c r="E24" s="21"/>
      <c r="F24" s="28"/>
      <c r="G24" s="37">
        <f>I2*I2*(0.25*F2*F2*H21*H21-(F2-1))+I2*H21*(2-F2)*(1+H22)+4*H22*H21*H21+(1-H22)*(1-H22)</f>
        <v>0.2966258039601965</v>
      </c>
      <c r="H24" s="38"/>
      <c r="I24" s="21"/>
      <c r="J24" s="21"/>
      <c r="K24" s="27" t="s">
        <v>30</v>
      </c>
      <c r="L24" s="28"/>
      <c r="M24" s="37">
        <f>N2*N2*(0.25*K2*K2*N21*N21-(K2-1))-N2*N21*(2-K2)*(1+N22)+4*N22*N21*N21+(1-N22)*(1-N22)</f>
        <v>0.8130009315135881</v>
      </c>
      <c r="N24" s="38"/>
      <c r="P24" s="28"/>
      <c r="Q24" s="37">
        <f>S2*S2*(0.25*P2*P2*R21*R21-(P2-1))-S2*R21*(2-P2)*(1+R22)+4*R22*R21*R21+(1-R22)*(1-R22)</f>
        <v>0.8130009315135881</v>
      </c>
      <c r="R24" s="38"/>
      <c r="S24" s="21">
        <f>S2*S2*(0.25*P2*P2*R21*R21-(P2-1))-S2*R21*(2-P2)*(1+R22)+4*R22*R21*R21+(1-R22)*(1-R22)</f>
        <v>0.8130009315135881</v>
      </c>
    </row>
    <row r="25" spans="1:19" x14ac:dyDescent="0.3">
      <c r="A25" s="25" t="s">
        <v>31</v>
      </c>
      <c r="B25" s="24"/>
      <c r="C25" s="39">
        <f>D2*(-0.5*A2*D2*D21-(1-D22)+SQRT(C24))/(2*D22*D21-(A2-1)*D2)</f>
        <v>2.8964610187211783</v>
      </c>
      <c r="D25" s="40"/>
      <c r="E25" s="21"/>
      <c r="F25" s="24"/>
      <c r="G25" s="39">
        <f>I2*(-0.5*$F$2*I2*H21-(1-H22)+SQRT(G24))/(2*H22*H21-($F$2-1)*I2)</f>
        <v>2.8964610187211797</v>
      </c>
      <c r="H25" s="40"/>
      <c r="I25" s="21"/>
      <c r="J25" s="21"/>
      <c r="K25" s="25" t="s">
        <v>32</v>
      </c>
      <c r="L25" s="24"/>
      <c r="M25" s="39">
        <f>N2*(-0.5*K2*N2*N21+(1-N22)+SQRT(M24))/(2*N22*N21+(K2-1)*N2)</f>
        <v>2.1078013505307416</v>
      </c>
      <c r="N25" s="40"/>
      <c r="P25" s="24"/>
      <c r="Q25" s="39">
        <f>S2*(-0.5*P2*S2*R21+(1-R22)+SQRT(Q24))/(2*R22*R21+(P2-1)*S2)</f>
        <v>2.107801350530742</v>
      </c>
      <c r="R25" s="40"/>
      <c r="S25" s="21"/>
    </row>
    <row r="26" spans="1:19" ht="26" x14ac:dyDescent="0.3">
      <c r="A26" s="27" t="s">
        <v>33</v>
      </c>
      <c r="B26" s="24"/>
      <c r="C26" s="39">
        <f>D2*A2*(-0.5*D2+(0.5*A2*D2*D21-(1-D22)+SQRT(C24))/(2*D21-(A2-1)*D2))/D22</f>
        <v>304.60239919763086</v>
      </c>
      <c r="D26" s="40"/>
      <c r="E26" s="21"/>
      <c r="F26" s="24"/>
      <c r="G26" s="39">
        <f>I2*$F$2*(-0.5*I2+(0.5*$F$2*I2*H21-(1-H22)+SQRT(G24))/(2*H21-($F$2-1)*I2))/H22</f>
        <v>304.60239919763393</v>
      </c>
      <c r="H26" s="40"/>
      <c r="I26" s="21"/>
      <c r="J26" s="21"/>
      <c r="K26" s="27" t="s">
        <v>33</v>
      </c>
      <c r="L26" s="24"/>
      <c r="M26" s="39">
        <f>N2*K2*(-0.5*N2+(0.5*K2*N2*N21+(1-N22)+SQRT(M24))/(2*N21+(K2-1)*N2))/N22</f>
        <v>13.335200771601555</v>
      </c>
      <c r="N26" s="40"/>
      <c r="P26" s="24"/>
      <c r="Q26" s="39">
        <f>S2*P2*(-0.5*S2+(0.5*P2*S2*R21+(1-R22)+SQRT(Q24))/(2*R21+(P2-1)*S2))/R22</f>
        <v>13.335200771601556</v>
      </c>
      <c r="R26" s="40"/>
      <c r="S26" s="21"/>
    </row>
    <row r="27" spans="1:19" ht="26" x14ac:dyDescent="0.3">
      <c r="A27" s="27" t="s">
        <v>34</v>
      </c>
      <c r="B27" s="24"/>
      <c r="C27" s="24">
        <f>C14/SQRT(1-C25*D21/D2)</f>
        <v>5.278726957890596</v>
      </c>
      <c r="D27" s="26">
        <f>(1+C25)*C27</f>
        <v>20.568353819893339</v>
      </c>
      <c r="E27" s="21"/>
      <c r="F27" s="24"/>
      <c r="G27" s="24">
        <f>G14/SQRT(1-G25*H21/I2)</f>
        <v>5.2787269578906271</v>
      </c>
      <c r="H27" s="26">
        <f>(1+G25)*G27</f>
        <v>20.568353819893467</v>
      </c>
      <c r="I27" s="21"/>
      <c r="J27" s="21"/>
      <c r="K27" s="27" t="s">
        <v>34</v>
      </c>
      <c r="L27" s="24"/>
      <c r="M27" s="24">
        <f>M14/SQRT(1+M25*N21/N2)</f>
        <v>0.43765825708731576</v>
      </c>
      <c r="N27" s="26">
        <f>(1+M25)*M27</f>
        <v>1.3601549224468905</v>
      </c>
      <c r="P27" s="24"/>
      <c r="Q27" s="24">
        <f>Q14/SQRT(1+Q25*R21/S2)</f>
        <v>0.43765825708731576</v>
      </c>
      <c r="R27" s="26">
        <f>(1+Q25)*Q27</f>
        <v>1.3601549224468905</v>
      </c>
      <c r="S27" s="21"/>
    </row>
    <row r="28" spans="1:19" ht="39.5" x14ac:dyDescent="0.35">
      <c r="A28" s="27" t="s">
        <v>35</v>
      </c>
      <c r="B28" s="24"/>
      <c r="C28" s="41">
        <f>-D6-D27</f>
        <v>-5.204853819893339</v>
      </c>
      <c r="D28" s="42"/>
      <c r="E28" s="21"/>
      <c r="F28" s="24"/>
      <c r="G28" s="41">
        <f>-H6-H27</f>
        <v>-5.2048538198934668</v>
      </c>
      <c r="H28" s="42"/>
      <c r="I28" s="21"/>
      <c r="J28" s="21"/>
      <c r="K28" s="27" t="s">
        <v>35</v>
      </c>
      <c r="L28" s="24"/>
      <c r="M28" s="41">
        <f>-N6-N27</f>
        <v>-0.43765492244689053</v>
      </c>
      <c r="N28" s="42"/>
      <c r="P28" s="24"/>
      <c r="Q28" s="41">
        <f>-R6-R27</f>
        <v>-0.43765492244689053</v>
      </c>
      <c r="R28" s="42"/>
      <c r="S28" s="21"/>
    </row>
    <row r="29" spans="1:19" ht="26.5" x14ac:dyDescent="0.35">
      <c r="A29" s="27" t="s">
        <v>36</v>
      </c>
      <c r="B29" s="24"/>
      <c r="C29" s="24">
        <f>C27/C17</f>
        <v>0.45238636158230466</v>
      </c>
      <c r="D29" s="34">
        <f>D27/D17</f>
        <v>10.007853212992732</v>
      </c>
      <c r="E29" s="21"/>
      <c r="F29" s="24"/>
      <c r="G29" s="24">
        <f>G27/G17</f>
        <v>0.45238636158230516</v>
      </c>
      <c r="H29" s="34">
        <f>H27/H17</f>
        <v>10.007853212992794</v>
      </c>
      <c r="I29" s="21"/>
      <c r="J29" s="21"/>
      <c r="K29" s="27" t="s">
        <v>36</v>
      </c>
      <c r="L29" s="24"/>
      <c r="M29" s="24">
        <f>M27/M17</f>
        <v>0.49818316341493268</v>
      </c>
      <c r="N29" s="34">
        <f>N27/N17</f>
        <v>3.4730846387719216</v>
      </c>
      <c r="P29" s="24"/>
      <c r="Q29" s="24">
        <f>Q27/Q17</f>
        <v>0.4981831634149318</v>
      </c>
      <c r="R29" s="34">
        <f>R27/R17</f>
        <v>3.4730846387719216</v>
      </c>
      <c r="S29" s="21"/>
    </row>
    <row r="30" spans="1:19" ht="13.5" thickBot="1" x14ac:dyDescent="0.35">
      <c r="A30" s="29" t="s">
        <v>37</v>
      </c>
      <c r="B30" s="30"/>
      <c r="C30" s="43">
        <f>C14*C14*D2/(C27*SQRT(1-D21*D21))</f>
        <v>0.23533375732709788</v>
      </c>
      <c r="D30" s="44"/>
      <c r="E30" s="21"/>
      <c r="F30" s="30"/>
      <c r="G30" s="43">
        <f>G14*G14*I2/(G27*SQRT(1-H21*H21))</f>
        <v>0.23533375732709638</v>
      </c>
      <c r="H30" s="44"/>
      <c r="I30" s="21"/>
      <c r="J30" s="21"/>
      <c r="K30" s="29" t="s">
        <v>37</v>
      </c>
      <c r="L30" s="30"/>
      <c r="M30" s="43">
        <f>-M14*M14*N2/(M27*SQRT(1-N21*N21))</f>
        <v>-0.37233106279343459</v>
      </c>
      <c r="N30" s="44"/>
      <c r="P30" s="30"/>
      <c r="Q30" s="43">
        <f>-Q14*Q14*S2/(Q27*SQRT(1-R21*R21))</f>
        <v>-0.37233106279343459</v>
      </c>
      <c r="R30" s="44"/>
      <c r="S30" s="21"/>
    </row>
  </sheetData>
  <mergeCells count="32">
    <mergeCell ref="C19:D19"/>
    <mergeCell ref="G19:H19"/>
    <mergeCell ref="M19:N19"/>
    <mergeCell ref="Q19:R19"/>
    <mergeCell ref="C20:D20"/>
    <mergeCell ref="G20:H20"/>
    <mergeCell ref="M20:N20"/>
    <mergeCell ref="Q20:R20"/>
    <mergeCell ref="C23:D23"/>
    <mergeCell ref="G23:H23"/>
    <mergeCell ref="M23:N23"/>
    <mergeCell ref="Q23:R23"/>
    <mergeCell ref="C24:D24"/>
    <mergeCell ref="G24:H24"/>
    <mergeCell ref="M24:N24"/>
    <mergeCell ref="Q24:R24"/>
    <mergeCell ref="C25:D25"/>
    <mergeCell ref="G25:H25"/>
    <mergeCell ref="M25:N25"/>
    <mergeCell ref="Q25:R25"/>
    <mergeCell ref="C26:D26"/>
    <mergeCell ref="G26:H26"/>
    <mergeCell ref="M26:N26"/>
    <mergeCell ref="Q26:R26"/>
    <mergeCell ref="C28:D28"/>
    <mergeCell ref="G28:H28"/>
    <mergeCell ref="M28:N28"/>
    <mergeCell ref="Q28:R28"/>
    <mergeCell ref="C30:D30"/>
    <mergeCell ref="G30:H30"/>
    <mergeCell ref="M30:N30"/>
    <mergeCell ref="Q30:R30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FnS</vt:lpstr>
      <vt:lpstr>Dai1994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 Ray</dc:creator>
  <cp:lastModifiedBy>Hue Ray</cp:lastModifiedBy>
  <dcterms:created xsi:type="dcterms:W3CDTF">2015-11-27T03:54:03Z</dcterms:created>
  <dcterms:modified xsi:type="dcterms:W3CDTF">2018-11-01T07:37:30Z</dcterms:modified>
</cp:coreProperties>
</file>