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D0D551AB-3E12-4174-84D5-3893123B4FC5}" xr6:coauthVersionLast="43" xr6:coauthVersionMax="43" xr10:uidLastSave="{00000000-0000-0000-0000-000000000000}"/>
  <bookViews>
    <workbookView xWindow="-28920" yWindow="-120" windowWidth="29040" windowHeight="15990" activeTab="4" xr2:uid="{DFA697D2-2C29-43C4-A322-5A73EA6783C9}"/>
  </bookViews>
  <sheets>
    <sheet name="Data" sheetId="1" r:id="rId1"/>
    <sheet name="PacketDelay" sheetId="4" r:id="rId2"/>
    <sheet name="PacketDelay Ryan" sheetId="6" r:id="rId3"/>
    <sheet name="Optimal" sheetId="8" r:id="rId4"/>
    <sheet name="TempOptimal" sheetId="9" r:id="rId5"/>
    <sheet name="3-Connected" sheetId="10" r:id="rId6"/>
  </sheets>
  <definedNames>
    <definedName name="solver_adj" localSheetId="5" hidden="1">'3-Connected'!$L$2:$R$11</definedName>
    <definedName name="solver_adj" localSheetId="3" hidden="1">Optimal!$J$2:$P$11</definedName>
    <definedName name="solver_adj" localSheetId="1" hidden="1">PacketDelay!$J$2:$P$21</definedName>
    <definedName name="solver_adj" localSheetId="2" hidden="1">'PacketDelay Ryan'!$J$2:$P$21</definedName>
    <definedName name="solver_adj" localSheetId="4" hidden="1">TempOptimal!$L$2:$R$11</definedName>
    <definedName name="solver_cvg" localSheetId="5" hidden="1">0.00001</definedName>
    <definedName name="solver_cvg" localSheetId="3" hidden="1">0.00001</definedName>
    <definedName name="solver_cvg" localSheetId="1" hidden="1">0.0001</definedName>
    <definedName name="solver_cvg" localSheetId="2" hidden="1">0.0001</definedName>
    <definedName name="solver_cvg" localSheetId="4" hidden="1">0.00001</definedName>
    <definedName name="solver_drv" localSheetId="5" hidden="1">2</definedName>
    <definedName name="solver_drv" localSheetId="3" hidden="1">2</definedName>
    <definedName name="solver_drv" localSheetId="1" hidden="1">2</definedName>
    <definedName name="solver_drv" localSheetId="2" hidden="1">2</definedName>
    <definedName name="solver_drv" localSheetId="4" hidden="1">2</definedName>
    <definedName name="solver_eng" localSheetId="5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5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5" hidden="1">2147483647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5" hidden="1">'3-Connected'!$AA$2:$AA$12</definedName>
    <definedName name="solver_lhs1" localSheetId="3" hidden="1">Optimal!$J$2:$P$11</definedName>
    <definedName name="solver_lhs1" localSheetId="1" hidden="1">PacketDelay!$J$2:$P$21</definedName>
    <definedName name="solver_lhs1" localSheetId="2" hidden="1">'PacketDelay Ryan'!$J$2:$P$21</definedName>
    <definedName name="solver_lhs1" localSheetId="4" hidden="1">TempOptimal!$AA$2:$AA$12</definedName>
    <definedName name="solver_lhs2" localSheetId="5" hidden="1">'3-Connected'!$L$2:$R$11</definedName>
    <definedName name="solver_lhs2" localSheetId="3" hidden="1">Optimal!$R$2:$R$11</definedName>
    <definedName name="solver_lhs2" localSheetId="1" hidden="1">PacketDelay!$J$2:$P$21</definedName>
    <definedName name="solver_lhs2" localSheetId="2" hidden="1">'PacketDelay Ryan'!$J$2:$P$21</definedName>
    <definedName name="solver_lhs2" localSheetId="4" hidden="1">TempOptimal!$L$2:$R$11</definedName>
    <definedName name="solver_lhs3" localSheetId="5" hidden="1">'3-Connected'!$T$2:$T$11</definedName>
    <definedName name="solver_lhs3" localSheetId="3" hidden="1">Optimal!$X$2:$X$11</definedName>
    <definedName name="solver_lhs3" localSheetId="1" hidden="1">PacketDelay!$J$2:$P$21</definedName>
    <definedName name="solver_lhs3" localSheetId="2" hidden="1">'PacketDelay Ryan'!$J$2:$P$21</definedName>
    <definedName name="solver_lhs3" localSheetId="4" hidden="1">TempOptimal!$T$2:$T$11</definedName>
    <definedName name="solver_lhs4" localSheetId="5" hidden="1">'3-Connected'!$Z$2:$Z$11</definedName>
    <definedName name="solver_lhs4" localSheetId="3" hidden="1">Optimal!$Y$2:$Y$12</definedName>
    <definedName name="solver_lhs4" localSheetId="1" hidden="1">PacketDelay!$K$2:$L$21</definedName>
    <definedName name="solver_lhs4" localSheetId="2" hidden="1">'PacketDelay Ryan'!$K$2:$L$21</definedName>
    <definedName name="solver_lhs4" localSheetId="4" hidden="1">TempOptimal!$Z$2:$Z$11</definedName>
    <definedName name="solver_lhs5" localSheetId="5" hidden="1">'3-Connected'!$AA$2:$AA$12</definedName>
    <definedName name="solver_lhs5" localSheetId="3" hidden="1">Optimal!$Y$2:$Y$12</definedName>
    <definedName name="solver_lhs5" localSheetId="1" hidden="1">PacketDelay!$R$2:$R$21</definedName>
    <definedName name="solver_lhs5" localSheetId="2" hidden="1">'PacketDelay Ryan'!$R$2:$R$21</definedName>
    <definedName name="solver_lhs5" localSheetId="4" hidden="1">TempOptimal!$AA$2:$AA$12</definedName>
    <definedName name="solver_lhs6" localSheetId="5" hidden="1">'3-Connected'!$AA$2:$AA$12</definedName>
    <definedName name="solver_lhs6" localSheetId="3" hidden="1">Optimal!$Y$2:$Y$12</definedName>
    <definedName name="solver_lhs6" localSheetId="1" hidden="1">PacketDelay!$U$22</definedName>
    <definedName name="solver_lhs6" localSheetId="2" hidden="1">'PacketDelay Ryan'!$U$22</definedName>
    <definedName name="solver_lhs6" localSheetId="4" hidden="1">TempOptimal!$AA$2:$AA$12</definedName>
    <definedName name="solver_lhs7" localSheetId="5" hidden="1">'3-Connected'!$AA$2:$AA$12</definedName>
    <definedName name="solver_lhs7" localSheetId="3" hidden="1">Optimal!$Y$2:$Y$12</definedName>
    <definedName name="solver_lhs7" localSheetId="1" hidden="1">PacketDelay!$U$3:$U$4</definedName>
    <definedName name="solver_lhs7" localSheetId="2" hidden="1">'PacketDelay Ryan'!$U$3:$U$4</definedName>
    <definedName name="solver_lhs7" localSheetId="4" hidden="1">TempOptimal!$AA$2:$AA$12</definedName>
    <definedName name="solver_lhs8" localSheetId="5" hidden="1">'3-Connected'!$AA$2:$AA$12</definedName>
    <definedName name="solver_lhs8" localSheetId="3" hidden="1">Optimal!$Y$2:$Y$12</definedName>
    <definedName name="solver_lhs8" localSheetId="1" hidden="1">PacketDelay!$V$2:$V$22</definedName>
    <definedName name="solver_lhs8" localSheetId="2" hidden="1">'PacketDelay Ryan'!$V$2:$V$22</definedName>
    <definedName name="solver_lhs8" localSheetId="4" hidden="1">TempOptimal!$AA$2:$AA$12</definedName>
    <definedName name="solver_mip" localSheetId="5" hidden="1">2147483647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5" hidden="1">30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5" hidden="1">0.075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5" hidden="1">2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5" hidden="1">1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5" hidden="1">2147483647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5" hidden="1">4</definedName>
    <definedName name="solver_num" localSheetId="3" hidden="1">4</definedName>
    <definedName name="solver_num" localSheetId="1" hidden="1">8</definedName>
    <definedName name="solver_num" localSheetId="2" hidden="1">8</definedName>
    <definedName name="solver_num" localSheetId="4" hidden="1">4</definedName>
    <definedName name="solver_nwt" localSheetId="5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5" hidden="1">'3-Connected'!$Y$42</definedName>
    <definedName name="solver_opt" localSheetId="3" hidden="1">Optimal!$X$21</definedName>
    <definedName name="solver_opt" localSheetId="1" hidden="1">PacketDelay!$K$31</definedName>
    <definedName name="solver_opt" localSheetId="2" hidden="1">'PacketDelay Ryan'!$K$31</definedName>
    <definedName name="solver_opt" localSheetId="4" hidden="1">TempOptimal!$Y$42</definedName>
    <definedName name="solver_pre" localSheetId="5" hidden="1">0.00001</definedName>
    <definedName name="solver_pre" localSheetId="3" hidden="1">0.00001</definedName>
    <definedName name="solver_pre" localSheetId="1" hidden="1">0.0000001</definedName>
    <definedName name="solver_pre" localSheetId="2" hidden="1">0.0000001</definedName>
    <definedName name="solver_pre" localSheetId="4" hidden="1">0.00001</definedName>
    <definedName name="solver_rbv" localSheetId="5" hidden="1">2</definedName>
    <definedName name="solver_rbv" localSheetId="3" hidden="1">2</definedName>
    <definedName name="solver_rbv" localSheetId="1" hidden="1">2</definedName>
    <definedName name="solver_rbv" localSheetId="2" hidden="1">2</definedName>
    <definedName name="solver_rbv" localSheetId="4" hidden="1">2</definedName>
    <definedName name="solver_rel1" localSheetId="5" hidden="1">2</definedName>
    <definedName name="solver_rel1" localSheetId="3" hidden="1">4</definedName>
    <definedName name="solver_rel1" localSheetId="1" hidden="1">1</definedName>
    <definedName name="solver_rel1" localSheetId="2" hidden="1">1</definedName>
    <definedName name="solver_rel1" localSheetId="4" hidden="1">2</definedName>
    <definedName name="solver_rel2" localSheetId="5" hidden="1">4</definedName>
    <definedName name="solver_rel2" localSheetId="3" hidden="1">3</definedName>
    <definedName name="solver_rel2" localSheetId="1" hidden="1">4</definedName>
    <definedName name="solver_rel2" localSheetId="2" hidden="1">4</definedName>
    <definedName name="solver_rel2" localSheetId="4" hidden="1">4</definedName>
    <definedName name="solver_rel3" localSheetId="5" hidden="1">3</definedName>
    <definedName name="solver_rel3" localSheetId="3" hidden="1">1</definedName>
    <definedName name="solver_rel3" localSheetId="1" hidden="1">3</definedName>
    <definedName name="solver_rel3" localSheetId="2" hidden="1">3</definedName>
    <definedName name="solver_rel3" localSheetId="4" hidden="1">3</definedName>
    <definedName name="solver_rel4" localSheetId="5" hidden="1">1</definedName>
    <definedName name="solver_rel4" localSheetId="3" hidden="1">2</definedName>
    <definedName name="solver_rel4" localSheetId="1" hidden="1">1</definedName>
    <definedName name="solver_rel4" localSheetId="2" hidden="1">1</definedName>
    <definedName name="solver_rel4" localSheetId="4" hidden="1">1</definedName>
    <definedName name="solver_rel5" localSheetId="5" hidden="1">2</definedName>
    <definedName name="solver_rel5" localSheetId="3" hidden="1">2</definedName>
    <definedName name="solver_rel5" localSheetId="1" hidden="1">3</definedName>
    <definedName name="solver_rel5" localSheetId="2" hidden="1">3</definedName>
    <definedName name="solver_rel5" localSheetId="4" hidden="1">2</definedName>
    <definedName name="solver_rel6" localSheetId="5" hidden="1">2</definedName>
    <definedName name="solver_rel6" localSheetId="3" hidden="1">2</definedName>
    <definedName name="solver_rel6" localSheetId="1" hidden="1">1</definedName>
    <definedName name="solver_rel6" localSheetId="2" hidden="1">1</definedName>
    <definedName name="solver_rel6" localSheetId="4" hidden="1">2</definedName>
    <definedName name="solver_rel7" localSheetId="5" hidden="1">2</definedName>
    <definedName name="solver_rel7" localSheetId="3" hidden="1">2</definedName>
    <definedName name="solver_rel7" localSheetId="1" hidden="1">1</definedName>
    <definedName name="solver_rel7" localSheetId="2" hidden="1">1</definedName>
    <definedName name="solver_rel7" localSheetId="4" hidden="1">2</definedName>
    <definedName name="solver_rel8" localSheetId="5" hidden="1">2</definedName>
    <definedName name="solver_rel8" localSheetId="3" hidden="1">2</definedName>
    <definedName name="solver_rel8" localSheetId="1" hidden="1">2</definedName>
    <definedName name="solver_rel8" localSheetId="2" hidden="1">2</definedName>
    <definedName name="solver_rel8" localSheetId="4" hidden="1">2</definedName>
    <definedName name="solver_rhs1" localSheetId="5" hidden="1">0</definedName>
    <definedName name="solver_rhs1" localSheetId="3" hidden="1">integer</definedName>
    <definedName name="solver_rhs1" localSheetId="1" hidden="1">4</definedName>
    <definedName name="solver_rhs1" localSheetId="2" hidden="1">4</definedName>
    <definedName name="solver_rhs1" localSheetId="4" hidden="1">0</definedName>
    <definedName name="solver_rhs2" localSheetId="5" hidden="1">integer</definedName>
    <definedName name="solver_rhs2" localSheetId="3" hidden="1">Optimal!$Q$2:$Q$11</definedName>
    <definedName name="solver_rhs2" localSheetId="1" hidden="1">integer</definedName>
    <definedName name="solver_rhs2" localSheetId="2" hidden="1">integer</definedName>
    <definedName name="solver_rhs2" localSheetId="4" hidden="1">integer</definedName>
    <definedName name="solver_rhs3" localSheetId="5" hidden="1">'3-Connected'!$S$2:$S$11</definedName>
    <definedName name="solver_rhs3" localSheetId="3" hidden="1">0.8</definedName>
    <definedName name="solver_rhs3" localSheetId="1" hidden="1">0</definedName>
    <definedName name="solver_rhs3" localSheetId="2" hidden="1">0</definedName>
    <definedName name="solver_rhs3" localSheetId="4" hidden="1">TempOptimal!$S$2:$S$11</definedName>
    <definedName name="solver_rhs4" localSheetId="5" hidden="1">0.8</definedName>
    <definedName name="solver_rhs4" localSheetId="3" hidden="1">0</definedName>
    <definedName name="solver_rhs4" localSheetId="1" hidden="1">1</definedName>
    <definedName name="solver_rhs4" localSheetId="2" hidden="1">1</definedName>
    <definedName name="solver_rhs4" localSheetId="4" hidden="1">0.8</definedName>
    <definedName name="solver_rhs5" localSheetId="5" hidden="1">0</definedName>
    <definedName name="solver_rhs5" localSheetId="3" hidden="1">0</definedName>
    <definedName name="solver_rhs5" localSheetId="1" hidden="1">PacketDelay!$Q$2:$Q$21</definedName>
    <definedName name="solver_rhs5" localSheetId="2" hidden="1">'PacketDelay Ryan'!$Q$2:$Q$21</definedName>
    <definedName name="solver_rhs5" localSheetId="4" hidden="1">0</definedName>
    <definedName name="solver_rhs6" localSheetId="5" hidden="1">0</definedName>
    <definedName name="solver_rhs6" localSheetId="3" hidden="1">0</definedName>
    <definedName name="solver_rhs6" localSheetId="1" hidden="1">0.7</definedName>
    <definedName name="solver_rhs6" localSheetId="2" hidden="1">0.7</definedName>
    <definedName name="solver_rhs6" localSheetId="4" hidden="1">0</definedName>
    <definedName name="solver_rhs7" localSheetId="5" hidden="1">0</definedName>
    <definedName name="solver_rhs7" localSheetId="3" hidden="1">0</definedName>
    <definedName name="solver_rhs7" localSheetId="1" hidden="1">0.5</definedName>
    <definedName name="solver_rhs7" localSheetId="2" hidden="1">0.5</definedName>
    <definedName name="solver_rhs7" localSheetId="4" hidden="1">0</definedName>
    <definedName name="solver_rhs8" localSheetId="5" hidden="1">0</definedName>
    <definedName name="solver_rhs8" localSheetId="3" hidden="1">0</definedName>
    <definedName name="solver_rhs8" localSheetId="1" hidden="1">0</definedName>
    <definedName name="solver_rhs8" localSheetId="2" hidden="1">0</definedName>
    <definedName name="solver_rhs8" localSheetId="4" hidden="1">0</definedName>
    <definedName name="solver_rlx" localSheetId="5" hidden="1">2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5" hidden="1">0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5" hidden="1">2</definedName>
    <definedName name="solver_scl" localSheetId="3" hidden="1">2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ho" localSheetId="5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5" hidden="1">100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5" hidden="1">2147483647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5" hidden="1">0</definedName>
    <definedName name="solver_tol" localSheetId="3" hidden="1">0</definedName>
    <definedName name="solver_tol" localSheetId="1" hidden="1">0</definedName>
    <definedName name="solver_tol" localSheetId="2" hidden="1">0</definedName>
    <definedName name="solver_tol" localSheetId="4" hidden="1">0</definedName>
    <definedName name="solver_typ" localSheetId="5" hidden="1">2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val" localSheetId="5" hidden="1">415</definedName>
    <definedName name="solver_val" localSheetId="3" hidden="1">415</definedName>
    <definedName name="solver_val" localSheetId="1" hidden="1">0</definedName>
    <definedName name="solver_val" localSheetId="2" hidden="1">3700000000</definedName>
    <definedName name="solver_val" localSheetId="4" hidden="1">415</definedName>
    <definedName name="solver_ver" localSheetId="5" hidden="1">3</definedName>
    <definedName name="solver_ver" localSheetId="3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51" i="10" l="1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O24" i="10" l="1"/>
  <c r="O25" i="10"/>
  <c r="K37" i="10"/>
  <c r="M16" i="10"/>
  <c r="AB10" i="10"/>
  <c r="AB2" i="10"/>
  <c r="AB5" i="10"/>
  <c r="AB6" i="10"/>
  <c r="AB9" i="10"/>
  <c r="AB3" i="10"/>
  <c r="AB4" i="10"/>
  <c r="AB7" i="10"/>
  <c r="AB8" i="10"/>
  <c r="S47" i="10"/>
  <c r="N47" i="10"/>
  <c r="M44" i="10"/>
  <c r="U5" i="10"/>
  <c r="AA5" i="10"/>
  <c r="X5" i="10" a="1"/>
  <c r="X5" i="10" s="1"/>
  <c r="Q44" i="10" s="1"/>
  <c r="Z5" i="10"/>
  <c r="S45" i="10"/>
  <c r="N45" i="10"/>
  <c r="M42" i="10"/>
  <c r="U3" i="10"/>
  <c r="AA3" i="10"/>
  <c r="X3" i="10" a="1"/>
  <c r="X3" i="10" s="1"/>
  <c r="Q42" i="10" s="1"/>
  <c r="Z3" i="10"/>
  <c r="S43" i="10"/>
  <c r="N43" i="10"/>
  <c r="M50" i="10"/>
  <c r="Z11" i="10"/>
  <c r="U11" i="10"/>
  <c r="AA11" i="10"/>
  <c r="X11" i="10" a="1"/>
  <c r="X11" i="10" s="1"/>
  <c r="Q50" i="10" s="1"/>
  <c r="S41" i="10"/>
  <c r="N41" i="10"/>
  <c r="M48" i="10"/>
  <c r="U9" i="10"/>
  <c r="AA9" i="10"/>
  <c r="X9" i="10" a="1"/>
  <c r="X9" i="10" s="1"/>
  <c r="Q48" i="10" s="1"/>
  <c r="Z9" i="10"/>
  <c r="U2" i="10"/>
  <c r="O26" i="10"/>
  <c r="Z2" i="10"/>
  <c r="Z4" i="10"/>
  <c r="Z6" i="10"/>
  <c r="Z8" i="10"/>
  <c r="AB11" i="10"/>
  <c r="U4" i="10"/>
  <c r="U6" i="10"/>
  <c r="U8" i="10"/>
  <c r="X2" i="10" a="1"/>
  <c r="X2" i="10" s="1"/>
  <c r="Q41" i="10" s="1"/>
  <c r="R41" i="10" s="1"/>
  <c r="AA2" i="10"/>
  <c r="X4" i="10" a="1"/>
  <c r="X4" i="10" s="1"/>
  <c r="Q43" i="10" s="1"/>
  <c r="R43" i="10" s="1"/>
  <c r="AA4" i="10"/>
  <c r="X6" i="10" a="1"/>
  <c r="X6" i="10" s="1"/>
  <c r="Q45" i="10" s="1"/>
  <c r="R45" i="10" s="1"/>
  <c r="AA6" i="10"/>
  <c r="X8" i="10" a="1"/>
  <c r="X8" i="10" s="1"/>
  <c r="Q47" i="10" s="1"/>
  <c r="R47" i="10" s="1"/>
  <c r="AA8" i="10"/>
  <c r="AA10" i="10"/>
  <c r="T41" i="10"/>
  <c r="T42" i="10"/>
  <c r="T43" i="10"/>
  <c r="T44" i="10"/>
  <c r="T45" i="10"/>
  <c r="T47" i="10"/>
  <c r="T48" i="10"/>
  <c r="T12" i="10"/>
  <c r="Z12" i="10" s="1"/>
  <c r="N42" i="9"/>
  <c r="K16" i="9"/>
  <c r="N35" i="10" l="1"/>
  <c r="Z21" i="10" s="1"/>
  <c r="Y8" i="10"/>
  <c r="Y11" i="10"/>
  <c r="Y5" i="10"/>
  <c r="Y4" i="10"/>
  <c r="S44" i="10"/>
  <c r="R44" i="10"/>
  <c r="N44" i="10"/>
  <c r="S48" i="10"/>
  <c r="R48" i="10"/>
  <c r="N48" i="10"/>
  <c r="AA12" i="10"/>
  <c r="Y12" i="10"/>
  <c r="U12" i="10"/>
  <c r="T51" i="10"/>
  <c r="Y6" i="10"/>
  <c r="Y2" i="10"/>
  <c r="S50" i="10"/>
  <c r="R50" i="10"/>
  <c r="N50" i="10"/>
  <c r="Y3" i="10"/>
  <c r="Y9" i="10"/>
  <c r="M51" i="10"/>
  <c r="S42" i="10"/>
  <c r="R42" i="10"/>
  <c r="N42" i="10"/>
  <c r="T2" i="9" a="1"/>
  <c r="T2" i="9" s="1"/>
  <c r="Z15" i="10" l="1"/>
  <c r="Z16" i="10" s="1"/>
  <c r="Z23" i="10" s="1"/>
  <c r="Z24" i="10" s="1"/>
  <c r="R51" i="10"/>
  <c r="S51" i="10"/>
  <c r="N51" i="10"/>
  <c r="U2" i="9"/>
  <c r="Q51" i="9"/>
  <c r="P51" i="9"/>
  <c r="O51" i="9"/>
  <c r="L51" i="9"/>
  <c r="P50" i="9"/>
  <c r="P49" i="9"/>
  <c r="P48" i="9"/>
  <c r="P47" i="9"/>
  <c r="P46" i="9"/>
  <c r="P45" i="9"/>
  <c r="O45" i="9"/>
  <c r="P44" i="9"/>
  <c r="P43" i="9"/>
  <c r="P42" i="9"/>
  <c r="R42" i="9" s="1"/>
  <c r="P41" i="9"/>
  <c r="M34" i="9"/>
  <c r="K34" i="9"/>
  <c r="L34" i="9" s="1"/>
  <c r="M33" i="9"/>
  <c r="K33" i="9"/>
  <c r="L33" i="9" s="1"/>
  <c r="M32" i="9"/>
  <c r="K32" i="9"/>
  <c r="L32" i="9" s="1"/>
  <c r="M31" i="9"/>
  <c r="K31" i="9"/>
  <c r="L31" i="9" s="1"/>
  <c r="M30" i="9"/>
  <c r="K30" i="9"/>
  <c r="L30" i="9" s="1"/>
  <c r="M29" i="9"/>
  <c r="K29" i="9"/>
  <c r="L29" i="9" s="1"/>
  <c r="M28" i="9"/>
  <c r="K28" i="9"/>
  <c r="L28" i="9" s="1"/>
  <c r="M27" i="9"/>
  <c r="K27" i="9"/>
  <c r="L27" i="9" s="1"/>
  <c r="M26" i="9"/>
  <c r="K26" i="9"/>
  <c r="L26" i="9" s="1"/>
  <c r="M25" i="9"/>
  <c r="K25" i="9"/>
  <c r="L25" i="9" s="1"/>
  <c r="M18" i="9"/>
  <c r="R13" i="9"/>
  <c r="Q13" i="9"/>
  <c r="P13" i="9"/>
  <c r="O13" i="9"/>
  <c r="N13" i="9"/>
  <c r="K17" i="9" s="1"/>
  <c r="M13" i="9"/>
  <c r="L13" i="9"/>
  <c r="S12" i="9"/>
  <c r="AB10" i="9" s="1"/>
  <c r="V11" i="9"/>
  <c r="O50" i="9" s="1"/>
  <c r="T11" i="9" a="1"/>
  <c r="T11" i="9" s="1"/>
  <c r="V10" i="9"/>
  <c r="O49" i="9" s="1"/>
  <c r="T10" i="9" a="1"/>
  <c r="T10" i="9" s="1"/>
  <c r="V9" i="9"/>
  <c r="O48" i="9" s="1"/>
  <c r="T9" i="9" a="1"/>
  <c r="T9" i="9" s="1"/>
  <c r="AB8" i="9"/>
  <c r="V8" i="9"/>
  <c r="O47" i="9" s="1"/>
  <c r="T8" i="9" a="1"/>
  <c r="T8" i="9" s="1"/>
  <c r="V7" i="9"/>
  <c r="O46" i="9" s="1"/>
  <c r="T7" i="9" a="1"/>
  <c r="T7" i="9" s="1"/>
  <c r="AB6" i="9"/>
  <c r="V6" i="9"/>
  <c r="T6" i="9" a="1"/>
  <c r="T6" i="9" s="1"/>
  <c r="V5" i="9"/>
  <c r="O44" i="9" s="1"/>
  <c r="T5" i="9" a="1"/>
  <c r="T5" i="9" s="1"/>
  <c r="AB4" i="9"/>
  <c r="V4" i="9"/>
  <c r="O43" i="9" s="1"/>
  <c r="T4" i="9" a="1"/>
  <c r="T4" i="9" s="1"/>
  <c r="V3" i="9"/>
  <c r="O42" i="9" s="1"/>
  <c r="T3" i="9" a="1"/>
  <c r="T3" i="9" s="1"/>
  <c r="AB2" i="9"/>
  <c r="V2" i="9"/>
  <c r="O41" i="9" s="1"/>
  <c r="I16" i="8"/>
  <c r="O51" i="8"/>
  <c r="N51" i="8"/>
  <c r="J51" i="8"/>
  <c r="N50" i="8"/>
  <c r="M50" i="8"/>
  <c r="N49" i="8"/>
  <c r="N48" i="8"/>
  <c r="M48" i="8"/>
  <c r="N47" i="8"/>
  <c r="N46" i="8"/>
  <c r="M46" i="8"/>
  <c r="N45" i="8"/>
  <c r="N44" i="8"/>
  <c r="M44" i="8"/>
  <c r="N43" i="8"/>
  <c r="N42" i="8"/>
  <c r="M42" i="8"/>
  <c r="N41" i="8"/>
  <c r="K34" i="8"/>
  <c r="I34" i="8"/>
  <c r="J34" i="8" s="1"/>
  <c r="K33" i="8"/>
  <c r="I33" i="8"/>
  <c r="J33" i="8" s="1"/>
  <c r="K32" i="8"/>
  <c r="I32" i="8"/>
  <c r="J32" i="8" s="1"/>
  <c r="K31" i="8"/>
  <c r="I31" i="8"/>
  <c r="J31" i="8" s="1"/>
  <c r="K30" i="8"/>
  <c r="I30" i="8"/>
  <c r="J30" i="8" s="1"/>
  <c r="K29" i="8"/>
  <c r="I29" i="8"/>
  <c r="J29" i="8" s="1"/>
  <c r="K28" i="8"/>
  <c r="I28" i="8"/>
  <c r="J28" i="8" s="1"/>
  <c r="K27" i="8"/>
  <c r="I27" i="8"/>
  <c r="J27" i="8" s="1"/>
  <c r="K26" i="8"/>
  <c r="I26" i="8"/>
  <c r="J26" i="8" s="1"/>
  <c r="K25" i="8"/>
  <c r="I25" i="8"/>
  <c r="J25" i="8" s="1"/>
  <c r="K18" i="8"/>
  <c r="P13" i="8"/>
  <c r="O13" i="8"/>
  <c r="N13" i="8"/>
  <c r="M13" i="8"/>
  <c r="L13" i="8"/>
  <c r="K13" i="8"/>
  <c r="J13" i="8"/>
  <c r="M51" i="8"/>
  <c r="Q12" i="8"/>
  <c r="R50" i="8" s="1"/>
  <c r="Z11" i="8"/>
  <c r="T11" i="8"/>
  <c r="R11" i="8" a="1"/>
  <c r="R11" i="8" s="1"/>
  <c r="Z10" i="8"/>
  <c r="T10" i="8"/>
  <c r="M49" i="8" s="1"/>
  <c r="R10" i="8" a="1"/>
  <c r="R10" i="8" s="1"/>
  <c r="Z9" i="8"/>
  <c r="T9" i="8"/>
  <c r="R9" i="8" a="1"/>
  <c r="R9" i="8" s="1"/>
  <c r="Z8" i="8"/>
  <c r="T8" i="8"/>
  <c r="M47" i="8" s="1"/>
  <c r="R8" i="8" a="1"/>
  <c r="R8" i="8" s="1"/>
  <c r="Z7" i="8"/>
  <c r="T7" i="8"/>
  <c r="R7" i="8" a="1"/>
  <c r="R7" i="8" s="1"/>
  <c r="Z6" i="8"/>
  <c r="T6" i="8"/>
  <c r="M45" i="8" s="1"/>
  <c r="R6" i="8" a="1"/>
  <c r="R6" i="8" s="1"/>
  <c r="Z5" i="8"/>
  <c r="T5" i="8"/>
  <c r="R5" i="8" a="1"/>
  <c r="R5" i="8" s="1"/>
  <c r="Z4" i="8"/>
  <c r="T4" i="8"/>
  <c r="M43" i="8" s="1"/>
  <c r="R4" i="8" a="1"/>
  <c r="R4" i="8" s="1"/>
  <c r="Z3" i="8"/>
  <c r="T3" i="8"/>
  <c r="R3" i="8" a="1"/>
  <c r="R3" i="8" s="1"/>
  <c r="Z2" i="8"/>
  <c r="T2" i="8"/>
  <c r="M41" i="8" s="1"/>
  <c r="R2" i="8" a="1"/>
  <c r="R2" i="8" s="1"/>
  <c r="S2" i="8" s="1"/>
  <c r="O25" i="9" l="1"/>
  <c r="K37" i="9"/>
  <c r="M16" i="9"/>
  <c r="O24" i="9"/>
  <c r="O26" i="9"/>
  <c r="U3" i="9"/>
  <c r="M41" i="9"/>
  <c r="Z2" i="9"/>
  <c r="X2" i="9" a="1"/>
  <c r="X2" i="9" s="1"/>
  <c r="AA2" i="9"/>
  <c r="T12" i="9"/>
  <c r="Z12" i="9" s="1"/>
  <c r="M43" i="9"/>
  <c r="AA4" i="9"/>
  <c r="X4" i="9" a="1"/>
  <c r="X4" i="9" s="1"/>
  <c r="Q43" i="9" s="1"/>
  <c r="Z4" i="9"/>
  <c r="U4" i="9"/>
  <c r="M44" i="9"/>
  <c r="U5" i="9"/>
  <c r="AA5" i="9"/>
  <c r="X5" i="9" a="1"/>
  <c r="X5" i="9" s="1"/>
  <c r="Q44" i="9" s="1"/>
  <c r="M45" i="9"/>
  <c r="AA6" i="9"/>
  <c r="X6" i="9" a="1"/>
  <c r="X6" i="9" s="1"/>
  <c r="Q45" i="9" s="1"/>
  <c r="Z6" i="9"/>
  <c r="U6" i="9"/>
  <c r="M46" i="9"/>
  <c r="U7" i="9"/>
  <c r="AA7" i="9"/>
  <c r="X7" i="9" a="1"/>
  <c r="X7" i="9" s="1"/>
  <c r="Q46" i="9" s="1"/>
  <c r="M47" i="9"/>
  <c r="AA8" i="9"/>
  <c r="X8" i="9" a="1"/>
  <c r="X8" i="9" s="1"/>
  <c r="Q47" i="9" s="1"/>
  <c r="Z8" i="9"/>
  <c r="U8" i="9"/>
  <c r="M48" i="9"/>
  <c r="U9" i="9"/>
  <c r="AA9" i="9"/>
  <c r="X9" i="9" a="1"/>
  <c r="X9" i="9" s="1"/>
  <c r="Q48" i="9" s="1"/>
  <c r="M49" i="9"/>
  <c r="AA10" i="9"/>
  <c r="X10" i="9" a="1"/>
  <c r="X10" i="9" s="1"/>
  <c r="Q49" i="9" s="1"/>
  <c r="Z10" i="9"/>
  <c r="U10" i="9"/>
  <c r="M50" i="9"/>
  <c r="U11" i="9"/>
  <c r="AA11" i="9"/>
  <c r="X11" i="9" a="1"/>
  <c r="X11" i="9" s="1"/>
  <c r="Q50" i="9" s="1"/>
  <c r="M42" i="9"/>
  <c r="AA3" i="9"/>
  <c r="X3" i="9" a="1"/>
  <c r="X3" i="9" s="1"/>
  <c r="Q42" i="9" s="1"/>
  <c r="Z3" i="9"/>
  <c r="Z5" i="9"/>
  <c r="Z7" i="9"/>
  <c r="Z9" i="9"/>
  <c r="Z11" i="9"/>
  <c r="AB3" i="9"/>
  <c r="AB5" i="9"/>
  <c r="AB7" i="9"/>
  <c r="AB9" i="9"/>
  <c r="AB11" i="9"/>
  <c r="T41" i="9"/>
  <c r="T42" i="9"/>
  <c r="T43" i="9"/>
  <c r="T44" i="9"/>
  <c r="T45" i="9"/>
  <c r="T46" i="9"/>
  <c r="T47" i="9"/>
  <c r="T48" i="9"/>
  <c r="T49" i="9"/>
  <c r="T50" i="9"/>
  <c r="M24" i="8"/>
  <c r="M26" i="8"/>
  <c r="I37" i="8"/>
  <c r="K16" i="8"/>
  <c r="K42" i="8"/>
  <c r="X3" i="8"/>
  <c r="S3" i="8"/>
  <c r="Y3" i="8"/>
  <c r="V3" i="8" a="1"/>
  <c r="V3" i="8" s="1"/>
  <c r="O42" i="8" s="1"/>
  <c r="K46" i="8"/>
  <c r="X7" i="8"/>
  <c r="S7" i="8"/>
  <c r="Y7" i="8"/>
  <c r="V7" i="8" a="1"/>
  <c r="V7" i="8" s="1"/>
  <c r="O46" i="8" s="1"/>
  <c r="K50" i="8"/>
  <c r="X11" i="8"/>
  <c r="S11" i="8"/>
  <c r="Y11" i="8"/>
  <c r="V11" i="8" a="1"/>
  <c r="V11" i="8" s="1"/>
  <c r="O50" i="8" s="1"/>
  <c r="K45" i="8"/>
  <c r="X6" i="8"/>
  <c r="S6" i="8"/>
  <c r="Y6" i="8"/>
  <c r="V6" i="8" a="1"/>
  <c r="V6" i="8" s="1"/>
  <c r="O45" i="8" s="1"/>
  <c r="K49" i="8"/>
  <c r="X10" i="8"/>
  <c r="Y10" i="8"/>
  <c r="V10" i="8" a="1"/>
  <c r="V10" i="8" s="1"/>
  <c r="O49" i="8" s="1"/>
  <c r="S10" i="8"/>
  <c r="K44" i="8"/>
  <c r="X5" i="8"/>
  <c r="Y5" i="8"/>
  <c r="V5" i="8" a="1"/>
  <c r="V5" i="8" s="1"/>
  <c r="O44" i="8" s="1"/>
  <c r="S5" i="8"/>
  <c r="K48" i="8"/>
  <c r="X9" i="8"/>
  <c r="S9" i="8"/>
  <c r="Y9" i="8"/>
  <c r="V9" i="8" a="1"/>
  <c r="V9" i="8" s="1"/>
  <c r="O48" i="8" s="1"/>
  <c r="K41" i="8"/>
  <c r="R12" i="8"/>
  <c r="Y2" i="8"/>
  <c r="V2" i="8" a="1"/>
  <c r="V2" i="8" s="1"/>
  <c r="X2" i="8"/>
  <c r="K43" i="8"/>
  <c r="X4" i="8"/>
  <c r="S4" i="8"/>
  <c r="Y4" i="8"/>
  <c r="V4" i="8" a="1"/>
  <c r="V4" i="8" s="1"/>
  <c r="O43" i="8" s="1"/>
  <c r="K47" i="8"/>
  <c r="Y8" i="8"/>
  <c r="V8" i="8" a="1"/>
  <c r="V8" i="8" s="1"/>
  <c r="O47" i="8" s="1"/>
  <c r="X8" i="8"/>
  <c r="S8" i="8"/>
  <c r="M25" i="8"/>
  <c r="R41" i="8"/>
  <c r="R42" i="8"/>
  <c r="R43" i="8"/>
  <c r="R44" i="8"/>
  <c r="R45" i="8"/>
  <c r="R46" i="8"/>
  <c r="R47" i="8"/>
  <c r="R48" i="8"/>
  <c r="R49" i="8"/>
  <c r="N41" i="9" l="1"/>
  <c r="N49" i="9"/>
  <c r="R49" i="9"/>
  <c r="N48" i="9"/>
  <c r="R48" i="9"/>
  <c r="N47" i="9"/>
  <c r="R47" i="9"/>
  <c r="N46" i="9"/>
  <c r="R46" i="9"/>
  <c r="N45" i="9"/>
  <c r="R45" i="9"/>
  <c r="N44" i="9"/>
  <c r="R44" i="9"/>
  <c r="N43" i="9"/>
  <c r="R43" i="9"/>
  <c r="N35" i="9"/>
  <c r="Z21" i="9" s="1"/>
  <c r="N50" i="9"/>
  <c r="R50" i="9"/>
  <c r="Y10" i="9"/>
  <c r="Y9" i="9"/>
  <c r="Y11" i="9"/>
  <c r="Y3" i="9"/>
  <c r="Q41" i="9"/>
  <c r="R41" i="9" s="1"/>
  <c r="Y2" i="9"/>
  <c r="S42" i="9"/>
  <c r="S49" i="9"/>
  <c r="S46" i="9"/>
  <c r="T51" i="9"/>
  <c r="S50" i="9"/>
  <c r="Y6" i="9"/>
  <c r="S45" i="9"/>
  <c r="Y5" i="9"/>
  <c r="Y4" i="9"/>
  <c r="S43" i="9"/>
  <c r="S41" i="9"/>
  <c r="M51" i="9"/>
  <c r="Y12" i="9"/>
  <c r="U12" i="9"/>
  <c r="AA12" i="9"/>
  <c r="S48" i="9"/>
  <c r="Y8" i="9"/>
  <c r="S47" i="9"/>
  <c r="Y7" i="9"/>
  <c r="S44" i="9"/>
  <c r="W3" i="8"/>
  <c r="W8" i="8"/>
  <c r="W4" i="8"/>
  <c r="L35" i="8"/>
  <c r="X21" i="8" s="1"/>
  <c r="W11" i="8"/>
  <c r="Q47" i="8"/>
  <c r="P47" i="8"/>
  <c r="L47" i="8"/>
  <c r="O41" i="8"/>
  <c r="P41" i="8" s="1"/>
  <c r="W2" i="8"/>
  <c r="P45" i="8"/>
  <c r="Q45" i="8"/>
  <c r="L45" i="8"/>
  <c r="Q48" i="8"/>
  <c r="P48" i="8"/>
  <c r="L48" i="8"/>
  <c r="P43" i="8"/>
  <c r="Q43" i="8"/>
  <c r="L43" i="8"/>
  <c r="X12" i="8"/>
  <c r="W12" i="8"/>
  <c r="Y12" i="8"/>
  <c r="S12" i="8"/>
  <c r="W10" i="8"/>
  <c r="Q49" i="8"/>
  <c r="P49" i="8"/>
  <c r="L49" i="8"/>
  <c r="W6" i="8"/>
  <c r="R51" i="8"/>
  <c r="Q46" i="8"/>
  <c r="P46" i="8"/>
  <c r="L46" i="8"/>
  <c r="K51" i="8"/>
  <c r="Q41" i="8"/>
  <c r="L41" i="8"/>
  <c r="W9" i="8"/>
  <c r="W5" i="8"/>
  <c r="Q44" i="8"/>
  <c r="P44" i="8"/>
  <c r="L44" i="8"/>
  <c r="Q50" i="8"/>
  <c r="P50" i="8"/>
  <c r="L50" i="8"/>
  <c r="W7" i="8"/>
  <c r="P42" i="8"/>
  <c r="Q42" i="8"/>
  <c r="L42" i="8"/>
  <c r="I57" i="6"/>
  <c r="I27" i="6"/>
  <c r="I26" i="6"/>
  <c r="I64" i="6"/>
  <c r="I63" i="6"/>
  <c r="I62" i="6"/>
  <c r="I61" i="6"/>
  <c r="I60" i="6"/>
  <c r="I59" i="6"/>
  <c r="I58" i="6"/>
  <c r="I56" i="6"/>
  <c r="I55" i="6"/>
  <c r="AA23" i="6"/>
  <c r="I44" i="6" s="1"/>
  <c r="I32" i="6"/>
  <c r="AA31" i="6"/>
  <c r="I52" i="6" s="1"/>
  <c r="AA30" i="6"/>
  <c r="I51" i="6" s="1"/>
  <c r="AA29" i="6"/>
  <c r="I50" i="6" s="1"/>
  <c r="AA28" i="6"/>
  <c r="I49" i="6" s="1"/>
  <c r="AA27" i="6"/>
  <c r="I48" i="6" s="1"/>
  <c r="AA26" i="6"/>
  <c r="I47" i="6" s="1"/>
  <c r="AA25" i="6"/>
  <c r="I46" i="6" s="1"/>
  <c r="AA24" i="6"/>
  <c r="I45" i="6" s="1"/>
  <c r="AA22" i="6"/>
  <c r="I43" i="6" s="1"/>
  <c r="I36" i="6"/>
  <c r="R2" i="6" a="1"/>
  <c r="R2" i="6" s="1"/>
  <c r="T2" i="6" s="1"/>
  <c r="I35" i="6"/>
  <c r="I34" i="6"/>
  <c r="I33" i="6"/>
  <c r="I31" i="6"/>
  <c r="I30" i="6"/>
  <c r="I29" i="6"/>
  <c r="K28" i="6"/>
  <c r="I28" i="6"/>
  <c r="P23" i="6"/>
  <c r="O23" i="6"/>
  <c r="N23" i="6"/>
  <c r="M23" i="6"/>
  <c r="L23" i="6"/>
  <c r="K23" i="6"/>
  <c r="J23" i="6"/>
  <c r="Q22" i="6"/>
  <c r="W21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V14" i="6" s="1"/>
  <c r="W13" i="6"/>
  <c r="R13" i="6" a="1"/>
  <c r="R13" i="6" s="1"/>
  <c r="V13" i="6" s="1"/>
  <c r="R12" i="6" a="1"/>
  <c r="R12" i="6" s="1"/>
  <c r="R11" i="6" a="1"/>
  <c r="R11" i="6" s="1"/>
  <c r="R10" i="6" a="1"/>
  <c r="R10" i="6" s="1"/>
  <c r="W9" i="6"/>
  <c r="R9" i="6" a="1"/>
  <c r="R9" i="6" s="1"/>
  <c r="R8" i="6" a="1"/>
  <c r="R8" i="6" s="1"/>
  <c r="R7" i="6" a="1"/>
  <c r="R7" i="6" s="1"/>
  <c r="R6" i="6" a="1"/>
  <c r="R6" i="6" s="1"/>
  <c r="W5" i="6"/>
  <c r="R5" i="6" a="1"/>
  <c r="R5" i="6" s="1"/>
  <c r="V5" i="6" s="1"/>
  <c r="R4" i="6" a="1"/>
  <c r="R4" i="6" s="1"/>
  <c r="W3" i="6"/>
  <c r="R3" i="6" a="1"/>
  <c r="R3" i="6" s="1"/>
  <c r="W2" i="6"/>
  <c r="N51" i="9" l="1"/>
  <c r="R51" i="9"/>
  <c r="Z15" i="9"/>
  <c r="Z16" i="9" s="1"/>
  <c r="Z23" i="9" s="1"/>
  <c r="Z24" i="9" s="1"/>
  <c r="S51" i="9"/>
  <c r="P51" i="8"/>
  <c r="L51" i="8"/>
  <c r="Q51" i="8"/>
  <c r="X15" i="8"/>
  <c r="X16" i="8" s="1"/>
  <c r="X23" i="8" s="1"/>
  <c r="X24" i="8" s="1"/>
  <c r="I37" i="6"/>
  <c r="W17" i="6"/>
  <c r="K26" i="6"/>
  <c r="W7" i="6"/>
  <c r="W11" i="6"/>
  <c r="W15" i="6"/>
  <c r="W19" i="6"/>
  <c r="W4" i="6"/>
  <c r="W8" i="6"/>
  <c r="W12" i="6"/>
  <c r="W16" i="6"/>
  <c r="W20" i="6"/>
  <c r="W6" i="6"/>
  <c r="W10" i="6"/>
  <c r="W14" i="6"/>
  <c r="W18" i="6"/>
  <c r="V6" i="6"/>
  <c r="U6" i="6"/>
  <c r="T6" i="6"/>
  <c r="S6" i="6"/>
  <c r="S14" i="6"/>
  <c r="T14" i="6"/>
  <c r="U14" i="6"/>
  <c r="V16" i="6"/>
  <c r="U16" i="6"/>
  <c r="T16" i="6"/>
  <c r="S16" i="6"/>
  <c r="V20" i="6"/>
  <c r="U20" i="6"/>
  <c r="T20" i="6"/>
  <c r="S20" i="6"/>
  <c r="V4" i="6"/>
  <c r="U4" i="6"/>
  <c r="T4" i="6"/>
  <c r="S4" i="6"/>
  <c r="T10" i="6"/>
  <c r="S10" i="6"/>
  <c r="V10" i="6"/>
  <c r="U10" i="6"/>
  <c r="V7" i="6"/>
  <c r="U7" i="6"/>
  <c r="T7" i="6"/>
  <c r="S7" i="6"/>
  <c r="U11" i="6"/>
  <c r="T11" i="6"/>
  <c r="S11" i="6"/>
  <c r="V11" i="6"/>
  <c r="V15" i="6"/>
  <c r="U15" i="6"/>
  <c r="T15" i="6"/>
  <c r="S15" i="6"/>
  <c r="S2" i="6"/>
  <c r="R22" i="6"/>
  <c r="V2" i="6"/>
  <c r="U2" i="6"/>
  <c r="S17" i="6"/>
  <c r="V17" i="6"/>
  <c r="U17" i="6"/>
  <c r="T17" i="6"/>
  <c r="V21" i="6"/>
  <c r="U21" i="6"/>
  <c r="T21" i="6"/>
  <c r="S21" i="6"/>
  <c r="U8" i="6"/>
  <c r="V8" i="6"/>
  <c r="T8" i="6"/>
  <c r="S8" i="6"/>
  <c r="V12" i="6"/>
  <c r="U12" i="6"/>
  <c r="T12" i="6"/>
  <c r="S12" i="6"/>
  <c r="U3" i="6"/>
  <c r="S3" i="6"/>
  <c r="T3" i="6"/>
  <c r="V3" i="6"/>
  <c r="T18" i="6"/>
  <c r="S18" i="6"/>
  <c r="V18" i="6"/>
  <c r="U18" i="6"/>
  <c r="S9" i="6"/>
  <c r="V9" i="6"/>
  <c r="U9" i="6"/>
  <c r="T9" i="6"/>
  <c r="U19" i="6"/>
  <c r="T19" i="6"/>
  <c r="S19" i="6"/>
  <c r="V19" i="6"/>
  <c r="S5" i="6"/>
  <c r="T13" i="6"/>
  <c r="S13" i="6"/>
  <c r="T5" i="6"/>
  <c r="U5" i="6"/>
  <c r="U13" i="6"/>
  <c r="K28" i="4"/>
  <c r="I32" i="4"/>
  <c r="I31" i="4"/>
  <c r="I29" i="4"/>
  <c r="I28" i="4"/>
  <c r="I27" i="4"/>
  <c r="I26" i="4"/>
  <c r="K31" i="6" l="1"/>
  <c r="U31" i="6"/>
  <c r="V22" i="6"/>
  <c r="U22" i="6"/>
  <c r="T22" i="6"/>
  <c r="S22" i="6"/>
  <c r="U25" i="6"/>
  <c r="U26" i="6" s="1"/>
  <c r="U33" i="6" s="1"/>
  <c r="R2" i="4" a="1"/>
  <c r="R2" i="4" s="1"/>
  <c r="U2" i="4" s="1"/>
  <c r="I34" i="4"/>
  <c r="I36" i="4"/>
  <c r="I35" i="4"/>
  <c r="I33" i="4"/>
  <c r="I30" i="4"/>
  <c r="L23" i="4"/>
  <c r="K23" i="4"/>
  <c r="M23" i="4"/>
  <c r="N23" i="4"/>
  <c r="O23" i="4"/>
  <c r="P23" i="4"/>
  <c r="J23" i="4"/>
  <c r="R3" i="4" a="1"/>
  <c r="R3" i="4" s="1"/>
  <c r="T3" i="4" s="1"/>
  <c r="R4" i="4" a="1"/>
  <c r="R4" i="4" s="1"/>
  <c r="U4" i="4" s="1"/>
  <c r="R5" i="4" a="1"/>
  <c r="R5" i="4" s="1"/>
  <c r="V5" i="4" s="1"/>
  <c r="R6" i="4" a="1"/>
  <c r="R6" i="4" s="1"/>
  <c r="V6" i="4" s="1"/>
  <c r="R7" i="4" a="1"/>
  <c r="R7" i="4" s="1"/>
  <c r="V7" i="4" s="1"/>
  <c r="R8" i="4" a="1"/>
  <c r="R8" i="4" s="1"/>
  <c r="U8" i="4" s="1"/>
  <c r="R9" i="4" a="1"/>
  <c r="R9" i="4" s="1"/>
  <c r="V9" i="4" s="1"/>
  <c r="R10" i="4" a="1"/>
  <c r="R10" i="4" s="1"/>
  <c r="V10" i="4" s="1"/>
  <c r="R11" i="4" a="1"/>
  <c r="R11" i="4" s="1"/>
  <c r="V11" i="4" s="1"/>
  <c r="R12" i="4" a="1"/>
  <c r="R12" i="4" s="1"/>
  <c r="U12" i="4" s="1"/>
  <c r="R13" i="4" a="1"/>
  <c r="R13" i="4" s="1"/>
  <c r="V13" i="4" s="1"/>
  <c r="R14" i="4" a="1"/>
  <c r="R14" i="4" s="1"/>
  <c r="V14" i="4" s="1"/>
  <c r="R15" i="4" a="1"/>
  <c r="R15" i="4" s="1"/>
  <c r="V15" i="4" s="1"/>
  <c r="R16" i="4" a="1"/>
  <c r="R16" i="4" s="1"/>
  <c r="U16" i="4" s="1"/>
  <c r="R17" i="4" a="1"/>
  <c r="R17" i="4" s="1"/>
  <c r="V17" i="4" s="1"/>
  <c r="R18" i="4" a="1"/>
  <c r="R18" i="4" s="1"/>
  <c r="U18" i="4" s="1"/>
  <c r="R19" i="4" a="1"/>
  <c r="R19" i="4" s="1"/>
  <c r="U19" i="4" s="1"/>
  <c r="R20" i="4" a="1"/>
  <c r="R20" i="4" s="1"/>
  <c r="U20" i="4" s="1"/>
  <c r="R21" i="4" a="1"/>
  <c r="R21" i="4" s="1"/>
  <c r="V21" i="4" s="1"/>
  <c r="Q22" i="4"/>
  <c r="W4" i="4" s="1"/>
  <c r="W19" i="4" l="1"/>
  <c r="W15" i="4"/>
  <c r="W11" i="4"/>
  <c r="W7" i="4"/>
  <c r="W3" i="4"/>
  <c r="K26" i="4"/>
  <c r="I37" i="4"/>
  <c r="W2" i="4"/>
  <c r="W18" i="4"/>
  <c r="W14" i="4"/>
  <c r="W10" i="4"/>
  <c r="W6" i="4"/>
  <c r="W21" i="4"/>
  <c r="W17" i="4"/>
  <c r="W13" i="4"/>
  <c r="W9" i="4"/>
  <c r="W5" i="4"/>
  <c r="W20" i="4"/>
  <c r="W16" i="4"/>
  <c r="W12" i="4"/>
  <c r="W8" i="4"/>
  <c r="S2" i="4"/>
  <c r="T2" i="4"/>
  <c r="V18" i="4"/>
  <c r="V20" i="4"/>
  <c r="V16" i="4"/>
  <c r="V12" i="4"/>
  <c r="V8" i="4"/>
  <c r="V4" i="4"/>
  <c r="V2" i="4"/>
  <c r="V19" i="4"/>
  <c r="V3" i="4"/>
  <c r="R22" i="4"/>
  <c r="S6" i="4"/>
  <c r="T6" i="4"/>
  <c r="S10" i="4"/>
  <c r="T10" i="4"/>
  <c r="S14" i="4"/>
  <c r="T14" i="4"/>
  <c r="S18" i="4"/>
  <c r="S19" i="4"/>
  <c r="T18" i="4"/>
  <c r="T9" i="4"/>
  <c r="S9" i="4"/>
  <c r="U9" i="4"/>
  <c r="U3" i="4"/>
  <c r="S3" i="4"/>
  <c r="T17" i="4"/>
  <c r="S17" i="4"/>
  <c r="U17" i="4"/>
  <c r="U11" i="4"/>
  <c r="S11" i="4"/>
  <c r="T11" i="4"/>
  <c r="T21" i="4"/>
  <c r="S21" i="4"/>
  <c r="U21" i="4"/>
  <c r="T5" i="4"/>
  <c r="S5" i="4"/>
  <c r="U5" i="4"/>
  <c r="U7" i="4"/>
  <c r="T7" i="4"/>
  <c r="S7" i="4"/>
  <c r="T13" i="4"/>
  <c r="S13" i="4"/>
  <c r="U13" i="4"/>
  <c r="U15" i="4"/>
  <c r="S15" i="4"/>
  <c r="T15" i="4"/>
  <c r="S4" i="4"/>
  <c r="U6" i="4"/>
  <c r="S8" i="4"/>
  <c r="U10" i="4"/>
  <c r="S12" i="4"/>
  <c r="U14" i="4"/>
  <c r="S16" i="4"/>
  <c r="T19" i="4"/>
  <c r="S20" i="4"/>
  <c r="T4" i="4"/>
  <c r="T12" i="4"/>
  <c r="T16" i="4"/>
  <c r="T20" i="4"/>
  <c r="T8" i="4"/>
  <c r="K31" i="4" l="1"/>
  <c r="U31" i="4" s="1"/>
  <c r="U25" i="4"/>
  <c r="U26" i="4" s="1"/>
  <c r="U33" i="4" s="1"/>
  <c r="T22" i="4"/>
  <c r="V22" i="4"/>
  <c r="U22" i="4"/>
  <c r="S22" i="4"/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<sst xmlns="http://schemas.openxmlformats.org/spreadsheetml/2006/main" count="1068" uniqueCount="134">
  <si>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</si>
  <si>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</si>
  <si>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</si>
  <si>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</si>
  <si>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</si>
  <si>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</si>
  <si>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</si>
  <si>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</si>
  <si>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</si>
  <si>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</si>
  <si>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</si>
  <si>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</si>
  <si>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</si>
  <si>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</si>
  <si>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</si>
  <si>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</si>
  <si>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</si>
  <si>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</si>
  <si>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</si>
  <si>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</si>
  <si>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</si>
  <si>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</si>
  <si>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</si>
  <si>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</si>
  <si>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</si>
  <si>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</si>
  <si>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</si>
  <si>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</si>
  <si>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</si>
  <si>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</si>
  <si>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</si>
  <si>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</si>
  <si>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</si>
  <si>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</si>
  <si>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</si>
  <si>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</si>
  <si>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</si>
  <si>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</si>
  <si>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</si>
  <si>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</si>
  <si>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</si>
  <si>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</si>
  <si>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</si>
  <si>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</si>
  <si>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</si>
  <si>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</si>
  <si>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</si>
  <si>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</si>
  <si>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</si>
  <si>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</si>
  <si>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</si>
  <si>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</si>
  <si>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</si>
  <si>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</si>
  <si>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</si>
  <si>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</si>
  <si>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</si>
  <si>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</si>
  <si>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</si>
  <si>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Hickam Trenching</t>
  </si>
  <si>
    <t>Cheyenne Trenching</t>
  </si>
  <si>
    <t>Qatar Trenching</t>
  </si>
  <si>
    <t>Langley Trenching</t>
  </si>
  <si>
    <t>Ramstein Trenching</t>
  </si>
  <si>
    <t>Total Install:</t>
  </si>
  <si>
    <t>Lambda</t>
  </si>
  <si>
    <t>Mu</t>
  </si>
  <si>
    <t>Server Cost:</t>
  </si>
  <si>
    <t>Hickam Link:</t>
  </si>
  <si>
    <t>Costs:</t>
  </si>
  <si>
    <t>Cheyenne Link:</t>
  </si>
  <si>
    <t>Qatar Link</t>
  </si>
  <si>
    <t>Langley Link</t>
  </si>
  <si>
    <t>Ramstein Link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</si>
  <si>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</si>
  <si>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</si>
  <si>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</si>
  <si>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</si>
  <si>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</si>
  <si>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</si>
  <si>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</si>
  <si>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</si>
  <si>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</si>
  <si>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</si>
  <si>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Weighted Delay (ms):</t>
  </si>
  <si>
    <t>Score:</t>
  </si>
  <si>
    <t>Trenched</t>
  </si>
  <si>
    <t>A&lt;-&gt;B</t>
  </si>
  <si>
    <t>Trenching Cost</t>
  </si>
  <si>
    <t>A&lt;-&gt;C</t>
  </si>
  <si>
    <t>A&lt;-&gt;D</t>
  </si>
  <si>
    <t>A&lt;-&gt;E</t>
  </si>
  <si>
    <t>B&lt;-&gt;C</t>
  </si>
  <si>
    <t>B&lt;-&gt;D</t>
  </si>
  <si>
    <t>B&lt;-&gt;E</t>
  </si>
  <si>
    <t>C&lt;-&gt;D</t>
  </si>
  <si>
    <t>C&lt;-&gt;E</t>
  </si>
  <si>
    <t>D&lt;-&gt;E</t>
  </si>
  <si>
    <t>Owned Land Link Cost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</si>
  <si>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</si>
  <si>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</si>
  <si>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</si>
  <si>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</si>
  <si>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</si>
  <si>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</si>
  <si>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</si>
  <si>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</si>
  <si>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</si>
  <si>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</si>
  <si>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See iSAT @ 100</t>
  </si>
  <si>
    <t>See iSAT @ 21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</si>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</sst>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/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4" fontId="4" fillId="0" borderId="0" xfId="2" applyFont="1" applyAlignment="1">
      <alignment horizontal="center" vertical="center"/>
    </xf>
    <xf numFmtId="0" fontId="4" fillId="0" borderId="0" xfId="0" applyFont="1"/>
    <xf numFmtId="44" fontId="4" fillId="0" borderId="0" xfId="2" applyFont="1"/>
    <xf numFmtId="2" fontId="4" fillId="0" borderId="0" xfId="0" applyNumberFormat="1" applyFont="1"/>
    <xf numFmtId="44" fontId="4" fillId="0" borderId="0" xfId="0" applyNumberFormat="1" applyFont="1"/>
    <xf numFmtId="0" fontId="4" fillId="0" borderId="0" xfId="0" applyNumberFormat="1" applyFont="1"/>
    <xf numFmtId="164" fontId="4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topLeftCell="A2" workbookViewId="0">
      <selection activeCell="C16" sqref="C16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106" t="s">
        <v>0</v>
      </c>
      <c r="B1" s="101" t="s">
        <v>1</v>
      </c>
      <c r="C1" s="102"/>
      <c r="D1" s="102"/>
      <c r="E1" s="102"/>
      <c r="F1" s="103"/>
      <c r="H1" s="106" t="s">
        <v>0</v>
      </c>
      <c r="I1" s="101" t="s">
        <v>1</v>
      </c>
      <c r="J1" s="102"/>
      <c r="K1" s="102"/>
      <c r="L1" s="102"/>
      <c r="M1" s="103"/>
      <c r="O1" s="100" t="s">
        <v>46</v>
      </c>
      <c r="P1" s="100"/>
      <c r="Q1" s="100"/>
    </row>
    <row r="2" spans="1:17" ht="16.5" thickTop="1" thickBot="1" x14ac:dyDescent="0.3">
      <c r="A2" s="107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107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B3/$I$20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3"/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</row>
    <row r="8" spans="1:17" ht="15.75" thickTop="1" x14ac:dyDescent="0.25">
      <c r="A8" s="104" t="s">
        <v>7</v>
      </c>
      <c r="B8" s="104"/>
      <c r="C8" s="104"/>
      <c r="D8" s="104"/>
      <c r="E8" s="104"/>
      <c r="F8" s="104"/>
      <c r="H8" s="104" t="s">
        <v>44</v>
      </c>
      <c r="I8" s="105"/>
      <c r="J8" s="105"/>
      <c r="K8" s="105"/>
      <c r="L8" s="105"/>
      <c r="M8" s="105"/>
    </row>
    <row r="9" spans="1:17" ht="15.75" thickBot="1" x14ac:dyDescent="0.3"/>
    <row r="10" spans="1:17" ht="16.5" thickTop="1" thickBot="1" x14ac:dyDescent="0.3">
      <c r="A10" s="106" t="s">
        <v>0</v>
      </c>
      <c r="B10" s="101" t="s">
        <v>1</v>
      </c>
      <c r="C10" s="102"/>
      <c r="D10" s="102"/>
      <c r="E10" s="102"/>
      <c r="F10" s="103"/>
      <c r="H10" s="106" t="s">
        <v>0</v>
      </c>
      <c r="I10" s="101" t="s">
        <v>1</v>
      </c>
      <c r="J10" s="102"/>
      <c r="K10" s="102"/>
      <c r="L10" s="102"/>
      <c r="M10" s="103"/>
    </row>
    <row r="11" spans="1:17" ht="16.5" thickTop="1" thickBot="1" x14ac:dyDescent="0.3">
      <c r="A11" s="108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107"/>
      <c r="I11" s="50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5">
        <f>B3*$I$19/(1000000)</f>
        <v>0</v>
      </c>
      <c r="J12" s="45">
        <f t="shared" ref="J12:M12" si="1">C3*$I$19/(1000000)</f>
        <v>4</v>
      </c>
      <c r="K12" s="45">
        <f t="shared" si="1"/>
        <v>50</v>
      </c>
      <c r="L12" s="45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5">
        <f t="shared" ref="I13:I16" si="2">B4*$I$19/(1000000)</f>
        <v>5</v>
      </c>
      <c r="J13" s="45">
        <f t="shared" ref="J13:J16" si="3">C4*$I$19/(1000000)</f>
        <v>0</v>
      </c>
      <c r="K13" s="45">
        <f t="shared" ref="K13:K16" si="4">D4*$I$19/(1000000)</f>
        <v>10</v>
      </c>
      <c r="L13" s="45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5">
        <f t="shared" si="2"/>
        <v>5</v>
      </c>
      <c r="J14" s="45">
        <f t="shared" si="3"/>
        <v>10</v>
      </c>
      <c r="K14" s="45">
        <f t="shared" si="4"/>
        <v>0</v>
      </c>
      <c r="L14" s="45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5">
        <f t="shared" si="2"/>
        <v>5</v>
      </c>
      <c r="J15" s="45">
        <f t="shared" si="3"/>
        <v>10</v>
      </c>
      <c r="K15" s="45">
        <f t="shared" si="4"/>
        <v>10</v>
      </c>
      <c r="L15" s="45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5">
        <f t="shared" si="2"/>
        <v>5</v>
      </c>
      <c r="J16" s="45">
        <f t="shared" si="3"/>
        <v>4</v>
      </c>
      <c r="K16" s="45">
        <f t="shared" si="4"/>
        <v>5</v>
      </c>
      <c r="L16" s="45">
        <f t="shared" si="5"/>
        <v>20</v>
      </c>
      <c r="M16" s="17">
        <f t="shared" si="6"/>
        <v>0</v>
      </c>
    </row>
    <row r="17" spans="1:13" ht="15.75" thickTop="1" x14ac:dyDescent="0.25">
      <c r="A17" s="104" t="s">
        <v>10</v>
      </c>
      <c r="B17" s="104"/>
      <c r="C17" s="104"/>
      <c r="D17" s="104"/>
      <c r="E17" s="104"/>
      <c r="F17" s="104"/>
      <c r="H17" s="104" t="s">
        <v>51</v>
      </c>
      <c r="I17" s="104"/>
      <c r="J17" s="104"/>
      <c r="K17" s="104"/>
      <c r="L17" s="104"/>
      <c r="M17" s="104"/>
    </row>
    <row r="18" spans="1:13" ht="15.75" thickBot="1" x14ac:dyDescent="0.3">
      <c r="H18" s="45"/>
      <c r="I18" s="45"/>
      <c r="J18" s="45"/>
      <c r="K18" s="45"/>
      <c r="L18" s="45"/>
      <c r="M18" s="45"/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14" t="s">
        <v>8</v>
      </c>
      <c r="I19" s="15">
        <v>20000</v>
      </c>
      <c r="J19" s="1" t="s">
        <v>9</v>
      </c>
      <c r="K19" s="45"/>
      <c r="L19" s="45"/>
      <c r="M19" s="45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14" t="s">
        <v>43</v>
      </c>
      <c r="I20" s="1">
        <f>SUM(B3:F7)</f>
        <v>9700</v>
      </c>
      <c r="J20" s="44" t="s">
        <v>45</v>
      </c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I22" s="46"/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104" t="s">
        <v>21</v>
      </c>
      <c r="B27" s="104"/>
      <c r="C27" s="104"/>
      <c r="D27" s="104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0AE5-F8AA-4CEF-B4FC-912B3D42E77B}">
  <dimension ref="A1:AF37"/>
  <sheetViews>
    <sheetView topLeftCell="F1" zoomScale="80" zoomScaleNormal="80" workbookViewId="0">
      <selection activeCell="Y26" sqref="Y26"/>
    </sheetView>
  </sheetViews>
  <sheetFormatPr defaultRowHeight="15" x14ac:dyDescent="0.25"/>
  <cols>
    <col min="1" max="1" width="38.7109375" customWidth="1"/>
    <col min="2" max="2" width="11.140625" bestFit="1" customWidth="1"/>
    <col min="3" max="3" width="9.85546875" customWidth="1"/>
    <col min="4" max="4" width="29.7109375" customWidth="1"/>
    <col min="8" max="8" width="21" customWidth="1"/>
    <col min="9" max="9" width="19.5703125" bestFit="1" customWidth="1"/>
    <col min="10" max="10" width="15.85546875" bestFit="1" customWidth="1"/>
    <col min="11" max="11" width="20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3</v>
      </c>
      <c r="Q2" s="71">
        <v>200</v>
      </c>
      <c r="R2" s="71">
        <f t="array" ref="R2">SUMPRODUCT(J2:P2,TRANSPOSE($Z$10:$Z$16))*1000000/20000</f>
        <v>671.04</v>
      </c>
      <c r="S2" s="58">
        <f>Q2/(R2-Q2)</f>
        <v>0.42459239130434784</v>
      </c>
      <c r="T2" s="59">
        <f>1/(R2-Q2)</f>
        <v>2.1229619565217395E-3</v>
      </c>
      <c r="U2" s="60">
        <f>Q2/R2</f>
        <v>0.29804482594182169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2</v>
      </c>
      <c r="K3" s="62">
        <v>0</v>
      </c>
      <c r="L3" s="62">
        <v>0</v>
      </c>
      <c r="M3" s="62">
        <v>2</v>
      </c>
      <c r="N3" s="62">
        <v>2</v>
      </c>
      <c r="O3" s="62">
        <v>0</v>
      </c>
      <c r="P3" s="62">
        <v>0</v>
      </c>
      <c r="Q3" s="71">
        <v>2500</v>
      </c>
      <c r="R3" s="71">
        <f t="array" ref="R3">SUMPRODUCT(J3:P3,TRANSPOSE($Z$10:$Z$16))*1000000/20000</f>
        <v>5103.9999999999991</v>
      </c>
      <c r="S3" s="61">
        <f t="shared" ref="S3:S22" si="0">Q3/(R3-Q3)</f>
        <v>0.960061443932412</v>
      </c>
      <c r="T3" s="62">
        <f>1/(R3-Q3)</f>
        <v>3.8402457757296478E-4</v>
      </c>
      <c r="U3" s="63">
        <f t="shared" ref="U3:U22" si="1">Q3/R3</f>
        <v>0.48981191222570541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0</v>
      </c>
      <c r="M4" s="62">
        <v>0</v>
      </c>
      <c r="N4" s="62">
        <v>1</v>
      </c>
      <c r="O4" s="62">
        <v>2</v>
      </c>
      <c r="P4" s="62">
        <v>4</v>
      </c>
      <c r="Q4" s="71">
        <v>1000</v>
      </c>
      <c r="R4" s="71">
        <f t="array" ref="R4">SUMPRODUCT(J4:P4,TRANSPOSE($Z$10:$Z$16))*1000000/20000</f>
        <v>2118.0799999999995</v>
      </c>
      <c r="S4" s="61">
        <f t="shared" si="0"/>
        <v>0.89439038351459688</v>
      </c>
      <c r="T4" s="62">
        <f t="shared" ref="T4:T22" si="4">1/(R4-Q4)</f>
        <v>8.9439038351459682E-4</v>
      </c>
      <c r="U4" s="63">
        <f t="shared" si="1"/>
        <v>0.47212569874603427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2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1</v>
      </c>
      <c r="O6" s="62">
        <v>0</v>
      </c>
      <c r="P6" s="62">
        <v>0</v>
      </c>
      <c r="Q6" s="71">
        <v>250</v>
      </c>
      <c r="R6" s="71">
        <f t="array" ref="R6">SUMPRODUCT(J6:P6,TRANSPOSE($Z$10:$Z$16))*1000000/20000</f>
        <v>776</v>
      </c>
      <c r="S6" s="61">
        <f t="shared" si="0"/>
        <v>0.47528517110266161</v>
      </c>
      <c r="T6" s="62">
        <f t="shared" si="4"/>
        <v>1.9011406844106464E-3</v>
      </c>
      <c r="U6" s="63">
        <f t="shared" si="1"/>
        <v>0.32216494845360827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3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1</v>
      </c>
      <c r="O8" s="62">
        <v>0</v>
      </c>
      <c r="P8" s="62">
        <v>0</v>
      </c>
      <c r="Q8" s="71">
        <v>250</v>
      </c>
      <c r="R8" s="71">
        <f t="array" ref="R8">SUMPRODUCT(J8:P8,TRANSPOSE($Z$10:$Z$16))*1000000/20000</f>
        <v>776</v>
      </c>
      <c r="S8" s="61">
        <f t="shared" si="0"/>
        <v>0.47528517110266161</v>
      </c>
      <c r="T8" s="62">
        <f t="shared" si="4"/>
        <v>1.9011406844106464E-3</v>
      </c>
      <c r="U8" s="63">
        <f t="shared" si="1"/>
        <v>0.32216494845360827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1</v>
      </c>
      <c r="O9" s="62">
        <v>0</v>
      </c>
      <c r="P9" s="62">
        <v>0</v>
      </c>
      <c r="Q9" s="71">
        <v>50</v>
      </c>
      <c r="R9" s="71">
        <f t="array" ref="R9">SUMPRODUCT(J9:P9,TRANSPOSE($Z$10:$Z$16))*1000000/20000</f>
        <v>776</v>
      </c>
      <c r="S9" s="61">
        <f t="shared" si="0"/>
        <v>6.8870523415977963E-2</v>
      </c>
      <c r="T9" s="62">
        <f t="shared" si="4"/>
        <v>1.3774104683195593E-3</v>
      </c>
      <c r="U9" s="63">
        <f t="shared" si="1"/>
        <v>6.4432989690721643E-2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2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3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3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1</v>
      </c>
      <c r="O13" s="62">
        <v>0</v>
      </c>
      <c r="P13" s="62">
        <v>0</v>
      </c>
      <c r="Q13" s="71">
        <v>250</v>
      </c>
      <c r="R13" s="71">
        <f t="array" ref="R13">SUMPRODUCT(J13:P13,TRANSPOSE($Z$10:$Z$16))*1000000/20000</f>
        <v>776</v>
      </c>
      <c r="S13" s="61">
        <f t="shared" si="0"/>
        <v>0.47528517110266161</v>
      </c>
      <c r="T13" s="62">
        <f t="shared" si="4"/>
        <v>1.9011406844106464E-3</v>
      </c>
      <c r="U13" s="63">
        <f t="shared" si="1"/>
        <v>0.32216494845360827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1</v>
      </c>
      <c r="O14" s="62">
        <v>0</v>
      </c>
      <c r="P14" s="62">
        <v>0</v>
      </c>
      <c r="Q14" s="71">
        <v>250</v>
      </c>
      <c r="R14" s="71">
        <f t="array" ref="R14">SUMPRODUCT(J14:P14,TRANSPOSE($Z$10:$Z$16))*1000000/20000</f>
        <v>776</v>
      </c>
      <c r="S14" s="61">
        <f t="shared" si="0"/>
        <v>0.47528517110266161</v>
      </c>
      <c r="T14" s="62">
        <f t="shared" si="4"/>
        <v>1.9011406844106464E-3</v>
      </c>
      <c r="U14" s="63">
        <f t="shared" si="1"/>
        <v>0.32216494845360827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1</v>
      </c>
      <c r="O15" s="62">
        <v>0</v>
      </c>
      <c r="P15" s="62">
        <v>0</v>
      </c>
      <c r="Q15" s="71">
        <v>500</v>
      </c>
      <c r="R15" s="71">
        <f t="array" ref="R15">SUMPRODUCT(J15:P15,TRANSPOSE($Z$10:$Z$16))*1000000/20000</f>
        <v>776</v>
      </c>
      <c r="S15" s="61">
        <f t="shared" si="0"/>
        <v>1.8115942028985508</v>
      </c>
      <c r="T15" s="62">
        <f t="shared" si="4"/>
        <v>3.6231884057971015E-3</v>
      </c>
      <c r="U15" s="63">
        <f t="shared" si="1"/>
        <v>0.64432989690721654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3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1</v>
      </c>
      <c r="O17" s="62">
        <v>0</v>
      </c>
      <c r="P17" s="62">
        <v>0</v>
      </c>
      <c r="Q17" s="71">
        <v>250</v>
      </c>
      <c r="R17" s="71">
        <f t="array" ref="R17">SUMPRODUCT(J17:P17,TRANSPOSE($Z$10:$Z$16))*1000000/20000</f>
        <v>776</v>
      </c>
      <c r="S17" s="61">
        <f t="shared" si="0"/>
        <v>0.47528517110266161</v>
      </c>
      <c r="T17" s="62">
        <f t="shared" si="4"/>
        <v>1.9011406844106464E-3</v>
      </c>
      <c r="U17" s="63">
        <f t="shared" si="1"/>
        <v>0.32216494845360827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6" t="s">
        <v>0</v>
      </c>
      <c r="B18" s="101" t="s">
        <v>1</v>
      </c>
      <c r="C18" s="102"/>
      <c r="D18" s="102"/>
      <c r="E18" s="102"/>
      <c r="F18" s="103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2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8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1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56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2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2</v>
      </c>
      <c r="P21" s="62">
        <v>3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19140.800000000007</v>
      </c>
      <c r="S22" s="64">
        <f t="shared" si="0"/>
        <v>1.0274553003982707</v>
      </c>
      <c r="T22" s="65">
        <f t="shared" si="4"/>
        <v>1.0592322684518254E-4</v>
      </c>
      <c r="U22" s="66">
        <f t="shared" si="1"/>
        <v>0.50677087687035005</v>
      </c>
      <c r="V22" s="57">
        <f t="shared" si="2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2</v>
      </c>
      <c r="K23" s="57">
        <f t="shared" ref="K23:P23" si="5">SUM(K2:K21)</f>
        <v>0</v>
      </c>
      <c r="L23" s="57">
        <f>SUM(L2:L21)</f>
        <v>0</v>
      </c>
      <c r="M23" s="57">
        <f t="shared" si="5"/>
        <v>2</v>
      </c>
      <c r="N23" s="57">
        <f t="shared" si="5"/>
        <v>10</v>
      </c>
      <c r="O23" s="57">
        <f t="shared" si="5"/>
        <v>4</v>
      </c>
      <c r="P23" s="57">
        <f t="shared" si="5"/>
        <v>31</v>
      </c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56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9" t="s">
        <v>69</v>
      </c>
      <c r="I25" s="109"/>
      <c r="J25" s="109"/>
      <c r="K25" s="109"/>
      <c r="L25" s="109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4.1430804880583181E-3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SUM(J2:J21)*60000000+SUM(K2:K21)*40000000</f>
        <v>120000000</v>
      </c>
      <c r="J26" s="74" t="s">
        <v>77</v>
      </c>
      <c r="K26" s="74">
        <f>J23*8000+K23*8000+L23*500000+M23*5000+N23*700000+O23*5000+P23*500000</f>
        <v>22546000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4.1430804880583185</v>
      </c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</row>
    <row r="27" spans="1:32" x14ac:dyDescent="0.25">
      <c r="H27" s="57" t="s">
        <v>59</v>
      </c>
      <c r="I27" s="74">
        <f>IF(AND(M2=0, O2=0), 0, C20*10000)+IF( AND(M3=0, O3=0), 0, D20*10000)+IF(AND(M4=0, O4=0), 0, E20*10000)+IF(AND(M5=0, O5=0), 0, F20*10000)</f>
        <v>219000000</v>
      </c>
      <c r="L27" s="57"/>
    </row>
    <row r="28" spans="1:32" x14ac:dyDescent="0.25">
      <c r="H28" t="s">
        <v>60</v>
      </c>
      <c r="I28" s="74">
        <f>IF(AND(M6=0, O6=0), 0, B21*10000)+IF(AND(M7=0, O7=0),0, D21*10000)+IF(AND(M8=0, O8=0), 0, E21*10000)+IF(AND(M9=0, O9=0), 0, F21*10000)</f>
        <v>0</v>
      </c>
      <c r="J28" t="s">
        <v>67</v>
      </c>
      <c r="K28" s="75">
        <f>SUM(J2:P21)*20000</f>
        <v>980000</v>
      </c>
    </row>
    <row r="29" spans="1:32" x14ac:dyDescent="0.25">
      <c r="H29" s="57" t="s">
        <v>61</v>
      </c>
      <c r="I29" s="74">
        <f>IF(AND(M10=0, O10=0), 0, B22*10000)+IF(AND(M11=0, O11=0),0, C22*10000)+IF(AND(M12=0, O12=0), 0, E22*10000)+IF(AND(M13=0, O13=0), 0, F22*10000)</f>
        <v>0</v>
      </c>
    </row>
    <row r="30" spans="1:32" x14ac:dyDescent="0.25">
      <c r="H30" s="57" t="s">
        <v>62</v>
      </c>
      <c r="I30" s="74">
        <f>IF(AND(M14=0, O14=0), 0, B23*10000)+IF(AND(M15=0, O15=0),0, C23*10000)+IF(AND(M16=0, O16=0), 0, D23*10000)+IF(AND(M17=0, O17=0), 0, F23*10000)</f>
        <v>0</v>
      </c>
      <c r="T30" t="s">
        <v>81</v>
      </c>
    </row>
    <row r="31" spans="1:32" x14ac:dyDescent="0.25">
      <c r="H31" s="57" t="s">
        <v>63</v>
      </c>
      <c r="I31" s="74">
        <f>IF(AND(M18=0, O18=0), 0, B24*10000)+IF(AND(M19=0, O19=0),0, C24*10000)+IF(AND(M20=0, O20=0), 0, D24*10000)+IF(AND(M21=0, O21=0), 0, E24*10000)</f>
        <v>66000000</v>
      </c>
      <c r="J31" t="s">
        <v>74</v>
      </c>
      <c r="K31" s="75">
        <f>(I37+K28+K26*120)</f>
        <v>3396500000</v>
      </c>
      <c r="T31" t="s">
        <v>82</v>
      </c>
      <c r="U31" s="76">
        <f>K31/6000000</f>
        <v>566.08333333333337</v>
      </c>
    </row>
    <row r="32" spans="1:32" x14ac:dyDescent="0.25">
      <c r="H32" s="57" t="s">
        <v>68</v>
      </c>
      <c r="I32" s="74">
        <f>((M2+O2)*C20+(M3+O3)*D20+(M4+O4)*E20+(M5+O5)*F20)*5000</f>
        <v>219000000</v>
      </c>
      <c r="T32" t="s">
        <v>83</v>
      </c>
    </row>
    <row r="33" spans="8:21" x14ac:dyDescent="0.25">
      <c r="H33" s="57" t="s">
        <v>70</v>
      </c>
      <c r="I33" s="74">
        <f>((M6+O6)*B21+(M7+O7)*D21+(M8+O8)*E21+(M9+O9)*F21)*5000</f>
        <v>0</v>
      </c>
      <c r="T33" t="s">
        <v>84</v>
      </c>
      <c r="U33">
        <f>U26*0.1</f>
        <v>0.41430804880583189</v>
      </c>
    </row>
    <row r="34" spans="8:21" x14ac:dyDescent="0.25">
      <c r="H34" s="57" t="s">
        <v>71</v>
      </c>
      <c r="I34" s="74">
        <f>((M10+O10)*B22+(M11+O11)*C22+(M12+O12)*E22+(M13+O13)*F22)*5000</f>
        <v>0</v>
      </c>
      <c r="T34" t="s">
        <v>85</v>
      </c>
    </row>
    <row r="35" spans="8:21" x14ac:dyDescent="0.25">
      <c r="H35" s="57" t="s">
        <v>72</v>
      </c>
      <c r="I35" s="74">
        <f>((M14+O14)*B23+(M15+O15)*C23+(M16+O16)*D23+(M17+O17)*F23)*5000</f>
        <v>0</v>
      </c>
    </row>
    <row r="36" spans="8:21" x14ac:dyDescent="0.25">
      <c r="H36" s="57" t="s">
        <v>73</v>
      </c>
      <c r="I36" s="74">
        <f>((M18+O18)*B24+(M19+O19)*C24+(M20+O20)*D24+(M21+O21)*E24)*5000</f>
        <v>66000000</v>
      </c>
    </row>
    <row r="37" spans="8:21" x14ac:dyDescent="0.25">
      <c r="H37" s="73" t="s">
        <v>64</v>
      </c>
      <c r="I37" s="75">
        <f>SUM(I26:I36)</f>
        <v>690000000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1F4E-F21C-41E1-967C-33228DEFDE08}">
  <dimension ref="A1:AF64"/>
  <sheetViews>
    <sheetView topLeftCell="A21" zoomScale="55" zoomScaleNormal="55" workbookViewId="0">
      <selection activeCell="C38" sqref="C38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21.140625" bestFit="1" customWidth="1"/>
    <col min="10" max="10" width="15.85546875" bestFit="1" customWidth="1"/>
    <col min="11" max="11" width="21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2</v>
      </c>
      <c r="Q2" s="71">
        <v>200</v>
      </c>
      <c r="R2" s="71">
        <f t="array" ref="R2">SUMPRODUCT(J2:P2,TRANSPOSE($Z$10:$Z$16))*1000000/20000</f>
        <v>447.36</v>
      </c>
      <c r="S2" s="58">
        <f>Q2/(R2-Q2)</f>
        <v>0.80853816300129366</v>
      </c>
      <c r="T2" s="59">
        <f>1/(R2-Q2)</f>
        <v>4.0426908150064684E-3</v>
      </c>
      <c r="U2" s="60">
        <f>Q2/R2</f>
        <v>0.44706723891273248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1</v>
      </c>
      <c r="K3" s="62">
        <v>0</v>
      </c>
      <c r="L3" s="62">
        <v>0</v>
      </c>
      <c r="M3" s="62">
        <v>2</v>
      </c>
      <c r="N3" s="62">
        <v>3</v>
      </c>
      <c r="O3" s="62">
        <v>0</v>
      </c>
      <c r="P3" s="62">
        <v>1</v>
      </c>
      <c r="Q3" s="71">
        <v>2500</v>
      </c>
      <c r="R3" s="71">
        <f t="array" ref="R3">SUMPRODUCT(J3:P3,TRANSPOSE($Z$10:$Z$16))*1000000/20000</f>
        <v>5103.68</v>
      </c>
      <c r="S3" s="61">
        <f t="shared" ref="S3:S22" si="0">Q3/(R3-Q3)</f>
        <v>0.96017943833343566</v>
      </c>
      <c r="T3" s="62">
        <f>1/(R3-Q3)</f>
        <v>3.8407177533337426E-4</v>
      </c>
      <c r="U3" s="63">
        <f t="shared" ref="U3:U22" si="1">Q3/R3</f>
        <v>0.48984262336196621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1</v>
      </c>
      <c r="M4" s="62">
        <v>1</v>
      </c>
      <c r="N4" s="62">
        <v>0</v>
      </c>
      <c r="O4" s="62">
        <v>1</v>
      </c>
      <c r="P4" s="62">
        <v>4</v>
      </c>
      <c r="Q4" s="71">
        <v>1000</v>
      </c>
      <c r="R4" s="71">
        <f t="array" ref="R4">SUMPRODUCT(J4:P4,TRANSPOSE($Z$10:$Z$16))*1000000/20000</f>
        <v>2144.4000000000005</v>
      </c>
      <c r="S4" s="61">
        <f t="shared" si="0"/>
        <v>0.8738203425375739</v>
      </c>
      <c r="T4" s="62">
        <f t="shared" ref="T4:T22" si="4">1/(R4-Q4)</f>
        <v>8.738203425375738E-4</v>
      </c>
      <c r="U4" s="63">
        <f t="shared" si="1"/>
        <v>0.46633090841260949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2</v>
      </c>
      <c r="Q6" s="71">
        <v>250</v>
      </c>
      <c r="R6" s="71">
        <f t="array" ref="R6">SUMPRODUCT(J6:P6,TRANSPOSE($Z$10:$Z$16))*1000000/20000</f>
        <v>447.36</v>
      </c>
      <c r="S6" s="61">
        <f t="shared" si="0"/>
        <v>1.2667207134171057</v>
      </c>
      <c r="T6" s="62">
        <f t="shared" si="4"/>
        <v>5.0668828536684233E-3</v>
      </c>
      <c r="U6" s="63">
        <f t="shared" si="1"/>
        <v>0.55883404864091557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3</v>
      </c>
      <c r="P7" s="62">
        <v>0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2</v>
      </c>
      <c r="Q8" s="71">
        <v>250</v>
      </c>
      <c r="R8" s="71">
        <f t="array" ref="R8">SUMPRODUCT(J8:P8,TRANSPOSE($Z$10:$Z$16))*1000000/20000</f>
        <v>447.36</v>
      </c>
      <c r="S8" s="61">
        <f t="shared" si="0"/>
        <v>1.2667207134171057</v>
      </c>
      <c r="T8" s="62">
        <f t="shared" si="4"/>
        <v>5.0668828536684233E-3</v>
      </c>
      <c r="U8" s="63">
        <f t="shared" si="1"/>
        <v>0.55883404864091557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1</v>
      </c>
      <c r="Q9" s="71">
        <v>50</v>
      </c>
      <c r="R9" s="71">
        <f t="array" ref="R9">SUMPRODUCT(J9:P9,TRANSPOSE($Z$10:$Z$16))*1000000/20000</f>
        <v>223.68</v>
      </c>
      <c r="S9" s="61">
        <f t="shared" si="0"/>
        <v>0.28788576692768308</v>
      </c>
      <c r="T9" s="62">
        <f t="shared" si="4"/>
        <v>5.7577153385536617E-3</v>
      </c>
      <c r="U9" s="63">
        <f t="shared" si="1"/>
        <v>0.22353361945636624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2</v>
      </c>
      <c r="P10" s="62">
        <v>0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3</v>
      </c>
      <c r="P11" s="62">
        <v>0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3</v>
      </c>
      <c r="P12" s="62">
        <v>0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2</v>
      </c>
      <c r="Q13" s="71">
        <v>250</v>
      </c>
      <c r="R13" s="71">
        <f t="array" ref="R13">SUMPRODUCT(J13:P13,TRANSPOSE($Z$10:$Z$16))*1000000/20000</f>
        <v>447.36</v>
      </c>
      <c r="S13" s="61">
        <f t="shared" si="0"/>
        <v>1.2667207134171057</v>
      </c>
      <c r="T13" s="62">
        <f t="shared" si="4"/>
        <v>5.0668828536684233E-3</v>
      </c>
      <c r="U13" s="63">
        <f t="shared" si="1"/>
        <v>0.55883404864091557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2</v>
      </c>
      <c r="Q14" s="71">
        <v>250</v>
      </c>
      <c r="R14" s="71">
        <f t="array" ref="R14">SUMPRODUCT(J14:P14,TRANSPOSE($Z$10:$Z$16))*1000000/20000</f>
        <v>447.36</v>
      </c>
      <c r="S14" s="61">
        <f t="shared" si="0"/>
        <v>1.2667207134171057</v>
      </c>
      <c r="T14" s="62">
        <f t="shared" si="4"/>
        <v>5.0668828536684233E-3</v>
      </c>
      <c r="U14" s="63">
        <f t="shared" si="1"/>
        <v>0.55883404864091557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</v>
      </c>
      <c r="P15" s="62">
        <v>2</v>
      </c>
      <c r="Q15" s="71">
        <v>500</v>
      </c>
      <c r="R15" s="71">
        <f t="array" ref="R15">SUMPRODUCT(J15:P15,TRANSPOSE($Z$10:$Z$16))*1000000/20000</f>
        <v>671.04</v>
      </c>
      <c r="S15" s="61">
        <f t="shared" si="0"/>
        <v>2.9232927970065488</v>
      </c>
      <c r="T15" s="62">
        <f t="shared" si="4"/>
        <v>5.8465855940130979E-3</v>
      </c>
      <c r="U15" s="63">
        <f t="shared" si="1"/>
        <v>0.74511206485455417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3</v>
      </c>
      <c r="P16" s="62">
        <v>0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2</v>
      </c>
      <c r="Q17" s="71">
        <v>250</v>
      </c>
      <c r="R17" s="71">
        <f t="array" ref="R17">SUMPRODUCT(J17:P17,TRANSPOSE($Z$10:$Z$16))*1000000/20000</f>
        <v>447.36</v>
      </c>
      <c r="S17" s="61">
        <f t="shared" si="0"/>
        <v>1.2667207134171057</v>
      </c>
      <c r="T17" s="62">
        <f t="shared" si="4"/>
        <v>5.0668828536684233E-3</v>
      </c>
      <c r="U17" s="63">
        <f t="shared" si="1"/>
        <v>0.55883404864091557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6" t="s">
        <v>0</v>
      </c>
      <c r="B18" s="101" t="s">
        <v>1</v>
      </c>
      <c r="C18" s="102"/>
      <c r="D18" s="102"/>
      <c r="E18" s="102"/>
      <c r="F18" s="103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2</v>
      </c>
      <c r="P18" s="62">
        <v>0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8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1</v>
      </c>
      <c r="P19" s="62">
        <v>0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77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2</v>
      </c>
      <c r="P20" s="62">
        <v>0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1</v>
      </c>
      <c r="P21" s="62">
        <v>4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 t="s">
        <v>86</v>
      </c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16642.64000000001</v>
      </c>
      <c r="S22" s="64">
        <f t="shared" si="0"/>
        <v>1.3971630388440111</v>
      </c>
      <c r="T22" s="65">
        <f t="shared" si="4"/>
        <v>1.440374266849496E-4</v>
      </c>
      <c r="U22" s="66">
        <f t="shared" si="1"/>
        <v>0.58284022246470479</v>
      </c>
      <c r="V22" s="57">
        <f t="shared" si="2"/>
        <v>0</v>
      </c>
      <c r="W22" s="57"/>
      <c r="X22" s="57"/>
      <c r="Y22" s="57"/>
      <c r="Z22" s="57" t="s">
        <v>87</v>
      </c>
      <c r="AA22" s="57">
        <f>IF(OR(OR(M2&gt;0, O2&gt;0),OR(M6&gt;0, O6&gt;0)), 1,0)</f>
        <v>0</v>
      </c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1</v>
      </c>
      <c r="K23" s="57">
        <f t="shared" ref="K23:P23" si="5">SUM(K2:K21)</f>
        <v>0</v>
      </c>
      <c r="L23" s="57">
        <f>SUM(L2:L21)</f>
        <v>1</v>
      </c>
      <c r="M23" s="57">
        <f t="shared" si="5"/>
        <v>3</v>
      </c>
      <c r="N23" s="57">
        <f t="shared" si="5"/>
        <v>3</v>
      </c>
      <c r="O23" s="57">
        <f t="shared" si="5"/>
        <v>24</v>
      </c>
      <c r="P23" s="57">
        <f t="shared" si="5"/>
        <v>24</v>
      </c>
      <c r="Q23" s="57"/>
      <c r="R23" s="57"/>
      <c r="S23" s="57"/>
      <c r="T23" s="57"/>
      <c r="U23" s="57"/>
      <c r="V23" s="57"/>
      <c r="W23" s="57"/>
      <c r="X23" s="57"/>
      <c r="Y23" s="57"/>
      <c r="Z23" s="57" t="s">
        <v>89</v>
      </c>
      <c r="AA23" s="57">
        <f>IF(OR(OR(M3&gt;0, O3&gt;0),OR(M10&gt;0, O10&gt;0)), 1,0)</f>
        <v>1</v>
      </c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7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 t="s">
        <v>90</v>
      </c>
      <c r="AA24" s="57">
        <f>IF(OR(OR(M4&gt;0, O4&gt;0),OR(M14&gt;0, O14&gt;0)), 1,0)</f>
        <v>1</v>
      </c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9" t="s">
        <v>69</v>
      </c>
      <c r="I25" s="109"/>
      <c r="J25" s="109"/>
      <c r="K25" s="109"/>
      <c r="L25" s="109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4.7256975266472736E-3</v>
      </c>
      <c r="V25" s="57"/>
      <c r="W25" s="57"/>
      <c r="X25" s="57"/>
      <c r="Y25" s="57"/>
      <c r="Z25" s="57" t="s">
        <v>91</v>
      </c>
      <c r="AA25" s="57">
        <f>IF(OR(OR(M5&gt;0, O5&gt;0),OR(M18&gt;0, O18&gt;0)), 1,0)</f>
        <v>1</v>
      </c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IF(SUM(J2:J21)&lt;4, 0, SUM(J2:J21)*60000000)+SUM(K2:K21)*40000000</f>
        <v>0</v>
      </c>
      <c r="J26" s="74" t="s">
        <v>77</v>
      </c>
      <c r="K26" s="74">
        <f>J23*8000+K23*8000+L23*500000+M23*5000+N23*700000+O23*5000+P23*500000</f>
        <v>14743000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4.7256975266472736</v>
      </c>
      <c r="V26" s="57"/>
      <c r="W26" s="57"/>
      <c r="X26" s="57"/>
      <c r="Y26" s="57"/>
      <c r="Z26" s="57" t="s">
        <v>92</v>
      </c>
      <c r="AA26" s="57">
        <f>IF(OR(OR(M7&gt;0, O7&gt;0),OR(M11&gt;0, O11&gt;0)), 1,0)</f>
        <v>1</v>
      </c>
      <c r="AB26" s="57"/>
      <c r="AC26" s="57"/>
      <c r="AD26" s="57"/>
      <c r="AE26" s="57"/>
      <c r="AF26" s="57"/>
    </row>
    <row r="27" spans="1:32" ht="15.75" thickBot="1" x14ac:dyDescent="0.3">
      <c r="H27" s="57" t="s">
        <v>59</v>
      </c>
      <c r="I27" s="74">
        <f>IF(AND(M2=0, O2=0), 0, C20*10000)+IF( AND(M3=0, O3=0), 0, D20*10000)+IF(AND(M4=0, O4=0), 0, E20*10000)+IF(AND(M5=0, O5=0), 0, F20*10000)</f>
        <v>339000000</v>
      </c>
      <c r="L27" s="57"/>
      <c r="Z27" s="57" t="s">
        <v>93</v>
      </c>
      <c r="AA27" s="57">
        <f>IF(OR(OR(M8&gt;0, O8&gt;0),OR(M15&gt;0, O15&gt;0)), 1,0)</f>
        <v>1</v>
      </c>
    </row>
    <row r="28" spans="1:32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t="s">
        <v>60</v>
      </c>
      <c r="I28" s="74">
        <f>IF(AND(M6=0, O6=0), 0, B21*10000)+IF(AND(M7=0, O7=0),0, D21*10000)+IF(AND(M8=0, O8=0), 0, E21*10000)+IF(AND(M9=0, O9=0), 0, F21*10000)</f>
        <v>125000000</v>
      </c>
      <c r="J28" t="s">
        <v>67</v>
      </c>
      <c r="K28" s="75">
        <f>SUM(J2:P21)*20000</f>
        <v>1120000</v>
      </c>
      <c r="Z28" s="57" t="s">
        <v>94</v>
      </c>
      <c r="AA28" s="57">
        <f>IF(OR(OR(M9&gt;0, O9&gt;0),OR(M19&gt;0, O19&gt;0)), 1,0)</f>
        <v>1</v>
      </c>
    </row>
    <row r="29" spans="1:32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61</v>
      </c>
      <c r="I29" s="74">
        <f>IF(AND(M10=0, O10=0), 0, B22*10000)+IF(AND(M11=0, O11=0),0, C22*10000)+IF(AND(M12=0, O12=0), 0, E22*10000)+IF(AND(M13=0, O13=0), 0, F22*10000)</f>
        <v>377000000</v>
      </c>
      <c r="Z29" s="57" t="s">
        <v>95</v>
      </c>
      <c r="AA29" s="57">
        <f>IF(OR(OR(M12&gt;0, O12&gt;0),OR(M16&gt;0, O16&gt;0)), 1,0)</f>
        <v>1</v>
      </c>
    </row>
    <row r="30" spans="1:32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62</v>
      </c>
      <c r="I30" s="74">
        <f>IF(AND(M14=0, O14=0), 0, B23*10000)+IF(AND(M15=0, O15=0),0, C23*10000)+IF(AND(M16=0, O16=0), 0, D23*10000)+IF(AND(M17=0, O17=0), 0, F23*10000)</f>
        <v>137000000</v>
      </c>
      <c r="T30" t="s">
        <v>81</v>
      </c>
      <c r="Z30" s="57" t="s">
        <v>96</v>
      </c>
      <c r="AA30" s="57">
        <f>IF(OR(OR(M13&gt;0, O13&gt;0),OR(M20&gt;0, O20&gt;0)), 1,0)</f>
        <v>1</v>
      </c>
    </row>
    <row r="31" spans="1:32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63</v>
      </c>
      <c r="I31" s="74">
        <f>IF(AND(M18=0, O18=0), 0, B24*10000)+IF(AND(M19=0, O19=0),0, C24*10000)+IF(AND(M20=0, O20=0), 0, D24*10000)+IF(AND(M21=0, O21=0), 0, E24*10000)</f>
        <v>314000000</v>
      </c>
      <c r="J31" t="s">
        <v>74</v>
      </c>
      <c r="K31" s="75">
        <f>(I37+K28+K26*120)</f>
        <v>4504780000</v>
      </c>
      <c r="T31" t="s">
        <v>82</v>
      </c>
      <c r="U31" s="76">
        <f>K31/6000000</f>
        <v>750.79666666666662</v>
      </c>
      <c r="Z31" s="57" t="s">
        <v>97</v>
      </c>
      <c r="AA31" s="57">
        <f>IF(OR(OR(M17&gt;0, O17&gt;0),OR(M21&gt;0, O21&gt;0)), 1,0)</f>
        <v>1</v>
      </c>
    </row>
    <row r="32" spans="1:32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68</v>
      </c>
      <c r="I32" s="74">
        <f>((M2+O2)*C20+(M3+O3)*D20+(M4+O4)*E20+(M5+O5)*F20)*5000</f>
        <v>339000000</v>
      </c>
      <c r="T32" t="s">
        <v>83</v>
      </c>
    </row>
    <row r="33" spans="1:21" ht="16.5" thickTop="1" thickBot="1" x14ac:dyDescent="0.3">
      <c r="H33" s="57" t="s">
        <v>70</v>
      </c>
      <c r="I33" s="74">
        <f>((M6+O6)*B21+(M7+O7)*D21+(M8+O8)*E21+(M9+O9)*F21)*5000</f>
        <v>187500000</v>
      </c>
      <c r="T33" t="s">
        <v>84</v>
      </c>
      <c r="U33">
        <f>U26*0.1</f>
        <v>0.47256975266472739</v>
      </c>
    </row>
    <row r="34" spans="1:21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71</v>
      </c>
      <c r="I34" s="74">
        <f>((M10+O10)*B22+(M11+O11)*C22+(M12+O12)*E22+(M13+O13)*F22)*5000</f>
        <v>495500000</v>
      </c>
      <c r="T34" t="s">
        <v>85</v>
      </c>
    </row>
    <row r="35" spans="1:21" x14ac:dyDescent="0.25">
      <c r="A35" s="33" t="s">
        <v>2</v>
      </c>
      <c r="B35" s="16" t="s">
        <v>36</v>
      </c>
      <c r="C35">
        <v>1</v>
      </c>
      <c r="D35">
        <v>1</v>
      </c>
      <c r="H35" s="57" t="s">
        <v>72</v>
      </c>
      <c r="I35" s="74">
        <f>((M14+O14)*B23+(M15+O15)*C23+(M16+O16)*D23+(M17+O17)*F23)*5000</f>
        <v>180500000</v>
      </c>
    </row>
    <row r="36" spans="1:21" x14ac:dyDescent="0.25">
      <c r="A36" s="33" t="s">
        <v>3</v>
      </c>
      <c r="B36" s="16" t="s">
        <v>38</v>
      </c>
      <c r="C36">
        <v>0</v>
      </c>
      <c r="D36">
        <v>1</v>
      </c>
      <c r="H36" s="57" t="s">
        <v>73</v>
      </c>
      <c r="I36" s="74">
        <f>((M18+O18)*B24+(M19+O19)*C24+(M20+O20)*D24+(M21+O21)*E24)*5000</f>
        <v>240000000</v>
      </c>
    </row>
    <row r="37" spans="1:21" x14ac:dyDescent="0.25">
      <c r="A37" s="33" t="s">
        <v>4</v>
      </c>
      <c r="B37" s="16" t="s">
        <v>39</v>
      </c>
      <c r="C37">
        <v>1</v>
      </c>
      <c r="D37">
        <v>1</v>
      </c>
      <c r="H37" s="73" t="s">
        <v>64</v>
      </c>
      <c r="I37" s="75">
        <f>SUM(I26:I36)</f>
        <v>2734500000</v>
      </c>
    </row>
    <row r="38" spans="1:21" x14ac:dyDescent="0.25">
      <c r="A38" s="33" t="s">
        <v>5</v>
      </c>
      <c r="B38" s="16" t="s">
        <v>40</v>
      </c>
      <c r="C38">
        <v>1</v>
      </c>
      <c r="D38">
        <v>1</v>
      </c>
    </row>
    <row r="39" spans="1:21" ht="15.75" thickBot="1" x14ac:dyDescent="0.3">
      <c r="A39" s="34" t="s">
        <v>6</v>
      </c>
      <c r="B39" s="17" t="s">
        <v>37</v>
      </c>
      <c r="C39">
        <v>1</v>
      </c>
      <c r="D39">
        <v>0</v>
      </c>
    </row>
    <row r="40" spans="1:21" ht="15.75" thickTop="1" x14ac:dyDescent="0.25"/>
    <row r="42" spans="1:21" x14ac:dyDescent="0.25">
      <c r="H42" t="s">
        <v>88</v>
      </c>
    </row>
    <row r="43" spans="1:21" x14ac:dyDescent="0.25">
      <c r="H43" s="57" t="s">
        <v>87</v>
      </c>
      <c r="I43" s="78">
        <f>IF(AA22=1, C20*10000,0)</f>
        <v>0</v>
      </c>
    </row>
    <row r="44" spans="1:21" x14ac:dyDescent="0.25">
      <c r="H44" s="57" t="s">
        <v>89</v>
      </c>
      <c r="I44" s="78">
        <f>IF(AA23=1, D20*10000,0)</f>
        <v>140000000</v>
      </c>
    </row>
    <row r="45" spans="1:21" x14ac:dyDescent="0.25">
      <c r="H45" s="57" t="s">
        <v>90</v>
      </c>
      <c r="I45" s="78">
        <f>IF(AA24=1, E20*10000,0)</f>
        <v>79000000</v>
      </c>
    </row>
    <row r="46" spans="1:21" x14ac:dyDescent="0.25">
      <c r="H46" s="57" t="s">
        <v>91</v>
      </c>
      <c r="I46" s="78">
        <f>IF(AA25=1, F20*10000,0)</f>
        <v>120000000</v>
      </c>
    </row>
    <row r="47" spans="1:21" x14ac:dyDescent="0.25">
      <c r="H47" s="57" t="s">
        <v>92</v>
      </c>
      <c r="I47" s="78">
        <f>IF(AA26=1, B21*10000,0)</f>
        <v>54000000</v>
      </c>
    </row>
    <row r="48" spans="1:21" x14ac:dyDescent="0.25">
      <c r="H48" s="57" t="s">
        <v>93</v>
      </c>
      <c r="I48" s="78">
        <f>IF(AA27=1, D21*10000,0)</f>
        <v>125000000</v>
      </c>
    </row>
    <row r="49" spans="8:9" x14ac:dyDescent="0.25">
      <c r="H49" s="57" t="s">
        <v>94</v>
      </c>
      <c r="I49" s="78">
        <f>IF(AA28=1, F21*10000,0)</f>
        <v>82000000</v>
      </c>
    </row>
    <row r="50" spans="8:9" x14ac:dyDescent="0.25">
      <c r="H50" s="57" t="s">
        <v>95</v>
      </c>
      <c r="I50" s="78">
        <f>IF(AA29=1, E22*10000,0)</f>
        <v>112000000</v>
      </c>
    </row>
    <row r="51" spans="8:9" x14ac:dyDescent="0.25">
      <c r="H51" s="57" t="s">
        <v>96</v>
      </c>
      <c r="I51" s="78">
        <f>IF(AA30=1, F22*10000,0)</f>
        <v>46000000</v>
      </c>
    </row>
    <row r="52" spans="8:9" x14ac:dyDescent="0.25">
      <c r="H52" s="57" t="s">
        <v>97</v>
      </c>
      <c r="I52" s="78">
        <f>IF(AA31=1, F23*10000,0)</f>
        <v>66000000</v>
      </c>
    </row>
    <row r="54" spans="8:9" x14ac:dyDescent="0.25">
      <c r="H54" s="57" t="s">
        <v>98</v>
      </c>
    </row>
    <row r="55" spans="8:9" x14ac:dyDescent="0.25">
      <c r="H55" s="57" t="s">
        <v>87</v>
      </c>
      <c r="I55">
        <f>(M2+M6)*C20*5000 + (O2+O6)*C20*2000</f>
        <v>0</v>
      </c>
    </row>
    <row r="56" spans="8:9" x14ac:dyDescent="0.25">
      <c r="H56" s="57" t="s">
        <v>89</v>
      </c>
      <c r="I56">
        <f>(M3+M10)*D20*5000 + (O3+O10)*D20*2000</f>
        <v>196000000</v>
      </c>
    </row>
    <row r="57" spans="8:9" x14ac:dyDescent="0.25">
      <c r="H57" s="57" t="s">
        <v>90</v>
      </c>
      <c r="I57">
        <f>(M4+M14)*E20*5000 + (O4+O14)*E20*2000</f>
        <v>55300000</v>
      </c>
    </row>
    <row r="58" spans="8:9" x14ac:dyDescent="0.25">
      <c r="H58" s="57" t="s">
        <v>91</v>
      </c>
      <c r="I58">
        <f>(M5+M18)*F20*5000 + (O5+O18)*F20*2000</f>
        <v>96000000</v>
      </c>
    </row>
    <row r="59" spans="8:9" x14ac:dyDescent="0.25">
      <c r="H59" s="57" t="s">
        <v>92</v>
      </c>
      <c r="I59">
        <f>(M7+M11)*B21*5000 + (O7+O11)*B21*2000</f>
        <v>64800000</v>
      </c>
    </row>
    <row r="60" spans="8:9" x14ac:dyDescent="0.25">
      <c r="H60" s="57" t="s">
        <v>93</v>
      </c>
      <c r="I60">
        <f>(M8+M15)*D21*5000 + (O8+O15)*D21*2000</f>
        <v>25000000</v>
      </c>
    </row>
    <row r="61" spans="8:9" x14ac:dyDescent="0.25">
      <c r="H61" s="57" t="s">
        <v>94</v>
      </c>
      <c r="I61">
        <f>(M9+M19)*F21*5000 + (O9+O19)*F21*2000</f>
        <v>16400000</v>
      </c>
    </row>
    <row r="62" spans="8:9" x14ac:dyDescent="0.25">
      <c r="H62" s="57" t="s">
        <v>95</v>
      </c>
      <c r="I62">
        <f>(M12+M16)*E22*5000 + (O12+O16)*E22*2000</f>
        <v>134400000</v>
      </c>
    </row>
    <row r="63" spans="8:9" x14ac:dyDescent="0.25">
      <c r="H63" s="57" t="s">
        <v>96</v>
      </c>
      <c r="I63">
        <f>(M13+M20)*F22*5000 + (O13+O20)*F22*2000</f>
        <v>18400000</v>
      </c>
    </row>
    <row r="64" spans="8:9" x14ac:dyDescent="0.25">
      <c r="H64" s="57" t="s">
        <v>97</v>
      </c>
      <c r="I64">
        <f>(M17+M21)*F23*5000 + (O17+O21)*F23*2000</f>
        <v>13200000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A4D1-28BF-4BFA-BF7E-C5DDB25D9CE5}">
  <dimension ref="A1:AJ51"/>
  <sheetViews>
    <sheetView topLeftCell="F1" zoomScale="64" zoomScaleNormal="55" workbookViewId="0">
      <selection activeCell="M26" sqref="M26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19.140625" bestFit="1" customWidth="1"/>
    <col min="10" max="10" width="19.7109375" customWidth="1"/>
    <col min="11" max="11" width="21.140625" bestFit="1" customWidth="1"/>
    <col min="12" max="12" width="19.28515625" bestFit="1" customWidth="1"/>
    <col min="13" max="13" width="16.85546875" bestFit="1" customWidth="1"/>
    <col min="14" max="14" width="20.140625" bestFit="1" customWidth="1"/>
    <col min="15" max="15" width="16" bestFit="1" customWidth="1"/>
    <col min="16" max="16" width="13.42578125" bestFit="1" customWidth="1"/>
    <col min="17" max="17" width="9.85546875" customWidth="1"/>
    <col min="18" max="18" width="10.42578125" customWidth="1"/>
    <col min="19" max="19" width="14.7109375" bestFit="1" customWidth="1"/>
    <col min="20" max="21" width="10.140625" customWidth="1"/>
    <col min="22" max="22" width="14.7109375" customWidth="1"/>
    <col min="23" max="23" width="21.5703125" bestFit="1" customWidth="1"/>
    <col min="24" max="24" width="12.85546875" customWidth="1"/>
    <col min="25" max="25" width="7.7109375" customWidth="1"/>
    <col min="26" max="26" width="8.85546875" customWidth="1"/>
    <col min="27" max="27" width="4" customWidth="1"/>
    <col min="28" max="28" width="34.42578125" bestFit="1" customWidth="1"/>
    <col min="29" max="29" width="18.42578125" bestFit="1" customWidth="1"/>
    <col min="30" max="30" width="10.7109375" bestFit="1" customWidth="1"/>
    <col min="31" max="31" width="6.5703125" bestFit="1" customWidth="1"/>
    <col min="32" max="32" width="8.5703125" bestFit="1" customWidth="1"/>
    <col min="33" max="33" width="10.5703125" bestFit="1" customWidth="1"/>
    <col min="34" max="35" width="4" customWidth="1"/>
  </cols>
  <sheetData>
    <row r="1" spans="1:35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111</v>
      </c>
      <c r="U1" s="68" t="s">
        <v>112</v>
      </c>
      <c r="V1" s="68" t="s">
        <v>113</v>
      </c>
      <c r="W1" s="68" t="s">
        <v>57</v>
      </c>
      <c r="X1" s="69" t="s">
        <v>41</v>
      </c>
      <c r="Y1" s="31" t="s">
        <v>75</v>
      </c>
      <c r="Z1" s="31" t="s">
        <v>76</v>
      </c>
      <c r="AA1" s="31"/>
      <c r="AB1" s="31" t="s">
        <v>0</v>
      </c>
      <c r="AC1" s="31" t="s">
        <v>1</v>
      </c>
      <c r="AD1" s="31"/>
      <c r="AE1" s="31"/>
      <c r="AF1" s="31"/>
      <c r="AG1" s="31"/>
      <c r="AH1" s="31"/>
      <c r="AI1" s="31"/>
    </row>
    <row r="2" spans="1:35" ht="15.75" thickBot="1" x14ac:dyDescent="0.3">
      <c r="A2" s="33" t="s">
        <v>2</v>
      </c>
      <c r="B2" s="16" t="s">
        <v>36</v>
      </c>
      <c r="D2" s="57"/>
      <c r="H2" s="91" t="s">
        <v>36</v>
      </c>
      <c r="I2" s="92" t="s">
        <v>39</v>
      </c>
      <c r="J2" s="62">
        <v>0</v>
      </c>
      <c r="K2" s="62">
        <v>0</v>
      </c>
      <c r="L2" s="62">
        <v>0</v>
      </c>
      <c r="M2" s="62">
        <v>3</v>
      </c>
      <c r="N2" s="62">
        <v>0</v>
      </c>
      <c r="O2" s="62">
        <v>1</v>
      </c>
      <c r="P2" s="62">
        <v>0</v>
      </c>
      <c r="Q2" s="71">
        <v>2500</v>
      </c>
      <c r="R2" s="71">
        <f t="array" ref="R2">SUMPRODUCT(J2:P2,TRANSPOSE($AC$10:$AC$16))*1000000/20000</f>
        <v>2551.6799999999998</v>
      </c>
      <c r="S2" s="61">
        <f>Q2/(R2-Q2)</f>
        <v>48.37461300309613</v>
      </c>
      <c r="T2" s="62">
        <f>D20*1000/(3*10^8)</f>
        <v>4.6666666666666669E-2</v>
      </c>
      <c r="U2" s="62">
        <v>0.54</v>
      </c>
      <c r="V2" s="62">
        <f t="array" ref="V2">SUMPRODUCT(M2:P2, TRANSPOSE($AC$13:$AC$16))*(1000000/20000)/R2</f>
        <v>1</v>
      </c>
      <c r="W2" s="62">
        <f>1/(R2-Q2)+V2*T2+(1-V2)*U2</f>
        <v>6.6016511867905123E-2</v>
      </c>
      <c r="X2" s="63">
        <f t="shared" ref="X2:X12" si="0">Q2/R2</f>
        <v>0.97974667669927273</v>
      </c>
      <c r="Y2" s="57">
        <f t="shared" ref="Y2:Y12" si="1">IF(Q2=R2,1,0)</f>
        <v>0</v>
      </c>
      <c r="Z2" s="57">
        <f>Q2/($Q$12+$J$51)</f>
        <v>0.25773195876288657</v>
      </c>
      <c r="AA2" s="57"/>
      <c r="AB2" s="57"/>
      <c r="AC2" s="57" t="s">
        <v>2</v>
      </c>
      <c r="AD2" s="57" t="s">
        <v>3</v>
      </c>
      <c r="AE2" s="57" t="s">
        <v>4</v>
      </c>
      <c r="AF2" s="57" t="s">
        <v>5</v>
      </c>
      <c r="AG2" s="57" t="s">
        <v>6</v>
      </c>
      <c r="AH2" s="57"/>
      <c r="AI2" s="57"/>
    </row>
    <row r="3" spans="1:35" ht="15.75" thickTop="1" x14ac:dyDescent="0.25">
      <c r="A3" s="33" t="s">
        <v>3</v>
      </c>
      <c r="B3" s="16" t="s">
        <v>38</v>
      </c>
      <c r="D3" s="57"/>
      <c r="H3" s="91" t="s">
        <v>36</v>
      </c>
      <c r="I3" s="92" t="s">
        <v>40</v>
      </c>
      <c r="J3" s="62">
        <v>2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71">
        <v>1000</v>
      </c>
      <c r="R3" s="71">
        <f t="array" ref="R3">SUMPRODUCT(J3:P3,TRANSPOSE($AC$10:$AC$16))*1000000/20000</f>
        <v>2000</v>
      </c>
      <c r="S3" s="61">
        <f t="shared" ref="S3:S12" si="2">Q3/(R3-Q3)</f>
        <v>1</v>
      </c>
      <c r="T3" s="62">
        <f>E20*1000/(3*10^8)</f>
        <v>2.6333333333333334E-2</v>
      </c>
      <c r="U3" s="62">
        <v>0.54</v>
      </c>
      <c r="V3" s="62">
        <f t="array" ref="V3">SUMPRODUCT(M3:P3, TRANSPOSE($AC$13:$AC$16))*(1000000/20000)/R3</f>
        <v>0</v>
      </c>
      <c r="W3" s="62">
        <f t="shared" ref="W3:W11" si="3">1/(R3-Q3)+V3*T3+(1-V3)*U3</f>
        <v>0.54100000000000004</v>
      </c>
      <c r="X3" s="63">
        <f t="shared" si="0"/>
        <v>0.5</v>
      </c>
      <c r="Y3" s="57">
        <f t="shared" si="1"/>
        <v>0</v>
      </c>
      <c r="Z3" s="57">
        <f t="shared" ref="Z3:Z11" si="4">Q3/($Q$12+$J$51)</f>
        <v>0.10309278350515463</v>
      </c>
      <c r="AA3" s="57"/>
      <c r="AB3" s="57" t="s">
        <v>2</v>
      </c>
      <c r="AC3" s="7">
        <v>0</v>
      </c>
      <c r="AD3" s="8">
        <v>200</v>
      </c>
      <c r="AE3" s="8">
        <v>2500</v>
      </c>
      <c r="AF3" s="8">
        <v>1000</v>
      </c>
      <c r="AG3" s="9">
        <v>250</v>
      </c>
      <c r="AH3" s="57"/>
      <c r="AI3" s="57"/>
    </row>
    <row r="4" spans="1:35" x14ac:dyDescent="0.25">
      <c r="A4" s="33" t="s">
        <v>4</v>
      </c>
      <c r="B4" s="16" t="s">
        <v>39</v>
      </c>
      <c r="D4" s="57"/>
      <c r="H4" s="91" t="s">
        <v>36</v>
      </c>
      <c r="I4" s="92" t="s">
        <v>37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2</v>
      </c>
      <c r="Q4" s="71">
        <v>250</v>
      </c>
      <c r="R4" s="71">
        <f t="array" ref="R4">SUMPRODUCT(J4:P4,TRANSPOSE($AC$10:$AC$16))*1000000/20000</f>
        <v>447.36</v>
      </c>
      <c r="S4" s="61">
        <f t="shared" si="2"/>
        <v>1.2667207134171057</v>
      </c>
      <c r="T4" s="62">
        <f>F20*1000/(3*10^8)</f>
        <v>0.04</v>
      </c>
      <c r="U4" s="62">
        <v>0.54</v>
      </c>
      <c r="V4" s="62">
        <f t="array" ref="V4">SUMPRODUCT(M4:P4, TRANSPOSE($AC$13:$AC$16))*(1000000/20000)/R4</f>
        <v>1</v>
      </c>
      <c r="W4" s="62">
        <f t="shared" si="3"/>
        <v>4.5066882853668423E-2</v>
      </c>
      <c r="X4" s="63">
        <f t="shared" si="0"/>
        <v>0.55883404864091557</v>
      </c>
      <c r="Y4" s="57">
        <f t="shared" si="1"/>
        <v>0</v>
      </c>
      <c r="Z4" s="57">
        <f t="shared" si="4"/>
        <v>2.5773195876288658E-2</v>
      </c>
      <c r="AA4" s="57"/>
      <c r="AB4" s="57" t="s">
        <v>3</v>
      </c>
      <c r="AC4" s="6">
        <v>250</v>
      </c>
      <c r="AD4" s="1">
        <v>0</v>
      </c>
      <c r="AE4" s="1">
        <v>500</v>
      </c>
      <c r="AF4" s="1">
        <v>250</v>
      </c>
      <c r="AG4" s="1">
        <v>50</v>
      </c>
      <c r="AH4" s="57"/>
      <c r="AI4" s="57"/>
    </row>
    <row r="5" spans="1:35" x14ac:dyDescent="0.25">
      <c r="A5" s="33" t="s">
        <v>5</v>
      </c>
      <c r="B5" s="16" t="s">
        <v>40</v>
      </c>
      <c r="D5" s="57"/>
      <c r="H5" s="91" t="s">
        <v>38</v>
      </c>
      <c r="I5" s="92" t="s">
        <v>36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SUMPRODUCT(J5:P5,TRANSPOSE($AC$10:$AC$16))*1000000/20000</f>
        <v>447.36</v>
      </c>
      <c r="S5" s="61">
        <f t="shared" si="2"/>
        <v>1.2667207134171057</v>
      </c>
      <c r="T5" s="62">
        <f>B21*1000/(3*10^8)</f>
        <v>1.7999999999999999E-2</v>
      </c>
      <c r="U5" s="62">
        <v>0.54</v>
      </c>
      <c r="V5" s="62">
        <f t="array" ref="V5">SUMPRODUCT(M5:P5, TRANSPOSE($AC$13:$AC$16))*(1000000/20000)/R5</f>
        <v>1</v>
      </c>
      <c r="W5" s="62">
        <f t="shared" si="3"/>
        <v>2.3066882853668421E-2</v>
      </c>
      <c r="X5" s="63">
        <f t="shared" si="0"/>
        <v>0.55883404864091557</v>
      </c>
      <c r="Y5" s="57">
        <f t="shared" si="1"/>
        <v>0</v>
      </c>
      <c r="Z5" s="57">
        <f t="shared" si="4"/>
        <v>2.5773195876288658E-2</v>
      </c>
      <c r="AA5" s="57"/>
      <c r="AB5" s="57" t="s">
        <v>4</v>
      </c>
      <c r="AC5" s="1">
        <v>250</v>
      </c>
      <c r="AD5" s="1">
        <v>500</v>
      </c>
      <c r="AE5" s="1">
        <v>0</v>
      </c>
      <c r="AF5" s="1">
        <v>500</v>
      </c>
      <c r="AG5" s="1">
        <v>250</v>
      </c>
      <c r="AH5" s="57"/>
      <c r="AI5" s="57"/>
    </row>
    <row r="6" spans="1:35" ht="15.75" thickBot="1" x14ac:dyDescent="0.3">
      <c r="A6" s="34" t="s">
        <v>6</v>
      </c>
      <c r="B6" s="17" t="s">
        <v>37</v>
      </c>
      <c r="D6" s="57"/>
      <c r="H6" s="91" t="s">
        <v>38</v>
      </c>
      <c r="I6" s="92" t="s">
        <v>39</v>
      </c>
      <c r="J6" s="62">
        <v>0</v>
      </c>
      <c r="K6" s="62">
        <v>0</v>
      </c>
      <c r="L6" s="62">
        <v>0</v>
      </c>
      <c r="M6" s="62">
        <v>2</v>
      </c>
      <c r="N6" s="62">
        <v>0</v>
      </c>
      <c r="O6" s="62">
        <v>0</v>
      </c>
      <c r="P6" s="62">
        <v>0</v>
      </c>
      <c r="Q6" s="71">
        <v>500</v>
      </c>
      <c r="R6" s="71">
        <f t="array" ref="R6">SUMPRODUCT(J6:P6,TRANSPOSE($AC$10:$AC$16))*1000000/20000</f>
        <v>1552</v>
      </c>
      <c r="S6" s="61">
        <f t="shared" si="2"/>
        <v>0.47528517110266161</v>
      </c>
      <c r="T6" s="62">
        <f>D21*1000/(3*10^8)</f>
        <v>4.1666666666666664E-2</v>
      </c>
      <c r="U6" s="62">
        <v>0.54</v>
      </c>
      <c r="V6" s="62">
        <f t="array" ref="V6">SUMPRODUCT(M6:P6, TRANSPOSE($AC$13:$AC$16))*(1000000/20000)/R6</f>
        <v>1</v>
      </c>
      <c r="W6" s="62">
        <f t="shared" si="3"/>
        <v>4.2617237008871989E-2</v>
      </c>
      <c r="X6" s="63">
        <f t="shared" si="0"/>
        <v>0.32216494845360827</v>
      </c>
      <c r="Y6" s="57">
        <f t="shared" si="1"/>
        <v>0</v>
      </c>
      <c r="Z6" s="57">
        <f t="shared" si="4"/>
        <v>5.1546391752577317E-2</v>
      </c>
      <c r="AA6" s="57"/>
      <c r="AB6" s="57" t="s">
        <v>5</v>
      </c>
      <c r="AC6" s="1">
        <v>250</v>
      </c>
      <c r="AD6" s="1">
        <v>500</v>
      </c>
      <c r="AE6" s="1">
        <v>500</v>
      </c>
      <c r="AF6" s="1">
        <v>0</v>
      </c>
      <c r="AG6" s="1">
        <v>250</v>
      </c>
      <c r="AH6" s="57"/>
      <c r="AI6" s="57"/>
    </row>
    <row r="7" spans="1:35" ht="16.5" thickTop="1" thickBot="1" x14ac:dyDescent="0.3">
      <c r="D7" s="57"/>
      <c r="H7" s="91" t="s">
        <v>39</v>
      </c>
      <c r="I7" s="92" t="s">
        <v>40</v>
      </c>
      <c r="J7" s="62">
        <v>0</v>
      </c>
      <c r="K7" s="62">
        <v>0</v>
      </c>
      <c r="L7" s="62">
        <v>0</v>
      </c>
      <c r="M7" s="62">
        <v>2</v>
      </c>
      <c r="N7" s="62">
        <v>0</v>
      </c>
      <c r="O7" s="62">
        <v>0</v>
      </c>
      <c r="P7" s="62">
        <v>0</v>
      </c>
      <c r="Q7" s="71">
        <v>500</v>
      </c>
      <c r="R7" s="71">
        <f t="array" ref="R7">SUMPRODUCT(J7:P7,TRANSPOSE($AC$10:$AC$16))*1000000/20000</f>
        <v>1552</v>
      </c>
      <c r="S7" s="61">
        <f t="shared" si="2"/>
        <v>0.47528517110266161</v>
      </c>
      <c r="T7" s="62">
        <f>E22*1000/(3*10^8)</f>
        <v>3.7333333333333336E-2</v>
      </c>
      <c r="U7" s="62">
        <v>0.54</v>
      </c>
      <c r="V7" s="62">
        <f t="array" ref="V7">SUMPRODUCT(M7:P7, TRANSPOSE($AC$13:$AC$16))*(1000000/20000)/R7</f>
        <v>1</v>
      </c>
      <c r="W7" s="62">
        <f t="shared" si="3"/>
        <v>3.8283903675538661E-2</v>
      </c>
      <c r="X7" s="63">
        <f t="shared" si="0"/>
        <v>0.32216494845360827</v>
      </c>
      <c r="Y7" s="57">
        <f t="shared" si="1"/>
        <v>0</v>
      </c>
      <c r="Z7" s="57">
        <f t="shared" si="4"/>
        <v>5.1546391752577317E-2</v>
      </c>
      <c r="AA7" s="57"/>
      <c r="AB7" s="57" t="s">
        <v>6</v>
      </c>
      <c r="AC7" s="11">
        <v>250</v>
      </c>
      <c r="AD7" s="1">
        <v>200</v>
      </c>
      <c r="AE7" s="1">
        <v>250</v>
      </c>
      <c r="AF7" s="4">
        <v>1000</v>
      </c>
      <c r="AG7" s="4">
        <v>0</v>
      </c>
      <c r="AH7" s="57"/>
      <c r="AI7" s="57"/>
    </row>
    <row r="8" spans="1:35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91" t="s">
        <v>39</v>
      </c>
      <c r="I8" s="92" t="s">
        <v>37</v>
      </c>
      <c r="J8" s="62">
        <v>0</v>
      </c>
      <c r="K8" s="62">
        <v>0</v>
      </c>
      <c r="L8" s="62">
        <v>0</v>
      </c>
      <c r="M8" s="62">
        <v>1</v>
      </c>
      <c r="N8" s="62">
        <v>0</v>
      </c>
      <c r="O8" s="62">
        <v>0</v>
      </c>
      <c r="P8" s="62">
        <v>0</v>
      </c>
      <c r="Q8" s="71">
        <v>250</v>
      </c>
      <c r="R8" s="71">
        <f t="array" ref="R8">SUMPRODUCT(J8:P8,TRANSPOSE($AC$10:$AC$16))*1000000/20000</f>
        <v>776</v>
      </c>
      <c r="S8" s="61">
        <f t="shared" si="2"/>
        <v>0.47528517110266161</v>
      </c>
      <c r="T8" s="62">
        <f>F22*1000/(3*10^8)</f>
        <v>1.5333333333333332E-2</v>
      </c>
      <c r="U8" s="62">
        <v>0.54</v>
      </c>
      <c r="V8" s="62">
        <f t="array" ref="V8">SUMPRODUCT(M8:P8, TRANSPOSE($AC$13:$AC$16))*(1000000/20000)/R8</f>
        <v>1</v>
      </c>
      <c r="W8" s="62">
        <f t="shared" si="3"/>
        <v>1.723447401774398E-2</v>
      </c>
      <c r="X8" s="63">
        <f t="shared" si="0"/>
        <v>0.32216494845360827</v>
      </c>
      <c r="Y8" s="57">
        <f t="shared" si="1"/>
        <v>0</v>
      </c>
      <c r="Z8" s="57">
        <f t="shared" si="4"/>
        <v>2.5773195876288658E-2</v>
      </c>
      <c r="AA8" s="57"/>
      <c r="AB8" s="57"/>
      <c r="AC8" s="57"/>
      <c r="AD8" s="57"/>
      <c r="AE8" s="57"/>
      <c r="AF8" s="57"/>
      <c r="AG8" s="57"/>
      <c r="AH8" s="57"/>
      <c r="AI8" s="57"/>
    </row>
    <row r="9" spans="1:35" x14ac:dyDescent="0.25">
      <c r="A9" t="s">
        <v>12</v>
      </c>
      <c r="B9">
        <v>20</v>
      </c>
      <c r="C9" t="s">
        <v>25</v>
      </c>
      <c r="D9" s="57" t="s">
        <v>30</v>
      </c>
      <c r="H9" s="91" t="s">
        <v>40</v>
      </c>
      <c r="I9" s="92" t="s">
        <v>38</v>
      </c>
      <c r="J9" s="62">
        <v>0</v>
      </c>
      <c r="K9" s="62">
        <v>0</v>
      </c>
      <c r="L9" s="62">
        <v>0</v>
      </c>
      <c r="M9" s="62">
        <v>1</v>
      </c>
      <c r="N9" s="62">
        <v>0</v>
      </c>
      <c r="O9" s="62">
        <v>0</v>
      </c>
      <c r="P9" s="62">
        <v>0</v>
      </c>
      <c r="Q9" s="71">
        <v>500</v>
      </c>
      <c r="R9" s="71">
        <f t="array" ref="R9">SUMPRODUCT(J9:P9,TRANSPOSE($AC$10:$AC$16))*1000000/20000</f>
        <v>776</v>
      </c>
      <c r="S9" s="61">
        <f t="shared" si="2"/>
        <v>1.8115942028985508</v>
      </c>
      <c r="T9" s="62">
        <f>C23*1000/(3*10^8)</f>
        <v>8.3333333333333332E-3</v>
      </c>
      <c r="U9" s="62">
        <v>0.54</v>
      </c>
      <c r="V9" s="62">
        <f t="array" ref="V9">SUMPRODUCT(M9:P9, TRANSPOSE($AC$13:$AC$16))*(1000000/20000)/R9</f>
        <v>1</v>
      </c>
      <c r="W9" s="62">
        <f t="shared" si="3"/>
        <v>1.1956521739130435E-2</v>
      </c>
      <c r="X9" s="63">
        <f t="shared" si="0"/>
        <v>0.64432989690721654</v>
      </c>
      <c r="Y9" s="57">
        <f t="shared" si="1"/>
        <v>0</v>
      </c>
      <c r="Z9" s="57">
        <f t="shared" si="4"/>
        <v>5.1546391752577317E-2</v>
      </c>
      <c r="AA9" s="57"/>
      <c r="AB9" s="57" t="s">
        <v>11</v>
      </c>
      <c r="AC9" s="57" t="s">
        <v>22</v>
      </c>
      <c r="AD9" s="57"/>
      <c r="AE9" s="57"/>
      <c r="AF9" s="57"/>
      <c r="AG9" s="57"/>
      <c r="AH9" s="57"/>
      <c r="AI9" s="57"/>
    </row>
    <row r="10" spans="1:35" x14ac:dyDescent="0.25">
      <c r="A10" t="s">
        <v>13</v>
      </c>
      <c r="B10">
        <v>20</v>
      </c>
      <c r="C10" t="s">
        <v>26</v>
      </c>
      <c r="D10" s="57" t="s">
        <v>30</v>
      </c>
      <c r="H10" s="91" t="s">
        <v>37</v>
      </c>
      <c r="I10" s="92" t="s">
        <v>38</v>
      </c>
      <c r="J10" s="62">
        <v>0</v>
      </c>
      <c r="K10" s="62">
        <v>0</v>
      </c>
      <c r="L10" s="62">
        <v>1</v>
      </c>
      <c r="M10" s="62">
        <v>0</v>
      </c>
      <c r="N10" s="62">
        <v>0</v>
      </c>
      <c r="O10" s="62">
        <v>0</v>
      </c>
      <c r="P10" s="62">
        <v>0</v>
      </c>
      <c r="Q10" s="71">
        <v>200</v>
      </c>
      <c r="R10" s="71">
        <f t="array" ref="R10">SUMPRODUCT(J10:P10,TRANSPOSE($AC$10:$AC$16))*1000000/20000</f>
        <v>250</v>
      </c>
      <c r="S10" s="61">
        <f t="shared" si="2"/>
        <v>4</v>
      </c>
      <c r="T10" s="62">
        <f>C24*1000/(3*10^8)</f>
        <v>2.7333333333333334E-2</v>
      </c>
      <c r="U10" s="62">
        <v>0.54</v>
      </c>
      <c r="V10" s="62">
        <f t="array" ref="V10">SUMPRODUCT(M10:P10, TRANSPOSE($AC$13:$AC$16))*(1000000/20000)/R10</f>
        <v>0</v>
      </c>
      <c r="W10" s="62">
        <f t="shared" si="3"/>
        <v>0.56000000000000005</v>
      </c>
      <c r="X10" s="63">
        <f t="shared" si="0"/>
        <v>0.8</v>
      </c>
      <c r="Y10" s="57">
        <f t="shared" si="1"/>
        <v>0</v>
      </c>
      <c r="Z10" s="57">
        <f t="shared" si="4"/>
        <v>2.0618556701030927E-2</v>
      </c>
      <c r="AA10" s="57"/>
      <c r="AB10" s="57" t="s">
        <v>12</v>
      </c>
      <c r="AC10" s="54">
        <v>20</v>
      </c>
      <c r="AD10" s="57"/>
      <c r="AE10" s="57"/>
      <c r="AF10" s="57"/>
      <c r="AG10" s="57"/>
      <c r="AH10" s="57"/>
      <c r="AI10" s="57"/>
    </row>
    <row r="11" spans="1:35" x14ac:dyDescent="0.25">
      <c r="A11" t="s">
        <v>14</v>
      </c>
      <c r="B11">
        <v>5</v>
      </c>
      <c r="C11" t="s">
        <v>27</v>
      </c>
      <c r="D11" s="57" t="s">
        <v>31</v>
      </c>
      <c r="H11" s="93" t="s">
        <v>37</v>
      </c>
      <c r="I11" s="94" t="s">
        <v>40</v>
      </c>
      <c r="J11" s="62">
        <v>0</v>
      </c>
      <c r="K11" s="62">
        <v>0</v>
      </c>
      <c r="L11" s="62">
        <v>0</v>
      </c>
      <c r="M11" s="62">
        <v>2</v>
      </c>
      <c r="N11" s="62">
        <v>0</v>
      </c>
      <c r="O11" s="62">
        <v>0</v>
      </c>
      <c r="P11" s="62">
        <v>0</v>
      </c>
      <c r="Q11" s="71">
        <v>1000</v>
      </c>
      <c r="R11" s="71">
        <f t="array" ref="R11">SUMPRODUCT(J11:P11,TRANSPOSE($AC$10:$AC$16))*1000000/20000</f>
        <v>1552</v>
      </c>
      <c r="S11" s="61">
        <f t="shared" si="2"/>
        <v>1.8115942028985508</v>
      </c>
      <c r="T11" s="62">
        <f>E24*1000/(3*10^8)</f>
        <v>2.1999999999999999E-2</v>
      </c>
      <c r="U11" s="62">
        <v>0.54</v>
      </c>
      <c r="V11" s="62">
        <f t="array" ref="V11">SUMPRODUCT(M11:P11, TRANSPOSE($AC$13:$AC$16))*(1000000/20000)/R11</f>
        <v>1</v>
      </c>
      <c r="W11" s="62">
        <f t="shared" si="3"/>
        <v>2.3811594202898551E-2</v>
      </c>
      <c r="X11" s="63">
        <f t="shared" si="0"/>
        <v>0.64432989690721654</v>
      </c>
      <c r="Y11" s="57">
        <f t="shared" si="1"/>
        <v>0</v>
      </c>
      <c r="Z11" s="57">
        <f t="shared" si="4"/>
        <v>0.10309278350515463</v>
      </c>
      <c r="AA11" s="57"/>
      <c r="AB11" s="57" t="s">
        <v>13</v>
      </c>
      <c r="AC11" s="54">
        <v>20</v>
      </c>
      <c r="AD11" s="57"/>
      <c r="AE11" s="57"/>
      <c r="AF11" s="57"/>
      <c r="AG11" s="57"/>
      <c r="AH11" s="57"/>
      <c r="AI11" s="57"/>
    </row>
    <row r="12" spans="1:35" x14ac:dyDescent="0.25">
      <c r="A12" t="s">
        <v>15</v>
      </c>
      <c r="B12">
        <v>15.52</v>
      </c>
      <c r="C12" t="s">
        <v>28</v>
      </c>
      <c r="D12" s="57" t="s">
        <v>32</v>
      </c>
      <c r="H12" s="64"/>
      <c r="I12" s="65"/>
      <c r="J12" s="65"/>
      <c r="K12" s="65"/>
      <c r="L12" s="65"/>
      <c r="M12" s="65"/>
      <c r="N12" s="65"/>
      <c r="O12" s="65"/>
      <c r="P12" s="65"/>
      <c r="Q12" s="72">
        <f>SUM(Q2:Q11)</f>
        <v>6950</v>
      </c>
      <c r="R12" s="72">
        <f>SUM(R2:R11)</f>
        <v>11904.4</v>
      </c>
      <c r="S12" s="64">
        <f t="shared" si="2"/>
        <v>1.4027934765057324</v>
      </c>
      <c r="T12" s="62"/>
      <c r="U12" s="65"/>
      <c r="V12" s="62"/>
      <c r="W12" s="65">
        <f>1/(R12-Q12)</f>
        <v>2.0184078798643631E-4</v>
      </c>
      <c r="X12" s="66">
        <f t="shared" si="0"/>
        <v>0.58381774805954101</v>
      </c>
      <c r="Y12" s="57">
        <f t="shared" si="1"/>
        <v>0</v>
      </c>
      <c r="Z12" s="57"/>
      <c r="AA12" s="57"/>
      <c r="AB12" s="57" t="s">
        <v>14</v>
      </c>
      <c r="AC12" s="54">
        <v>5</v>
      </c>
      <c r="AD12" s="57"/>
      <c r="AE12" s="57"/>
      <c r="AF12" s="57"/>
      <c r="AG12" s="57"/>
      <c r="AH12" s="57"/>
      <c r="AI12" s="57"/>
    </row>
    <row r="13" spans="1:35" x14ac:dyDescent="0.25">
      <c r="A13" t="s">
        <v>16</v>
      </c>
      <c r="B13">
        <v>15.52</v>
      </c>
      <c r="C13" t="s">
        <v>27</v>
      </c>
      <c r="D13" s="57" t="s">
        <v>33</v>
      </c>
      <c r="H13" s="57"/>
      <c r="I13" s="57" t="s">
        <v>78</v>
      </c>
      <c r="J13" s="57">
        <f t="shared" ref="J13:P13" si="5">SUM(J2:J11)</f>
        <v>2</v>
      </c>
      <c r="K13" s="57">
        <f t="shared" si="5"/>
        <v>0</v>
      </c>
      <c r="L13" s="57">
        <f t="shared" si="5"/>
        <v>1</v>
      </c>
      <c r="M13" s="57">
        <f t="shared" si="5"/>
        <v>11</v>
      </c>
      <c r="N13" s="57">
        <f t="shared" si="5"/>
        <v>0</v>
      </c>
      <c r="O13" s="57">
        <f t="shared" si="5"/>
        <v>3</v>
      </c>
      <c r="P13" s="57">
        <f t="shared" si="5"/>
        <v>2</v>
      </c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15</v>
      </c>
      <c r="AC13" s="54">
        <v>15.52</v>
      </c>
      <c r="AD13" s="57"/>
      <c r="AE13" s="57"/>
      <c r="AF13" s="57"/>
      <c r="AG13" s="57"/>
      <c r="AH13" s="57"/>
      <c r="AI13" s="57"/>
    </row>
    <row r="14" spans="1:35" x14ac:dyDescent="0.25">
      <c r="A14" t="s">
        <v>17</v>
      </c>
      <c r="B14">
        <v>4.4736000000000002</v>
      </c>
      <c r="C14" t="s">
        <v>29</v>
      </c>
      <c r="D14" s="57" t="s">
        <v>32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 t="s">
        <v>16</v>
      </c>
      <c r="AC14" s="54">
        <v>15.52</v>
      </c>
      <c r="AD14" s="57"/>
      <c r="AE14" s="57"/>
      <c r="AF14" s="57"/>
      <c r="AG14" s="57"/>
      <c r="AH14" s="57"/>
      <c r="AI14" s="57"/>
    </row>
    <row r="15" spans="1:35" x14ac:dyDescent="0.25">
      <c r="A15" t="s">
        <v>18</v>
      </c>
      <c r="B15">
        <v>4.4736000000000002</v>
      </c>
      <c r="C15" t="s">
        <v>27</v>
      </c>
      <c r="D15" s="57" t="s">
        <v>31</v>
      </c>
      <c r="H15" s="109" t="s">
        <v>69</v>
      </c>
      <c r="I15" s="109"/>
      <c r="J15" s="109"/>
      <c r="K15" s="109"/>
      <c r="L15" s="109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 t="s">
        <v>79</v>
      </c>
      <c r="X15" s="57">
        <f>SUMPRODUCT(Z2:Z11,W2:W11)+SUMPRODUCT(P41:P50,R41:R50)</f>
        <v>0.31721022682936489</v>
      </c>
      <c r="Y15" s="57"/>
      <c r="Z15" s="57"/>
      <c r="AA15" s="57"/>
      <c r="AB15" s="57" t="s">
        <v>17</v>
      </c>
      <c r="AC15" s="54">
        <v>4.4736000000000002</v>
      </c>
      <c r="AD15" s="57"/>
      <c r="AE15" s="57"/>
      <c r="AF15" s="57"/>
      <c r="AG15" s="57"/>
      <c r="AH15" s="57"/>
      <c r="AI15" s="57"/>
    </row>
    <row r="16" spans="1:35" x14ac:dyDescent="0.25">
      <c r="D16" s="57"/>
      <c r="H16" s="57" t="s">
        <v>58</v>
      </c>
      <c r="I16" s="74">
        <f>SUM(J2:J11)*60000000*0+SUM(K2:K11)*40000000</f>
        <v>0</v>
      </c>
      <c r="J16" s="74" t="s">
        <v>77</v>
      </c>
      <c r="K16" s="74">
        <f>J13*8000+K13*8000+L13*500000+M13*5000+N13*700000+O13*5000+P13*500000</f>
        <v>1586000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80</v>
      </c>
      <c r="X16" s="57">
        <f>X15*1000</f>
        <v>317.2102268293649</v>
      </c>
      <c r="Y16" s="57"/>
      <c r="Z16" s="57"/>
      <c r="AA16" s="57"/>
      <c r="AB16" s="57" t="s">
        <v>18</v>
      </c>
      <c r="AC16" s="54">
        <v>4.4736000000000002</v>
      </c>
      <c r="AD16" s="57"/>
      <c r="AE16" s="57"/>
      <c r="AF16" s="57"/>
      <c r="AG16" s="57"/>
      <c r="AH16" s="57"/>
      <c r="AI16" s="57"/>
    </row>
    <row r="17" spans="1:36" ht="15.75" thickBot="1" x14ac:dyDescent="0.3">
      <c r="D17" s="57"/>
      <c r="H17" s="57"/>
      <c r="I17" s="74"/>
      <c r="L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6" ht="16.5" thickTop="1" thickBot="1" x14ac:dyDescent="0.3">
      <c r="A18" s="106" t="s">
        <v>0</v>
      </c>
      <c r="B18" s="101" t="s">
        <v>1</v>
      </c>
      <c r="C18" s="102"/>
      <c r="D18" s="102"/>
      <c r="E18" s="102"/>
      <c r="F18" s="103"/>
      <c r="G18" s="55"/>
      <c r="I18" s="74"/>
      <c r="J18" t="s">
        <v>67</v>
      </c>
      <c r="K18" s="75">
        <f>SUM(J2:P11)*20000</f>
        <v>380000</v>
      </c>
      <c r="AA18" s="57"/>
      <c r="AB18" s="57"/>
      <c r="AC18" s="57"/>
      <c r="AD18" s="57"/>
      <c r="AE18" s="57"/>
      <c r="AF18" s="57"/>
      <c r="AG18" s="57"/>
      <c r="AH18" s="57"/>
      <c r="AI18" s="57"/>
    </row>
    <row r="19" spans="1:36" ht="16.5" thickTop="1" thickBot="1" x14ac:dyDescent="0.3">
      <c r="A19" s="108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7"/>
      <c r="I19" s="74"/>
      <c r="AA19" s="57"/>
      <c r="AB19" s="57"/>
      <c r="AC19" s="57"/>
      <c r="AD19" s="57"/>
      <c r="AE19" s="57"/>
      <c r="AF19" s="57"/>
      <c r="AG19" s="57"/>
      <c r="AH19" s="57"/>
      <c r="AI19" s="57"/>
    </row>
    <row r="20" spans="1:36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57"/>
      <c r="I20" s="74"/>
      <c r="W20" t="s">
        <v>81</v>
      </c>
      <c r="AA20" s="57"/>
      <c r="AB20" s="57"/>
      <c r="AC20" s="57"/>
      <c r="AD20" s="57"/>
      <c r="AE20" s="57"/>
      <c r="AF20" s="57"/>
      <c r="AG20" s="57"/>
      <c r="AH20" s="57"/>
      <c r="AI20" s="57"/>
    </row>
    <row r="21" spans="1:36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57"/>
      <c r="I21" s="74"/>
      <c r="K21" s="75"/>
      <c r="W21" t="s">
        <v>82</v>
      </c>
      <c r="X21" s="96">
        <f>L35/6000000</f>
        <v>197.59333333333333</v>
      </c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6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W22" t="s">
        <v>83</v>
      </c>
      <c r="X22">
        <v>0</v>
      </c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6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L23" s="95"/>
      <c r="W23" t="s">
        <v>126</v>
      </c>
      <c r="X23">
        <f>X16*0.1</f>
        <v>31.721022682936493</v>
      </c>
      <c r="AA23" s="57"/>
      <c r="AB23" s="57"/>
      <c r="AC23" s="57"/>
      <c r="AD23" s="57"/>
      <c r="AE23" s="57"/>
      <c r="AF23" s="57"/>
      <c r="AG23" s="57"/>
      <c r="AH23" s="57"/>
      <c r="AI23" s="57"/>
    </row>
    <row r="24" spans="1:36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t="s">
        <v>88</v>
      </c>
      <c r="I24" t="s">
        <v>123</v>
      </c>
      <c r="K24" t="s">
        <v>118</v>
      </c>
      <c r="L24" t="s">
        <v>120</v>
      </c>
      <c r="M24" s="75">
        <f>N13*700000+P13*500000</f>
        <v>1000000</v>
      </c>
      <c r="W24" t="s">
        <v>85</v>
      </c>
      <c r="X24" s="76">
        <f>SUM(X21:X23)</f>
        <v>229.31435601626981</v>
      </c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6" ht="15.75" thickTop="1" x14ac:dyDescent="0.25">
      <c r="D25" s="57"/>
      <c r="E25" s="57"/>
      <c r="F25" s="57"/>
      <c r="G25" s="57"/>
      <c r="H25" s="57" t="s">
        <v>89</v>
      </c>
      <c r="I25" s="57">
        <f>IF(NOT((M2+O2)=0), 1, 0)</f>
        <v>1</v>
      </c>
      <c r="J25" s="78">
        <f>10000*$D$20*I25</f>
        <v>140000000</v>
      </c>
      <c r="K25" s="78">
        <f>((M2*4000+O2*2000)*$D$20)</f>
        <v>196000000</v>
      </c>
      <c r="L25" s="75" t="s">
        <v>121</v>
      </c>
      <c r="M25" s="75">
        <f>M13*5000+O13*5000</f>
        <v>70000</v>
      </c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x14ac:dyDescent="0.25">
      <c r="D26" s="57"/>
      <c r="E26" s="57"/>
      <c r="F26" s="57"/>
      <c r="G26" s="57"/>
      <c r="H26" s="57" t="s">
        <v>90</v>
      </c>
      <c r="I26" s="57">
        <f t="shared" ref="I26:I34" si="6">IF(NOT((M3+O3)=0), 1, 0)</f>
        <v>0</v>
      </c>
      <c r="J26" s="78">
        <f>I26*10000*$E$20</f>
        <v>0</v>
      </c>
      <c r="K26" s="78">
        <f>((M3*4000+O3*2000)*E20)</f>
        <v>0</v>
      </c>
      <c r="L26" t="s">
        <v>67</v>
      </c>
      <c r="M26" s="75">
        <f>SUM(J13:P13)*2*20000</f>
        <v>760000</v>
      </c>
      <c r="N26" t="s">
        <v>122</v>
      </c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5.75" thickBot="1" x14ac:dyDescent="0.3">
      <c r="H27" s="57" t="s">
        <v>91</v>
      </c>
      <c r="I27" s="57">
        <f t="shared" si="6"/>
        <v>0</v>
      </c>
      <c r="J27" s="78">
        <f>I27*10000*$F$20</f>
        <v>0</v>
      </c>
      <c r="K27" s="78">
        <f>((M4*4000+O4*2000)*F20)</f>
        <v>0</v>
      </c>
      <c r="AD27" s="57"/>
      <c r="AE27" s="57"/>
    </row>
    <row r="28" spans="1:36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s="57" t="s">
        <v>114</v>
      </c>
      <c r="I28" s="57">
        <f t="shared" si="6"/>
        <v>1</v>
      </c>
      <c r="J28" s="78">
        <f>I28*10000*$B$21</f>
        <v>54000000</v>
      </c>
      <c r="K28" s="78">
        <f>((M5*4000+O5*2000)*$B$21)</f>
        <v>21600000</v>
      </c>
      <c r="AD28" s="57"/>
      <c r="AE28" s="57"/>
    </row>
    <row r="29" spans="1:36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92</v>
      </c>
      <c r="I29" s="57">
        <f t="shared" si="6"/>
        <v>1</v>
      </c>
      <c r="J29" s="78">
        <f>I29*10000*$D$21</f>
        <v>125000000</v>
      </c>
      <c r="K29" s="78">
        <f>(M6*4000+O6*2000)*$D$21</f>
        <v>100000000</v>
      </c>
      <c r="AD29" s="57"/>
      <c r="AE29" s="57"/>
    </row>
    <row r="30" spans="1:36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95</v>
      </c>
      <c r="I30" s="57">
        <f t="shared" si="6"/>
        <v>1</v>
      </c>
      <c r="J30" s="78">
        <f>I30*10000*$E$22</f>
        <v>112000000</v>
      </c>
      <c r="K30" s="78">
        <f>(M7*4000+O7*2000)*$E$22</f>
        <v>89600000</v>
      </c>
      <c r="AD30" s="57"/>
      <c r="AE30" s="57"/>
    </row>
    <row r="31" spans="1:36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96</v>
      </c>
      <c r="I31" s="57">
        <f t="shared" si="6"/>
        <v>1</v>
      </c>
      <c r="J31" s="78">
        <f>I31*10000*$F$22</f>
        <v>46000000</v>
      </c>
      <c r="K31" s="78">
        <f>(M8*4000+O8*2000)*$F$22</f>
        <v>18400000</v>
      </c>
      <c r="AD31" s="57"/>
      <c r="AE31" s="57"/>
    </row>
    <row r="32" spans="1:36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115</v>
      </c>
      <c r="I32" s="57">
        <f t="shared" si="6"/>
        <v>1</v>
      </c>
      <c r="J32" s="78">
        <f>I32*10000*$C$23</f>
        <v>25000000</v>
      </c>
      <c r="K32" s="78">
        <f>(M9*4000+O9*2000)*$C$23</f>
        <v>10000000</v>
      </c>
    </row>
    <row r="33" spans="1:18" ht="16.5" thickTop="1" thickBot="1" x14ac:dyDescent="0.3">
      <c r="H33" s="57" t="s">
        <v>116</v>
      </c>
      <c r="I33" s="57">
        <f t="shared" si="6"/>
        <v>0</v>
      </c>
      <c r="J33" s="78">
        <f>I33*10000*$C$24</f>
        <v>0</v>
      </c>
      <c r="K33" s="78">
        <f>(M10*4000+O10*2000)*$C$24</f>
        <v>0</v>
      </c>
    </row>
    <row r="34" spans="1:18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117</v>
      </c>
      <c r="I34" s="57">
        <f t="shared" si="6"/>
        <v>1</v>
      </c>
      <c r="J34" s="78">
        <f>I34*10000*$E$24</f>
        <v>66000000</v>
      </c>
      <c r="K34" s="78">
        <f>(M11*4000+O11*2000)*$E$24</f>
        <v>52800000</v>
      </c>
    </row>
    <row r="35" spans="1:18" x14ac:dyDescent="0.25">
      <c r="A35" s="33" t="s">
        <v>2</v>
      </c>
      <c r="B35" s="16" t="s">
        <v>36</v>
      </c>
      <c r="C35">
        <v>1</v>
      </c>
      <c r="D35">
        <v>1</v>
      </c>
      <c r="K35" t="s">
        <v>74</v>
      </c>
      <c r="L35" s="78">
        <f>I37+SUM(M24:M25)*120+M26</f>
        <v>1185560000</v>
      </c>
    </row>
    <row r="36" spans="1:18" x14ac:dyDescent="0.25">
      <c r="A36" s="33" t="s">
        <v>3</v>
      </c>
      <c r="B36" s="16" t="s">
        <v>38</v>
      </c>
      <c r="C36">
        <v>0</v>
      </c>
      <c r="D36">
        <v>1</v>
      </c>
      <c r="H36" s="57"/>
    </row>
    <row r="37" spans="1:18" x14ac:dyDescent="0.25">
      <c r="A37" s="33" t="s">
        <v>4</v>
      </c>
      <c r="B37" s="16" t="s">
        <v>39</v>
      </c>
      <c r="C37">
        <v>1</v>
      </c>
      <c r="D37">
        <v>1</v>
      </c>
      <c r="H37" s="57" t="s">
        <v>119</v>
      </c>
      <c r="I37" s="78">
        <f>SUM(J25:K34)+I16</f>
        <v>1056400000</v>
      </c>
    </row>
    <row r="38" spans="1:18" x14ac:dyDescent="0.25">
      <c r="A38" s="33" t="s">
        <v>5</v>
      </c>
      <c r="B38" s="16" t="s">
        <v>40</v>
      </c>
      <c r="C38">
        <v>1</v>
      </c>
      <c r="D38">
        <v>1</v>
      </c>
      <c r="H38" s="57"/>
    </row>
    <row r="39" spans="1:18" ht="15.75" thickBot="1" x14ac:dyDescent="0.3">
      <c r="A39" s="34" t="s">
        <v>6</v>
      </c>
      <c r="B39" s="17" t="s">
        <v>37</v>
      </c>
      <c r="C39">
        <v>1</v>
      </c>
      <c r="D39">
        <v>0</v>
      </c>
      <c r="H39" s="57"/>
    </row>
    <row r="40" spans="1:18" ht="16.5" thickTop="1" thickBot="1" x14ac:dyDescent="0.3">
      <c r="H40" s="67" t="s">
        <v>0</v>
      </c>
      <c r="I40" s="68" t="s">
        <v>1</v>
      </c>
      <c r="J40" t="s">
        <v>65</v>
      </c>
      <c r="K40" t="s">
        <v>66</v>
      </c>
      <c r="L40" t="s">
        <v>42</v>
      </c>
      <c r="M40" t="s">
        <v>124</v>
      </c>
      <c r="N40" t="s">
        <v>112</v>
      </c>
      <c r="O40" t="s">
        <v>113</v>
      </c>
      <c r="P40" t="s">
        <v>125</v>
      </c>
      <c r="Q40" t="s">
        <v>41</v>
      </c>
      <c r="R40" t="s">
        <v>76</v>
      </c>
    </row>
    <row r="41" spans="1:18" x14ac:dyDescent="0.25">
      <c r="H41" s="91" t="s">
        <v>36</v>
      </c>
      <c r="I41" s="92" t="s">
        <v>39</v>
      </c>
      <c r="J41">
        <v>250</v>
      </c>
      <c r="K41">
        <f>R2</f>
        <v>2551.6799999999998</v>
      </c>
      <c r="L41">
        <f>1/(K41-J41)</f>
        <v>4.3446526015779779E-4</v>
      </c>
      <c r="M41">
        <f>T2</f>
        <v>4.6666666666666669E-2</v>
      </c>
      <c r="N41">
        <f t="shared" ref="N41:O51" si="7">U2</f>
        <v>0.54</v>
      </c>
      <c r="O41">
        <f t="shared" si="7"/>
        <v>1</v>
      </c>
      <c r="P41">
        <f>J41/(K41-J41)+O41*M41+(1-O41)*N41</f>
        <v>0.15528298170611612</v>
      </c>
      <c r="Q41">
        <f>J41/K41</f>
        <v>9.7974667669927268E-2</v>
      </c>
      <c r="R41">
        <f>J41/(J451+$Q$12)</f>
        <v>3.5971223021582732E-2</v>
      </c>
    </row>
    <row r="42" spans="1:18" x14ac:dyDescent="0.25">
      <c r="H42" s="91" t="s">
        <v>36</v>
      </c>
      <c r="I42" s="92" t="s">
        <v>40</v>
      </c>
      <c r="J42">
        <v>250</v>
      </c>
      <c r="K42">
        <f t="shared" ref="K42:K50" si="8">R3</f>
        <v>2000</v>
      </c>
      <c r="L42">
        <f t="shared" ref="L42:L51" si="9">1/(K42-J42)</f>
        <v>5.7142857142857147E-4</v>
      </c>
      <c r="M42">
        <f t="shared" ref="M42:M51" si="10">T3</f>
        <v>2.6333333333333334E-2</v>
      </c>
      <c r="N42">
        <f t="shared" si="7"/>
        <v>0.54</v>
      </c>
      <c r="O42">
        <f t="shared" si="7"/>
        <v>0</v>
      </c>
      <c r="P42">
        <f t="shared" ref="P42:P51" si="11">J42/(K42-J42)+O42*M42+(1-O42)*N42</f>
        <v>0.68285714285714283</v>
      </c>
      <c r="Q42">
        <f t="shared" ref="Q42:Q51" si="12">J42/K42</f>
        <v>0.125</v>
      </c>
      <c r="R42">
        <f t="shared" ref="R42:R50" si="13">J42/(J452+$Q$12)</f>
        <v>3.5971223021582732E-2</v>
      </c>
    </row>
    <row r="43" spans="1:18" x14ac:dyDescent="0.25">
      <c r="H43" s="91" t="s">
        <v>36</v>
      </c>
      <c r="I43" s="92" t="s">
        <v>37</v>
      </c>
      <c r="J43">
        <v>250</v>
      </c>
      <c r="K43">
        <f t="shared" si="8"/>
        <v>447.36</v>
      </c>
      <c r="L43">
        <f t="shared" si="9"/>
        <v>5.0668828536684233E-3</v>
      </c>
      <c r="M43">
        <f t="shared" si="10"/>
        <v>0.04</v>
      </c>
      <c r="N43">
        <f t="shared" si="7"/>
        <v>0.54</v>
      </c>
      <c r="O43">
        <f t="shared" si="7"/>
        <v>1</v>
      </c>
      <c r="P43">
        <f t="shared" si="11"/>
        <v>1.3067207134171057</v>
      </c>
      <c r="Q43">
        <f t="shared" si="12"/>
        <v>0.55883404864091557</v>
      </c>
      <c r="R43">
        <f t="shared" si="13"/>
        <v>3.5971223021582732E-2</v>
      </c>
    </row>
    <row r="44" spans="1:18" x14ac:dyDescent="0.25">
      <c r="H44" s="91" t="s">
        <v>38</v>
      </c>
      <c r="I44" s="92" t="s">
        <v>36</v>
      </c>
      <c r="J44">
        <v>200</v>
      </c>
      <c r="K44">
        <f t="shared" si="8"/>
        <v>447.36</v>
      </c>
      <c r="L44">
        <f t="shared" si="9"/>
        <v>4.0426908150064684E-3</v>
      </c>
      <c r="M44">
        <f t="shared" si="10"/>
        <v>1.7999999999999999E-2</v>
      </c>
      <c r="N44">
        <f t="shared" si="7"/>
        <v>0.54</v>
      </c>
      <c r="O44">
        <f t="shared" si="7"/>
        <v>1</v>
      </c>
      <c r="P44">
        <f t="shared" si="11"/>
        <v>0.82653816300129368</v>
      </c>
      <c r="Q44">
        <f t="shared" si="12"/>
        <v>0.44706723891273248</v>
      </c>
      <c r="R44">
        <f t="shared" si="13"/>
        <v>2.8776978417266189E-2</v>
      </c>
    </row>
    <row r="45" spans="1:18" x14ac:dyDescent="0.25">
      <c r="H45" s="91" t="s">
        <v>38</v>
      </c>
      <c r="I45" s="92" t="s">
        <v>39</v>
      </c>
      <c r="J45">
        <v>500</v>
      </c>
      <c r="K45">
        <f t="shared" si="8"/>
        <v>1552</v>
      </c>
      <c r="L45">
        <f t="shared" si="9"/>
        <v>9.5057034220532319E-4</v>
      </c>
      <c r="M45">
        <f t="shared" si="10"/>
        <v>4.1666666666666664E-2</v>
      </c>
      <c r="N45">
        <f t="shared" si="7"/>
        <v>0.54</v>
      </c>
      <c r="O45">
        <f t="shared" si="7"/>
        <v>1</v>
      </c>
      <c r="P45">
        <f t="shared" si="11"/>
        <v>0.51695183776932829</v>
      </c>
      <c r="Q45">
        <f t="shared" si="12"/>
        <v>0.32216494845360827</v>
      </c>
      <c r="R45">
        <f t="shared" si="13"/>
        <v>7.1942446043165464E-2</v>
      </c>
    </row>
    <row r="46" spans="1:18" x14ac:dyDescent="0.25">
      <c r="H46" s="91" t="s">
        <v>39</v>
      </c>
      <c r="I46" s="92" t="s">
        <v>40</v>
      </c>
      <c r="J46">
        <v>500</v>
      </c>
      <c r="K46">
        <f t="shared" si="8"/>
        <v>1552</v>
      </c>
      <c r="L46">
        <f t="shared" si="9"/>
        <v>9.5057034220532319E-4</v>
      </c>
      <c r="M46">
        <f t="shared" si="10"/>
        <v>3.7333333333333336E-2</v>
      </c>
      <c r="N46">
        <f t="shared" si="7"/>
        <v>0.54</v>
      </c>
      <c r="O46">
        <f t="shared" si="7"/>
        <v>1</v>
      </c>
      <c r="P46">
        <f t="shared" si="11"/>
        <v>0.51261850443599499</v>
      </c>
      <c r="Q46">
        <f t="shared" si="12"/>
        <v>0.32216494845360827</v>
      </c>
      <c r="R46">
        <f t="shared" si="13"/>
        <v>7.1942446043165464E-2</v>
      </c>
    </row>
    <row r="47" spans="1:18" x14ac:dyDescent="0.25">
      <c r="H47" s="91" t="s">
        <v>39</v>
      </c>
      <c r="I47" s="92" t="s">
        <v>37</v>
      </c>
      <c r="J47">
        <v>250</v>
      </c>
      <c r="K47">
        <f t="shared" si="8"/>
        <v>776</v>
      </c>
      <c r="L47">
        <f t="shared" si="9"/>
        <v>1.9011406844106464E-3</v>
      </c>
      <c r="M47">
        <f t="shared" si="10"/>
        <v>1.5333333333333332E-2</v>
      </c>
      <c r="N47">
        <f t="shared" si="7"/>
        <v>0.54</v>
      </c>
      <c r="O47">
        <f t="shared" si="7"/>
        <v>1</v>
      </c>
      <c r="P47">
        <f t="shared" si="11"/>
        <v>0.49061850443599492</v>
      </c>
      <c r="Q47">
        <f t="shared" si="12"/>
        <v>0.32216494845360827</v>
      </c>
      <c r="R47">
        <f t="shared" si="13"/>
        <v>3.5971223021582732E-2</v>
      </c>
    </row>
    <row r="48" spans="1:18" x14ac:dyDescent="0.25">
      <c r="H48" s="91" t="s">
        <v>40</v>
      </c>
      <c r="I48" s="92" t="s">
        <v>38</v>
      </c>
      <c r="J48">
        <v>250</v>
      </c>
      <c r="K48">
        <f t="shared" si="8"/>
        <v>776</v>
      </c>
      <c r="L48">
        <f t="shared" si="9"/>
        <v>1.9011406844106464E-3</v>
      </c>
      <c r="M48">
        <f t="shared" si="10"/>
        <v>8.3333333333333332E-3</v>
      </c>
      <c r="N48">
        <f t="shared" si="7"/>
        <v>0.54</v>
      </c>
      <c r="O48">
        <f t="shared" si="7"/>
        <v>1</v>
      </c>
      <c r="P48">
        <f t="shared" si="11"/>
        <v>0.48361850443599497</v>
      </c>
      <c r="Q48">
        <f t="shared" si="12"/>
        <v>0.32216494845360827</v>
      </c>
      <c r="R48">
        <f t="shared" si="13"/>
        <v>3.5971223021582732E-2</v>
      </c>
    </row>
    <row r="49" spans="8:18" x14ac:dyDescent="0.25">
      <c r="H49" s="91" t="s">
        <v>37</v>
      </c>
      <c r="I49" s="92" t="s">
        <v>38</v>
      </c>
      <c r="J49">
        <v>50</v>
      </c>
      <c r="K49">
        <f t="shared" si="8"/>
        <v>250</v>
      </c>
      <c r="L49">
        <f t="shared" si="9"/>
        <v>5.0000000000000001E-3</v>
      </c>
      <c r="M49">
        <f t="shared" si="10"/>
        <v>2.7333333333333334E-2</v>
      </c>
      <c r="N49">
        <f t="shared" si="7"/>
        <v>0.54</v>
      </c>
      <c r="O49">
        <f t="shared" si="7"/>
        <v>0</v>
      </c>
      <c r="P49">
        <f t="shared" si="11"/>
        <v>0.79</v>
      </c>
      <c r="Q49">
        <f t="shared" si="12"/>
        <v>0.2</v>
      </c>
      <c r="R49">
        <f t="shared" si="13"/>
        <v>7.1942446043165471E-3</v>
      </c>
    </row>
    <row r="50" spans="8:18" x14ac:dyDescent="0.25">
      <c r="H50" s="93" t="s">
        <v>37</v>
      </c>
      <c r="I50" s="94" t="s">
        <v>40</v>
      </c>
      <c r="J50">
        <v>250</v>
      </c>
      <c r="K50">
        <f t="shared" si="8"/>
        <v>1552</v>
      </c>
      <c r="L50">
        <f t="shared" si="9"/>
        <v>7.6804915514592934E-4</v>
      </c>
      <c r="M50">
        <f t="shared" si="10"/>
        <v>2.1999999999999999E-2</v>
      </c>
      <c r="N50">
        <f t="shared" si="7"/>
        <v>0.54</v>
      </c>
      <c r="O50">
        <f t="shared" si="7"/>
        <v>1</v>
      </c>
      <c r="P50">
        <f t="shared" si="11"/>
        <v>0.21401228878648232</v>
      </c>
      <c r="Q50">
        <f t="shared" si="12"/>
        <v>0.16108247422680413</v>
      </c>
      <c r="R50">
        <f t="shared" si="13"/>
        <v>3.5971223021582732E-2</v>
      </c>
    </row>
    <row r="51" spans="8:18" x14ac:dyDescent="0.25">
      <c r="J51">
        <f>SUM(J41:J50)</f>
        <v>2750</v>
      </c>
      <c r="K51">
        <f>SUM(K41:K50)</f>
        <v>11904.4</v>
      </c>
      <c r="L51">
        <f t="shared" si="9"/>
        <v>1.0923708817617758E-4</v>
      </c>
      <c r="M51">
        <f t="shared" si="10"/>
        <v>0</v>
      </c>
      <c r="N51">
        <f t="shared" si="7"/>
        <v>0</v>
      </c>
      <c r="O51">
        <f t="shared" si="7"/>
        <v>0</v>
      </c>
      <c r="P51">
        <f t="shared" si="11"/>
        <v>0.30040199248448834</v>
      </c>
      <c r="Q51">
        <f t="shared" si="12"/>
        <v>0.23100702261348746</v>
      </c>
      <c r="R51">
        <f>SUM(R41:R50)</f>
        <v>0.39568345323741005</v>
      </c>
    </row>
  </sheetData>
  <mergeCells count="3">
    <mergeCell ref="H15:L15"/>
    <mergeCell ref="A18:A19"/>
    <mergeCell ref="B18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23E-BA3C-4FD0-82AD-CD7446255BB3}">
  <dimension ref="A1:AL62"/>
  <sheetViews>
    <sheetView tabSelected="1" topLeftCell="G1" zoomScale="64" zoomScaleNormal="55" workbookViewId="0">
      <selection activeCell="T29" sqref="T29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20.85546875" bestFit="1" customWidth="1"/>
    <col min="12" max="12" width="19.7109375" customWidth="1"/>
    <col min="13" max="13" width="21.28515625" bestFit="1" customWidth="1"/>
    <col min="14" max="14" width="20.85546875" bestFit="1" customWidth="1"/>
    <col min="15" max="15" width="19.7109375" bestFit="1" customWidth="1"/>
    <col min="16" max="16" width="20.28515625" bestFit="1" customWidth="1"/>
    <col min="17" max="17" width="16.140625" bestFit="1" customWidth="1"/>
    <col min="18" max="18" width="13.5703125" bestFit="1" customWidth="1"/>
    <col min="19" max="19" width="9.85546875" customWidth="1"/>
    <col min="20" max="20" width="10.42578125" customWidth="1"/>
    <col min="21" max="21" width="14.85546875" bestFit="1" customWidth="1"/>
    <col min="22" max="23" width="10.140625" customWidth="1"/>
    <col min="24" max="24" width="14.7109375" customWidth="1"/>
    <col min="25" max="25" width="21.7109375" bestFit="1" customWidth="1"/>
    <col min="26" max="26" width="12.85546875" customWidth="1"/>
    <col min="27" max="27" width="7.7109375" customWidth="1"/>
    <col min="28" max="28" width="8.85546875" customWidth="1"/>
    <col min="29" max="29" width="4" customWidth="1"/>
    <col min="30" max="30" width="34.42578125" bestFit="1" customWidth="1"/>
    <col min="31" max="31" width="18.5703125" bestFit="1" customWidth="1"/>
    <col min="32" max="32" width="10.7109375" bestFit="1" customWidth="1"/>
    <col min="33" max="33" width="6.5703125" bestFit="1" customWidth="1"/>
    <col min="34" max="34" width="8.5703125" bestFit="1" customWidth="1"/>
    <col min="35" max="35" width="10.5703125" bestFit="1" customWidth="1"/>
    <col min="36" max="37" width="4" customWidth="1"/>
  </cols>
  <sheetData>
    <row r="1" spans="1:37" s="53" customFormat="1" ht="39" thickTop="1" thickBot="1" x14ac:dyDescent="0.3">
      <c r="A1" s="51" t="s">
        <v>34</v>
      </c>
      <c r="B1" s="52" t="s">
        <v>35</v>
      </c>
      <c r="D1" s="31"/>
      <c r="J1" s="110" t="s">
        <v>0</v>
      </c>
      <c r="K1" s="111" t="s">
        <v>1</v>
      </c>
      <c r="L1" s="111" t="s">
        <v>52</v>
      </c>
      <c r="M1" s="111" t="s">
        <v>53</v>
      </c>
      <c r="N1" s="111" t="s">
        <v>54</v>
      </c>
      <c r="O1" s="111" t="s">
        <v>15</v>
      </c>
      <c r="P1" s="111" t="s">
        <v>16</v>
      </c>
      <c r="Q1" s="111" t="s">
        <v>55</v>
      </c>
      <c r="R1" s="111" t="s">
        <v>56</v>
      </c>
      <c r="S1" s="111" t="s">
        <v>65</v>
      </c>
      <c r="T1" s="111" t="s">
        <v>66</v>
      </c>
      <c r="U1" s="111" t="s">
        <v>42</v>
      </c>
      <c r="V1" s="111" t="s">
        <v>111</v>
      </c>
      <c r="W1" s="111" t="s">
        <v>112</v>
      </c>
      <c r="X1" s="111" t="s">
        <v>113</v>
      </c>
      <c r="Y1" s="111" t="s">
        <v>57</v>
      </c>
      <c r="Z1" s="112" t="s">
        <v>41</v>
      </c>
      <c r="AA1" s="113" t="s">
        <v>75</v>
      </c>
      <c r="AB1" s="113" t="s">
        <v>76</v>
      </c>
      <c r="AC1" s="113"/>
      <c r="AD1" s="113" t="s">
        <v>0</v>
      </c>
      <c r="AE1" s="113" t="s">
        <v>1</v>
      </c>
      <c r="AF1" s="31"/>
      <c r="AG1" s="31"/>
      <c r="AH1" s="31"/>
      <c r="AI1" s="31"/>
      <c r="AJ1" s="31"/>
      <c r="AK1" s="31"/>
    </row>
    <row r="2" spans="1:37" ht="19.5" thickBot="1" x14ac:dyDescent="0.3">
      <c r="A2" s="33" t="s">
        <v>2</v>
      </c>
      <c r="B2" s="16" t="s">
        <v>36</v>
      </c>
      <c r="D2" s="57"/>
      <c r="J2" s="114" t="s">
        <v>36</v>
      </c>
      <c r="K2" s="115" t="s">
        <v>39</v>
      </c>
      <c r="L2" s="116">
        <v>0</v>
      </c>
      <c r="M2" s="116">
        <v>0</v>
      </c>
      <c r="N2" s="116">
        <v>0</v>
      </c>
      <c r="O2" s="116">
        <v>3</v>
      </c>
      <c r="P2" s="116">
        <v>0</v>
      </c>
      <c r="Q2" s="116">
        <v>1</v>
      </c>
      <c r="R2" s="116">
        <v>0</v>
      </c>
      <c r="S2" s="117">
        <v>2500</v>
      </c>
      <c r="T2" s="117">
        <f t="array" ref="T2">SUMPRODUCT(L2:R2,TRANSPOSE($AE$10:$AE$16))*1000000/20000</f>
        <v>2551.6799999999998</v>
      </c>
      <c r="U2" s="118">
        <f>S2/(T2-S2)</f>
        <v>48.37461300309613</v>
      </c>
      <c r="V2" s="116">
        <f>D20*1000/(3*10^8)</f>
        <v>4.6666666666666669E-2</v>
      </c>
      <c r="W2" s="116">
        <v>0.24</v>
      </c>
      <c r="X2" s="116">
        <f t="array" ref="X2">SUMPRODUCT(O2:R2, TRANSPOSE($AE$13:$AE$16))*(1000000/20000)/T2</f>
        <v>1</v>
      </c>
      <c r="Y2" s="116">
        <f>1/(T2-S2)+X2*V2+(1-X2)*W2</f>
        <v>6.6016511867905123E-2</v>
      </c>
      <c r="Z2" s="119">
        <f t="shared" ref="Z2:Z12" si="0">S2/T2</f>
        <v>0.97974667669927273</v>
      </c>
      <c r="AA2" s="120">
        <f t="shared" ref="AA2:AA12" si="1">IF(S2=T2,1,0)</f>
        <v>0</v>
      </c>
      <c r="AB2" s="120">
        <f>S2/($S$12+$L$51)</f>
        <v>0.25773195876288657</v>
      </c>
      <c r="AC2" s="120"/>
      <c r="AD2" s="120"/>
      <c r="AE2" s="120" t="s">
        <v>2</v>
      </c>
      <c r="AF2" s="57" t="s">
        <v>3</v>
      </c>
      <c r="AG2" s="57" t="s">
        <v>4</v>
      </c>
      <c r="AH2" s="57" t="s">
        <v>5</v>
      </c>
      <c r="AI2" s="57" t="s">
        <v>6</v>
      </c>
      <c r="AJ2" s="57"/>
      <c r="AK2" s="57"/>
    </row>
    <row r="3" spans="1:37" ht="19.5" thickTop="1" x14ac:dyDescent="0.3">
      <c r="A3" s="33" t="s">
        <v>3</v>
      </c>
      <c r="B3" s="16" t="s">
        <v>38</v>
      </c>
      <c r="D3" s="57"/>
      <c r="J3" s="114" t="s">
        <v>36</v>
      </c>
      <c r="K3" s="115" t="s">
        <v>40</v>
      </c>
      <c r="L3" s="116">
        <v>2</v>
      </c>
      <c r="M3" s="116">
        <v>0</v>
      </c>
      <c r="N3" s="116">
        <v>0</v>
      </c>
      <c r="O3" s="116">
        <v>0</v>
      </c>
      <c r="P3" s="116">
        <v>0</v>
      </c>
      <c r="Q3" s="116">
        <v>0</v>
      </c>
      <c r="R3" s="116">
        <v>0</v>
      </c>
      <c r="S3" s="117">
        <v>1000</v>
      </c>
      <c r="T3" s="117">
        <f t="array" ref="T3">SUMPRODUCT(L3:R3,TRANSPOSE($AE$10:$AE$16))*1000000/20000</f>
        <v>2000</v>
      </c>
      <c r="U3" s="118">
        <f t="shared" ref="U3:U12" si="2">S3/(T3-S3)</f>
        <v>1</v>
      </c>
      <c r="V3" s="116">
        <f>E20*1000/(3*10^8)</f>
        <v>2.6333333333333334E-2</v>
      </c>
      <c r="W3" s="116">
        <v>0.24</v>
      </c>
      <c r="X3" s="116">
        <f t="array" ref="X3">SUMPRODUCT(O3:R3, TRANSPOSE($AE$13:$AE$16))*(1000000/20000)/T3</f>
        <v>0</v>
      </c>
      <c r="Y3" s="116">
        <f>1/(T3-S3)+X3*V3+(1-X3)*W3</f>
        <v>0.24099999999999999</v>
      </c>
      <c r="Z3" s="119">
        <f t="shared" si="0"/>
        <v>0.5</v>
      </c>
      <c r="AA3" s="120">
        <f t="shared" si="1"/>
        <v>0</v>
      </c>
      <c r="AB3" s="120">
        <f t="shared" ref="AB3:AB11" si="3">S3/($S$12+$L$51)</f>
        <v>0.10309278350515463</v>
      </c>
      <c r="AC3" s="120"/>
      <c r="AD3" s="120" t="s">
        <v>2</v>
      </c>
      <c r="AE3" s="121">
        <v>0</v>
      </c>
      <c r="AF3" s="8">
        <v>200</v>
      </c>
      <c r="AG3" s="8">
        <v>2500</v>
      </c>
      <c r="AH3" s="8">
        <v>1000</v>
      </c>
      <c r="AI3" s="9">
        <v>250</v>
      </c>
      <c r="AJ3" s="57"/>
      <c r="AK3" s="57"/>
    </row>
    <row r="4" spans="1:37" ht="18.75" x14ac:dyDescent="0.3">
      <c r="A4" s="33" t="s">
        <v>4</v>
      </c>
      <c r="B4" s="16" t="s">
        <v>39</v>
      </c>
      <c r="D4" s="57"/>
      <c r="J4" s="114" t="s">
        <v>36</v>
      </c>
      <c r="K4" s="115" t="s">
        <v>37</v>
      </c>
      <c r="L4" s="116">
        <v>0</v>
      </c>
      <c r="M4" s="116">
        <v>0</v>
      </c>
      <c r="N4" s="116">
        <v>0</v>
      </c>
      <c r="O4" s="116">
        <v>0</v>
      </c>
      <c r="P4" s="116">
        <v>1</v>
      </c>
      <c r="Q4" s="116">
        <v>0</v>
      </c>
      <c r="R4" s="116">
        <v>0</v>
      </c>
      <c r="S4" s="117">
        <v>250</v>
      </c>
      <c r="T4" s="117">
        <f t="array" ref="T4">SUMPRODUCT(L4:R4,TRANSPOSE($AE$10:$AE$16))*1000000/20000</f>
        <v>776</v>
      </c>
      <c r="U4" s="118">
        <f t="shared" si="2"/>
        <v>0.47528517110266161</v>
      </c>
      <c r="V4" s="116">
        <f>F20*1000/(3*10^8)</f>
        <v>0.04</v>
      </c>
      <c r="W4" s="116">
        <v>0.24</v>
      </c>
      <c r="X4" s="116">
        <f t="array" ref="X4">SUMPRODUCT(O4:R4, TRANSPOSE($AE$13:$AE$16))*(1000000/20000)/T4</f>
        <v>1</v>
      </c>
      <c r="Y4" s="116">
        <f t="shared" ref="Y4:Y11" si="4">1/(T4-S4)+X4*V4+(1-X4)*W4</f>
        <v>4.190114068441065E-2</v>
      </c>
      <c r="Z4" s="119">
        <f t="shared" si="0"/>
        <v>0.32216494845360827</v>
      </c>
      <c r="AA4" s="120">
        <f t="shared" si="1"/>
        <v>0</v>
      </c>
      <c r="AB4" s="120">
        <f t="shared" si="3"/>
        <v>2.5773195876288658E-2</v>
      </c>
      <c r="AC4" s="120"/>
      <c r="AD4" s="120" t="s">
        <v>3</v>
      </c>
      <c r="AE4" s="122">
        <v>250</v>
      </c>
      <c r="AF4" s="1">
        <v>0</v>
      </c>
      <c r="AG4" s="1">
        <v>500</v>
      </c>
      <c r="AH4" s="1">
        <v>250</v>
      </c>
      <c r="AI4" s="1">
        <v>50</v>
      </c>
      <c r="AJ4" s="57"/>
      <c r="AK4" s="57"/>
    </row>
    <row r="5" spans="1:37" ht="18.75" x14ac:dyDescent="0.3">
      <c r="A5" s="33" t="s">
        <v>5</v>
      </c>
      <c r="B5" s="16" t="s">
        <v>40</v>
      </c>
      <c r="D5" s="57"/>
      <c r="J5" s="114" t="s">
        <v>38</v>
      </c>
      <c r="K5" s="115" t="s">
        <v>36</v>
      </c>
      <c r="L5" s="116">
        <v>0</v>
      </c>
      <c r="M5" s="116">
        <v>0</v>
      </c>
      <c r="N5" s="116">
        <v>0</v>
      </c>
      <c r="O5" s="116">
        <v>1</v>
      </c>
      <c r="P5" s="116">
        <v>0</v>
      </c>
      <c r="Q5" s="116">
        <v>0</v>
      </c>
      <c r="R5" s="116">
        <v>0</v>
      </c>
      <c r="S5" s="117">
        <v>250</v>
      </c>
      <c r="T5" s="117">
        <f t="array" ref="T5">SUMPRODUCT(L5:R5,TRANSPOSE($AE$10:$AE$16))*1000000/20000</f>
        <v>776</v>
      </c>
      <c r="U5" s="118">
        <f t="shared" si="2"/>
        <v>0.47528517110266161</v>
      </c>
      <c r="V5" s="116">
        <f>B21*1000/(3*10^8)</f>
        <v>1.7999999999999999E-2</v>
      </c>
      <c r="W5" s="116">
        <v>0.24</v>
      </c>
      <c r="X5" s="116">
        <f t="array" ref="X5">SUMPRODUCT(O5:R5, TRANSPOSE($AE$13:$AE$16))*(1000000/20000)/T5</f>
        <v>1</v>
      </c>
      <c r="Y5" s="116">
        <f t="shared" si="4"/>
        <v>1.9901140684410644E-2</v>
      </c>
      <c r="Z5" s="119">
        <f t="shared" si="0"/>
        <v>0.32216494845360827</v>
      </c>
      <c r="AA5" s="120">
        <f t="shared" si="1"/>
        <v>0</v>
      </c>
      <c r="AB5" s="120">
        <f t="shared" si="3"/>
        <v>2.5773195876288658E-2</v>
      </c>
      <c r="AC5" s="120"/>
      <c r="AD5" s="120" t="s">
        <v>4</v>
      </c>
      <c r="AE5" s="123">
        <v>250</v>
      </c>
      <c r="AF5" s="1">
        <v>500</v>
      </c>
      <c r="AG5" s="1">
        <v>0</v>
      </c>
      <c r="AH5" s="1">
        <v>500</v>
      </c>
      <c r="AI5" s="1">
        <v>250</v>
      </c>
      <c r="AJ5" s="57"/>
      <c r="AK5" s="57"/>
    </row>
    <row r="6" spans="1:37" ht="19.5" thickBot="1" x14ac:dyDescent="0.35">
      <c r="A6" s="34" t="s">
        <v>6</v>
      </c>
      <c r="B6" s="17" t="s">
        <v>37</v>
      </c>
      <c r="D6" s="57"/>
      <c r="J6" s="114" t="s">
        <v>38</v>
      </c>
      <c r="K6" s="115" t="s">
        <v>39</v>
      </c>
      <c r="L6" s="116">
        <v>0</v>
      </c>
      <c r="M6" s="116">
        <v>0</v>
      </c>
      <c r="N6" s="116">
        <v>0</v>
      </c>
      <c r="O6" s="116">
        <v>0</v>
      </c>
      <c r="P6" s="116">
        <v>1</v>
      </c>
      <c r="Q6" s="116">
        <v>0</v>
      </c>
      <c r="R6" s="116">
        <v>0</v>
      </c>
      <c r="S6" s="117">
        <v>500</v>
      </c>
      <c r="T6" s="117">
        <f t="array" ref="T6">SUMPRODUCT(L6:R6,TRANSPOSE($AE$10:$AE$16))*1000000/20000</f>
        <v>776</v>
      </c>
      <c r="U6" s="118">
        <f t="shared" si="2"/>
        <v>1.8115942028985508</v>
      </c>
      <c r="V6" s="116">
        <f>D21*1000/(3*10^8)</f>
        <v>4.1666666666666664E-2</v>
      </c>
      <c r="W6" s="116">
        <v>0.24</v>
      </c>
      <c r="X6" s="116">
        <f t="array" ref="X6">SUMPRODUCT(O6:R6, TRANSPOSE($AE$13:$AE$16))*(1000000/20000)/T6</f>
        <v>1</v>
      </c>
      <c r="Y6" s="116">
        <f t="shared" si="4"/>
        <v>4.5289855072463768E-2</v>
      </c>
      <c r="Z6" s="119">
        <f t="shared" si="0"/>
        <v>0.64432989690721654</v>
      </c>
      <c r="AA6" s="120">
        <f t="shared" si="1"/>
        <v>0</v>
      </c>
      <c r="AB6" s="120">
        <f t="shared" si="3"/>
        <v>5.1546391752577317E-2</v>
      </c>
      <c r="AC6" s="120"/>
      <c r="AD6" s="120" t="s">
        <v>5</v>
      </c>
      <c r="AE6" s="123">
        <v>250</v>
      </c>
      <c r="AF6" s="1">
        <v>500</v>
      </c>
      <c r="AG6" s="1">
        <v>500</v>
      </c>
      <c r="AH6" s="1">
        <v>0</v>
      </c>
      <c r="AI6" s="1">
        <v>250</v>
      </c>
      <c r="AJ6" s="57"/>
      <c r="AK6" s="57"/>
    </row>
    <row r="7" spans="1:37" ht="20.25" thickTop="1" thickBot="1" x14ac:dyDescent="0.35">
      <c r="D7" s="57"/>
      <c r="J7" s="114" t="s">
        <v>39</v>
      </c>
      <c r="K7" s="115" t="s">
        <v>40</v>
      </c>
      <c r="L7" s="116">
        <v>0</v>
      </c>
      <c r="M7" s="116">
        <v>0</v>
      </c>
      <c r="N7" s="116">
        <v>0</v>
      </c>
      <c r="O7" s="116">
        <v>1</v>
      </c>
      <c r="P7" s="116">
        <v>0</v>
      </c>
      <c r="Q7" s="116">
        <v>0</v>
      </c>
      <c r="R7" s="116">
        <v>0</v>
      </c>
      <c r="S7" s="117">
        <v>500</v>
      </c>
      <c r="T7" s="117">
        <f t="array" ref="T7">SUMPRODUCT(L7:R7,TRANSPOSE($AE$10:$AE$16))*1000000/20000</f>
        <v>776</v>
      </c>
      <c r="U7" s="118">
        <f t="shared" si="2"/>
        <v>1.8115942028985508</v>
      </c>
      <c r="V7" s="116">
        <f>E22*1000/(3*10^8)</f>
        <v>3.7333333333333336E-2</v>
      </c>
      <c r="W7" s="116">
        <v>0.24</v>
      </c>
      <c r="X7" s="116">
        <f t="array" ref="X7">SUMPRODUCT(O7:R7, TRANSPOSE($AE$13:$AE$16))*(1000000/20000)/T7</f>
        <v>1</v>
      </c>
      <c r="Y7" s="116">
        <f t="shared" si="4"/>
        <v>4.095652173913044E-2</v>
      </c>
      <c r="Z7" s="119">
        <f t="shared" si="0"/>
        <v>0.64432989690721654</v>
      </c>
      <c r="AA7" s="120">
        <f t="shared" si="1"/>
        <v>0</v>
      </c>
      <c r="AB7" s="120">
        <f t="shared" si="3"/>
        <v>5.1546391752577317E-2</v>
      </c>
      <c r="AC7" s="120"/>
      <c r="AD7" s="120" t="s">
        <v>6</v>
      </c>
      <c r="AE7" s="124">
        <v>250</v>
      </c>
      <c r="AF7" s="1">
        <v>200</v>
      </c>
      <c r="AG7" s="1">
        <v>250</v>
      </c>
      <c r="AH7" s="4">
        <v>1000</v>
      </c>
      <c r="AI7" s="4">
        <v>0</v>
      </c>
      <c r="AJ7" s="57"/>
      <c r="AK7" s="57"/>
    </row>
    <row r="8" spans="1:37" ht="19.5" thickTop="1" x14ac:dyDescent="0.25">
      <c r="A8" t="s">
        <v>11</v>
      </c>
      <c r="B8" t="s">
        <v>22</v>
      </c>
      <c r="C8" t="s">
        <v>19</v>
      </c>
      <c r="D8" s="57" t="s">
        <v>20</v>
      </c>
      <c r="J8" s="114" t="s">
        <v>39</v>
      </c>
      <c r="K8" s="115" t="s">
        <v>37</v>
      </c>
      <c r="L8" s="116">
        <v>0</v>
      </c>
      <c r="M8" s="116">
        <v>0</v>
      </c>
      <c r="N8" s="116">
        <v>0</v>
      </c>
      <c r="O8" s="116">
        <v>0</v>
      </c>
      <c r="P8" s="116">
        <v>0</v>
      </c>
      <c r="Q8" s="116">
        <v>2</v>
      </c>
      <c r="R8" s="116">
        <v>0</v>
      </c>
      <c r="S8" s="117">
        <v>250</v>
      </c>
      <c r="T8" s="117">
        <f t="array" ref="T8">SUMPRODUCT(L8:R8,TRANSPOSE($AE$10:$AE$16))*1000000/20000</f>
        <v>447.36</v>
      </c>
      <c r="U8" s="118">
        <f t="shared" si="2"/>
        <v>1.2667207134171057</v>
      </c>
      <c r="V8" s="116">
        <f>F22*1000/(3*10^8)</f>
        <v>1.5333333333333332E-2</v>
      </c>
      <c r="W8" s="116">
        <v>0.24</v>
      </c>
      <c r="X8" s="116">
        <f t="array" ref="X8">SUMPRODUCT(O8:R8, TRANSPOSE($AE$13:$AE$16))*(1000000/20000)/T8</f>
        <v>1</v>
      </c>
      <c r="Y8" s="116">
        <f t="shared" si="4"/>
        <v>2.0400216187001757E-2</v>
      </c>
      <c r="Z8" s="119">
        <f t="shared" si="0"/>
        <v>0.55883404864091557</v>
      </c>
      <c r="AA8" s="120">
        <f t="shared" si="1"/>
        <v>0</v>
      </c>
      <c r="AB8" s="120">
        <f t="shared" si="3"/>
        <v>2.5773195876288658E-2</v>
      </c>
      <c r="AC8" s="120"/>
      <c r="AD8" s="120"/>
      <c r="AE8" s="120"/>
      <c r="AF8" s="57"/>
      <c r="AG8" s="57"/>
      <c r="AH8" s="57"/>
      <c r="AI8" s="57"/>
      <c r="AJ8" s="57"/>
      <c r="AK8" s="57"/>
    </row>
    <row r="9" spans="1:37" ht="18.75" x14ac:dyDescent="0.25">
      <c r="A9" t="s">
        <v>12</v>
      </c>
      <c r="B9">
        <v>20</v>
      </c>
      <c r="C9" t="s">
        <v>25</v>
      </c>
      <c r="D9" s="57" t="s">
        <v>30</v>
      </c>
      <c r="J9" s="114" t="s">
        <v>40</v>
      </c>
      <c r="K9" s="115" t="s">
        <v>38</v>
      </c>
      <c r="L9" s="116">
        <v>0</v>
      </c>
      <c r="M9" s="116">
        <v>0</v>
      </c>
      <c r="N9" s="116">
        <v>0</v>
      </c>
      <c r="O9" s="116">
        <v>1</v>
      </c>
      <c r="P9" s="116">
        <v>0</v>
      </c>
      <c r="Q9" s="116">
        <v>0</v>
      </c>
      <c r="R9" s="116">
        <v>0</v>
      </c>
      <c r="S9" s="117">
        <v>500</v>
      </c>
      <c r="T9" s="117">
        <f t="array" ref="T9">SUMPRODUCT(L9:R9,TRANSPOSE($AE$10:$AE$16))*1000000/20000</f>
        <v>776</v>
      </c>
      <c r="U9" s="118">
        <f t="shared" si="2"/>
        <v>1.8115942028985508</v>
      </c>
      <c r="V9" s="116">
        <f>C23*1000/(3*10^8)</f>
        <v>8.3333333333333332E-3</v>
      </c>
      <c r="W9" s="116">
        <v>0.24</v>
      </c>
      <c r="X9" s="116">
        <f t="array" ref="X9">SUMPRODUCT(O9:R9, TRANSPOSE($AE$13:$AE$16))*(1000000/20000)/T9</f>
        <v>1</v>
      </c>
      <c r="Y9" s="116">
        <f t="shared" si="4"/>
        <v>1.1956521739130435E-2</v>
      </c>
      <c r="Z9" s="119">
        <f t="shared" si="0"/>
        <v>0.64432989690721654</v>
      </c>
      <c r="AA9" s="120">
        <f t="shared" si="1"/>
        <v>0</v>
      </c>
      <c r="AB9" s="120">
        <f t="shared" si="3"/>
        <v>5.1546391752577317E-2</v>
      </c>
      <c r="AC9" s="120"/>
      <c r="AD9" s="120" t="s">
        <v>11</v>
      </c>
      <c r="AE9" s="120" t="s">
        <v>22</v>
      </c>
      <c r="AF9" s="57"/>
      <c r="AG9" s="57"/>
      <c r="AH9" s="57"/>
      <c r="AI9" s="57"/>
      <c r="AJ9" s="57"/>
      <c r="AK9" s="57"/>
    </row>
    <row r="10" spans="1:37" ht="18.75" x14ac:dyDescent="0.25">
      <c r="A10" t="s">
        <v>13</v>
      </c>
      <c r="B10">
        <v>20</v>
      </c>
      <c r="C10" t="s">
        <v>26</v>
      </c>
      <c r="D10" s="57" t="s">
        <v>30</v>
      </c>
      <c r="J10" s="114" t="s">
        <v>37</v>
      </c>
      <c r="K10" s="115" t="s">
        <v>38</v>
      </c>
      <c r="L10" s="116">
        <v>0</v>
      </c>
      <c r="M10" s="116">
        <v>0</v>
      </c>
      <c r="N10" s="116">
        <v>0</v>
      </c>
      <c r="O10" s="116">
        <v>0</v>
      </c>
      <c r="P10" s="116">
        <v>0</v>
      </c>
      <c r="Q10" s="116">
        <v>0</v>
      </c>
      <c r="R10" s="116">
        <v>1</v>
      </c>
      <c r="S10" s="117">
        <v>200</v>
      </c>
      <c r="T10" s="117">
        <f t="array" ref="T10">SUMPRODUCT(L10:R10,TRANSPOSE($AE$10:$AE$16))*1000000/20000</f>
        <v>223.68</v>
      </c>
      <c r="U10" s="118">
        <f t="shared" si="2"/>
        <v>8.4459459459459438</v>
      </c>
      <c r="V10" s="116">
        <f>C24*1000/(3*10^8)</f>
        <v>2.7333333333333334E-2</v>
      </c>
      <c r="W10" s="116">
        <v>0.24</v>
      </c>
      <c r="X10" s="116">
        <f t="array" ref="X10">SUMPRODUCT(O10:R10, TRANSPOSE($AE$13:$AE$16))*(1000000/20000)/T10</f>
        <v>1</v>
      </c>
      <c r="Y10" s="116">
        <f t="shared" si="4"/>
        <v>6.9563063063063049E-2</v>
      </c>
      <c r="Z10" s="119">
        <f t="shared" si="0"/>
        <v>0.89413447782546496</v>
      </c>
      <c r="AA10" s="120">
        <f t="shared" si="1"/>
        <v>0</v>
      </c>
      <c r="AB10" s="120">
        <f t="shared" si="3"/>
        <v>2.0618556701030927E-2</v>
      </c>
      <c r="AC10" s="120"/>
      <c r="AD10" s="120" t="s">
        <v>12</v>
      </c>
      <c r="AE10" s="125">
        <v>20</v>
      </c>
      <c r="AF10" s="57"/>
      <c r="AG10" s="57"/>
      <c r="AH10" s="57"/>
      <c r="AI10" s="57"/>
      <c r="AJ10" s="57"/>
      <c r="AK10" s="57"/>
    </row>
    <row r="11" spans="1:37" ht="18.75" x14ac:dyDescent="0.25">
      <c r="A11" t="s">
        <v>14</v>
      </c>
      <c r="B11">
        <v>5</v>
      </c>
      <c r="C11" t="s">
        <v>27</v>
      </c>
      <c r="D11" s="57" t="s">
        <v>31</v>
      </c>
      <c r="J11" s="126" t="s">
        <v>37</v>
      </c>
      <c r="K11" s="127" t="s">
        <v>40</v>
      </c>
      <c r="L11" s="116">
        <v>2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117">
        <v>1000</v>
      </c>
      <c r="T11" s="117">
        <f t="array" ref="T11">SUMPRODUCT(L11:R11,TRANSPOSE($AE$10:$AE$16))*1000000/20000</f>
        <v>2000</v>
      </c>
      <c r="U11" s="118">
        <f t="shared" si="2"/>
        <v>1</v>
      </c>
      <c r="V11" s="116">
        <f>E24*1000/(3*10^8)</f>
        <v>2.1999999999999999E-2</v>
      </c>
      <c r="W11" s="116">
        <v>0.24</v>
      </c>
      <c r="X11" s="116">
        <f t="array" ref="X11">SUMPRODUCT(O11:R11, TRANSPOSE($AE$13:$AE$16))*(1000000/20000)/T11</f>
        <v>0</v>
      </c>
      <c r="Y11" s="116">
        <f t="shared" si="4"/>
        <v>0.24099999999999999</v>
      </c>
      <c r="Z11" s="119">
        <f t="shared" si="0"/>
        <v>0.5</v>
      </c>
      <c r="AA11" s="120">
        <f t="shared" si="1"/>
        <v>0</v>
      </c>
      <c r="AB11" s="120">
        <f t="shared" si="3"/>
        <v>0.10309278350515463</v>
      </c>
      <c r="AC11" s="120"/>
      <c r="AD11" s="120" t="s">
        <v>13</v>
      </c>
      <c r="AE11" s="125">
        <v>20</v>
      </c>
      <c r="AF11" s="57"/>
      <c r="AG11" s="57"/>
      <c r="AH11" s="57"/>
      <c r="AI11" s="57"/>
      <c r="AJ11" s="57"/>
      <c r="AK11" s="57"/>
    </row>
    <row r="12" spans="1:37" ht="18.75" x14ac:dyDescent="0.25">
      <c r="A12" t="s">
        <v>15</v>
      </c>
      <c r="B12">
        <v>15.52</v>
      </c>
      <c r="C12" t="s">
        <v>28</v>
      </c>
      <c r="D12" s="57" t="s">
        <v>32</v>
      </c>
      <c r="J12" s="128"/>
      <c r="K12" s="129"/>
      <c r="L12" s="129"/>
      <c r="M12" s="129"/>
      <c r="N12" s="129"/>
      <c r="O12" s="129"/>
      <c r="P12" s="129"/>
      <c r="Q12" s="129"/>
      <c r="R12" s="129"/>
      <c r="S12" s="130">
        <f>SUM(S2:S11)</f>
        <v>6950</v>
      </c>
      <c r="T12" s="130">
        <f>SUM(T2:T11)</f>
        <v>11102.720000000001</v>
      </c>
      <c r="U12" s="128">
        <f t="shared" si="2"/>
        <v>1.67360188021345</v>
      </c>
      <c r="V12" s="116"/>
      <c r="W12" s="129"/>
      <c r="X12" s="116"/>
      <c r="Y12" s="129">
        <f>1/(T12-S12)</f>
        <v>2.4080602592999281E-4</v>
      </c>
      <c r="Z12" s="131">
        <f t="shared" si="0"/>
        <v>0.6259727346091768</v>
      </c>
      <c r="AA12" s="120">
        <f t="shared" si="1"/>
        <v>0</v>
      </c>
      <c r="AB12" s="120"/>
      <c r="AC12" s="120"/>
      <c r="AD12" s="120" t="s">
        <v>14</v>
      </c>
      <c r="AE12" s="125">
        <v>5</v>
      </c>
      <c r="AF12" s="57"/>
      <c r="AG12" s="57"/>
      <c r="AH12" s="57"/>
      <c r="AI12" s="57"/>
      <c r="AJ12" s="57"/>
      <c r="AK12" s="57"/>
    </row>
    <row r="13" spans="1:37" ht="18.75" x14ac:dyDescent="0.25">
      <c r="A13" t="s">
        <v>16</v>
      </c>
      <c r="B13">
        <v>15.52</v>
      </c>
      <c r="C13" t="s">
        <v>27</v>
      </c>
      <c r="D13" s="57" t="s">
        <v>33</v>
      </c>
      <c r="J13" s="120"/>
      <c r="K13" s="120" t="s">
        <v>78</v>
      </c>
      <c r="L13" s="120">
        <f t="shared" ref="L13:R13" si="5">SUM(L2:L11)</f>
        <v>4</v>
      </c>
      <c r="M13" s="120">
        <f t="shared" si="5"/>
        <v>0</v>
      </c>
      <c r="N13" s="120">
        <f t="shared" si="5"/>
        <v>0</v>
      </c>
      <c r="O13" s="120">
        <f t="shared" si="5"/>
        <v>6</v>
      </c>
      <c r="P13" s="120">
        <f t="shared" si="5"/>
        <v>2</v>
      </c>
      <c r="Q13" s="120">
        <f t="shared" si="5"/>
        <v>3</v>
      </c>
      <c r="R13" s="120">
        <f t="shared" si="5"/>
        <v>1</v>
      </c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 t="s">
        <v>15</v>
      </c>
      <c r="AE13" s="125">
        <v>15.52</v>
      </c>
      <c r="AF13" s="57"/>
      <c r="AG13" s="57"/>
      <c r="AH13" s="57"/>
      <c r="AI13" s="57"/>
      <c r="AJ13" s="57"/>
      <c r="AK13" s="57"/>
    </row>
    <row r="14" spans="1:37" ht="18.75" x14ac:dyDescent="0.25">
      <c r="A14" t="s">
        <v>17</v>
      </c>
      <c r="B14">
        <v>4.4736000000000002</v>
      </c>
      <c r="C14" t="s">
        <v>29</v>
      </c>
      <c r="D14" s="57" t="s">
        <v>32</v>
      </c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 t="s">
        <v>16</v>
      </c>
      <c r="AE14" s="125">
        <v>15.52</v>
      </c>
      <c r="AF14" s="57"/>
      <c r="AG14" s="57"/>
      <c r="AH14" s="57"/>
      <c r="AI14" s="57"/>
      <c r="AJ14" s="57"/>
      <c r="AK14" s="57"/>
    </row>
    <row r="15" spans="1:37" ht="18.75" x14ac:dyDescent="0.25">
      <c r="A15" t="s">
        <v>18</v>
      </c>
      <c r="B15">
        <v>4.4736000000000002</v>
      </c>
      <c r="C15" t="s">
        <v>27</v>
      </c>
      <c r="D15" s="57" t="s">
        <v>31</v>
      </c>
      <c r="J15" s="132" t="s">
        <v>69</v>
      </c>
      <c r="K15" s="132"/>
      <c r="L15" s="132"/>
      <c r="M15" s="132"/>
      <c r="N15" s="132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 t="s">
        <v>79</v>
      </c>
      <c r="Z15" s="120">
        <f>SUMPRODUCT(AB2:AB11,Y2:Y11)+SUMPRODUCT(R41:R50,T41:T50)</f>
        <v>0.10394177361755327</v>
      </c>
      <c r="AA15" s="120"/>
      <c r="AB15" s="120"/>
      <c r="AC15" s="120"/>
      <c r="AD15" s="120" t="s">
        <v>17</v>
      </c>
      <c r="AE15" s="125">
        <v>4.4736000000000002</v>
      </c>
      <c r="AF15" s="57"/>
      <c r="AG15" s="57"/>
      <c r="AH15" s="57"/>
      <c r="AI15" s="57"/>
      <c r="AJ15" s="57"/>
      <c r="AK15" s="57"/>
    </row>
    <row r="16" spans="1:37" ht="18.75" x14ac:dyDescent="0.3">
      <c r="D16" s="57"/>
      <c r="J16" s="120" t="s">
        <v>58</v>
      </c>
      <c r="K16" s="133">
        <f>SUM(L2:L11)*60000000*0+SUM(M2:M11)*40000000</f>
        <v>0</v>
      </c>
      <c r="L16" s="133" t="s">
        <v>77</v>
      </c>
      <c r="M16" s="133">
        <f>L13*8000+M13*8000+N13*500000+O13*5000+P13*700000+Q13*5000+R13*500000</f>
        <v>1977000</v>
      </c>
      <c r="N16" s="134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 t="s">
        <v>80</v>
      </c>
      <c r="Z16" s="120">
        <f>Z15*1000</f>
        <v>103.94177361755327</v>
      </c>
      <c r="AA16" s="120"/>
      <c r="AB16" s="120"/>
      <c r="AC16" s="120"/>
      <c r="AD16" s="120" t="s">
        <v>18</v>
      </c>
      <c r="AE16" s="125">
        <v>4.4736000000000002</v>
      </c>
      <c r="AF16" s="57"/>
      <c r="AG16" s="57"/>
      <c r="AH16" s="57"/>
      <c r="AI16" s="57"/>
      <c r="AJ16" s="57"/>
      <c r="AK16" s="57"/>
    </row>
    <row r="17" spans="1:38" ht="19.5" thickBot="1" x14ac:dyDescent="0.35">
      <c r="D17" s="57"/>
      <c r="J17" s="120" t="s">
        <v>133</v>
      </c>
      <c r="K17" s="133">
        <f>3*8000+N13*500000</f>
        <v>24000</v>
      </c>
      <c r="L17" s="134"/>
      <c r="M17" s="134"/>
      <c r="N17" s="120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20"/>
      <c r="AD17" s="120"/>
      <c r="AE17" s="120"/>
      <c r="AF17" s="57"/>
      <c r="AG17" s="57"/>
      <c r="AH17" s="57"/>
      <c r="AI17" s="57"/>
      <c r="AJ17" s="57"/>
      <c r="AK17" s="57"/>
    </row>
    <row r="18" spans="1:38" ht="20.25" thickTop="1" thickBot="1" x14ac:dyDescent="0.35">
      <c r="A18" s="106" t="s">
        <v>0</v>
      </c>
      <c r="B18" s="101" t="s">
        <v>1</v>
      </c>
      <c r="C18" s="102"/>
      <c r="D18" s="102"/>
      <c r="E18" s="102"/>
      <c r="F18" s="103"/>
      <c r="G18" s="55"/>
      <c r="H18" s="55"/>
      <c r="I18" s="55"/>
      <c r="J18" s="134"/>
      <c r="K18" s="133"/>
      <c r="L18" s="134" t="s">
        <v>67</v>
      </c>
      <c r="M18" s="135">
        <f>SUM(L2:R11)*20000</f>
        <v>320000</v>
      </c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20"/>
      <c r="AD18" s="120"/>
      <c r="AE18" s="120"/>
      <c r="AF18" s="57"/>
      <c r="AG18" s="57"/>
      <c r="AH18" s="57"/>
      <c r="AI18" s="57"/>
      <c r="AJ18" s="57"/>
      <c r="AK18" s="57"/>
    </row>
    <row r="19" spans="1:38" ht="20.25" thickTop="1" thickBot="1" x14ac:dyDescent="0.35">
      <c r="A19" s="108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120"/>
      <c r="K19" s="133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20"/>
      <c r="AD19" s="120"/>
      <c r="AE19" s="120"/>
      <c r="AF19" s="57"/>
      <c r="AG19" s="57"/>
      <c r="AH19" s="57"/>
      <c r="AI19" s="57"/>
      <c r="AJ19" s="57"/>
      <c r="AK19" s="57"/>
    </row>
    <row r="20" spans="1:38" ht="19.5" thickTop="1" x14ac:dyDescent="0.3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97"/>
      <c r="I20" s="97"/>
      <c r="J20" s="120"/>
      <c r="K20" s="133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 t="s">
        <v>81</v>
      </c>
      <c r="Z20" s="134"/>
      <c r="AA20" s="134"/>
      <c r="AB20" s="134" t="s">
        <v>132</v>
      </c>
      <c r="AC20" s="120"/>
      <c r="AD20" s="120"/>
      <c r="AE20" s="120"/>
      <c r="AF20" s="57"/>
      <c r="AG20" s="57"/>
      <c r="AH20" s="57"/>
      <c r="AI20" s="57"/>
      <c r="AJ20" s="57"/>
      <c r="AK20" s="57"/>
    </row>
    <row r="21" spans="1:38" ht="18.75" x14ac:dyDescent="0.3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120"/>
      <c r="K21" s="133"/>
      <c r="L21" s="134"/>
      <c r="M21" s="135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 t="s">
        <v>82</v>
      </c>
      <c r="Z21" s="136">
        <f>N35/6000000</f>
        <v>150.78666666666666</v>
      </c>
      <c r="AA21" s="134"/>
      <c r="AB21" s="134">
        <v>197.59333333333333</v>
      </c>
      <c r="AC21" s="120"/>
      <c r="AD21" s="120"/>
      <c r="AE21" s="120"/>
      <c r="AF21" s="57"/>
      <c r="AG21" s="57"/>
      <c r="AH21" s="57"/>
      <c r="AI21" s="57"/>
      <c r="AJ21" s="57"/>
      <c r="AK21" s="57"/>
    </row>
    <row r="22" spans="1:38" ht="18.75" x14ac:dyDescent="0.3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 t="s">
        <v>83</v>
      </c>
      <c r="Z22" s="134">
        <v>0</v>
      </c>
      <c r="AA22" s="134"/>
      <c r="AB22" s="134">
        <v>0</v>
      </c>
      <c r="AC22" s="120"/>
      <c r="AD22" s="120"/>
      <c r="AE22" s="120"/>
      <c r="AF22" s="57"/>
      <c r="AG22" s="57"/>
      <c r="AH22" s="57"/>
      <c r="AI22" s="57"/>
      <c r="AJ22" s="57"/>
      <c r="AK22" s="57"/>
    </row>
    <row r="23" spans="1:38" ht="18.75" x14ac:dyDescent="0.3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J23" s="134"/>
      <c r="K23" s="134"/>
      <c r="L23" s="134"/>
      <c r="M23" s="134"/>
      <c r="N23" s="137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 t="s">
        <v>126</v>
      </c>
      <c r="Z23" s="134">
        <f>Z16*0.1</f>
        <v>10.394177361755327</v>
      </c>
      <c r="AA23" s="134"/>
      <c r="AB23" s="134">
        <v>26.992846461027423</v>
      </c>
      <c r="AC23" s="120"/>
      <c r="AD23" s="120"/>
      <c r="AE23" s="120"/>
      <c r="AF23" s="57"/>
      <c r="AG23" s="57"/>
      <c r="AH23" s="57"/>
      <c r="AI23" s="57"/>
      <c r="AJ23" s="57"/>
      <c r="AK23" s="57"/>
    </row>
    <row r="24" spans="1:38" ht="19.5" thickBot="1" x14ac:dyDescent="0.35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s="97"/>
      <c r="I24" s="97"/>
      <c r="J24" s="134" t="s">
        <v>88</v>
      </c>
      <c r="K24" s="134" t="s">
        <v>123</v>
      </c>
      <c r="L24" s="134"/>
      <c r="M24" s="134" t="s">
        <v>118</v>
      </c>
      <c r="N24" s="134" t="s">
        <v>120</v>
      </c>
      <c r="O24" s="135">
        <f>P13*700000+R13*500000</f>
        <v>1900000</v>
      </c>
      <c r="P24" s="134"/>
      <c r="Q24" s="134"/>
      <c r="R24" s="134"/>
      <c r="S24" s="134"/>
      <c r="T24" s="134"/>
      <c r="U24" s="134"/>
      <c r="V24" s="134"/>
      <c r="W24" s="134"/>
      <c r="X24" s="134"/>
      <c r="Y24" s="134" t="s">
        <v>85</v>
      </c>
      <c r="Z24" s="138">
        <f>SUM(Z21:Z23)</f>
        <v>161.180844028422</v>
      </c>
      <c r="AA24" s="134"/>
      <c r="AB24" s="134">
        <v>224.58617979436076</v>
      </c>
      <c r="AC24" s="120"/>
      <c r="AD24" s="120"/>
      <c r="AE24" s="120"/>
      <c r="AF24" s="57"/>
      <c r="AG24" s="57"/>
      <c r="AH24" s="57"/>
      <c r="AI24" s="57"/>
      <c r="AJ24" s="57"/>
      <c r="AK24" s="57"/>
    </row>
    <row r="25" spans="1:38" ht="19.5" thickTop="1" x14ac:dyDescent="0.3">
      <c r="D25" s="57"/>
      <c r="E25" s="57"/>
      <c r="F25" s="57"/>
      <c r="G25" s="57"/>
      <c r="H25" s="57"/>
      <c r="I25" s="57"/>
      <c r="J25" s="120" t="s">
        <v>89</v>
      </c>
      <c r="K25" s="120">
        <f>IF(NOT((O2+Q2)=0), 1, 0)</f>
        <v>1</v>
      </c>
      <c r="L25" s="139">
        <f>10000*$D$20*K25</f>
        <v>140000000</v>
      </c>
      <c r="M25" s="139">
        <f>((O2*4000+Q2*2000)*$D$20)</f>
        <v>196000000</v>
      </c>
      <c r="N25" s="135" t="s">
        <v>121</v>
      </c>
      <c r="O25" s="135">
        <f>O13*5000+Q13*5000</f>
        <v>45000</v>
      </c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20"/>
      <c r="AE25" s="120"/>
      <c r="AF25" s="57"/>
      <c r="AG25" s="57"/>
      <c r="AH25" s="57"/>
      <c r="AI25" s="57"/>
      <c r="AJ25" s="57"/>
      <c r="AK25" s="57"/>
      <c r="AL25" s="57"/>
    </row>
    <row r="26" spans="1:38" ht="18.75" x14ac:dyDescent="0.3">
      <c r="D26" s="57"/>
      <c r="E26" s="57"/>
      <c r="F26" s="57"/>
      <c r="G26" s="57"/>
      <c r="H26" s="57"/>
      <c r="I26" s="57"/>
      <c r="J26" s="120" t="s">
        <v>90</v>
      </c>
      <c r="K26" s="120">
        <f t="shared" ref="K26:K34" si="6">IF(NOT((O3+Q3)=0), 1, 0)</f>
        <v>0</v>
      </c>
      <c r="L26" s="139">
        <f>K26*10000*$E$20</f>
        <v>0</v>
      </c>
      <c r="M26" s="139">
        <f>((O3*4000+Q3*2000)*E20)</f>
        <v>0</v>
      </c>
      <c r="N26" s="134" t="s">
        <v>67</v>
      </c>
      <c r="O26" s="135">
        <f>SUM(L13:R13)*2*20000</f>
        <v>640000</v>
      </c>
      <c r="P26" s="134" t="s">
        <v>122</v>
      </c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20"/>
      <c r="AE26" s="120"/>
      <c r="AF26" s="57"/>
      <c r="AG26" s="57"/>
      <c r="AH26" s="57"/>
      <c r="AI26" s="57"/>
      <c r="AJ26" s="57"/>
      <c r="AK26" s="57"/>
      <c r="AL26" s="57"/>
    </row>
    <row r="27" spans="1:38" ht="19.5" thickBot="1" x14ac:dyDescent="0.35">
      <c r="J27" s="120" t="s">
        <v>91</v>
      </c>
      <c r="K27" s="120">
        <f t="shared" si="6"/>
        <v>0</v>
      </c>
      <c r="L27" s="139">
        <f>K27*10000*$F$20</f>
        <v>0</v>
      </c>
      <c r="M27" s="139">
        <f>((O4*4000+Q4*2000)*F20)</f>
        <v>0</v>
      </c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57"/>
      <c r="AG27" s="57"/>
    </row>
    <row r="28" spans="1:38" ht="20.25" thickTop="1" thickBot="1" x14ac:dyDescent="0.35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J28" s="120" t="s">
        <v>114</v>
      </c>
      <c r="K28" s="120">
        <f t="shared" si="6"/>
        <v>1</v>
      </c>
      <c r="L28" s="139">
        <f>K28*10000*$B$21</f>
        <v>54000000</v>
      </c>
      <c r="M28" s="139">
        <f>((O5*4000+Q5*2000)*$B$21)</f>
        <v>21600000</v>
      </c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57"/>
      <c r="AG28" s="57"/>
    </row>
    <row r="29" spans="1:38" ht="20.25" thickTop="1" thickBot="1" x14ac:dyDescent="0.35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J29" s="120" t="s">
        <v>92</v>
      </c>
      <c r="K29" s="120">
        <f t="shared" si="6"/>
        <v>0</v>
      </c>
      <c r="L29" s="139">
        <f>K29*10000*$D$21</f>
        <v>0</v>
      </c>
      <c r="M29" s="139">
        <f>(O6*4000+Q6*2000)*$D$21</f>
        <v>0</v>
      </c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57"/>
      <c r="AG29" s="57"/>
    </row>
    <row r="30" spans="1:38" ht="20.25" thickTop="1" thickBot="1" x14ac:dyDescent="0.35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J30" s="120" t="s">
        <v>95</v>
      </c>
      <c r="K30" s="120">
        <f t="shared" si="6"/>
        <v>1</v>
      </c>
      <c r="L30" s="139">
        <f>K30*10000*$E$22</f>
        <v>112000000</v>
      </c>
      <c r="M30" s="139">
        <f>(O7*4000+Q7*2000)*$E$22</f>
        <v>44800000</v>
      </c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57"/>
      <c r="AG30" s="57"/>
    </row>
    <row r="31" spans="1:38" ht="20.25" thickTop="1" thickBot="1" x14ac:dyDescent="0.35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J31" s="120" t="s">
        <v>96</v>
      </c>
      <c r="K31" s="120">
        <f t="shared" si="6"/>
        <v>1</v>
      </c>
      <c r="L31" s="139">
        <f>K31*10000*$F$22</f>
        <v>46000000</v>
      </c>
      <c r="M31" s="139">
        <f>(O8*4000+Q8*2000)*$F$22</f>
        <v>18400000</v>
      </c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57"/>
      <c r="AG31" s="57"/>
    </row>
    <row r="32" spans="1:38" ht="20.25" thickTop="1" thickBot="1" x14ac:dyDescent="0.35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J32" s="120" t="s">
        <v>115</v>
      </c>
      <c r="K32" s="120">
        <f t="shared" si="6"/>
        <v>1</v>
      </c>
      <c r="L32" s="139">
        <f>K32*10000*$C$23</f>
        <v>25000000</v>
      </c>
      <c r="M32" s="139">
        <f>(O9*4000+Q9*2000)*$C$23</f>
        <v>10000000</v>
      </c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1" ht="20.25" thickTop="1" thickBot="1" x14ac:dyDescent="0.35">
      <c r="J33" s="120" t="s">
        <v>116</v>
      </c>
      <c r="K33" s="120">
        <f t="shared" si="6"/>
        <v>0</v>
      </c>
      <c r="L33" s="139">
        <f>K33*10000*$C$24</f>
        <v>0</v>
      </c>
      <c r="M33" s="139">
        <f>(O10*4000+Q10*2000)*$C$24</f>
        <v>0</v>
      </c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</row>
    <row r="34" spans="1:31" ht="50.1" customHeight="1" thickTop="1" thickBot="1" x14ac:dyDescent="0.35">
      <c r="A34" s="88" t="s">
        <v>34</v>
      </c>
      <c r="B34" s="89" t="s">
        <v>35</v>
      </c>
      <c r="E34" s="53" t="s">
        <v>129</v>
      </c>
      <c r="F34" t="s">
        <v>130</v>
      </c>
      <c r="G34" s="53" t="s">
        <v>128</v>
      </c>
      <c r="H34" t="s">
        <v>127</v>
      </c>
      <c r="J34" s="120" t="s">
        <v>117</v>
      </c>
      <c r="K34" s="120">
        <f t="shared" si="6"/>
        <v>0</v>
      </c>
      <c r="L34" s="139">
        <f>K34*10000*$E$24</f>
        <v>0</v>
      </c>
      <c r="M34" s="139">
        <f>(O11*4000+Q11*2000)*$E$24</f>
        <v>0</v>
      </c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1" ht="18.75" x14ac:dyDescent="0.3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J35" s="134"/>
      <c r="K35" s="134"/>
      <c r="L35" s="134"/>
      <c r="M35" s="134" t="s">
        <v>74</v>
      </c>
      <c r="N35" s="139">
        <f>K37+SUM(O24:O25)*120+O26+K17*120</f>
        <v>904720000</v>
      </c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</row>
    <row r="36" spans="1:31" ht="18.75" x14ac:dyDescent="0.3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131</v>
      </c>
      <c r="H36" t="s">
        <v>131</v>
      </c>
      <c r="J36" s="120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</row>
    <row r="37" spans="1:31" ht="18.75" x14ac:dyDescent="0.3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120" t="s">
        <v>119</v>
      </c>
      <c r="K37" s="139">
        <f>SUM(L25:M34)+K16</f>
        <v>667800000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</row>
    <row r="38" spans="1:31" ht="18.75" x14ac:dyDescent="0.3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120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</row>
    <row r="39" spans="1:31" ht="19.5" thickBot="1" x14ac:dyDescent="0.35">
      <c r="A39" s="34" t="s">
        <v>6</v>
      </c>
      <c r="B39" s="17" t="s">
        <v>37</v>
      </c>
      <c r="C39">
        <v>49.57</v>
      </c>
      <c r="D39">
        <v>8.4700000000000006</v>
      </c>
      <c r="E39" s="98" t="s">
        <v>131</v>
      </c>
      <c r="F39" s="98" t="s">
        <v>131</v>
      </c>
      <c r="G39">
        <v>38444</v>
      </c>
      <c r="H39">
        <v>0.25600000000000001</v>
      </c>
      <c r="J39" s="120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</row>
    <row r="40" spans="1:31" ht="20.25" thickTop="1" thickBot="1" x14ac:dyDescent="0.35">
      <c r="J40" s="110" t="s">
        <v>0</v>
      </c>
      <c r="K40" s="111" t="s">
        <v>1</v>
      </c>
      <c r="L40" s="134" t="s">
        <v>65</v>
      </c>
      <c r="M40" s="134" t="s">
        <v>66</v>
      </c>
      <c r="N40" s="134" t="s">
        <v>42</v>
      </c>
      <c r="O40" s="134" t="s">
        <v>124</v>
      </c>
      <c r="P40" s="134" t="s">
        <v>112</v>
      </c>
      <c r="Q40" s="134" t="s">
        <v>113</v>
      </c>
      <c r="R40" s="134" t="s">
        <v>125</v>
      </c>
      <c r="S40" s="134" t="s">
        <v>41</v>
      </c>
      <c r="T40" s="134" t="s">
        <v>76</v>
      </c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</row>
    <row r="41" spans="1:31" ht="18.75" x14ac:dyDescent="0.3">
      <c r="B41" s="15"/>
      <c r="J41" s="114" t="s">
        <v>36</v>
      </c>
      <c r="K41" s="115" t="s">
        <v>39</v>
      </c>
      <c r="L41" s="134">
        <v>250</v>
      </c>
      <c r="M41" s="134">
        <f>T2</f>
        <v>2551.6799999999998</v>
      </c>
      <c r="N41" s="134">
        <f>L41/(M41-L41)</f>
        <v>0.10861631503944945</v>
      </c>
      <c r="O41" s="134">
        <f>V2</f>
        <v>4.6666666666666669E-2</v>
      </c>
      <c r="P41" s="134">
        <f t="shared" ref="P41:Q51" si="7">W2</f>
        <v>0.24</v>
      </c>
      <c r="Q41" s="134">
        <f t="shared" si="7"/>
        <v>1</v>
      </c>
      <c r="R41" s="134">
        <f>1/(M41-L41)+Q41*O41+(1-Q41)*P41</f>
        <v>4.7101131926824469E-2</v>
      </c>
      <c r="S41" s="134">
        <f>L41/M41</f>
        <v>9.7974667669927268E-2</v>
      </c>
      <c r="T41" s="134">
        <f>L41/(L451+$S$12)</f>
        <v>3.5971223021582732E-2</v>
      </c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</row>
    <row r="42" spans="1:31" ht="18.75" x14ac:dyDescent="0.3">
      <c r="J42" s="114" t="s">
        <v>36</v>
      </c>
      <c r="K42" s="115" t="s">
        <v>40</v>
      </c>
      <c r="L42" s="134">
        <v>250</v>
      </c>
      <c r="M42" s="134">
        <f t="shared" ref="M42:M50" si="8">T3</f>
        <v>2000</v>
      </c>
      <c r="N42" s="134">
        <f t="shared" ref="N42:N51" si="9">L42/(M42-L42)</f>
        <v>0.14285714285714285</v>
      </c>
      <c r="O42" s="134">
        <f t="shared" ref="O42:O51" si="10">V3</f>
        <v>2.6333333333333334E-2</v>
      </c>
      <c r="P42" s="134">
        <f t="shared" si="7"/>
        <v>0.24</v>
      </c>
      <c r="Q42" s="134">
        <f t="shared" si="7"/>
        <v>0</v>
      </c>
      <c r="R42" s="134">
        <f t="shared" ref="R42:R51" si="11">1/(M42-L42)+Q42*O42+(1-Q42)*P42</f>
        <v>0.24057142857142857</v>
      </c>
      <c r="S42" s="134">
        <f t="shared" ref="S42:S51" si="12">L42/M42</f>
        <v>0.125</v>
      </c>
      <c r="T42" s="134">
        <f t="shared" ref="T42:T50" si="13">L42/(L452+$S$12)</f>
        <v>3.5971223021582732E-2</v>
      </c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</row>
    <row r="43" spans="1:31" ht="18.75" x14ac:dyDescent="0.3">
      <c r="J43" s="114" t="s">
        <v>36</v>
      </c>
      <c r="K43" s="115" t="s">
        <v>37</v>
      </c>
      <c r="L43" s="134">
        <v>250</v>
      </c>
      <c r="M43" s="134">
        <f t="shared" si="8"/>
        <v>776</v>
      </c>
      <c r="N43" s="134">
        <f t="shared" si="9"/>
        <v>0.47528517110266161</v>
      </c>
      <c r="O43" s="134">
        <f t="shared" si="10"/>
        <v>0.04</v>
      </c>
      <c r="P43" s="134">
        <f t="shared" si="7"/>
        <v>0.24</v>
      </c>
      <c r="Q43" s="134">
        <f t="shared" si="7"/>
        <v>1</v>
      </c>
      <c r="R43" s="134">
        <f t="shared" si="11"/>
        <v>4.190114068441065E-2</v>
      </c>
      <c r="S43" s="134">
        <f t="shared" si="12"/>
        <v>0.32216494845360827</v>
      </c>
      <c r="T43" s="134">
        <f t="shared" si="13"/>
        <v>3.5971223021582732E-2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</row>
    <row r="44" spans="1:31" ht="18.75" x14ac:dyDescent="0.3">
      <c r="J44" s="114" t="s">
        <v>38</v>
      </c>
      <c r="K44" s="115" t="s">
        <v>36</v>
      </c>
      <c r="L44" s="134">
        <v>200</v>
      </c>
      <c r="M44" s="134">
        <f t="shared" si="8"/>
        <v>776</v>
      </c>
      <c r="N44" s="134">
        <f t="shared" si="9"/>
        <v>0.34722222222222221</v>
      </c>
      <c r="O44" s="134">
        <f t="shared" si="10"/>
        <v>1.7999999999999999E-2</v>
      </c>
      <c r="P44" s="134">
        <f t="shared" si="7"/>
        <v>0.24</v>
      </c>
      <c r="Q44" s="134">
        <f t="shared" si="7"/>
        <v>1</v>
      </c>
      <c r="R44" s="134">
        <f t="shared" si="11"/>
        <v>1.9736111111111111E-2</v>
      </c>
      <c r="S44" s="134">
        <f t="shared" si="12"/>
        <v>0.25773195876288657</v>
      </c>
      <c r="T44" s="134">
        <f t="shared" si="13"/>
        <v>2.8776978417266189E-2</v>
      </c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</row>
    <row r="45" spans="1:31" ht="18.75" x14ac:dyDescent="0.3">
      <c r="J45" s="114" t="s">
        <v>38</v>
      </c>
      <c r="K45" s="115" t="s">
        <v>39</v>
      </c>
      <c r="L45" s="134">
        <v>500</v>
      </c>
      <c r="M45" s="134">
        <f t="shared" si="8"/>
        <v>776</v>
      </c>
      <c r="N45" s="134">
        <f t="shared" si="9"/>
        <v>1.8115942028985508</v>
      </c>
      <c r="O45" s="134">
        <f t="shared" si="10"/>
        <v>4.1666666666666664E-2</v>
      </c>
      <c r="P45" s="134">
        <f t="shared" si="7"/>
        <v>0.24</v>
      </c>
      <c r="Q45" s="134">
        <f t="shared" si="7"/>
        <v>1</v>
      </c>
      <c r="R45" s="134">
        <f t="shared" si="11"/>
        <v>4.5289855072463768E-2</v>
      </c>
      <c r="S45" s="134">
        <f t="shared" si="12"/>
        <v>0.64432989690721654</v>
      </c>
      <c r="T45" s="134">
        <f t="shared" si="13"/>
        <v>7.1942446043165464E-2</v>
      </c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</row>
    <row r="46" spans="1:31" ht="18.75" x14ac:dyDescent="0.3">
      <c r="J46" s="114" t="s">
        <v>39</v>
      </c>
      <c r="K46" s="115" t="s">
        <v>40</v>
      </c>
      <c r="L46" s="134">
        <v>500</v>
      </c>
      <c r="M46" s="134">
        <f t="shared" si="8"/>
        <v>776</v>
      </c>
      <c r="N46" s="134">
        <f t="shared" si="9"/>
        <v>1.8115942028985508</v>
      </c>
      <c r="O46" s="134">
        <f t="shared" si="10"/>
        <v>3.7333333333333336E-2</v>
      </c>
      <c r="P46" s="134">
        <f t="shared" si="7"/>
        <v>0.24</v>
      </c>
      <c r="Q46" s="134">
        <f t="shared" si="7"/>
        <v>1</v>
      </c>
      <c r="R46" s="134">
        <f t="shared" si="11"/>
        <v>4.095652173913044E-2</v>
      </c>
      <c r="S46" s="134">
        <f t="shared" si="12"/>
        <v>0.64432989690721654</v>
      </c>
      <c r="T46" s="134">
        <f t="shared" si="13"/>
        <v>7.1942446043165464E-2</v>
      </c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</row>
    <row r="47" spans="1:31" ht="18.75" x14ac:dyDescent="0.3">
      <c r="J47" s="114" t="s">
        <v>39</v>
      </c>
      <c r="K47" s="115" t="s">
        <v>37</v>
      </c>
      <c r="L47" s="134">
        <v>250</v>
      </c>
      <c r="M47" s="134">
        <f t="shared" si="8"/>
        <v>447.36</v>
      </c>
      <c r="N47" s="134">
        <f t="shared" si="9"/>
        <v>1.2667207134171057</v>
      </c>
      <c r="O47" s="134">
        <f t="shared" si="10"/>
        <v>1.5333333333333332E-2</v>
      </c>
      <c r="P47" s="134">
        <f t="shared" si="7"/>
        <v>0.24</v>
      </c>
      <c r="Q47" s="134">
        <f t="shared" si="7"/>
        <v>1</v>
      </c>
      <c r="R47" s="134">
        <f t="shared" si="11"/>
        <v>2.0400216187001757E-2</v>
      </c>
      <c r="S47" s="134">
        <f t="shared" si="12"/>
        <v>0.55883404864091557</v>
      </c>
      <c r="T47" s="134">
        <f t="shared" si="13"/>
        <v>3.5971223021582732E-2</v>
      </c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</row>
    <row r="48" spans="1:31" ht="18.75" x14ac:dyDescent="0.3">
      <c r="J48" s="114" t="s">
        <v>40</v>
      </c>
      <c r="K48" s="115" t="s">
        <v>38</v>
      </c>
      <c r="L48" s="134">
        <v>250</v>
      </c>
      <c r="M48" s="134">
        <f t="shared" si="8"/>
        <v>776</v>
      </c>
      <c r="N48" s="134">
        <f t="shared" si="9"/>
        <v>0.47528517110266161</v>
      </c>
      <c r="O48" s="134">
        <f t="shared" si="10"/>
        <v>8.3333333333333332E-3</v>
      </c>
      <c r="P48" s="134">
        <f t="shared" si="7"/>
        <v>0.24</v>
      </c>
      <c r="Q48" s="134">
        <f t="shared" si="7"/>
        <v>1</v>
      </c>
      <c r="R48" s="134">
        <f t="shared" si="11"/>
        <v>1.023447401774398E-2</v>
      </c>
      <c r="S48" s="134">
        <f t="shared" si="12"/>
        <v>0.32216494845360827</v>
      </c>
      <c r="T48" s="134">
        <f t="shared" si="13"/>
        <v>3.5971223021582732E-2</v>
      </c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</row>
    <row r="49" spans="1:31" ht="18.75" x14ac:dyDescent="0.3">
      <c r="J49" s="114" t="s">
        <v>37</v>
      </c>
      <c r="K49" s="115" t="s">
        <v>38</v>
      </c>
      <c r="L49" s="134">
        <v>50</v>
      </c>
      <c r="M49" s="134">
        <f t="shared" si="8"/>
        <v>223.68</v>
      </c>
      <c r="N49" s="134">
        <f t="shared" si="9"/>
        <v>0.28788576692768308</v>
      </c>
      <c r="O49" s="134">
        <f t="shared" si="10"/>
        <v>2.7333333333333334E-2</v>
      </c>
      <c r="P49" s="134">
        <f t="shared" si="7"/>
        <v>0.24</v>
      </c>
      <c r="Q49" s="134">
        <f t="shared" si="7"/>
        <v>1</v>
      </c>
      <c r="R49" s="134">
        <f t="shared" si="11"/>
        <v>3.3091048671886995E-2</v>
      </c>
      <c r="S49" s="134">
        <f t="shared" si="12"/>
        <v>0.22353361945636624</v>
      </c>
      <c r="T49" s="134">
        <f t="shared" si="13"/>
        <v>7.1942446043165471E-3</v>
      </c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</row>
    <row r="50" spans="1:31" ht="18.75" x14ac:dyDescent="0.3">
      <c r="J50" s="126" t="s">
        <v>37</v>
      </c>
      <c r="K50" s="127" t="s">
        <v>40</v>
      </c>
      <c r="L50" s="134">
        <v>250</v>
      </c>
      <c r="M50" s="134">
        <f t="shared" si="8"/>
        <v>2000</v>
      </c>
      <c r="N50" s="134">
        <f t="shared" si="9"/>
        <v>0.14285714285714285</v>
      </c>
      <c r="O50" s="134">
        <f t="shared" si="10"/>
        <v>2.1999999999999999E-2</v>
      </c>
      <c r="P50" s="134">
        <f t="shared" si="7"/>
        <v>0.24</v>
      </c>
      <c r="Q50" s="134">
        <f t="shared" si="7"/>
        <v>0</v>
      </c>
      <c r="R50" s="134">
        <f t="shared" si="11"/>
        <v>0.24057142857142857</v>
      </c>
      <c r="S50" s="134">
        <f t="shared" si="12"/>
        <v>0.125</v>
      </c>
      <c r="T50" s="134">
        <f t="shared" si="13"/>
        <v>3.5971223021582732E-2</v>
      </c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</row>
    <row r="51" spans="1:31" ht="18.75" x14ac:dyDescent="0.3">
      <c r="J51" s="134"/>
      <c r="K51" s="134"/>
      <c r="L51" s="134">
        <f>SUM(L41:L50)</f>
        <v>2750</v>
      </c>
      <c r="M51" s="134">
        <f>SUM(M41:M50)</f>
        <v>11102.720000000001</v>
      </c>
      <c r="N51" s="134">
        <f t="shared" si="9"/>
        <v>0.32923406985987791</v>
      </c>
      <c r="O51" s="134">
        <f t="shared" si="10"/>
        <v>0</v>
      </c>
      <c r="P51" s="134">
        <f t="shared" si="7"/>
        <v>0</v>
      </c>
      <c r="Q51" s="134">
        <f t="shared" si="7"/>
        <v>0</v>
      </c>
      <c r="R51" s="134">
        <f t="shared" si="11"/>
        <v>1.1972147994904652E-4</v>
      </c>
      <c r="S51" s="134">
        <f t="shared" si="12"/>
        <v>0.24768705326262391</v>
      </c>
      <c r="T51" s="134">
        <f>SUM(T41:T50)</f>
        <v>0.39568345323741005</v>
      </c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</row>
    <row r="56" spans="1:31" ht="15.75" thickBot="1" x14ac:dyDescent="0.3"/>
    <row r="57" spans="1:31" ht="16.5" thickTop="1" thickBot="1" x14ac:dyDescent="0.3">
      <c r="A57" s="79"/>
      <c r="B57" s="80"/>
      <c r="C57" s="81"/>
    </row>
    <row r="58" spans="1:31" ht="16.5" thickTop="1" thickBot="1" x14ac:dyDescent="0.3">
      <c r="A58" s="82"/>
      <c r="B58" s="83"/>
      <c r="C58" s="84"/>
    </row>
    <row r="59" spans="1:31" ht="16.5" thickTop="1" thickBot="1" x14ac:dyDescent="0.3">
      <c r="A59" s="82"/>
      <c r="B59" s="83"/>
      <c r="C59" s="84"/>
    </row>
    <row r="60" spans="1:31" ht="16.5" thickTop="1" thickBot="1" x14ac:dyDescent="0.3">
      <c r="A60" s="82"/>
      <c r="B60" s="83"/>
      <c r="C60" s="84"/>
    </row>
    <row r="61" spans="1:31" ht="16.5" thickTop="1" thickBot="1" x14ac:dyDescent="0.3">
      <c r="A61" s="85"/>
      <c r="B61" s="86"/>
      <c r="C61" s="87"/>
    </row>
    <row r="62" spans="1:31" ht="15.75" thickTop="1" x14ac:dyDescent="0.25"/>
  </sheetData>
  <mergeCells count="3">
    <mergeCell ref="J15:N15"/>
    <mergeCell ref="A18:A19"/>
    <mergeCell ref="B18:F18"/>
  </mergeCells>
  <conditionalFormatting sqref="Z2:Z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L62"/>
  <sheetViews>
    <sheetView topLeftCell="G1" zoomScale="64" zoomScaleNormal="55" workbookViewId="0">
      <selection activeCell="AE9" sqref="AE9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3" width="10.140625" customWidth="1"/>
    <col min="24" max="24" width="14.7109375" customWidth="1"/>
    <col min="25" max="25" width="21.5703125" bestFit="1" customWidth="1"/>
    <col min="26" max="26" width="12.85546875" customWidth="1"/>
    <col min="27" max="27" width="7.7109375" customWidth="1"/>
    <col min="28" max="28" width="8.85546875" customWidth="1"/>
    <col min="29" max="29" width="4" customWidth="1"/>
    <col min="30" max="30" width="34.42578125" bestFit="1" customWidth="1"/>
    <col min="31" max="31" width="18.42578125" bestFit="1" customWidth="1"/>
    <col min="32" max="32" width="10.7109375" bestFit="1" customWidth="1"/>
    <col min="33" max="33" width="6.5703125" bestFit="1" customWidth="1"/>
    <col min="34" max="34" width="8.5703125" bestFit="1" customWidth="1"/>
    <col min="35" max="35" width="10.5703125" bestFit="1" customWidth="1"/>
    <col min="36" max="37" width="4" customWidth="1"/>
  </cols>
  <sheetData>
    <row r="1" spans="1:37" s="53" customFormat="1" ht="31.5" thickTop="1" thickBot="1" x14ac:dyDescent="0.3">
      <c r="A1" s="51" t="s">
        <v>34</v>
      </c>
      <c r="B1" s="52" t="s">
        <v>35</v>
      </c>
      <c r="D1" s="31"/>
      <c r="J1" s="67" t="s">
        <v>0</v>
      </c>
      <c r="K1" s="68" t="s">
        <v>1</v>
      </c>
      <c r="L1" s="68" t="s">
        <v>52</v>
      </c>
      <c r="M1" s="68" t="s">
        <v>53</v>
      </c>
      <c r="N1" s="68" t="s">
        <v>54</v>
      </c>
      <c r="O1" s="68" t="s">
        <v>15</v>
      </c>
      <c r="P1" s="68" t="s">
        <v>16</v>
      </c>
      <c r="Q1" s="68" t="s">
        <v>55</v>
      </c>
      <c r="R1" s="68" t="s">
        <v>56</v>
      </c>
      <c r="S1" s="68" t="s">
        <v>65</v>
      </c>
      <c r="T1" s="68" t="s">
        <v>66</v>
      </c>
      <c r="U1" s="68" t="s">
        <v>42</v>
      </c>
      <c r="V1" s="68" t="s">
        <v>111</v>
      </c>
      <c r="W1" s="68" t="s">
        <v>112</v>
      </c>
      <c r="X1" s="68" t="s">
        <v>113</v>
      </c>
      <c r="Y1" s="68" t="s">
        <v>57</v>
      </c>
      <c r="Z1" s="69" t="s">
        <v>41</v>
      </c>
      <c r="AA1" s="31" t="s">
        <v>75</v>
      </c>
      <c r="AB1" s="31" t="s">
        <v>76</v>
      </c>
      <c r="AC1" s="31"/>
      <c r="AD1" s="31" t="s">
        <v>0</v>
      </c>
      <c r="AE1" s="31" t="s">
        <v>1</v>
      </c>
      <c r="AF1" s="31"/>
      <c r="AG1" s="31"/>
      <c r="AH1" s="31"/>
      <c r="AI1" s="31"/>
      <c r="AJ1" s="31"/>
      <c r="AK1" s="31"/>
    </row>
    <row r="2" spans="1:37" ht="19.5" thickBot="1" x14ac:dyDescent="0.3">
      <c r="A2" s="33" t="s">
        <v>2</v>
      </c>
      <c r="B2" s="16" t="s">
        <v>36</v>
      </c>
      <c r="D2" s="57"/>
      <c r="J2" s="91" t="s">
        <v>36</v>
      </c>
      <c r="K2" s="92" t="s">
        <v>39</v>
      </c>
      <c r="L2" s="116">
        <v>0</v>
      </c>
      <c r="M2" s="116">
        <v>0</v>
      </c>
      <c r="N2" s="116">
        <v>0</v>
      </c>
      <c r="O2" s="116">
        <v>3</v>
      </c>
      <c r="P2" s="116">
        <v>0</v>
      </c>
      <c r="Q2" s="116">
        <v>1</v>
      </c>
      <c r="R2" s="116">
        <v>0</v>
      </c>
      <c r="S2" s="71">
        <v>2500</v>
      </c>
      <c r="T2" s="71">
        <f t="array" ref="T2">SUMPRODUCT(L2:R2,TRANSPOSE($AE$10:$AE$16))*1000000/20000</f>
        <v>2551.6799999999998</v>
      </c>
      <c r="U2" s="61">
        <f>S2/(T2-S2)</f>
        <v>48.37461300309613</v>
      </c>
      <c r="V2" s="62">
        <f>D20*1000/(3*10^8)</f>
        <v>4.6666666666666669E-2</v>
      </c>
      <c r="W2" s="62">
        <v>0.24</v>
      </c>
      <c r="X2" s="62">
        <f t="array" ref="X2">SUMPRODUCT(O2:R2, TRANSPOSE($AE$13:$AE$16))*(1000000/20000)/T2</f>
        <v>1</v>
      </c>
      <c r="Y2" s="62">
        <f>1/(T2-S2)+X2*V2+(1-X2)*W2</f>
        <v>6.6016511867905123E-2</v>
      </c>
      <c r="Z2" s="63">
        <f t="shared" ref="Z2:Z12" si="0">S2/T2</f>
        <v>0.97974667669927273</v>
      </c>
      <c r="AA2" s="57">
        <f t="shared" ref="AA2:AA12" si="1">IF(S2=T2,1,0)</f>
        <v>0</v>
      </c>
      <c r="AB2" s="57">
        <f>S2/($S$12+$L$51)</f>
        <v>0.22831050228310501</v>
      </c>
      <c r="AC2" s="57"/>
      <c r="AD2" s="57"/>
      <c r="AE2" s="57" t="s">
        <v>2</v>
      </c>
      <c r="AF2" s="57" t="s">
        <v>3</v>
      </c>
      <c r="AG2" s="57" t="s">
        <v>4</v>
      </c>
      <c r="AH2" s="57" t="s">
        <v>5</v>
      </c>
      <c r="AI2" s="57" t="s">
        <v>6</v>
      </c>
      <c r="AJ2" s="57"/>
      <c r="AK2" s="57"/>
    </row>
    <row r="3" spans="1:37" ht="19.5" thickTop="1" x14ac:dyDescent="0.25">
      <c r="A3" s="33" t="s">
        <v>3</v>
      </c>
      <c r="B3" s="16" t="s">
        <v>38</v>
      </c>
      <c r="D3" s="57"/>
      <c r="J3" s="91" t="s">
        <v>36</v>
      </c>
      <c r="K3" s="92" t="s">
        <v>40</v>
      </c>
      <c r="L3" s="116">
        <v>2</v>
      </c>
      <c r="M3" s="116">
        <v>0</v>
      </c>
      <c r="N3" s="116">
        <v>0</v>
      </c>
      <c r="O3" s="116">
        <v>0</v>
      </c>
      <c r="P3" s="116">
        <v>0</v>
      </c>
      <c r="Q3" s="116">
        <v>0</v>
      </c>
      <c r="R3" s="116">
        <v>0</v>
      </c>
      <c r="S3" s="71">
        <v>1000</v>
      </c>
      <c r="T3" s="71">
        <f t="array" ref="T3">SUMPRODUCT(L3:R3,TRANSPOSE($AE$10:$AE$16))*1000000/20000</f>
        <v>2000</v>
      </c>
      <c r="U3" s="61">
        <f t="shared" ref="U3:U12" si="2">S3/(T3-S3)</f>
        <v>1</v>
      </c>
      <c r="V3" s="62">
        <f>E20*1000/(3*10^8)</f>
        <v>2.6333333333333334E-2</v>
      </c>
      <c r="W3" s="62">
        <v>0.24</v>
      </c>
      <c r="X3" s="62">
        <f t="array" ref="X3">SUMPRODUCT(O3:R3, TRANSPOSE($AE$13:$AE$16))*(1000000/20000)/T3</f>
        <v>0</v>
      </c>
      <c r="Y3" s="62">
        <f>1/(T3-S3)+X3*V3+(1-X3)*W3</f>
        <v>0.24099999999999999</v>
      </c>
      <c r="Z3" s="63">
        <f t="shared" si="0"/>
        <v>0.5</v>
      </c>
      <c r="AA3" s="57">
        <f t="shared" si="1"/>
        <v>0</v>
      </c>
      <c r="AB3" s="57">
        <f t="shared" ref="AB3:AB11" si="3">S3/($S$12+$L$51)</f>
        <v>9.1324200913242004E-2</v>
      </c>
      <c r="AC3" s="57"/>
      <c r="AD3" s="57" t="s">
        <v>2</v>
      </c>
      <c r="AE3" s="7">
        <v>0</v>
      </c>
      <c r="AF3" s="8">
        <v>200</v>
      </c>
      <c r="AG3" s="8">
        <v>2500</v>
      </c>
      <c r="AH3" s="8">
        <v>1000</v>
      </c>
      <c r="AI3" s="9">
        <v>250</v>
      </c>
      <c r="AJ3" s="57"/>
      <c r="AK3" s="57"/>
    </row>
    <row r="4" spans="1:37" ht="18.75" x14ac:dyDescent="0.25">
      <c r="A4" s="33" t="s">
        <v>4</v>
      </c>
      <c r="B4" s="16" t="s">
        <v>39</v>
      </c>
      <c r="D4" s="57"/>
      <c r="J4" s="91" t="s">
        <v>36</v>
      </c>
      <c r="K4" s="92" t="s">
        <v>37</v>
      </c>
      <c r="L4" s="116">
        <v>0</v>
      </c>
      <c r="M4" s="116">
        <v>0</v>
      </c>
      <c r="N4" s="116">
        <v>0</v>
      </c>
      <c r="O4" s="116">
        <v>0</v>
      </c>
      <c r="P4" s="116">
        <v>1</v>
      </c>
      <c r="Q4" s="116">
        <v>0</v>
      </c>
      <c r="R4" s="116">
        <v>0</v>
      </c>
      <c r="S4" s="71">
        <v>250</v>
      </c>
      <c r="T4" s="71">
        <f t="array" ref="T4">SUMPRODUCT(L4:R4,TRANSPOSE($AE$10:$AE$16))*1000000/20000</f>
        <v>776</v>
      </c>
      <c r="U4" s="61">
        <f t="shared" si="2"/>
        <v>0.47528517110266161</v>
      </c>
      <c r="V4" s="62">
        <f>F20*1000/(3*10^8)</f>
        <v>0.04</v>
      </c>
      <c r="W4" s="62">
        <v>0.24</v>
      </c>
      <c r="X4" s="62">
        <f t="array" ref="X4">SUMPRODUCT(O4:R4, TRANSPOSE($AE$13:$AE$16))*(1000000/20000)/T4</f>
        <v>1</v>
      </c>
      <c r="Y4" s="62">
        <f t="shared" ref="Y4:Y11" si="4">1/(T4-S4)+X4*V4+(1-X4)*W4</f>
        <v>4.190114068441065E-2</v>
      </c>
      <c r="Z4" s="63">
        <f t="shared" si="0"/>
        <v>0.32216494845360827</v>
      </c>
      <c r="AA4" s="57">
        <f t="shared" si="1"/>
        <v>0</v>
      </c>
      <c r="AB4" s="57">
        <f t="shared" si="3"/>
        <v>2.2831050228310501E-2</v>
      </c>
      <c r="AC4" s="57"/>
      <c r="AD4" s="57" t="s">
        <v>3</v>
      </c>
      <c r="AE4" s="6">
        <v>250</v>
      </c>
      <c r="AF4" s="1">
        <v>0</v>
      </c>
      <c r="AG4" s="1">
        <v>500</v>
      </c>
      <c r="AH4" s="1">
        <v>250</v>
      </c>
      <c r="AI4" s="1">
        <v>50</v>
      </c>
      <c r="AJ4" s="57"/>
      <c r="AK4" s="57"/>
    </row>
    <row r="5" spans="1:37" ht="18.75" x14ac:dyDescent="0.25">
      <c r="A5" s="33" t="s">
        <v>5</v>
      </c>
      <c r="B5" s="16" t="s">
        <v>40</v>
      </c>
      <c r="D5" s="57"/>
      <c r="J5" s="91" t="s">
        <v>38</v>
      </c>
      <c r="K5" s="92" t="s">
        <v>36</v>
      </c>
      <c r="L5" s="116">
        <v>0</v>
      </c>
      <c r="M5" s="116">
        <v>0</v>
      </c>
      <c r="N5" s="116">
        <v>0</v>
      </c>
      <c r="O5" s="116">
        <v>1</v>
      </c>
      <c r="P5" s="116">
        <v>0</v>
      </c>
      <c r="Q5" s="116">
        <v>0</v>
      </c>
      <c r="R5" s="116">
        <v>0</v>
      </c>
      <c r="S5" s="71">
        <v>250</v>
      </c>
      <c r="T5" s="71">
        <f t="array" ref="T5">SUMPRODUCT(L5:R5,TRANSPOSE($AE$10:$AE$16))*1000000/20000</f>
        <v>776</v>
      </c>
      <c r="U5" s="61">
        <f t="shared" si="2"/>
        <v>0.47528517110266161</v>
      </c>
      <c r="V5" s="62">
        <f>B21*1000/(3*10^8)</f>
        <v>1.7999999999999999E-2</v>
      </c>
      <c r="W5" s="62">
        <v>0.24</v>
      </c>
      <c r="X5" s="62">
        <f t="array" ref="X5">SUMPRODUCT(O5:R5, TRANSPOSE($AE$13:$AE$16))*(1000000/20000)/T5</f>
        <v>1</v>
      </c>
      <c r="Y5" s="62">
        <f t="shared" si="4"/>
        <v>1.9901140684410644E-2</v>
      </c>
      <c r="Z5" s="63">
        <f t="shared" si="0"/>
        <v>0.32216494845360827</v>
      </c>
      <c r="AA5" s="57">
        <f t="shared" si="1"/>
        <v>0</v>
      </c>
      <c r="AB5" s="57">
        <f t="shared" si="3"/>
        <v>2.2831050228310501E-2</v>
      </c>
      <c r="AC5" s="57"/>
      <c r="AD5" s="57" t="s">
        <v>4</v>
      </c>
      <c r="AE5" s="1">
        <v>250</v>
      </c>
      <c r="AF5" s="1">
        <v>500</v>
      </c>
      <c r="AG5" s="1">
        <v>0</v>
      </c>
      <c r="AH5" s="1">
        <v>500</v>
      </c>
      <c r="AI5" s="1">
        <v>250</v>
      </c>
      <c r="AJ5" s="57"/>
      <c r="AK5" s="57"/>
    </row>
    <row r="6" spans="1:37" ht="19.5" thickBot="1" x14ac:dyDescent="0.3">
      <c r="A6" s="34" t="s">
        <v>6</v>
      </c>
      <c r="B6" s="17" t="s">
        <v>37</v>
      </c>
      <c r="D6" s="57"/>
      <c r="J6" s="91" t="s">
        <v>38</v>
      </c>
      <c r="K6" s="92" t="s">
        <v>39</v>
      </c>
      <c r="L6" s="116">
        <v>0</v>
      </c>
      <c r="M6" s="116">
        <v>0</v>
      </c>
      <c r="N6" s="116">
        <v>0</v>
      </c>
      <c r="O6" s="116">
        <v>0</v>
      </c>
      <c r="P6" s="116">
        <v>2</v>
      </c>
      <c r="Q6" s="116">
        <v>0</v>
      </c>
      <c r="R6" s="116">
        <v>0</v>
      </c>
      <c r="S6" s="71">
        <v>1000</v>
      </c>
      <c r="T6" s="71">
        <f t="array" ref="T6">SUMPRODUCT(L6:R6,TRANSPOSE($AE$10:$AE$16))*1000000/20000</f>
        <v>1552</v>
      </c>
      <c r="U6" s="61">
        <f t="shared" si="2"/>
        <v>1.8115942028985508</v>
      </c>
      <c r="V6" s="62">
        <f>D21*1000/(3*10^8)</f>
        <v>4.1666666666666664E-2</v>
      </c>
      <c r="W6" s="62">
        <v>0.24</v>
      </c>
      <c r="X6" s="62">
        <f t="array" ref="X6">SUMPRODUCT(O6:R6, TRANSPOSE($AE$13:$AE$16))*(1000000/20000)/T6</f>
        <v>1</v>
      </c>
      <c r="Y6" s="62">
        <f t="shared" si="4"/>
        <v>4.3478260869565216E-2</v>
      </c>
      <c r="Z6" s="63">
        <f t="shared" si="0"/>
        <v>0.64432989690721654</v>
      </c>
      <c r="AA6" s="57">
        <f t="shared" si="1"/>
        <v>0</v>
      </c>
      <c r="AB6" s="57">
        <f t="shared" si="3"/>
        <v>9.1324200913242004E-2</v>
      </c>
      <c r="AC6" s="57"/>
      <c r="AD6" s="57" t="s">
        <v>5</v>
      </c>
      <c r="AE6" s="1">
        <v>250</v>
      </c>
      <c r="AF6" s="1">
        <v>500</v>
      </c>
      <c r="AG6" s="1">
        <v>500</v>
      </c>
      <c r="AH6" s="1">
        <v>0</v>
      </c>
      <c r="AI6" s="1">
        <v>250</v>
      </c>
      <c r="AJ6" s="57"/>
      <c r="AK6" s="57"/>
    </row>
    <row r="7" spans="1:37" ht="20.25" thickTop="1" thickBot="1" x14ac:dyDescent="0.3">
      <c r="D7" s="57"/>
      <c r="J7" s="91" t="s">
        <v>39</v>
      </c>
      <c r="K7" s="92" t="s">
        <v>40</v>
      </c>
      <c r="L7" s="116">
        <v>0</v>
      </c>
      <c r="M7" s="116">
        <v>0</v>
      </c>
      <c r="N7" s="116">
        <v>0</v>
      </c>
      <c r="O7" s="116">
        <v>0</v>
      </c>
      <c r="P7" s="116">
        <v>0</v>
      </c>
      <c r="Q7" s="116">
        <v>0</v>
      </c>
      <c r="R7" s="116">
        <v>0</v>
      </c>
      <c r="S7" s="71">
        <v>0</v>
      </c>
      <c r="T7" s="71">
        <v>0</v>
      </c>
      <c r="U7" s="61">
        <v>0</v>
      </c>
      <c r="V7" s="62">
        <v>0</v>
      </c>
      <c r="W7" s="62">
        <v>0</v>
      </c>
      <c r="X7" s="62">
        <v>0</v>
      </c>
      <c r="Y7" s="62">
        <v>0</v>
      </c>
      <c r="Z7" s="63">
        <v>0</v>
      </c>
      <c r="AA7" s="57">
        <v>0</v>
      </c>
      <c r="AB7" s="57">
        <f t="shared" si="3"/>
        <v>0</v>
      </c>
      <c r="AC7" s="57"/>
      <c r="AD7" s="57" t="s">
        <v>6</v>
      </c>
      <c r="AE7" s="11">
        <v>250</v>
      </c>
      <c r="AF7" s="1">
        <v>200</v>
      </c>
      <c r="AG7" s="1">
        <v>250</v>
      </c>
      <c r="AH7" s="4">
        <v>1000</v>
      </c>
      <c r="AI7" s="4">
        <v>0</v>
      </c>
      <c r="AJ7" s="57"/>
      <c r="AK7" s="57"/>
    </row>
    <row r="8" spans="1:37" ht="19.5" thickTop="1" x14ac:dyDescent="0.25">
      <c r="A8" t="s">
        <v>11</v>
      </c>
      <c r="B8" t="s">
        <v>22</v>
      </c>
      <c r="C8" t="s">
        <v>19</v>
      </c>
      <c r="D8" s="57" t="s">
        <v>20</v>
      </c>
      <c r="J8" s="91" t="s">
        <v>39</v>
      </c>
      <c r="K8" s="92" t="s">
        <v>37</v>
      </c>
      <c r="L8" s="116">
        <v>0</v>
      </c>
      <c r="M8" s="116">
        <v>0</v>
      </c>
      <c r="N8" s="116">
        <v>0</v>
      </c>
      <c r="O8" s="116">
        <v>1</v>
      </c>
      <c r="P8" s="116">
        <v>0</v>
      </c>
      <c r="Q8" s="116">
        <v>0</v>
      </c>
      <c r="R8" s="116">
        <v>0</v>
      </c>
      <c r="S8" s="71">
        <v>250</v>
      </c>
      <c r="T8" s="71">
        <f t="array" ref="T8">SUMPRODUCT(L8:R8,TRANSPOSE($AE$10:$AE$16))*1000000/20000</f>
        <v>776</v>
      </c>
      <c r="U8" s="61">
        <f t="shared" si="2"/>
        <v>0.47528517110266161</v>
      </c>
      <c r="V8" s="62">
        <f>F22*1000/(3*10^8)</f>
        <v>1.5333333333333332E-2</v>
      </c>
      <c r="W8" s="62">
        <v>0.24</v>
      </c>
      <c r="X8" s="62">
        <f t="array" ref="X8">SUMPRODUCT(O8:R8, TRANSPOSE($AE$13:$AE$16))*(1000000/20000)/T8</f>
        <v>1</v>
      </c>
      <c r="Y8" s="62">
        <f t="shared" si="4"/>
        <v>1.723447401774398E-2</v>
      </c>
      <c r="Z8" s="63">
        <f t="shared" si="0"/>
        <v>0.32216494845360827</v>
      </c>
      <c r="AA8" s="57">
        <f t="shared" si="1"/>
        <v>0</v>
      </c>
      <c r="AB8" s="57">
        <f t="shared" si="3"/>
        <v>2.2831050228310501E-2</v>
      </c>
      <c r="AC8" s="57"/>
      <c r="AD8" s="57"/>
      <c r="AE8" s="57"/>
      <c r="AF8" s="57"/>
      <c r="AG8" s="57"/>
      <c r="AH8" s="57"/>
      <c r="AI8" s="57"/>
      <c r="AJ8" s="57"/>
      <c r="AK8" s="57"/>
    </row>
    <row r="9" spans="1:37" ht="18.75" x14ac:dyDescent="0.25">
      <c r="A9" t="s">
        <v>12</v>
      </c>
      <c r="B9">
        <v>20</v>
      </c>
      <c r="C9" t="s">
        <v>25</v>
      </c>
      <c r="D9" s="57" t="s">
        <v>30</v>
      </c>
      <c r="J9" s="91" t="s">
        <v>40</v>
      </c>
      <c r="K9" s="92" t="s">
        <v>38</v>
      </c>
      <c r="L9" s="116">
        <v>0</v>
      </c>
      <c r="M9" s="116">
        <v>0</v>
      </c>
      <c r="N9" s="116">
        <v>0</v>
      </c>
      <c r="O9" s="116">
        <v>2</v>
      </c>
      <c r="P9" s="116">
        <v>0</v>
      </c>
      <c r="Q9" s="116">
        <v>0</v>
      </c>
      <c r="R9" s="116">
        <v>0</v>
      </c>
      <c r="S9" s="71">
        <v>1200</v>
      </c>
      <c r="T9" s="71">
        <f t="array" ref="T9">SUMPRODUCT(L9:R9,TRANSPOSE($AE$10:$AE$16))*1000000/20000</f>
        <v>1552</v>
      </c>
      <c r="U9" s="61">
        <f t="shared" si="2"/>
        <v>3.4090909090909092</v>
      </c>
      <c r="V9" s="62">
        <f>C23*1000/(3*10^8)</f>
        <v>8.3333333333333332E-3</v>
      </c>
      <c r="W9" s="62">
        <v>0.24</v>
      </c>
      <c r="X9" s="62">
        <f t="array" ref="X9">SUMPRODUCT(O9:R9, TRANSPOSE($AE$13:$AE$16))*(1000000/20000)/T9</f>
        <v>1</v>
      </c>
      <c r="Y9" s="62">
        <f t="shared" si="4"/>
        <v>1.1174242424242423E-2</v>
      </c>
      <c r="Z9" s="63">
        <f t="shared" si="0"/>
        <v>0.77319587628865982</v>
      </c>
      <c r="AA9" s="57">
        <f t="shared" si="1"/>
        <v>0</v>
      </c>
      <c r="AB9" s="57">
        <f t="shared" si="3"/>
        <v>0.1095890410958904</v>
      </c>
      <c r="AC9" s="57"/>
      <c r="AD9" s="57" t="s">
        <v>11</v>
      </c>
      <c r="AE9" s="57" t="s">
        <v>22</v>
      </c>
      <c r="AF9" s="57"/>
      <c r="AG9" s="57"/>
      <c r="AH9" s="57"/>
      <c r="AI9" s="57"/>
      <c r="AJ9" s="57"/>
      <c r="AK9" s="57"/>
    </row>
    <row r="10" spans="1:37" ht="18.75" x14ac:dyDescent="0.25">
      <c r="A10" t="s">
        <v>13</v>
      </c>
      <c r="B10">
        <v>20</v>
      </c>
      <c r="C10" t="s">
        <v>26</v>
      </c>
      <c r="D10" s="57" t="s">
        <v>30</v>
      </c>
      <c r="J10" s="91" t="s">
        <v>37</v>
      </c>
      <c r="K10" s="92" t="s">
        <v>38</v>
      </c>
      <c r="L10" s="116">
        <v>0</v>
      </c>
      <c r="M10" s="116">
        <v>0</v>
      </c>
      <c r="N10" s="116">
        <v>0</v>
      </c>
      <c r="O10" s="116">
        <v>0</v>
      </c>
      <c r="P10" s="116">
        <v>0</v>
      </c>
      <c r="Q10" s="116">
        <v>0</v>
      </c>
      <c r="R10" s="116">
        <v>0</v>
      </c>
      <c r="S10" s="71">
        <v>0</v>
      </c>
      <c r="T10" s="71">
        <f t="array" ref="T10">SUMPRODUCT(L10:R10,TRANSPOSE($AE$10:$AE$16))*1000000/20000</f>
        <v>0</v>
      </c>
      <c r="U10" s="61">
        <v>0</v>
      </c>
      <c r="V10" s="62">
        <v>0</v>
      </c>
      <c r="W10" s="62">
        <v>0</v>
      </c>
      <c r="X10" s="62">
        <v>0</v>
      </c>
      <c r="Y10" s="62">
        <v>0</v>
      </c>
      <c r="Z10" s="63">
        <v>0</v>
      </c>
      <c r="AA10" s="57">
        <f t="shared" si="1"/>
        <v>1</v>
      </c>
      <c r="AB10" s="57">
        <f t="shared" si="3"/>
        <v>0</v>
      </c>
      <c r="AC10" s="57"/>
      <c r="AD10" s="57" t="s">
        <v>12</v>
      </c>
      <c r="AE10" s="54">
        <v>20</v>
      </c>
      <c r="AF10" s="57"/>
      <c r="AG10" s="57"/>
      <c r="AH10" s="57"/>
      <c r="AI10" s="57"/>
      <c r="AJ10" s="57"/>
      <c r="AK10" s="57"/>
    </row>
    <row r="11" spans="1:37" ht="18.75" x14ac:dyDescent="0.25">
      <c r="A11" t="s">
        <v>14</v>
      </c>
      <c r="B11">
        <v>5</v>
      </c>
      <c r="C11" t="s">
        <v>27</v>
      </c>
      <c r="D11" s="57" t="s">
        <v>31</v>
      </c>
      <c r="J11" s="93" t="s">
        <v>37</v>
      </c>
      <c r="K11" s="94" t="s">
        <v>40</v>
      </c>
      <c r="L11" s="116">
        <v>2</v>
      </c>
      <c r="M11" s="116">
        <v>0</v>
      </c>
      <c r="N11" s="116">
        <v>0</v>
      </c>
      <c r="O11" s="116">
        <v>0</v>
      </c>
      <c r="P11" s="116">
        <v>0</v>
      </c>
      <c r="Q11" s="116">
        <v>0</v>
      </c>
      <c r="R11" s="116">
        <v>0</v>
      </c>
      <c r="S11" s="71">
        <v>1200</v>
      </c>
      <c r="T11" s="71">
        <f t="array" ref="T11">SUMPRODUCT(L11:R11,TRANSPOSE($AE$10:$AE$16))*1000000/20000</f>
        <v>2000</v>
      </c>
      <c r="U11" s="61">
        <f t="shared" si="2"/>
        <v>1.5</v>
      </c>
      <c r="V11" s="62">
        <f>E24*1000/(3*10^8)</f>
        <v>2.1999999999999999E-2</v>
      </c>
      <c r="W11" s="62">
        <v>0.24</v>
      </c>
      <c r="X11" s="62">
        <f t="array" ref="X11">SUMPRODUCT(O11:R11, TRANSPOSE($AE$13:$AE$16))*(1000000/20000)/T11</f>
        <v>0</v>
      </c>
      <c r="Y11" s="62">
        <f t="shared" si="4"/>
        <v>0.24124999999999999</v>
      </c>
      <c r="Z11" s="63">
        <f t="shared" si="0"/>
        <v>0.6</v>
      </c>
      <c r="AA11" s="57">
        <f t="shared" si="1"/>
        <v>0</v>
      </c>
      <c r="AB11" s="57">
        <f t="shared" si="3"/>
        <v>0.1095890410958904</v>
      </c>
      <c r="AC11" s="57"/>
      <c r="AD11" s="57" t="s">
        <v>13</v>
      </c>
      <c r="AE11" s="54">
        <v>20</v>
      </c>
      <c r="AF11" s="57"/>
      <c r="AG11" s="57"/>
      <c r="AH11" s="57"/>
      <c r="AI11" s="57"/>
      <c r="AJ11" s="57"/>
      <c r="AK11" s="57"/>
    </row>
    <row r="12" spans="1:37" x14ac:dyDescent="0.25">
      <c r="A12" t="s">
        <v>15</v>
      </c>
      <c r="B12">
        <v>15.52</v>
      </c>
      <c r="C12" t="s">
        <v>28</v>
      </c>
      <c r="D12" s="57" t="s">
        <v>32</v>
      </c>
      <c r="J12" s="64"/>
      <c r="K12" s="65"/>
      <c r="L12" s="65"/>
      <c r="M12" s="65"/>
      <c r="N12" s="65"/>
      <c r="O12" s="65"/>
      <c r="P12" s="65"/>
      <c r="Q12" s="65"/>
      <c r="R12" s="65"/>
      <c r="S12" s="72">
        <f>SUM(S2:S11)</f>
        <v>7650</v>
      </c>
      <c r="T12" s="72">
        <f>SUM(T2:T11)</f>
        <v>11983.68</v>
      </c>
      <c r="U12" s="64">
        <f t="shared" si="2"/>
        <v>1.7652433959129423</v>
      </c>
      <c r="V12" s="62"/>
      <c r="W12" s="65"/>
      <c r="X12" s="62"/>
      <c r="Y12" s="65">
        <f>1/(T12-S12)</f>
        <v>2.3075077070757415E-4</v>
      </c>
      <c r="Z12" s="66">
        <f t="shared" si="0"/>
        <v>0.63836818072578705</v>
      </c>
      <c r="AA12" s="57">
        <f t="shared" si="1"/>
        <v>0</v>
      </c>
      <c r="AB12" s="57"/>
      <c r="AC12" s="57"/>
      <c r="AD12" s="57" t="s">
        <v>14</v>
      </c>
      <c r="AE12" s="54">
        <v>5</v>
      </c>
      <c r="AF12" s="57"/>
      <c r="AG12" s="57"/>
      <c r="AH12" s="57"/>
      <c r="AI12" s="57"/>
      <c r="AJ12" s="57"/>
      <c r="AK12" s="57"/>
    </row>
    <row r="13" spans="1:37" x14ac:dyDescent="0.25">
      <c r="A13" t="s">
        <v>16</v>
      </c>
      <c r="B13">
        <v>15.52</v>
      </c>
      <c r="C13" t="s">
        <v>27</v>
      </c>
      <c r="D13" s="57" t="s">
        <v>33</v>
      </c>
      <c r="J13" s="57"/>
      <c r="K13" s="57" t="s">
        <v>78</v>
      </c>
      <c r="L13" s="57">
        <f t="shared" ref="L13:R13" si="5">SUM(L2:L11)</f>
        <v>4</v>
      </c>
      <c r="M13" s="57">
        <f t="shared" si="5"/>
        <v>0</v>
      </c>
      <c r="N13" s="57">
        <f t="shared" si="5"/>
        <v>0</v>
      </c>
      <c r="O13" s="57">
        <f t="shared" si="5"/>
        <v>7</v>
      </c>
      <c r="P13" s="57">
        <f t="shared" si="5"/>
        <v>3</v>
      </c>
      <c r="Q13" s="57">
        <f t="shared" si="5"/>
        <v>1</v>
      </c>
      <c r="R13" s="57">
        <f t="shared" si="5"/>
        <v>0</v>
      </c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 t="s">
        <v>15</v>
      </c>
      <c r="AE13" s="54">
        <v>15.52</v>
      </c>
      <c r="AF13" s="57"/>
      <c r="AG13" s="57"/>
      <c r="AH13" s="57"/>
      <c r="AI13" s="57"/>
      <c r="AJ13" s="57"/>
      <c r="AK13" s="57"/>
    </row>
    <row r="14" spans="1:37" x14ac:dyDescent="0.25">
      <c r="A14" t="s">
        <v>17</v>
      </c>
      <c r="B14">
        <v>4.4736000000000002</v>
      </c>
      <c r="C14" t="s">
        <v>29</v>
      </c>
      <c r="D14" s="57" t="s">
        <v>32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 t="s">
        <v>16</v>
      </c>
      <c r="AE14" s="54">
        <v>15.52</v>
      </c>
      <c r="AF14" s="57"/>
      <c r="AG14" s="57"/>
      <c r="AH14" s="57"/>
      <c r="AI14" s="57"/>
      <c r="AJ14" s="57"/>
      <c r="AK14" s="57"/>
    </row>
    <row r="15" spans="1:37" x14ac:dyDescent="0.25">
      <c r="A15" t="s">
        <v>18</v>
      </c>
      <c r="B15">
        <v>4.4736000000000002</v>
      </c>
      <c r="C15" t="s">
        <v>27</v>
      </c>
      <c r="D15" s="57" t="s">
        <v>31</v>
      </c>
      <c r="J15" s="109" t="s">
        <v>69</v>
      </c>
      <c r="K15" s="109"/>
      <c r="L15" s="109"/>
      <c r="M15" s="109"/>
      <c r="N15" s="109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 t="s">
        <v>79</v>
      </c>
      <c r="Z15" s="57">
        <f>SUMPRODUCT(AB2:AB11,Y2:Y11)+SUMPRODUCT(R41:R50,T41:T50)</f>
        <v>9.8497800863518531E-2</v>
      </c>
      <c r="AA15" s="57"/>
      <c r="AB15" s="57"/>
      <c r="AC15" s="57"/>
      <c r="AD15" s="57" t="s">
        <v>17</v>
      </c>
      <c r="AE15" s="54">
        <v>4.4736000000000002</v>
      </c>
      <c r="AF15" s="57"/>
      <c r="AG15" s="57"/>
      <c r="AH15" s="57"/>
      <c r="AI15" s="57"/>
      <c r="AJ15" s="57"/>
      <c r="AK15" s="57"/>
    </row>
    <row r="16" spans="1:37" x14ac:dyDescent="0.25">
      <c r="D16" s="57"/>
      <c r="J16" s="57" t="s">
        <v>58</v>
      </c>
      <c r="K16" s="74">
        <f>SUM(L2:L11)*60000000*0+SUM(M2:M11)*40000000</f>
        <v>0</v>
      </c>
      <c r="L16" s="74" t="s">
        <v>77</v>
      </c>
      <c r="M16" s="74">
        <f>L13*8000+M13*8000+N13*500000+O13*5000+P13*700000+Q13*5000+R13*500000</f>
        <v>2172000</v>
      </c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 t="s">
        <v>80</v>
      </c>
      <c r="Z16" s="57">
        <f>Z15*1000</f>
        <v>98.497800863518535</v>
      </c>
      <c r="AA16" s="57"/>
      <c r="AB16" s="57"/>
      <c r="AC16" s="57"/>
      <c r="AD16" s="57" t="s">
        <v>18</v>
      </c>
      <c r="AE16" s="54">
        <v>4.4736000000000002</v>
      </c>
      <c r="AF16" s="57"/>
      <c r="AG16" s="57"/>
      <c r="AH16" s="57"/>
      <c r="AI16" s="57"/>
      <c r="AJ16" s="57"/>
      <c r="AK16" s="57"/>
    </row>
    <row r="17" spans="1:38" ht="15.75" thickBot="1" x14ac:dyDescent="0.3">
      <c r="D17" s="57"/>
      <c r="J17" s="57" t="s">
        <v>133</v>
      </c>
      <c r="K17" s="74">
        <f>3*8000+N13*500000</f>
        <v>24000</v>
      </c>
      <c r="N17" s="57"/>
      <c r="AC17" s="57"/>
      <c r="AD17" s="57"/>
      <c r="AE17" s="57"/>
      <c r="AF17" s="57"/>
      <c r="AG17" s="57"/>
      <c r="AH17" s="57"/>
      <c r="AI17" s="57"/>
      <c r="AJ17" s="57"/>
      <c r="AK17" s="57"/>
    </row>
    <row r="18" spans="1:38" ht="16.5" thickTop="1" thickBot="1" x14ac:dyDescent="0.3">
      <c r="A18" s="106" t="s">
        <v>0</v>
      </c>
      <c r="B18" s="101" t="s">
        <v>1</v>
      </c>
      <c r="C18" s="102"/>
      <c r="D18" s="102"/>
      <c r="E18" s="102"/>
      <c r="F18" s="103"/>
      <c r="G18" s="55"/>
      <c r="H18" s="55"/>
      <c r="I18" s="55"/>
      <c r="K18" s="74"/>
      <c r="L18" t="s">
        <v>67</v>
      </c>
      <c r="M18" s="75">
        <f>SUM(L2:R11)*20000</f>
        <v>300000</v>
      </c>
      <c r="AC18" s="57"/>
      <c r="AD18" s="57"/>
      <c r="AE18" s="57"/>
      <c r="AF18" s="57"/>
      <c r="AG18" s="57"/>
      <c r="AH18" s="57"/>
      <c r="AI18" s="57"/>
      <c r="AJ18" s="57"/>
      <c r="AK18" s="57"/>
    </row>
    <row r="19" spans="1:38" ht="16.5" thickTop="1" thickBot="1" x14ac:dyDescent="0.3">
      <c r="A19" s="108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7"/>
      <c r="K19" s="74"/>
      <c r="AC19" s="57"/>
      <c r="AD19" s="57"/>
      <c r="AE19" s="57"/>
      <c r="AF19" s="57"/>
      <c r="AG19" s="57"/>
      <c r="AH19" s="57"/>
      <c r="AI19" s="57"/>
      <c r="AJ19" s="57"/>
      <c r="AK19" s="57"/>
    </row>
    <row r="20" spans="1:38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9"/>
      <c r="H20" s="99"/>
      <c r="I20" s="99"/>
      <c r="J20" s="57"/>
      <c r="K20" s="74"/>
      <c r="Y20" t="s">
        <v>81</v>
      </c>
      <c r="AB20" t="s">
        <v>132</v>
      </c>
      <c r="AC20" s="57"/>
      <c r="AD20" s="57"/>
      <c r="AE20" s="57"/>
      <c r="AF20" s="57"/>
      <c r="AG20" s="57"/>
      <c r="AH20" s="57"/>
      <c r="AI20" s="57"/>
      <c r="AJ20" s="57"/>
      <c r="AK20" s="57"/>
    </row>
    <row r="21" spans="1:38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7"/>
      <c r="K21" s="74"/>
      <c r="M21" s="75"/>
      <c r="Y21" t="s">
        <v>82</v>
      </c>
      <c r="Z21" s="96">
        <f>N35/6000000</f>
        <v>130.21333333333334</v>
      </c>
      <c r="AB21">
        <v>197.59333333333333</v>
      </c>
      <c r="AC21" s="57"/>
      <c r="AD21" s="57"/>
      <c r="AE21" s="57"/>
      <c r="AF21" s="57"/>
      <c r="AG21" s="57"/>
      <c r="AH21" s="57"/>
      <c r="AI21" s="57"/>
      <c r="AJ21" s="57"/>
      <c r="AK21" s="57"/>
    </row>
    <row r="22" spans="1:38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Y22" t="s">
        <v>83</v>
      </c>
      <c r="Z22">
        <v>20</v>
      </c>
      <c r="AB22">
        <v>0</v>
      </c>
      <c r="AC22" s="57"/>
      <c r="AD22" s="57"/>
      <c r="AE22" s="57"/>
      <c r="AF22" s="57"/>
      <c r="AG22" s="57"/>
      <c r="AH22" s="57"/>
      <c r="AI22" s="57"/>
      <c r="AJ22" s="57"/>
      <c r="AK22" s="57"/>
    </row>
    <row r="23" spans="1:38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95"/>
      <c r="Y23" t="s">
        <v>126</v>
      </c>
      <c r="Z23">
        <f>Z16*0.1</f>
        <v>9.8497800863518545</v>
      </c>
      <c r="AB23">
        <v>26.992846461027423</v>
      </c>
      <c r="AC23" s="57"/>
      <c r="AD23" s="57"/>
      <c r="AE23" s="57"/>
      <c r="AF23" s="57"/>
      <c r="AG23" s="57"/>
      <c r="AH23" s="57"/>
      <c r="AI23" s="57"/>
      <c r="AJ23" s="57"/>
      <c r="AK23" s="57"/>
    </row>
    <row r="24" spans="1:38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9"/>
      <c r="H24" s="99"/>
      <c r="I24" s="99"/>
      <c r="J24" t="s">
        <v>88</v>
      </c>
      <c r="K24" t="s">
        <v>123</v>
      </c>
      <c r="M24" t="s">
        <v>118</v>
      </c>
      <c r="N24" t="s">
        <v>120</v>
      </c>
      <c r="O24" s="75">
        <f>P13*700000+R13*500000</f>
        <v>2100000</v>
      </c>
      <c r="Y24" t="s">
        <v>85</v>
      </c>
      <c r="Z24" s="76">
        <f>SUM(Z21:Z23)</f>
        <v>160.06311341968518</v>
      </c>
      <c r="AB24">
        <v>224.58617979436076</v>
      </c>
      <c r="AC24" s="57"/>
      <c r="AD24" s="57"/>
      <c r="AE24" s="57"/>
      <c r="AF24" s="57"/>
      <c r="AG24" s="57"/>
      <c r="AH24" s="57"/>
      <c r="AI24" s="57"/>
      <c r="AJ24" s="57"/>
      <c r="AK24" s="57"/>
    </row>
    <row r="25" spans="1:38" ht="15.75" thickTop="1" x14ac:dyDescent="0.25">
      <c r="D25" s="57"/>
      <c r="E25" s="57"/>
      <c r="F25" s="57"/>
      <c r="G25" s="57"/>
      <c r="H25" s="57"/>
      <c r="I25" s="57"/>
      <c r="J25" s="57" t="s">
        <v>89</v>
      </c>
      <c r="K25" s="57">
        <f>IF(NOT((O2+Q2)=0), 1, 0)</f>
        <v>1</v>
      </c>
      <c r="L25" s="78">
        <f>10000*$D$20*K25</f>
        <v>140000000</v>
      </c>
      <c r="M25" s="78">
        <f>((O2*4000+Q2*2000)*$D$20)</f>
        <v>196000000</v>
      </c>
      <c r="N25" s="75" t="s">
        <v>121</v>
      </c>
      <c r="O25" s="75">
        <f>O13*5000+Q13*5000</f>
        <v>40000</v>
      </c>
      <c r="AD25" s="57"/>
      <c r="AE25" s="57"/>
      <c r="AF25" s="57"/>
      <c r="AG25" s="57"/>
      <c r="AH25" s="57"/>
      <c r="AI25" s="57"/>
      <c r="AJ25" s="57"/>
      <c r="AK25" s="57"/>
      <c r="AL25" s="57"/>
    </row>
    <row r="26" spans="1:38" x14ac:dyDescent="0.25">
      <c r="D26" s="57"/>
      <c r="E26" s="57"/>
      <c r="F26" s="57"/>
      <c r="G26" s="57"/>
      <c r="H26" s="57"/>
      <c r="I26" s="57"/>
      <c r="J26" s="57" t="s">
        <v>90</v>
      </c>
      <c r="K26" s="57">
        <f t="shared" ref="K26:K34" si="6">IF(NOT((O3+Q3)=0), 1, 0)</f>
        <v>0</v>
      </c>
      <c r="L26" s="78">
        <f>K26*10000*$E$20</f>
        <v>0</v>
      </c>
      <c r="M26" s="78">
        <f>((O3*4000+Q3*2000)*E20)</f>
        <v>0</v>
      </c>
      <c r="N26" t="s">
        <v>67</v>
      </c>
      <c r="O26" s="75">
        <f>SUM(L13:R13)*2*20000</f>
        <v>600000</v>
      </c>
      <c r="P26" t="s">
        <v>122</v>
      </c>
      <c r="AD26" s="57"/>
      <c r="AE26" s="57"/>
      <c r="AF26" s="57"/>
      <c r="AG26" s="57"/>
      <c r="AH26" s="57"/>
      <c r="AI26" s="57"/>
      <c r="AJ26" s="57"/>
      <c r="AK26" s="57"/>
      <c r="AL26" s="57"/>
    </row>
    <row r="27" spans="1:38" ht="15.75" thickBot="1" x14ac:dyDescent="0.3">
      <c r="J27" s="57" t="s">
        <v>91</v>
      </c>
      <c r="K27" s="57">
        <f t="shared" si="6"/>
        <v>0</v>
      </c>
      <c r="L27" s="78">
        <f>K27*10000*$F$20</f>
        <v>0</v>
      </c>
      <c r="M27" s="78">
        <f>((O4*4000+Q4*2000)*F20)</f>
        <v>0</v>
      </c>
      <c r="AF27" s="57"/>
      <c r="AG27" s="57"/>
    </row>
    <row r="28" spans="1:38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J28" s="57" t="s">
        <v>114</v>
      </c>
      <c r="K28" s="57">
        <f t="shared" si="6"/>
        <v>1</v>
      </c>
      <c r="L28" s="78">
        <f>K28*10000*$B$21</f>
        <v>54000000</v>
      </c>
      <c r="M28" s="78">
        <f>((O5*4000+Q5*2000)*$B$21)</f>
        <v>21600000</v>
      </c>
      <c r="AF28" s="57"/>
      <c r="AG28" s="57"/>
    </row>
    <row r="29" spans="1:38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J29" s="57" t="s">
        <v>92</v>
      </c>
      <c r="K29" s="57">
        <f t="shared" si="6"/>
        <v>0</v>
      </c>
      <c r="L29" s="78">
        <f>K29*10000*$D$21</f>
        <v>0</v>
      </c>
      <c r="M29" s="78">
        <f>(O6*4000+Q6*2000)*$D$21</f>
        <v>0</v>
      </c>
      <c r="AF29" s="57"/>
      <c r="AG29" s="57"/>
    </row>
    <row r="30" spans="1:38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J30" s="57" t="s">
        <v>95</v>
      </c>
      <c r="K30" s="57">
        <f t="shared" si="6"/>
        <v>0</v>
      </c>
      <c r="L30" s="78">
        <f>K30*10000*$E$22</f>
        <v>0</v>
      </c>
      <c r="M30" s="78">
        <f>(O7*4000+Q7*2000)*$E$22</f>
        <v>0</v>
      </c>
      <c r="AF30" s="57"/>
      <c r="AG30" s="57"/>
    </row>
    <row r="31" spans="1:38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J31" s="57" t="s">
        <v>96</v>
      </c>
      <c r="K31" s="57">
        <f t="shared" si="6"/>
        <v>1</v>
      </c>
      <c r="L31" s="78">
        <f>K31*10000*$F$22</f>
        <v>46000000</v>
      </c>
      <c r="M31" s="78">
        <f>(O8*4000+Q8*2000)*$F$22</f>
        <v>18400000</v>
      </c>
      <c r="AF31" s="57"/>
      <c r="AG31" s="57"/>
    </row>
    <row r="32" spans="1:38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J32" s="57" t="s">
        <v>115</v>
      </c>
      <c r="K32" s="57">
        <f t="shared" si="6"/>
        <v>1</v>
      </c>
      <c r="L32" s="78">
        <f>K32*10000*$C$23</f>
        <v>25000000</v>
      </c>
      <c r="M32" s="78">
        <f>(O9*4000+Q9*2000)*$C$23</f>
        <v>20000000</v>
      </c>
    </row>
    <row r="33" spans="1:20" ht="16.5" thickTop="1" thickBot="1" x14ac:dyDescent="0.3">
      <c r="J33" s="57" t="s">
        <v>116</v>
      </c>
      <c r="K33" s="57">
        <f t="shared" si="6"/>
        <v>0</v>
      </c>
      <c r="L33" s="78">
        <f>K33*10000*$C$24</f>
        <v>0</v>
      </c>
      <c r="M33" s="78">
        <f>(O10*4000+Q10*2000)*$C$24</f>
        <v>0</v>
      </c>
    </row>
    <row r="34" spans="1:20" ht="50.1" customHeight="1" thickTop="1" thickBot="1" x14ac:dyDescent="0.3">
      <c r="A34" s="88" t="s">
        <v>34</v>
      </c>
      <c r="B34" s="89" t="s">
        <v>35</v>
      </c>
      <c r="E34" s="53" t="s">
        <v>129</v>
      </c>
      <c r="F34" t="s">
        <v>130</v>
      </c>
      <c r="G34" s="53" t="s">
        <v>128</v>
      </c>
      <c r="H34" t="s">
        <v>127</v>
      </c>
      <c r="J34" s="57" t="s">
        <v>117</v>
      </c>
      <c r="K34" s="57">
        <f t="shared" si="6"/>
        <v>0</v>
      </c>
      <c r="L34" s="78">
        <f>K34*10000*$E$24</f>
        <v>0</v>
      </c>
      <c r="M34" s="78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74</v>
      </c>
      <c r="N35" s="78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131</v>
      </c>
      <c r="H36" t="s">
        <v>131</v>
      </c>
      <c r="J36" s="57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7" t="s">
        <v>119</v>
      </c>
      <c r="K37" s="78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7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8" t="s">
        <v>131</v>
      </c>
      <c r="F39" s="98" t="s">
        <v>131</v>
      </c>
      <c r="G39">
        <v>38444</v>
      </c>
      <c r="H39">
        <v>0.25600000000000001</v>
      </c>
      <c r="J39" s="57"/>
    </row>
    <row r="40" spans="1:20" ht="16.5" thickTop="1" thickBot="1" x14ac:dyDescent="0.3">
      <c r="J40" s="67" t="s">
        <v>0</v>
      </c>
      <c r="K40" s="68" t="s">
        <v>1</v>
      </c>
      <c r="L40" t="s">
        <v>65</v>
      </c>
      <c r="M40" t="s">
        <v>66</v>
      </c>
      <c r="N40" t="s">
        <v>42</v>
      </c>
      <c r="O40" t="s">
        <v>124</v>
      </c>
      <c r="P40" t="s">
        <v>112</v>
      </c>
      <c r="Q40" t="s">
        <v>113</v>
      </c>
      <c r="R40" t="s">
        <v>125</v>
      </c>
      <c r="S40" t="s">
        <v>41</v>
      </c>
      <c r="T40" t="s">
        <v>76</v>
      </c>
    </row>
    <row r="41" spans="1:20" x14ac:dyDescent="0.25">
      <c r="B41" s="15"/>
      <c r="J41" s="91" t="s">
        <v>36</v>
      </c>
      <c r="K41" s="92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Q51" si="7">W2</f>
        <v>0.24</v>
      </c>
      <c r="Q41">
        <f t="shared" si="7"/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91" t="s">
        <v>36</v>
      </c>
      <c r="K42" s="92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0.24</v>
      </c>
      <c r="Q42">
        <f t="shared" si="7"/>
        <v>0</v>
      </c>
      <c r="R42">
        <f t="shared" ref="R42:R51" si="11">1/(M42-L42)+Q42*O42+(1-Q42)*P42</f>
        <v>0.24057142857142857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91" t="s">
        <v>36</v>
      </c>
      <c r="K43" s="92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0.24</v>
      </c>
      <c r="Q43">
        <f t="shared" si="7"/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91" t="s">
        <v>38</v>
      </c>
      <c r="K44" s="92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0.24</v>
      </c>
      <c r="Q44">
        <f t="shared" si="7"/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91" t="s">
        <v>38</v>
      </c>
      <c r="K45" s="92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0.24</v>
      </c>
      <c r="Q45">
        <f t="shared" si="7"/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91" t="s">
        <v>39</v>
      </c>
      <c r="K46" s="92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91" t="s">
        <v>39</v>
      </c>
      <c r="K47" s="92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0.24</v>
      </c>
      <c r="Q47">
        <f t="shared" si="7"/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91" t="s">
        <v>40</v>
      </c>
      <c r="K48" s="92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0.24</v>
      </c>
      <c r="Q48">
        <f t="shared" si="7"/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91" t="s">
        <v>37</v>
      </c>
      <c r="K49" s="92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93" t="s">
        <v>37</v>
      </c>
      <c r="K50" s="94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0.24</v>
      </c>
      <c r="Q50">
        <f t="shared" si="7"/>
        <v>0</v>
      </c>
      <c r="R50">
        <f t="shared" si="11"/>
        <v>0.24058823529411763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 t="shared" si="7"/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9"/>
      <c r="B57" s="80"/>
      <c r="C57" s="81"/>
    </row>
    <row r="58" spans="1:20" ht="16.5" thickTop="1" thickBot="1" x14ac:dyDescent="0.3">
      <c r="A58" s="82"/>
      <c r="B58" s="83"/>
      <c r="C58" s="84"/>
    </row>
    <row r="59" spans="1:20" ht="16.5" thickTop="1" thickBot="1" x14ac:dyDescent="0.3">
      <c r="A59" s="82"/>
      <c r="B59" s="83"/>
      <c r="C59" s="84"/>
    </row>
    <row r="60" spans="1:20" ht="16.5" thickTop="1" thickBot="1" x14ac:dyDescent="0.3">
      <c r="A60" s="82"/>
      <c r="B60" s="83"/>
      <c r="C60" s="84"/>
    </row>
    <row r="61" spans="1:20" ht="16.5" thickTop="1" thickBot="1" x14ac:dyDescent="0.3">
      <c r="A61" s="85"/>
      <c r="B61" s="86"/>
      <c r="C61" s="87"/>
    </row>
    <row r="62" spans="1:20" ht="15.75" thickTop="1" x14ac:dyDescent="0.25"/>
  </sheetData>
  <mergeCells count="3">
    <mergeCell ref="J15:N15"/>
    <mergeCell ref="A18:A19"/>
    <mergeCell ref="B18:F18"/>
  </mergeCells>
  <conditionalFormatting sqref="Z2:Z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PacketDelay</vt:lpstr>
      <vt:lpstr>PacketDelay Ryan</vt:lpstr>
      <vt:lpstr>Optimal</vt:lpstr>
      <vt:lpstr>TempOptimal</vt:lpstr>
      <vt:lpstr>3-Connected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2019-04-25T23:21:19Z</dcterms:created>
  <dcterms:modified xsi:type="dcterms:W3CDTF">2019-05-14T21:57:42Z</dcterms:modified>
</cp:coreProperties>
</file>