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 Hayden\Documents\AFIT\SP2019\CSCE 654 - Communications\Assignments\Project4\"/>
    </mc:Choice>
  </mc:AlternateContent>
  <xr:revisionPtr revIDLastSave="0" documentId="13_ncr:1_{ECE7728E-CE3E-4800-97F1-9B1A2E50A994}" xr6:coauthVersionLast="43" xr6:coauthVersionMax="43" xr10:uidLastSave="{00000000-0000-0000-0000-000000000000}"/>
  <bookViews>
    <workbookView xWindow="-120" yWindow="-120" windowWidth="20730" windowHeight="11310" activeTab="4" xr2:uid="{DFA697D2-2C29-43C4-A322-5A73EA6783C9}"/>
  </bookViews>
  <sheets>
    <sheet name="Data" sheetId="1" r:id="rId1"/>
    <sheet name="PacketDelay" sheetId="4" r:id="rId2"/>
    <sheet name="PacketDelay Ryan" sheetId="6" r:id="rId3"/>
    <sheet name="Optimal" sheetId="8" r:id="rId4"/>
    <sheet name="Working_EditThis" sheetId="9" r:id="rId5"/>
  </sheets>
  <definedNames>
    <definedName name="solver_adj" localSheetId="3" hidden="1">Optimal!$J$2:$P$11</definedName>
    <definedName name="solver_adj" localSheetId="1" hidden="1">PacketDelay!$J$2:$P$21</definedName>
    <definedName name="solver_adj" localSheetId="2" hidden="1">'PacketDelay Ryan'!$J$2:$P$21</definedName>
    <definedName name="solver_adj" localSheetId="4" hidden="1">Working_EditThis!$J$2:$P$11</definedName>
    <definedName name="solver_cvg" localSheetId="3" hidden="1">0.00001</definedName>
    <definedName name="solver_cvg" localSheetId="1" hidden="1">0.0001</definedName>
    <definedName name="solver_cvg" localSheetId="2" hidden="1">0.0001</definedName>
    <definedName name="solver_cvg" localSheetId="4" hidden="1">0.00001</definedName>
    <definedName name="solver_drv" localSheetId="3" hidden="1">2</definedName>
    <definedName name="solver_drv" localSheetId="1" hidden="1">2</definedName>
    <definedName name="solver_drv" localSheetId="2" hidden="1">2</definedName>
    <definedName name="solver_drv" localSheetId="4" hidden="1">2</definedName>
    <definedName name="solver_eng" localSheetId="3" hidden="1">1</definedName>
    <definedName name="solver_eng" localSheetId="1" hidden="1">1</definedName>
    <definedName name="solver_eng" localSheetId="2" hidden="1">1</definedName>
    <definedName name="solver_eng" localSheetId="4" hidden="1">1</definedName>
    <definedName name="solver_est" localSheetId="3" hidden="1">1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itr" localSheetId="3" hidden="1">2147483647</definedName>
    <definedName name="solver_itr" localSheetId="1" hidden="1">2147483647</definedName>
    <definedName name="solver_itr" localSheetId="2" hidden="1">2147483647</definedName>
    <definedName name="solver_itr" localSheetId="4" hidden="1">2147483647</definedName>
    <definedName name="solver_lhs1" localSheetId="3" hidden="1">Optimal!$J$2:$P$11</definedName>
    <definedName name="solver_lhs1" localSheetId="1" hidden="1">PacketDelay!$J$2:$P$21</definedName>
    <definedName name="solver_lhs1" localSheetId="2" hidden="1">'PacketDelay Ryan'!$J$2:$P$21</definedName>
    <definedName name="solver_lhs1" localSheetId="4" hidden="1">Working_EditThis!$J$2:$P$11</definedName>
    <definedName name="solver_lhs2" localSheetId="3" hidden="1">Optimal!$R$2:$R$11</definedName>
    <definedName name="solver_lhs2" localSheetId="1" hidden="1">PacketDelay!$J$2:$P$21</definedName>
    <definedName name="solver_lhs2" localSheetId="2" hidden="1">'PacketDelay Ryan'!$J$2:$P$21</definedName>
    <definedName name="solver_lhs2" localSheetId="4" hidden="1">Working_EditThis!$R$2:$R$11</definedName>
    <definedName name="solver_lhs3" localSheetId="3" hidden="1">Optimal!$X$2:$X$11</definedName>
    <definedName name="solver_lhs3" localSheetId="1" hidden="1">PacketDelay!$J$2:$P$21</definedName>
    <definedName name="solver_lhs3" localSheetId="2" hidden="1">'PacketDelay Ryan'!$J$2:$P$21</definedName>
    <definedName name="solver_lhs3" localSheetId="4" hidden="1">Working_EditThis!$X$2:$X$11</definedName>
    <definedName name="solver_lhs4" localSheetId="3" hidden="1">Optimal!$Y$2:$Y$12</definedName>
    <definedName name="solver_lhs4" localSheetId="1" hidden="1">PacketDelay!$K$2:$L$21</definedName>
    <definedName name="solver_lhs4" localSheetId="2" hidden="1">'PacketDelay Ryan'!$K$2:$L$21</definedName>
    <definedName name="solver_lhs4" localSheetId="4" hidden="1">Working_EditThis!$Y$2:$Y$12</definedName>
    <definedName name="solver_lhs5" localSheetId="3" hidden="1">Optimal!$Y$2:$Y$12</definedName>
    <definedName name="solver_lhs5" localSheetId="1" hidden="1">PacketDelay!$R$2:$R$21</definedName>
    <definedName name="solver_lhs5" localSheetId="2" hidden="1">'PacketDelay Ryan'!$R$2:$R$21</definedName>
    <definedName name="solver_lhs5" localSheetId="4" hidden="1">Working_EditThis!$Y$2:$Y$12</definedName>
    <definedName name="solver_lhs6" localSheetId="3" hidden="1">Optimal!$Y$2:$Y$12</definedName>
    <definedName name="solver_lhs6" localSheetId="1" hidden="1">PacketDelay!$U$22</definedName>
    <definedName name="solver_lhs6" localSheetId="2" hidden="1">'PacketDelay Ryan'!$U$22</definedName>
    <definedName name="solver_lhs6" localSheetId="4" hidden="1">Working_EditThis!$Y$2:$Y$12</definedName>
    <definedName name="solver_lhs7" localSheetId="3" hidden="1">Optimal!$Y$2:$Y$12</definedName>
    <definedName name="solver_lhs7" localSheetId="1" hidden="1">PacketDelay!$U$3:$U$4</definedName>
    <definedName name="solver_lhs7" localSheetId="2" hidden="1">'PacketDelay Ryan'!$U$3:$U$4</definedName>
    <definedName name="solver_lhs7" localSheetId="4" hidden="1">Working_EditThis!$Y$2:$Y$12</definedName>
    <definedName name="solver_lhs8" localSheetId="3" hidden="1">Optimal!$Y$2:$Y$12</definedName>
    <definedName name="solver_lhs8" localSheetId="1" hidden="1">PacketDelay!$V$2:$V$22</definedName>
    <definedName name="solver_lhs8" localSheetId="2" hidden="1">'PacketDelay Ryan'!$V$2:$V$22</definedName>
    <definedName name="solver_lhs8" localSheetId="4" hidden="1">Working_EditThis!$Y$2:$Y$12</definedName>
    <definedName name="solver_mip" localSheetId="3" hidden="1">2147483647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ni" localSheetId="3" hidden="1">30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rt" localSheetId="3" hidden="1">0.075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sl" localSheetId="3" hidden="1">2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neg" localSheetId="3" hidden="1">1</definedName>
    <definedName name="solver_neg" localSheetId="1" hidden="1">1</definedName>
    <definedName name="solver_neg" localSheetId="2" hidden="1">1</definedName>
    <definedName name="solver_neg" localSheetId="4" hidden="1">1</definedName>
    <definedName name="solver_nod" localSheetId="3" hidden="1">2147483647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um" localSheetId="3" hidden="1">4</definedName>
    <definedName name="solver_num" localSheetId="1" hidden="1">8</definedName>
    <definedName name="solver_num" localSheetId="2" hidden="1">8</definedName>
    <definedName name="solver_num" localSheetId="4" hidden="1">4</definedName>
    <definedName name="solver_nwt" localSheetId="3" hidden="1">1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opt" localSheetId="3" hidden="1">Optimal!$X$21</definedName>
    <definedName name="solver_opt" localSheetId="1" hidden="1">PacketDelay!$K$31</definedName>
    <definedName name="solver_opt" localSheetId="2" hidden="1">'PacketDelay Ryan'!$K$31</definedName>
    <definedName name="solver_opt" localSheetId="4" hidden="1">Working_EditThis!$X$21</definedName>
    <definedName name="solver_pre" localSheetId="3" hidden="1">0.00001</definedName>
    <definedName name="solver_pre" localSheetId="1" hidden="1">0.0000001</definedName>
    <definedName name="solver_pre" localSheetId="2" hidden="1">0.0000001</definedName>
    <definedName name="solver_pre" localSheetId="4" hidden="1">0.00001</definedName>
    <definedName name="solver_rbv" localSheetId="3" hidden="1">2</definedName>
    <definedName name="solver_rbv" localSheetId="1" hidden="1">2</definedName>
    <definedName name="solver_rbv" localSheetId="2" hidden="1">2</definedName>
    <definedName name="solver_rbv" localSheetId="4" hidden="1">2</definedName>
    <definedName name="solver_rel1" localSheetId="3" hidden="1">4</definedName>
    <definedName name="solver_rel1" localSheetId="1" hidden="1">1</definedName>
    <definedName name="solver_rel1" localSheetId="2" hidden="1">1</definedName>
    <definedName name="solver_rel1" localSheetId="4" hidden="1">4</definedName>
    <definedName name="solver_rel2" localSheetId="3" hidden="1">3</definedName>
    <definedName name="solver_rel2" localSheetId="1" hidden="1">4</definedName>
    <definedName name="solver_rel2" localSheetId="2" hidden="1">4</definedName>
    <definedName name="solver_rel2" localSheetId="4" hidden="1">3</definedName>
    <definedName name="solver_rel3" localSheetId="3" hidden="1">1</definedName>
    <definedName name="solver_rel3" localSheetId="1" hidden="1">3</definedName>
    <definedName name="solver_rel3" localSheetId="2" hidden="1">3</definedName>
    <definedName name="solver_rel3" localSheetId="4" hidden="1">1</definedName>
    <definedName name="solver_rel4" localSheetId="3" hidden="1">2</definedName>
    <definedName name="solver_rel4" localSheetId="1" hidden="1">1</definedName>
    <definedName name="solver_rel4" localSheetId="2" hidden="1">1</definedName>
    <definedName name="solver_rel4" localSheetId="4" hidden="1">2</definedName>
    <definedName name="solver_rel5" localSheetId="3" hidden="1">2</definedName>
    <definedName name="solver_rel5" localSheetId="1" hidden="1">3</definedName>
    <definedName name="solver_rel5" localSheetId="2" hidden="1">3</definedName>
    <definedName name="solver_rel5" localSheetId="4" hidden="1">2</definedName>
    <definedName name="solver_rel6" localSheetId="3" hidden="1">2</definedName>
    <definedName name="solver_rel6" localSheetId="1" hidden="1">1</definedName>
    <definedName name="solver_rel6" localSheetId="2" hidden="1">1</definedName>
    <definedName name="solver_rel6" localSheetId="4" hidden="1">2</definedName>
    <definedName name="solver_rel7" localSheetId="3" hidden="1">2</definedName>
    <definedName name="solver_rel7" localSheetId="1" hidden="1">1</definedName>
    <definedName name="solver_rel7" localSheetId="2" hidden="1">1</definedName>
    <definedName name="solver_rel7" localSheetId="4" hidden="1">2</definedName>
    <definedName name="solver_rel8" localSheetId="3" hidden="1">2</definedName>
    <definedName name="solver_rel8" localSheetId="1" hidden="1">2</definedName>
    <definedName name="solver_rel8" localSheetId="2" hidden="1">2</definedName>
    <definedName name="solver_rel8" localSheetId="4" hidden="1">2</definedName>
    <definedName name="solver_rhs1" localSheetId="3" hidden="1">integer</definedName>
    <definedName name="solver_rhs1" localSheetId="1" hidden="1">4</definedName>
    <definedName name="solver_rhs1" localSheetId="2" hidden="1">4</definedName>
    <definedName name="solver_rhs1" localSheetId="4" hidden="1">integer</definedName>
    <definedName name="solver_rhs2" localSheetId="3" hidden="1">Optimal!$Q$2:$Q$11</definedName>
    <definedName name="solver_rhs2" localSheetId="1" hidden="1">integer</definedName>
    <definedName name="solver_rhs2" localSheetId="2" hidden="1">integer</definedName>
    <definedName name="solver_rhs2" localSheetId="4" hidden="1">Working_EditThis!$Q$2:$Q$11</definedName>
    <definedName name="solver_rhs3" localSheetId="3" hidden="1">0.8</definedName>
    <definedName name="solver_rhs3" localSheetId="1" hidden="1">0</definedName>
    <definedName name="solver_rhs3" localSheetId="2" hidden="1">0</definedName>
    <definedName name="solver_rhs3" localSheetId="4" hidden="1">0.8</definedName>
    <definedName name="solver_rhs4" localSheetId="3" hidden="1">0</definedName>
    <definedName name="solver_rhs4" localSheetId="1" hidden="1">1</definedName>
    <definedName name="solver_rhs4" localSheetId="2" hidden="1">1</definedName>
    <definedName name="solver_rhs4" localSheetId="4" hidden="1">0</definedName>
    <definedName name="solver_rhs5" localSheetId="3" hidden="1">0</definedName>
    <definedName name="solver_rhs5" localSheetId="1" hidden="1">PacketDelay!$Q$2:$Q$21</definedName>
    <definedName name="solver_rhs5" localSheetId="2" hidden="1">'PacketDelay Ryan'!$Q$2:$Q$21</definedName>
    <definedName name="solver_rhs5" localSheetId="4" hidden="1">0</definedName>
    <definedName name="solver_rhs6" localSheetId="3" hidden="1">0</definedName>
    <definedName name="solver_rhs6" localSheetId="1" hidden="1">0.7</definedName>
    <definedName name="solver_rhs6" localSheetId="2" hidden="1">0.7</definedName>
    <definedName name="solver_rhs6" localSheetId="4" hidden="1">0</definedName>
    <definedName name="solver_rhs7" localSheetId="3" hidden="1">0</definedName>
    <definedName name="solver_rhs7" localSheetId="1" hidden="1">0.5</definedName>
    <definedName name="solver_rhs7" localSheetId="2" hidden="1">0.5</definedName>
    <definedName name="solver_rhs7" localSheetId="4" hidden="1">0</definedName>
    <definedName name="solver_rhs8" localSheetId="3" hidden="1">0</definedName>
    <definedName name="solver_rhs8" localSheetId="1" hidden="1">0</definedName>
    <definedName name="solver_rhs8" localSheetId="2" hidden="1">0</definedName>
    <definedName name="solver_rhs8" localSheetId="4" hidden="1">0</definedName>
    <definedName name="solver_rlx" localSheetId="3" hidden="1">2</definedName>
    <definedName name="solver_rlx" localSheetId="1" hidden="1">2</definedName>
    <definedName name="solver_rlx" localSheetId="2" hidden="1">2</definedName>
    <definedName name="solver_rlx" localSheetId="4" hidden="1">2</definedName>
    <definedName name="solver_rsd" localSheetId="3" hidden="1">0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scl" localSheetId="3" hidden="1">2</definedName>
    <definedName name="solver_scl" localSheetId="1" hidden="1">2</definedName>
    <definedName name="solver_scl" localSheetId="2" hidden="1">2</definedName>
    <definedName name="solver_scl" localSheetId="4" hidden="1">2</definedName>
    <definedName name="solver_sho" localSheetId="3" hidden="1">2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sz" localSheetId="3" hidden="1">100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tim" localSheetId="3" hidden="1">2147483647</definedName>
    <definedName name="solver_tim" localSheetId="1" hidden="1">2147483647</definedName>
    <definedName name="solver_tim" localSheetId="2" hidden="1">2147483647</definedName>
    <definedName name="solver_tim" localSheetId="4" hidden="1">2147483647</definedName>
    <definedName name="solver_tol" localSheetId="3" hidden="1">0</definedName>
    <definedName name="solver_tol" localSheetId="1" hidden="1">0</definedName>
    <definedName name="solver_tol" localSheetId="2" hidden="1">0</definedName>
    <definedName name="solver_tol" localSheetId="4" hidden="1">0</definedName>
    <definedName name="solver_typ" localSheetId="3" hidden="1">2</definedName>
    <definedName name="solver_typ" localSheetId="1" hidden="1">2</definedName>
    <definedName name="solver_typ" localSheetId="2" hidden="1">2</definedName>
    <definedName name="solver_typ" localSheetId="4" hidden="1">2</definedName>
    <definedName name="solver_val" localSheetId="3" hidden="1">415</definedName>
    <definedName name="solver_val" localSheetId="1" hidden="1">0</definedName>
    <definedName name="solver_val" localSheetId="2" hidden="1">3700000000</definedName>
    <definedName name="solver_val" localSheetId="4" hidden="1">415</definedName>
    <definedName name="solver_ver" localSheetId="3" hidden="1">3</definedName>
    <definedName name="solver_ver" localSheetId="1" hidden="1">3</definedName>
    <definedName name="solver_ver" localSheetId="2" hidden="1">3</definedName>
    <definedName name="solver_ver" localSheetId="4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51" i="9" l="1"/>
  <c r="N51" i="9"/>
  <c r="M51" i="9"/>
  <c r="J51" i="9"/>
  <c r="N50" i="9"/>
  <c r="N49" i="9"/>
  <c r="M49" i="9"/>
  <c r="N48" i="9"/>
  <c r="N47" i="9"/>
  <c r="M47" i="9"/>
  <c r="N46" i="9"/>
  <c r="N45" i="9"/>
  <c r="M45" i="9"/>
  <c r="N44" i="9"/>
  <c r="N43" i="9"/>
  <c r="M43" i="9"/>
  <c r="N42" i="9"/>
  <c r="N41" i="9"/>
  <c r="M41" i="9"/>
  <c r="K34" i="9"/>
  <c r="I34" i="9"/>
  <c r="J34" i="9" s="1"/>
  <c r="K33" i="9"/>
  <c r="J33" i="9"/>
  <c r="I33" i="9"/>
  <c r="K32" i="9"/>
  <c r="I32" i="9"/>
  <c r="J32" i="9" s="1"/>
  <c r="K31" i="9"/>
  <c r="I31" i="9"/>
  <c r="J31" i="9" s="1"/>
  <c r="K30" i="9"/>
  <c r="J30" i="9"/>
  <c r="I30" i="9"/>
  <c r="K29" i="9"/>
  <c r="I29" i="9"/>
  <c r="J29" i="9" s="1"/>
  <c r="K28" i="9"/>
  <c r="I28" i="9"/>
  <c r="J28" i="9" s="1"/>
  <c r="K27" i="9"/>
  <c r="I27" i="9"/>
  <c r="J27" i="9" s="1"/>
  <c r="K26" i="9"/>
  <c r="I26" i="9"/>
  <c r="J26" i="9" s="1"/>
  <c r="K25" i="9"/>
  <c r="I25" i="9"/>
  <c r="J25" i="9" s="1"/>
  <c r="K18" i="9"/>
  <c r="I16" i="9"/>
  <c r="P13" i="9"/>
  <c r="O13" i="9"/>
  <c r="N13" i="9"/>
  <c r="M24" i="9" s="1"/>
  <c r="M13" i="9"/>
  <c r="L13" i="9"/>
  <c r="K13" i="9"/>
  <c r="J13" i="9"/>
  <c r="Q12" i="9"/>
  <c r="T11" i="9"/>
  <c r="M50" i="9" s="1"/>
  <c r="R11" i="9" a="1"/>
  <c r="R11" i="9" s="1"/>
  <c r="Z10" i="9"/>
  <c r="T10" i="9"/>
  <c r="R10" i="9" a="1"/>
  <c r="R10" i="9" s="1"/>
  <c r="T9" i="9"/>
  <c r="M48" i="9" s="1"/>
  <c r="R9" i="9" a="1"/>
  <c r="R9" i="9" s="1"/>
  <c r="Z8" i="9"/>
  <c r="T8" i="9"/>
  <c r="R8" i="9"/>
  <c r="R8" i="9" a="1"/>
  <c r="T7" i="9"/>
  <c r="M46" i="9" s="1"/>
  <c r="R7" i="9" a="1"/>
  <c r="R7" i="9" s="1"/>
  <c r="Z6" i="9"/>
  <c r="T6" i="9"/>
  <c r="R6" i="9" a="1"/>
  <c r="R6" i="9" s="1"/>
  <c r="T5" i="9"/>
  <c r="M44" i="9" s="1"/>
  <c r="R5" i="9" a="1"/>
  <c r="R5" i="9" s="1"/>
  <c r="Z4" i="9"/>
  <c r="T4" i="9"/>
  <c r="R4" i="9" a="1"/>
  <c r="R4" i="9" s="1"/>
  <c r="T3" i="9"/>
  <c r="M42" i="9" s="1"/>
  <c r="S3" i="9"/>
  <c r="R3" i="9" a="1"/>
  <c r="R3" i="9" s="1"/>
  <c r="Z2" i="9"/>
  <c r="T2" i="9"/>
  <c r="R2" i="9" a="1"/>
  <c r="R2" i="9" s="1"/>
  <c r="I16" i="8"/>
  <c r="O51" i="8"/>
  <c r="N51" i="8"/>
  <c r="J51" i="8"/>
  <c r="N50" i="8"/>
  <c r="M50" i="8"/>
  <c r="N49" i="8"/>
  <c r="N48" i="8"/>
  <c r="M48" i="8"/>
  <c r="N47" i="8"/>
  <c r="N46" i="8"/>
  <c r="M46" i="8"/>
  <c r="N45" i="8"/>
  <c r="N44" i="8"/>
  <c r="M44" i="8"/>
  <c r="N43" i="8"/>
  <c r="N42" i="8"/>
  <c r="M42" i="8"/>
  <c r="N41" i="8"/>
  <c r="K34" i="8"/>
  <c r="I34" i="8"/>
  <c r="J34" i="8" s="1"/>
  <c r="K33" i="8"/>
  <c r="I33" i="8"/>
  <c r="J33" i="8" s="1"/>
  <c r="K32" i="8"/>
  <c r="I32" i="8"/>
  <c r="J32" i="8" s="1"/>
  <c r="K31" i="8"/>
  <c r="I31" i="8"/>
  <c r="J31" i="8" s="1"/>
  <c r="K30" i="8"/>
  <c r="I30" i="8"/>
  <c r="J30" i="8" s="1"/>
  <c r="K29" i="8"/>
  <c r="I29" i="8"/>
  <c r="J29" i="8" s="1"/>
  <c r="K28" i="8"/>
  <c r="I28" i="8"/>
  <c r="J28" i="8" s="1"/>
  <c r="K27" i="8"/>
  <c r="I27" i="8"/>
  <c r="J27" i="8" s="1"/>
  <c r="K26" i="8"/>
  <c r="I26" i="8"/>
  <c r="J26" i="8" s="1"/>
  <c r="K25" i="8"/>
  <c r="I25" i="8"/>
  <c r="J25" i="8" s="1"/>
  <c r="K18" i="8"/>
  <c r="P13" i="8"/>
  <c r="O13" i="8"/>
  <c r="N13" i="8"/>
  <c r="M13" i="8"/>
  <c r="L13" i="8"/>
  <c r="K13" i="8"/>
  <c r="J13" i="8"/>
  <c r="M51" i="8"/>
  <c r="Q12" i="8"/>
  <c r="R50" i="8" s="1"/>
  <c r="Z11" i="8"/>
  <c r="T11" i="8"/>
  <c r="R11" i="8" a="1"/>
  <c r="R11" i="8" s="1"/>
  <c r="Z10" i="8"/>
  <c r="T10" i="8"/>
  <c r="M49" i="8" s="1"/>
  <c r="R10" i="8" a="1"/>
  <c r="R10" i="8" s="1"/>
  <c r="Z9" i="8"/>
  <c r="T9" i="8"/>
  <c r="R9" i="8" a="1"/>
  <c r="R9" i="8" s="1"/>
  <c r="Z8" i="8"/>
  <c r="T8" i="8"/>
  <c r="M47" i="8" s="1"/>
  <c r="R8" i="8" a="1"/>
  <c r="R8" i="8" s="1"/>
  <c r="Z7" i="8"/>
  <c r="T7" i="8"/>
  <c r="R7" i="8" a="1"/>
  <c r="R7" i="8" s="1"/>
  <c r="Z6" i="8"/>
  <c r="T6" i="8"/>
  <c r="M45" i="8" s="1"/>
  <c r="R6" i="8" a="1"/>
  <c r="R6" i="8" s="1"/>
  <c r="Z5" i="8"/>
  <c r="T5" i="8"/>
  <c r="R5" i="8" a="1"/>
  <c r="R5" i="8" s="1"/>
  <c r="Z4" i="8"/>
  <c r="T4" i="8"/>
  <c r="M43" i="8" s="1"/>
  <c r="R4" i="8" a="1"/>
  <c r="R4" i="8" s="1"/>
  <c r="Z3" i="8"/>
  <c r="T3" i="8"/>
  <c r="R3" i="8" a="1"/>
  <c r="R3" i="8" s="1"/>
  <c r="Z2" i="8"/>
  <c r="T2" i="8"/>
  <c r="M41" i="8" s="1"/>
  <c r="R2" i="8" a="1"/>
  <c r="R2" i="8" s="1"/>
  <c r="S2" i="8" s="1"/>
  <c r="M26" i="9" l="1"/>
  <c r="M25" i="9"/>
  <c r="K16" i="9"/>
  <c r="K41" i="9"/>
  <c r="X2" i="9"/>
  <c r="S2" i="9"/>
  <c r="V2" i="9" a="1"/>
  <c r="V2" i="9" s="1"/>
  <c r="O41" i="9" s="1"/>
  <c r="Y2" i="9"/>
  <c r="R12" i="9"/>
  <c r="X12" i="9" s="1"/>
  <c r="K43" i="9"/>
  <c r="Y4" i="9"/>
  <c r="V4" i="9" a="1"/>
  <c r="V4" i="9" s="1"/>
  <c r="O43" i="9" s="1"/>
  <c r="X4" i="9"/>
  <c r="S4" i="9"/>
  <c r="K44" i="9"/>
  <c r="S5" i="9"/>
  <c r="Y5" i="9"/>
  <c r="V5" i="9" a="1"/>
  <c r="V5" i="9" s="1"/>
  <c r="O44" i="9" s="1"/>
  <c r="K45" i="9"/>
  <c r="Y6" i="9"/>
  <c r="V6" i="9" a="1"/>
  <c r="V6" i="9" s="1"/>
  <c r="O45" i="9" s="1"/>
  <c r="X6" i="9"/>
  <c r="S6" i="9"/>
  <c r="K46" i="9"/>
  <c r="S7" i="9"/>
  <c r="Y7" i="9"/>
  <c r="V7" i="9" a="1"/>
  <c r="V7" i="9" s="1"/>
  <c r="O46" i="9" s="1"/>
  <c r="K47" i="9"/>
  <c r="Y8" i="9"/>
  <c r="V8" i="9" a="1"/>
  <c r="V8" i="9" s="1"/>
  <c r="O47" i="9" s="1"/>
  <c r="X8" i="9"/>
  <c r="S8" i="9"/>
  <c r="K48" i="9"/>
  <c r="W9" i="9"/>
  <c r="S9" i="9"/>
  <c r="Y9" i="9"/>
  <c r="V9" i="9" a="1"/>
  <c r="V9" i="9" s="1"/>
  <c r="O48" i="9" s="1"/>
  <c r="K49" i="9"/>
  <c r="Y10" i="9"/>
  <c r="V10" i="9" a="1"/>
  <c r="V10" i="9" s="1"/>
  <c r="O49" i="9" s="1"/>
  <c r="X10" i="9"/>
  <c r="S10" i="9"/>
  <c r="K50" i="9"/>
  <c r="S11" i="9"/>
  <c r="Y11" i="9"/>
  <c r="V11" i="9" a="1"/>
  <c r="V11" i="9" s="1"/>
  <c r="O50" i="9" s="1"/>
  <c r="K42" i="9"/>
  <c r="Y3" i="9"/>
  <c r="V3" i="9" a="1"/>
  <c r="V3" i="9" s="1"/>
  <c r="O42" i="9" s="1"/>
  <c r="X3" i="9"/>
  <c r="X5" i="9"/>
  <c r="X7" i="9"/>
  <c r="X9" i="9"/>
  <c r="X11" i="9"/>
  <c r="I37" i="9"/>
  <c r="Z3" i="9"/>
  <c r="Z5" i="9"/>
  <c r="Z7" i="9"/>
  <c r="Z9" i="9"/>
  <c r="Z11" i="9"/>
  <c r="R41" i="9"/>
  <c r="R42" i="9"/>
  <c r="R43" i="9"/>
  <c r="R44" i="9"/>
  <c r="R45" i="9"/>
  <c r="R46" i="9"/>
  <c r="R47" i="9"/>
  <c r="R48" i="9"/>
  <c r="R49" i="9"/>
  <c r="R50" i="9"/>
  <c r="M24" i="8"/>
  <c r="M26" i="8"/>
  <c r="I37" i="8"/>
  <c r="K16" i="8"/>
  <c r="K42" i="8"/>
  <c r="X3" i="8"/>
  <c r="S3" i="8"/>
  <c r="Y3" i="8"/>
  <c r="V3" i="8" a="1"/>
  <c r="V3" i="8" s="1"/>
  <c r="O42" i="8" s="1"/>
  <c r="K46" i="8"/>
  <c r="X7" i="8"/>
  <c r="S7" i="8"/>
  <c r="Y7" i="8"/>
  <c r="V7" i="8" a="1"/>
  <c r="V7" i="8" s="1"/>
  <c r="O46" i="8" s="1"/>
  <c r="K50" i="8"/>
  <c r="X11" i="8"/>
  <c r="S11" i="8"/>
  <c r="Y11" i="8"/>
  <c r="V11" i="8" a="1"/>
  <c r="V11" i="8" s="1"/>
  <c r="O50" i="8" s="1"/>
  <c r="K45" i="8"/>
  <c r="X6" i="8"/>
  <c r="S6" i="8"/>
  <c r="Y6" i="8"/>
  <c r="V6" i="8" a="1"/>
  <c r="V6" i="8" s="1"/>
  <c r="O45" i="8" s="1"/>
  <c r="K49" i="8"/>
  <c r="X10" i="8"/>
  <c r="Y10" i="8"/>
  <c r="V10" i="8" a="1"/>
  <c r="V10" i="8" s="1"/>
  <c r="O49" i="8" s="1"/>
  <c r="S10" i="8"/>
  <c r="K44" i="8"/>
  <c r="X5" i="8"/>
  <c r="Y5" i="8"/>
  <c r="V5" i="8" a="1"/>
  <c r="V5" i="8" s="1"/>
  <c r="O44" i="8" s="1"/>
  <c r="S5" i="8"/>
  <c r="K48" i="8"/>
  <c r="X9" i="8"/>
  <c r="S9" i="8"/>
  <c r="Y9" i="8"/>
  <c r="V9" i="8" a="1"/>
  <c r="V9" i="8" s="1"/>
  <c r="O48" i="8" s="1"/>
  <c r="K41" i="8"/>
  <c r="R12" i="8"/>
  <c r="Y2" i="8"/>
  <c r="V2" i="8" a="1"/>
  <c r="V2" i="8" s="1"/>
  <c r="X2" i="8"/>
  <c r="K43" i="8"/>
  <c r="X4" i="8"/>
  <c r="S4" i="8"/>
  <c r="Y4" i="8"/>
  <c r="V4" i="8" a="1"/>
  <c r="V4" i="8" s="1"/>
  <c r="O43" i="8" s="1"/>
  <c r="K47" i="8"/>
  <c r="Y8" i="8"/>
  <c r="V8" i="8" a="1"/>
  <c r="V8" i="8" s="1"/>
  <c r="O47" i="8" s="1"/>
  <c r="X8" i="8"/>
  <c r="S8" i="8"/>
  <c r="M25" i="8"/>
  <c r="R41" i="8"/>
  <c r="R42" i="8"/>
  <c r="R43" i="8"/>
  <c r="R44" i="8"/>
  <c r="R45" i="8"/>
  <c r="R46" i="8"/>
  <c r="R47" i="8"/>
  <c r="R48" i="8"/>
  <c r="R49" i="8"/>
  <c r="W10" i="9" l="1"/>
  <c r="W11" i="9"/>
  <c r="L35" i="9"/>
  <c r="X21" i="9" s="1"/>
  <c r="W2" i="9"/>
  <c r="Q42" i="9"/>
  <c r="P42" i="9"/>
  <c r="L42" i="9"/>
  <c r="Q49" i="9"/>
  <c r="P49" i="9"/>
  <c r="L49" i="9"/>
  <c r="Q46" i="9"/>
  <c r="L46" i="9"/>
  <c r="P46" i="9"/>
  <c r="R51" i="9"/>
  <c r="Q50" i="9"/>
  <c r="P50" i="9"/>
  <c r="L50" i="9"/>
  <c r="W6" i="9"/>
  <c r="Q45" i="9"/>
  <c r="L45" i="9"/>
  <c r="P45" i="9"/>
  <c r="W5" i="9"/>
  <c r="W4" i="9"/>
  <c r="Q43" i="9"/>
  <c r="L43" i="9"/>
  <c r="P43" i="9"/>
  <c r="Q41" i="9"/>
  <c r="K51" i="9"/>
  <c r="P41" i="9"/>
  <c r="L41" i="9"/>
  <c r="W12" i="9"/>
  <c r="S12" i="9"/>
  <c r="Y12" i="9"/>
  <c r="Q48" i="9"/>
  <c r="P48" i="9"/>
  <c r="L48" i="9"/>
  <c r="W8" i="9"/>
  <c r="Q47" i="9"/>
  <c r="L47" i="9"/>
  <c r="P47" i="9"/>
  <c r="W7" i="9"/>
  <c r="Q44" i="9"/>
  <c r="L44" i="9"/>
  <c r="P44" i="9"/>
  <c r="W3" i="9"/>
  <c r="W3" i="8"/>
  <c r="W8" i="8"/>
  <c r="W4" i="8"/>
  <c r="L35" i="8"/>
  <c r="X21" i="8" s="1"/>
  <c r="W11" i="8"/>
  <c r="Q47" i="8"/>
  <c r="P47" i="8"/>
  <c r="L47" i="8"/>
  <c r="O41" i="8"/>
  <c r="P41" i="8" s="1"/>
  <c r="W2" i="8"/>
  <c r="P45" i="8"/>
  <c r="Q45" i="8"/>
  <c r="L45" i="8"/>
  <c r="Q48" i="8"/>
  <c r="P48" i="8"/>
  <c r="L48" i="8"/>
  <c r="P43" i="8"/>
  <c r="Q43" i="8"/>
  <c r="L43" i="8"/>
  <c r="X12" i="8"/>
  <c r="W12" i="8"/>
  <c r="Y12" i="8"/>
  <c r="S12" i="8"/>
  <c r="W10" i="8"/>
  <c r="Q49" i="8"/>
  <c r="P49" i="8"/>
  <c r="L49" i="8"/>
  <c r="W6" i="8"/>
  <c r="R51" i="8"/>
  <c r="Q46" i="8"/>
  <c r="P46" i="8"/>
  <c r="L46" i="8"/>
  <c r="K51" i="8"/>
  <c r="Q41" i="8"/>
  <c r="L41" i="8"/>
  <c r="W9" i="8"/>
  <c r="W5" i="8"/>
  <c r="Q44" i="8"/>
  <c r="P44" i="8"/>
  <c r="L44" i="8"/>
  <c r="Q50" i="8"/>
  <c r="P50" i="8"/>
  <c r="L50" i="8"/>
  <c r="W7" i="8"/>
  <c r="P42" i="8"/>
  <c r="Q42" i="8"/>
  <c r="L42" i="8"/>
  <c r="I57" i="6"/>
  <c r="I27" i="6"/>
  <c r="I26" i="6"/>
  <c r="I64" i="6"/>
  <c r="I63" i="6"/>
  <c r="I62" i="6"/>
  <c r="I61" i="6"/>
  <c r="I60" i="6"/>
  <c r="I59" i="6"/>
  <c r="I58" i="6"/>
  <c r="I56" i="6"/>
  <c r="I55" i="6"/>
  <c r="AA23" i="6"/>
  <c r="I44" i="6" s="1"/>
  <c r="I32" i="6"/>
  <c r="AA31" i="6"/>
  <c r="I52" i="6" s="1"/>
  <c r="AA30" i="6"/>
  <c r="I51" i="6" s="1"/>
  <c r="AA29" i="6"/>
  <c r="I50" i="6" s="1"/>
  <c r="AA28" i="6"/>
  <c r="I49" i="6" s="1"/>
  <c r="AA27" i="6"/>
  <c r="I48" i="6" s="1"/>
  <c r="AA26" i="6"/>
  <c r="I47" i="6" s="1"/>
  <c r="AA25" i="6"/>
  <c r="I46" i="6" s="1"/>
  <c r="AA24" i="6"/>
  <c r="I45" i="6" s="1"/>
  <c r="AA22" i="6"/>
  <c r="I43" i="6" s="1"/>
  <c r="I36" i="6"/>
  <c r="R2" i="6" a="1"/>
  <c r="R2" i="6" s="1"/>
  <c r="T2" i="6" s="1"/>
  <c r="I35" i="6"/>
  <c r="I34" i="6"/>
  <c r="I33" i="6"/>
  <c r="I31" i="6"/>
  <c r="I30" i="6"/>
  <c r="I29" i="6"/>
  <c r="K28" i="6"/>
  <c r="I28" i="6"/>
  <c r="P23" i="6"/>
  <c r="O23" i="6"/>
  <c r="N23" i="6"/>
  <c r="M23" i="6"/>
  <c r="L23" i="6"/>
  <c r="K23" i="6"/>
  <c r="J23" i="6"/>
  <c r="Q22" i="6"/>
  <c r="W21" i="6" s="1"/>
  <c r="R21" i="6" a="1"/>
  <c r="R21" i="6" s="1"/>
  <c r="R20" i="6" a="1"/>
  <c r="R20" i="6" s="1"/>
  <c r="R19" i="6" a="1"/>
  <c r="R19" i="6" s="1"/>
  <c r="R18" i="6" a="1"/>
  <c r="R18" i="6" s="1"/>
  <c r="R17" i="6" a="1"/>
  <c r="R17" i="6" s="1"/>
  <c r="R16" i="6" a="1"/>
  <c r="R16" i="6" s="1"/>
  <c r="R15" i="6" a="1"/>
  <c r="R15" i="6" s="1"/>
  <c r="R14" i="6" a="1"/>
  <c r="R14" i="6" s="1"/>
  <c r="V14" i="6" s="1"/>
  <c r="W13" i="6"/>
  <c r="R13" i="6" a="1"/>
  <c r="R13" i="6" s="1"/>
  <c r="V13" i="6" s="1"/>
  <c r="R12" i="6" a="1"/>
  <c r="R12" i="6" s="1"/>
  <c r="R11" i="6" a="1"/>
  <c r="R11" i="6" s="1"/>
  <c r="R10" i="6" a="1"/>
  <c r="R10" i="6" s="1"/>
  <c r="W9" i="6"/>
  <c r="R9" i="6" a="1"/>
  <c r="R9" i="6" s="1"/>
  <c r="R8" i="6" a="1"/>
  <c r="R8" i="6" s="1"/>
  <c r="R7" i="6" a="1"/>
  <c r="R7" i="6" s="1"/>
  <c r="R6" i="6" a="1"/>
  <c r="R6" i="6" s="1"/>
  <c r="W5" i="6"/>
  <c r="R5" i="6" a="1"/>
  <c r="R5" i="6" s="1"/>
  <c r="V5" i="6" s="1"/>
  <c r="R4" i="6" a="1"/>
  <c r="R4" i="6" s="1"/>
  <c r="W3" i="6"/>
  <c r="R3" i="6" a="1"/>
  <c r="R3" i="6" s="1"/>
  <c r="W2" i="6"/>
  <c r="X15" i="9" l="1"/>
  <c r="X16" i="9" s="1"/>
  <c r="X23" i="9" s="1"/>
  <c r="X24" i="9" s="1"/>
  <c r="P51" i="9"/>
  <c r="L51" i="9"/>
  <c r="Q51" i="9"/>
  <c r="P51" i="8"/>
  <c r="L51" i="8"/>
  <c r="Q51" i="8"/>
  <c r="X15" i="8"/>
  <c r="X16" i="8" s="1"/>
  <c r="X23" i="8" s="1"/>
  <c r="X24" i="8" s="1"/>
  <c r="I37" i="6"/>
  <c r="W17" i="6"/>
  <c r="K26" i="6"/>
  <c r="W7" i="6"/>
  <c r="W11" i="6"/>
  <c r="W15" i="6"/>
  <c r="W19" i="6"/>
  <c r="W4" i="6"/>
  <c r="W8" i="6"/>
  <c r="W12" i="6"/>
  <c r="W16" i="6"/>
  <c r="W20" i="6"/>
  <c r="W6" i="6"/>
  <c r="W10" i="6"/>
  <c r="W14" i="6"/>
  <c r="W18" i="6"/>
  <c r="V6" i="6"/>
  <c r="U6" i="6"/>
  <c r="T6" i="6"/>
  <c r="S6" i="6"/>
  <c r="S14" i="6"/>
  <c r="T14" i="6"/>
  <c r="U14" i="6"/>
  <c r="V16" i="6"/>
  <c r="U16" i="6"/>
  <c r="T16" i="6"/>
  <c r="S16" i="6"/>
  <c r="V20" i="6"/>
  <c r="U20" i="6"/>
  <c r="T20" i="6"/>
  <c r="S20" i="6"/>
  <c r="V4" i="6"/>
  <c r="U4" i="6"/>
  <c r="T4" i="6"/>
  <c r="S4" i="6"/>
  <c r="T10" i="6"/>
  <c r="S10" i="6"/>
  <c r="V10" i="6"/>
  <c r="U10" i="6"/>
  <c r="V7" i="6"/>
  <c r="U7" i="6"/>
  <c r="T7" i="6"/>
  <c r="S7" i="6"/>
  <c r="U11" i="6"/>
  <c r="T11" i="6"/>
  <c r="S11" i="6"/>
  <c r="V11" i="6"/>
  <c r="V15" i="6"/>
  <c r="U15" i="6"/>
  <c r="T15" i="6"/>
  <c r="S15" i="6"/>
  <c r="S2" i="6"/>
  <c r="R22" i="6"/>
  <c r="V2" i="6"/>
  <c r="U2" i="6"/>
  <c r="S17" i="6"/>
  <c r="V17" i="6"/>
  <c r="U17" i="6"/>
  <c r="T17" i="6"/>
  <c r="V21" i="6"/>
  <c r="U21" i="6"/>
  <c r="T21" i="6"/>
  <c r="S21" i="6"/>
  <c r="U8" i="6"/>
  <c r="V8" i="6"/>
  <c r="T8" i="6"/>
  <c r="S8" i="6"/>
  <c r="V12" i="6"/>
  <c r="U12" i="6"/>
  <c r="T12" i="6"/>
  <c r="S12" i="6"/>
  <c r="U3" i="6"/>
  <c r="S3" i="6"/>
  <c r="T3" i="6"/>
  <c r="V3" i="6"/>
  <c r="T18" i="6"/>
  <c r="S18" i="6"/>
  <c r="V18" i="6"/>
  <c r="U18" i="6"/>
  <c r="S9" i="6"/>
  <c r="V9" i="6"/>
  <c r="U9" i="6"/>
  <c r="T9" i="6"/>
  <c r="U19" i="6"/>
  <c r="T19" i="6"/>
  <c r="S19" i="6"/>
  <c r="V19" i="6"/>
  <c r="S5" i="6"/>
  <c r="T13" i="6"/>
  <c r="S13" i="6"/>
  <c r="T5" i="6"/>
  <c r="U5" i="6"/>
  <c r="U13" i="6"/>
  <c r="K28" i="4"/>
  <c r="I32" i="4"/>
  <c r="I31" i="4"/>
  <c r="I29" i="4"/>
  <c r="I28" i="4"/>
  <c r="I27" i="4"/>
  <c r="I26" i="4"/>
  <c r="K31" i="6" l="1"/>
  <c r="U31" i="6"/>
  <c r="V22" i="6"/>
  <c r="U22" i="6"/>
  <c r="T22" i="6"/>
  <c r="S22" i="6"/>
  <c r="U25" i="6"/>
  <c r="U26" i="6" s="1"/>
  <c r="U33" i="6" s="1"/>
  <c r="R2" i="4" a="1"/>
  <c r="R2" i="4" s="1"/>
  <c r="U2" i="4" s="1"/>
  <c r="I34" i="4"/>
  <c r="I36" i="4"/>
  <c r="I35" i="4"/>
  <c r="I33" i="4"/>
  <c r="I30" i="4"/>
  <c r="L23" i="4"/>
  <c r="K23" i="4"/>
  <c r="M23" i="4"/>
  <c r="N23" i="4"/>
  <c r="O23" i="4"/>
  <c r="P23" i="4"/>
  <c r="J23" i="4"/>
  <c r="R3" i="4" a="1"/>
  <c r="R3" i="4" s="1"/>
  <c r="T3" i="4" s="1"/>
  <c r="R4" i="4" a="1"/>
  <c r="R4" i="4" s="1"/>
  <c r="U4" i="4" s="1"/>
  <c r="R5" i="4" a="1"/>
  <c r="R5" i="4" s="1"/>
  <c r="V5" i="4" s="1"/>
  <c r="R6" i="4" a="1"/>
  <c r="R6" i="4" s="1"/>
  <c r="V6" i="4" s="1"/>
  <c r="R7" i="4" a="1"/>
  <c r="R7" i="4" s="1"/>
  <c r="V7" i="4" s="1"/>
  <c r="R8" i="4" a="1"/>
  <c r="R8" i="4" s="1"/>
  <c r="U8" i="4" s="1"/>
  <c r="R9" i="4" a="1"/>
  <c r="R9" i="4" s="1"/>
  <c r="V9" i="4" s="1"/>
  <c r="R10" i="4" a="1"/>
  <c r="R10" i="4" s="1"/>
  <c r="V10" i="4" s="1"/>
  <c r="R11" i="4" a="1"/>
  <c r="R11" i="4" s="1"/>
  <c r="V11" i="4" s="1"/>
  <c r="R12" i="4" a="1"/>
  <c r="R12" i="4" s="1"/>
  <c r="U12" i="4" s="1"/>
  <c r="R13" i="4" a="1"/>
  <c r="R13" i="4" s="1"/>
  <c r="V13" i="4" s="1"/>
  <c r="R14" i="4" a="1"/>
  <c r="R14" i="4" s="1"/>
  <c r="V14" i="4" s="1"/>
  <c r="R15" i="4" a="1"/>
  <c r="R15" i="4" s="1"/>
  <c r="V15" i="4" s="1"/>
  <c r="R16" i="4" a="1"/>
  <c r="R16" i="4" s="1"/>
  <c r="U16" i="4" s="1"/>
  <c r="R17" i="4" a="1"/>
  <c r="R17" i="4" s="1"/>
  <c r="V17" i="4" s="1"/>
  <c r="R18" i="4" a="1"/>
  <c r="R18" i="4" s="1"/>
  <c r="U18" i="4" s="1"/>
  <c r="R19" i="4" a="1"/>
  <c r="R19" i="4" s="1"/>
  <c r="U19" i="4" s="1"/>
  <c r="R20" i="4" a="1"/>
  <c r="R20" i="4" s="1"/>
  <c r="U20" i="4" s="1"/>
  <c r="R21" i="4" a="1"/>
  <c r="R21" i="4" s="1"/>
  <c r="V21" i="4" s="1"/>
  <c r="Q22" i="4"/>
  <c r="W4" i="4" s="1"/>
  <c r="W19" i="4" l="1"/>
  <c r="W15" i="4"/>
  <c r="W11" i="4"/>
  <c r="W7" i="4"/>
  <c r="W3" i="4"/>
  <c r="K26" i="4"/>
  <c r="I37" i="4"/>
  <c r="W2" i="4"/>
  <c r="W18" i="4"/>
  <c r="W14" i="4"/>
  <c r="W10" i="4"/>
  <c r="W6" i="4"/>
  <c r="W21" i="4"/>
  <c r="W17" i="4"/>
  <c r="W13" i="4"/>
  <c r="W9" i="4"/>
  <c r="W5" i="4"/>
  <c r="W20" i="4"/>
  <c r="W16" i="4"/>
  <c r="W12" i="4"/>
  <c r="W8" i="4"/>
  <c r="S2" i="4"/>
  <c r="T2" i="4"/>
  <c r="V18" i="4"/>
  <c r="V20" i="4"/>
  <c r="V16" i="4"/>
  <c r="V12" i="4"/>
  <c r="V8" i="4"/>
  <c r="V4" i="4"/>
  <c r="V2" i="4"/>
  <c r="V19" i="4"/>
  <c r="V3" i="4"/>
  <c r="R22" i="4"/>
  <c r="S6" i="4"/>
  <c r="T6" i="4"/>
  <c r="S10" i="4"/>
  <c r="T10" i="4"/>
  <c r="S14" i="4"/>
  <c r="T14" i="4"/>
  <c r="S18" i="4"/>
  <c r="S19" i="4"/>
  <c r="T18" i="4"/>
  <c r="T9" i="4"/>
  <c r="S9" i="4"/>
  <c r="U9" i="4"/>
  <c r="U3" i="4"/>
  <c r="S3" i="4"/>
  <c r="T17" i="4"/>
  <c r="S17" i="4"/>
  <c r="U17" i="4"/>
  <c r="U11" i="4"/>
  <c r="S11" i="4"/>
  <c r="T11" i="4"/>
  <c r="T21" i="4"/>
  <c r="S21" i="4"/>
  <c r="U21" i="4"/>
  <c r="T5" i="4"/>
  <c r="S5" i="4"/>
  <c r="U5" i="4"/>
  <c r="U7" i="4"/>
  <c r="T7" i="4"/>
  <c r="S7" i="4"/>
  <c r="T13" i="4"/>
  <c r="S13" i="4"/>
  <c r="U13" i="4"/>
  <c r="U15" i="4"/>
  <c r="S15" i="4"/>
  <c r="T15" i="4"/>
  <c r="S4" i="4"/>
  <c r="U6" i="4"/>
  <c r="S8" i="4"/>
  <c r="U10" i="4"/>
  <c r="S12" i="4"/>
  <c r="U14" i="4"/>
  <c r="S16" i="4"/>
  <c r="T19" i="4"/>
  <c r="S20" i="4"/>
  <c r="T4" i="4"/>
  <c r="T12" i="4"/>
  <c r="T16" i="4"/>
  <c r="T20" i="4"/>
  <c r="T8" i="4"/>
  <c r="K31" i="4" l="1"/>
  <c r="U31" i="4" s="1"/>
  <c r="U25" i="4"/>
  <c r="U26" i="4" s="1"/>
  <c r="U33" i="4" s="1"/>
  <c r="T22" i="4"/>
  <c r="V22" i="4"/>
  <c r="U22" i="4"/>
  <c r="S22" i="4"/>
  <c r="I13" i="1" l="1"/>
  <c r="J13" i="1"/>
  <c r="K13" i="1"/>
  <c r="L13" i="1"/>
  <c r="M1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J12" i="1"/>
  <c r="K12" i="1"/>
  <c r="L12" i="1"/>
  <c r="M12" i="1"/>
  <c r="I12" i="1"/>
  <c r="I20" i="1" l="1"/>
  <c r="I4" i="1" s="1"/>
  <c r="M3" i="1" l="1"/>
  <c r="K5" i="1"/>
  <c r="L3" i="1"/>
  <c r="M6" i="1"/>
  <c r="J5" i="1"/>
  <c r="I7" i="1"/>
  <c r="M7" i="1"/>
  <c r="J6" i="1"/>
  <c r="L4" i="1"/>
  <c r="L7" i="1"/>
  <c r="I6" i="1"/>
  <c r="K4" i="1"/>
  <c r="K3" i="1"/>
  <c r="K7" i="1"/>
  <c r="L6" i="1"/>
  <c r="M5" i="1"/>
  <c r="I5" i="1"/>
  <c r="J4" i="1"/>
  <c r="I3" i="1"/>
  <c r="J3" i="1"/>
  <c r="J7" i="1"/>
  <c r="K6" i="1"/>
  <c r="L5" i="1"/>
  <c r="M4" i="1"/>
</calcChain>
</file>

<file path=xl/sharedStrings.xml><?xml version="1.0" encoding="utf-8"?>
<sst xmlns="http://schemas.openxmlformats.org/spreadsheetml/2006/main" count="852" uniqueCount="127">
  <si>
    <t>Source</t>
  </si>
  <si>
    <t>Destination</t>
  </si>
  <si>
    <t>Hickam</t>
  </si>
  <si>
    <t>Cheyenne</t>
  </si>
  <si>
    <t>Qatar</t>
  </si>
  <si>
    <t>Langley</t>
  </si>
  <si>
    <t>Ramstein</t>
  </si>
  <si>
    <t>Mean packet rate (pkts/sec)</t>
  </si>
  <si>
    <t>Packet Size:</t>
  </si>
  <si>
    <t>bits</t>
  </si>
  <si>
    <t>Ground Distance (km)</t>
  </si>
  <si>
    <t>Link Type</t>
  </si>
  <si>
    <t>Intelligent (4 xcvr) Geo satellite</t>
  </si>
  <si>
    <t>"Bent-pipe" Geo satellite</t>
  </si>
  <si>
    <t>Leased "bent-pipe" Geo satellite</t>
  </si>
  <si>
    <t>STS-3</t>
  </si>
  <si>
    <t>Leased STS-3</t>
  </si>
  <si>
    <t>T-3</t>
  </si>
  <si>
    <t>Leased T-3</t>
  </si>
  <si>
    <t>Installation Cost</t>
  </si>
  <si>
    <t>Monthly Cost</t>
  </si>
  <si>
    <t>Link types and cost</t>
  </si>
  <si>
    <t>Data Rate (Mbps)</t>
  </si>
  <si>
    <t>up/down/cross</t>
  </si>
  <si>
    <t>up/down</t>
  </si>
  <si>
    <t>$60M</t>
  </si>
  <si>
    <t>$40M</t>
  </si>
  <si>
    <t>none</t>
  </si>
  <si>
    <t>$4K per km</t>
  </si>
  <si>
    <t>$2K per km</t>
  </si>
  <si>
    <t>$8K per earth station (Max 4)</t>
  </si>
  <si>
    <t>$500K per link</t>
  </si>
  <si>
    <t>$5K per link</t>
  </si>
  <si>
    <t>$700K per link</t>
  </si>
  <si>
    <t>Base:</t>
  </si>
  <si>
    <t>Designator:</t>
  </si>
  <si>
    <t>A</t>
  </si>
  <si>
    <t>E</t>
  </si>
  <si>
    <t>B</t>
  </si>
  <si>
    <t>C</t>
  </si>
  <si>
    <t>D</t>
  </si>
  <si>
    <t>Utilization</t>
  </si>
  <si>
    <t>Num_Sys</t>
  </si>
  <si>
    <t>Total packet rate:</t>
  </si>
  <si>
    <t>Percentage of total traffic</t>
  </si>
  <si>
    <t>pkts/sec</t>
  </si>
  <si>
    <t>Observations:</t>
  </si>
  <si>
    <t>Hickam --&gt; Qatar</t>
  </si>
  <si>
    <t>45% of traffic is on:</t>
  </si>
  <si>
    <t>Hickam --&gt; Langley</t>
  </si>
  <si>
    <t>Ramstein --&gt; Langley</t>
  </si>
  <si>
    <t>Mean bandwidth requirement (Mbps)</t>
  </si>
  <si>
    <t>intel. Sat</t>
  </si>
  <si>
    <t>bent-pipe</t>
  </si>
  <si>
    <t>leased bp sat.</t>
  </si>
  <si>
    <t>T3</t>
  </si>
  <si>
    <t>Leased T3</t>
  </si>
  <si>
    <t>Average Delay</t>
  </si>
  <si>
    <t>Sat Install</t>
  </si>
  <si>
    <t>Hickam Trenching</t>
  </si>
  <si>
    <t>Cheyenne Trenching</t>
  </si>
  <si>
    <t>Qatar Trenching</t>
  </si>
  <si>
    <t>Langley Trenching</t>
  </si>
  <si>
    <t>Ramstein Trenching</t>
  </si>
  <si>
    <t>Total Install:</t>
  </si>
  <si>
    <t>Lambda</t>
  </si>
  <si>
    <t>Mu</t>
  </si>
  <si>
    <t>Server Cost:</t>
  </si>
  <si>
    <t>Hickam Link:</t>
  </si>
  <si>
    <t>Costs:</t>
  </si>
  <si>
    <t>Cheyenne Link:</t>
  </si>
  <si>
    <t>Qatar Link</t>
  </si>
  <si>
    <t>Langley Link</t>
  </si>
  <si>
    <t>Ramstein Link</t>
  </si>
  <si>
    <t>Total Cost:</t>
  </si>
  <si>
    <t>Equal</t>
  </si>
  <si>
    <t>Percent</t>
  </si>
  <si>
    <t>Monthly Cost:</t>
  </si>
  <si>
    <t>Total Connections:</t>
  </si>
  <si>
    <t>Expected Delay (s):</t>
  </si>
  <si>
    <t>Expected Delay (ms):</t>
  </si>
  <si>
    <t>Cost Function Parameters:</t>
  </si>
  <si>
    <t>10 Year Cost/$6M:</t>
  </si>
  <si>
    <t>K-Connectedness:</t>
  </si>
  <si>
    <t>Weighted Delay (ms):</t>
  </si>
  <si>
    <t>Score:</t>
  </si>
  <si>
    <t>Trenched</t>
  </si>
  <si>
    <t>A&lt;-&gt;B</t>
  </si>
  <si>
    <t>Trenching Cost</t>
  </si>
  <si>
    <t>A&lt;-&gt;C</t>
  </si>
  <si>
    <t>A&lt;-&gt;D</t>
  </si>
  <si>
    <t>A&lt;-&gt;E</t>
  </si>
  <si>
    <t>B&lt;-&gt;C</t>
  </si>
  <si>
    <t>B&lt;-&gt;D</t>
  </si>
  <si>
    <t>B&lt;-&gt;E</t>
  </si>
  <si>
    <t>C&lt;-&gt;D</t>
  </si>
  <si>
    <t>C&lt;-&gt;E</t>
  </si>
  <si>
    <t>D&lt;-&gt;E</t>
  </si>
  <si>
    <t>Owned Land Link Cost</t>
  </si>
  <si>
    <t>21° 20' N</t>
  </si>
  <si>
    <t>157° 55' W</t>
  </si>
  <si>
    <t>38° 49' N</t>
  </si>
  <si>
    <t>104° 43' W</t>
  </si>
  <si>
    <t>25° 18' N</t>
  </si>
  <si>
    <t>51° 31' E</t>
  </si>
  <si>
    <t>36° 54' N</t>
  </si>
  <si>
    <t>76° 12' W</t>
  </si>
  <si>
    <t>49° 34' N</t>
  </si>
  <si>
    <t>8° 28' E</t>
  </si>
  <si>
    <t>See iSAT @ 100</t>
  </si>
  <si>
    <t>See iSAT @ 21</t>
  </si>
  <si>
    <t>Dprop_gnd</t>
  </si>
  <si>
    <t>Dprop_sat</t>
  </si>
  <si>
    <t>Percent Ground</t>
  </si>
  <si>
    <t>B&lt;-&gt;A</t>
  </si>
  <si>
    <t>D&lt;-&gt;B</t>
  </si>
  <si>
    <t>E&lt;-&gt;B</t>
  </si>
  <si>
    <t>E&lt;-&gt;D</t>
  </si>
  <si>
    <t>Owned Link Cost:</t>
  </si>
  <si>
    <t>Install Cost:</t>
  </si>
  <si>
    <t>Leased Monthly Cost:</t>
  </si>
  <si>
    <t>Owned Monthly Cost:</t>
  </si>
  <si>
    <t>&lt;-- bidirectional links</t>
  </si>
  <si>
    <t>Used/Owned:</t>
  </si>
  <si>
    <t>Dprop_ground</t>
  </si>
  <si>
    <t>Avg Delay</t>
  </si>
  <si>
    <t>Weighted Delay: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</si>
</sst>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ck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2" fillId="0" borderId="1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2" xfId="1" applyNumberFormat="1" applyFont="1" applyBorder="1" applyAlignment="1">
      <alignment horizontal="center"/>
    </xf>
    <xf numFmtId="10" fontId="0" fillId="0" borderId="18" xfId="1" applyNumberFormat="1" applyFont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2" fillId="0" borderId="29" xfId="0" applyFont="1" applyBorder="1" applyAlignment="1">
      <alignment horizontal="center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2" fillId="0" borderId="0" xfId="0" applyFont="1"/>
    <xf numFmtId="44" fontId="0" fillId="0" borderId="0" xfId="2" applyFont="1" applyAlignment="1">
      <alignment horizontal="center" vertical="center"/>
    </xf>
    <xf numFmtId="44" fontId="0" fillId="0" borderId="0" xfId="2" applyFont="1"/>
    <xf numFmtId="0" fontId="0" fillId="0" borderId="0" xfId="0" applyNumberFormat="1"/>
    <xf numFmtId="0" fontId="0" fillId="0" borderId="0" xfId="0" applyBorder="1" applyAlignment="1">
      <alignment horizontal="center"/>
    </xf>
    <xf numFmtId="164" fontId="0" fillId="0" borderId="0" xfId="0" applyNumberFormat="1"/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44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BFA3-7B04-4BCC-A14E-F4FC4BDCFA79}">
  <dimension ref="A1:Q27"/>
  <sheetViews>
    <sheetView workbookViewId="0">
      <selection activeCell="A17" sqref="A17:F17"/>
    </sheetView>
  </sheetViews>
  <sheetFormatPr defaultRowHeight="15" x14ac:dyDescent="0.25"/>
  <cols>
    <col min="1" max="1" width="19.28515625" customWidth="1"/>
    <col min="2" max="2" width="10.7109375" customWidth="1"/>
    <col min="3" max="3" width="13" customWidth="1"/>
    <col min="4" max="4" width="12.85546875" bestFit="1" customWidth="1"/>
    <col min="8" max="8" width="19.5703125" bestFit="1" customWidth="1"/>
    <col min="11" max="11" width="10" bestFit="1" customWidth="1"/>
  </cols>
  <sheetData>
    <row r="1" spans="1:17" ht="16.5" thickTop="1" thickBot="1" x14ac:dyDescent="0.3">
      <c r="A1" s="103" t="s">
        <v>0</v>
      </c>
      <c r="B1" s="98" t="s">
        <v>1</v>
      </c>
      <c r="C1" s="99"/>
      <c r="D1" s="99"/>
      <c r="E1" s="99"/>
      <c r="F1" s="100"/>
      <c r="H1" s="103" t="s">
        <v>0</v>
      </c>
      <c r="I1" s="98" t="s">
        <v>1</v>
      </c>
      <c r="J1" s="99"/>
      <c r="K1" s="99"/>
      <c r="L1" s="99"/>
      <c r="M1" s="100"/>
      <c r="O1" s="97" t="s">
        <v>46</v>
      </c>
      <c r="P1" s="97"/>
      <c r="Q1" s="97"/>
    </row>
    <row r="2" spans="1:17" ht="16.5" thickTop="1" thickBot="1" x14ac:dyDescent="0.3">
      <c r="A2" s="104"/>
      <c r="B2" s="1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/>
      <c r="H2" s="104"/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O2" t="s">
        <v>48</v>
      </c>
    </row>
    <row r="3" spans="1:17" ht="15.75" thickTop="1" x14ac:dyDescent="0.25">
      <c r="A3" s="12" t="s">
        <v>2</v>
      </c>
      <c r="B3" s="7">
        <v>0</v>
      </c>
      <c r="C3" s="8">
        <v>200</v>
      </c>
      <c r="D3" s="8">
        <v>2500</v>
      </c>
      <c r="E3" s="8">
        <v>1000</v>
      </c>
      <c r="F3" s="9">
        <v>250</v>
      </c>
      <c r="G3" s="5"/>
      <c r="H3" s="41" t="s">
        <v>2</v>
      </c>
      <c r="I3" s="36">
        <f t="shared" ref="I3:M7" si="0">B3/$I$20</f>
        <v>0</v>
      </c>
      <c r="J3" s="36">
        <f t="shared" si="0"/>
        <v>2.0618556701030927E-2</v>
      </c>
      <c r="K3" s="36">
        <f t="shared" si="0"/>
        <v>0.25773195876288657</v>
      </c>
      <c r="L3" s="36">
        <f t="shared" si="0"/>
        <v>0.10309278350515463</v>
      </c>
      <c r="M3" s="37">
        <f t="shared" si="0"/>
        <v>2.5773195876288658E-2</v>
      </c>
      <c r="O3" t="s">
        <v>47</v>
      </c>
    </row>
    <row r="4" spans="1:17" x14ac:dyDescent="0.25">
      <c r="A4" s="3" t="s">
        <v>3</v>
      </c>
      <c r="B4" s="6">
        <v>250</v>
      </c>
      <c r="C4" s="1">
        <v>0</v>
      </c>
      <c r="D4" s="1">
        <v>500</v>
      </c>
      <c r="E4" s="1">
        <v>250</v>
      </c>
      <c r="F4" s="1">
        <v>50</v>
      </c>
      <c r="G4" s="5"/>
      <c r="H4" s="42" t="s">
        <v>3</v>
      </c>
      <c r="I4" s="35">
        <f t="shared" si="0"/>
        <v>2.5773195876288658E-2</v>
      </c>
      <c r="J4" s="35">
        <f t="shared" si="0"/>
        <v>0</v>
      </c>
      <c r="K4" s="35">
        <f t="shared" si="0"/>
        <v>5.1546391752577317E-2</v>
      </c>
      <c r="L4" s="35">
        <f t="shared" si="0"/>
        <v>2.5773195876288658E-2</v>
      </c>
      <c r="M4" s="38">
        <f t="shared" si="0"/>
        <v>5.1546391752577319E-3</v>
      </c>
      <c r="N4" s="23"/>
      <c r="O4" t="s">
        <v>49</v>
      </c>
    </row>
    <row r="5" spans="1:17" x14ac:dyDescent="0.25">
      <c r="A5" s="10" t="s">
        <v>4</v>
      </c>
      <c r="B5" s="1">
        <v>250</v>
      </c>
      <c r="C5" s="1">
        <v>500</v>
      </c>
      <c r="D5" s="1">
        <v>0</v>
      </c>
      <c r="E5" s="1">
        <v>500</v>
      </c>
      <c r="F5" s="1">
        <v>250</v>
      </c>
      <c r="G5" s="5"/>
      <c r="H5" s="42" t="s">
        <v>4</v>
      </c>
      <c r="I5" s="35">
        <f t="shared" si="0"/>
        <v>2.5773195876288658E-2</v>
      </c>
      <c r="J5" s="35">
        <f t="shared" si="0"/>
        <v>5.1546391752577317E-2</v>
      </c>
      <c r="K5" s="35">
        <f t="shared" si="0"/>
        <v>0</v>
      </c>
      <c r="L5" s="35">
        <f t="shared" si="0"/>
        <v>5.1546391752577317E-2</v>
      </c>
      <c r="M5" s="38">
        <f t="shared" si="0"/>
        <v>2.5773195876288658E-2</v>
      </c>
      <c r="O5" t="s">
        <v>50</v>
      </c>
    </row>
    <row r="6" spans="1:17" x14ac:dyDescent="0.25">
      <c r="A6" s="10" t="s">
        <v>5</v>
      </c>
      <c r="B6" s="1">
        <v>250</v>
      </c>
      <c r="C6" s="1">
        <v>500</v>
      </c>
      <c r="D6" s="1">
        <v>500</v>
      </c>
      <c r="E6" s="1">
        <v>0</v>
      </c>
      <c r="F6" s="1">
        <v>250</v>
      </c>
      <c r="G6" s="5"/>
      <c r="H6" s="42" t="s">
        <v>5</v>
      </c>
      <c r="I6" s="35">
        <f t="shared" si="0"/>
        <v>2.5773195876288658E-2</v>
      </c>
      <c r="J6" s="35">
        <f t="shared" si="0"/>
        <v>5.1546391752577317E-2</v>
      </c>
      <c r="K6" s="35">
        <f t="shared" si="0"/>
        <v>5.1546391752577317E-2</v>
      </c>
      <c r="L6" s="35">
        <f t="shared" si="0"/>
        <v>0</v>
      </c>
      <c r="M6" s="38">
        <f t="shared" si="0"/>
        <v>2.5773195876288658E-2</v>
      </c>
    </row>
    <row r="7" spans="1:17" ht="15.75" thickBot="1" x14ac:dyDescent="0.3">
      <c r="A7" s="3" t="s">
        <v>6</v>
      </c>
      <c r="B7" s="11">
        <v>250</v>
      </c>
      <c r="C7" s="1">
        <v>200</v>
      </c>
      <c r="D7" s="1">
        <v>250</v>
      </c>
      <c r="E7" s="4">
        <v>1000</v>
      </c>
      <c r="F7" s="4">
        <v>0</v>
      </c>
      <c r="G7" s="5"/>
      <c r="H7" s="43" t="s">
        <v>6</v>
      </c>
      <c r="I7" s="39">
        <f t="shared" si="0"/>
        <v>2.5773195876288658E-2</v>
      </c>
      <c r="J7" s="39">
        <f t="shared" si="0"/>
        <v>2.0618556701030927E-2</v>
      </c>
      <c r="K7" s="39">
        <f t="shared" si="0"/>
        <v>2.5773195876288658E-2</v>
      </c>
      <c r="L7" s="39">
        <f t="shared" si="0"/>
        <v>0.10309278350515463</v>
      </c>
      <c r="M7" s="40">
        <f t="shared" si="0"/>
        <v>0</v>
      </c>
    </row>
    <row r="8" spans="1:17" ht="15.75" thickTop="1" x14ac:dyDescent="0.25">
      <c r="A8" s="101" t="s">
        <v>7</v>
      </c>
      <c r="B8" s="101"/>
      <c r="C8" s="101"/>
      <c r="D8" s="101"/>
      <c r="E8" s="101"/>
      <c r="F8" s="101"/>
      <c r="H8" s="101" t="s">
        <v>44</v>
      </c>
      <c r="I8" s="102"/>
      <c r="J8" s="102"/>
      <c r="K8" s="102"/>
      <c r="L8" s="102"/>
      <c r="M8" s="102"/>
    </row>
    <row r="9" spans="1:17" ht="15.75" thickBot="1" x14ac:dyDescent="0.3"/>
    <row r="10" spans="1:17" ht="16.5" thickTop="1" thickBot="1" x14ac:dyDescent="0.3">
      <c r="A10" s="103" t="s">
        <v>0</v>
      </c>
      <c r="B10" s="98" t="s">
        <v>1</v>
      </c>
      <c r="C10" s="99"/>
      <c r="D10" s="99"/>
      <c r="E10" s="99"/>
      <c r="F10" s="100"/>
      <c r="H10" s="103" t="s">
        <v>0</v>
      </c>
      <c r="I10" s="98" t="s">
        <v>1</v>
      </c>
      <c r="J10" s="99"/>
      <c r="K10" s="99"/>
      <c r="L10" s="99"/>
      <c r="M10" s="100"/>
    </row>
    <row r="11" spans="1:17" ht="16.5" thickTop="1" thickBot="1" x14ac:dyDescent="0.3">
      <c r="A11" s="105"/>
      <c r="B11" s="18" t="s">
        <v>2</v>
      </c>
      <c r="C11" s="2" t="s">
        <v>3</v>
      </c>
      <c r="D11" s="2" t="s">
        <v>4</v>
      </c>
      <c r="E11" s="2" t="s">
        <v>5</v>
      </c>
      <c r="F11" s="19" t="s">
        <v>6</v>
      </c>
      <c r="H11" s="104"/>
      <c r="I11" s="50" t="s">
        <v>2</v>
      </c>
      <c r="J11" s="13" t="s">
        <v>3</v>
      </c>
      <c r="K11" s="13" t="s">
        <v>4</v>
      </c>
      <c r="L11" s="13" t="s">
        <v>5</v>
      </c>
      <c r="M11" s="19" t="s">
        <v>6</v>
      </c>
    </row>
    <row r="12" spans="1:17" ht="15.75" thickTop="1" x14ac:dyDescent="0.25">
      <c r="A12" s="12" t="s">
        <v>2</v>
      </c>
      <c r="B12" s="7">
        <v>0</v>
      </c>
      <c r="C12" s="8">
        <v>5400</v>
      </c>
      <c r="D12" s="8">
        <v>14000</v>
      </c>
      <c r="E12" s="8">
        <v>7900</v>
      </c>
      <c r="F12" s="9">
        <v>12000</v>
      </c>
      <c r="H12" s="10" t="s">
        <v>2</v>
      </c>
      <c r="I12" s="45">
        <f>B3*$I$19/(1000000)</f>
        <v>0</v>
      </c>
      <c r="J12" s="45">
        <f t="shared" ref="J12:M12" si="1">C3*$I$19/(1000000)</f>
        <v>4</v>
      </c>
      <c r="K12" s="45">
        <f t="shared" si="1"/>
        <v>50</v>
      </c>
      <c r="L12" s="45">
        <f t="shared" si="1"/>
        <v>20</v>
      </c>
      <c r="M12" s="16">
        <f t="shared" si="1"/>
        <v>5</v>
      </c>
    </row>
    <row r="13" spans="1:17" x14ac:dyDescent="0.25">
      <c r="A13" s="3" t="s">
        <v>3</v>
      </c>
      <c r="B13" s="6">
        <v>5400</v>
      </c>
      <c r="C13" s="1">
        <v>0</v>
      </c>
      <c r="D13" s="1">
        <v>12500</v>
      </c>
      <c r="E13" s="1">
        <v>2500</v>
      </c>
      <c r="F13" s="1">
        <v>8200</v>
      </c>
      <c r="G13" s="5"/>
      <c r="H13" s="10" t="s">
        <v>3</v>
      </c>
      <c r="I13" s="45">
        <f t="shared" ref="I13:I16" si="2">B4*$I$19/(1000000)</f>
        <v>5</v>
      </c>
      <c r="J13" s="45">
        <f t="shared" ref="J13:J16" si="3">C4*$I$19/(1000000)</f>
        <v>0</v>
      </c>
      <c r="K13" s="45">
        <f t="shared" ref="K13:K16" si="4">D4*$I$19/(1000000)</f>
        <v>10</v>
      </c>
      <c r="L13" s="45">
        <f t="shared" ref="L13:L16" si="5">E4*$I$19/(1000000)</f>
        <v>5</v>
      </c>
      <c r="M13" s="16">
        <f t="shared" ref="M13:M16" si="6">F4*$I$19/(1000000)</f>
        <v>1</v>
      </c>
    </row>
    <row r="14" spans="1:17" x14ac:dyDescent="0.25">
      <c r="A14" s="10" t="s">
        <v>4</v>
      </c>
      <c r="B14" s="1">
        <v>14000</v>
      </c>
      <c r="C14" s="1">
        <v>12500</v>
      </c>
      <c r="D14" s="1">
        <v>0</v>
      </c>
      <c r="E14" s="1">
        <v>11200</v>
      </c>
      <c r="F14" s="1">
        <v>4600</v>
      </c>
      <c r="G14" s="5"/>
      <c r="H14" s="10" t="s">
        <v>4</v>
      </c>
      <c r="I14" s="45">
        <f t="shared" si="2"/>
        <v>5</v>
      </c>
      <c r="J14" s="45">
        <f t="shared" si="3"/>
        <v>10</v>
      </c>
      <c r="K14" s="45">
        <f t="shared" si="4"/>
        <v>0</v>
      </c>
      <c r="L14" s="45">
        <f t="shared" si="5"/>
        <v>10</v>
      </c>
      <c r="M14" s="16">
        <f t="shared" si="6"/>
        <v>5</v>
      </c>
    </row>
    <row r="15" spans="1:17" x14ac:dyDescent="0.25">
      <c r="A15" s="10" t="s">
        <v>5</v>
      </c>
      <c r="B15" s="1">
        <v>7900</v>
      </c>
      <c r="C15" s="1">
        <v>2500</v>
      </c>
      <c r="D15" s="1">
        <v>11200</v>
      </c>
      <c r="E15" s="1">
        <v>0</v>
      </c>
      <c r="F15" s="1">
        <v>6600</v>
      </c>
      <c r="G15" s="5"/>
      <c r="H15" s="10" t="s">
        <v>5</v>
      </c>
      <c r="I15" s="45">
        <f t="shared" si="2"/>
        <v>5</v>
      </c>
      <c r="J15" s="45">
        <f t="shared" si="3"/>
        <v>10</v>
      </c>
      <c r="K15" s="45">
        <f t="shared" si="4"/>
        <v>10</v>
      </c>
      <c r="L15" s="45">
        <f t="shared" si="5"/>
        <v>0</v>
      </c>
      <c r="M15" s="16">
        <f t="shared" si="6"/>
        <v>5</v>
      </c>
    </row>
    <row r="16" spans="1:17" ht="15.75" thickBot="1" x14ac:dyDescent="0.3">
      <c r="A16" s="3" t="s">
        <v>6</v>
      </c>
      <c r="B16" s="11">
        <v>12000</v>
      </c>
      <c r="C16" s="1">
        <v>8200</v>
      </c>
      <c r="D16" s="1">
        <v>4600</v>
      </c>
      <c r="E16" s="4">
        <v>6600</v>
      </c>
      <c r="F16" s="4">
        <v>0</v>
      </c>
      <c r="G16" s="5"/>
      <c r="H16" s="10" t="s">
        <v>6</v>
      </c>
      <c r="I16" s="45">
        <f t="shared" si="2"/>
        <v>5</v>
      </c>
      <c r="J16" s="45">
        <f t="shared" si="3"/>
        <v>4</v>
      </c>
      <c r="K16" s="45">
        <f t="shared" si="4"/>
        <v>5</v>
      </c>
      <c r="L16" s="45">
        <f t="shared" si="5"/>
        <v>20</v>
      </c>
      <c r="M16" s="17">
        <f t="shared" si="6"/>
        <v>0</v>
      </c>
    </row>
    <row r="17" spans="1:13" ht="15.75" thickTop="1" x14ac:dyDescent="0.25">
      <c r="A17" s="101" t="s">
        <v>10</v>
      </c>
      <c r="B17" s="101"/>
      <c r="C17" s="101"/>
      <c r="D17" s="101"/>
      <c r="E17" s="101"/>
      <c r="F17" s="101"/>
      <c r="H17" s="101" t="s">
        <v>51</v>
      </c>
      <c r="I17" s="101"/>
      <c r="J17" s="101"/>
      <c r="K17" s="101"/>
      <c r="L17" s="101"/>
      <c r="M17" s="101"/>
    </row>
    <row r="18" spans="1:13" ht="15.75" thickBot="1" x14ac:dyDescent="0.3">
      <c r="H18" s="45"/>
      <c r="I18" s="45"/>
      <c r="J18" s="45"/>
      <c r="K18" s="45"/>
      <c r="L18" s="45"/>
      <c r="M18" s="45"/>
    </row>
    <row r="19" spans="1:13" ht="31.5" thickTop="1" thickBot="1" x14ac:dyDescent="0.3">
      <c r="A19" s="22" t="s">
        <v>11</v>
      </c>
      <c r="B19" s="25" t="s">
        <v>22</v>
      </c>
      <c r="C19" s="26" t="s">
        <v>19</v>
      </c>
      <c r="D19" s="27" t="s">
        <v>20</v>
      </c>
      <c r="E19" s="5"/>
      <c r="H19" s="14" t="s">
        <v>8</v>
      </c>
      <c r="I19" s="15">
        <v>20000</v>
      </c>
      <c r="J19" s="1" t="s">
        <v>9</v>
      </c>
      <c r="K19" s="45"/>
      <c r="L19" s="45"/>
      <c r="M19" s="45"/>
    </row>
    <row r="20" spans="1:13" ht="52.5" customHeight="1" thickTop="1" x14ac:dyDescent="0.25">
      <c r="A20" s="21" t="s">
        <v>12</v>
      </c>
      <c r="B20" s="32">
        <v>20</v>
      </c>
      <c r="C20" s="29" t="s">
        <v>25</v>
      </c>
      <c r="D20" s="30" t="s">
        <v>30</v>
      </c>
      <c r="E20" s="47" t="s">
        <v>23</v>
      </c>
      <c r="H20" s="14" t="s">
        <v>43</v>
      </c>
      <c r="I20" s="1">
        <f>SUM(B3:F7)</f>
        <v>9700</v>
      </c>
      <c r="J20" s="44" t="s">
        <v>45</v>
      </c>
    </row>
    <row r="21" spans="1:13" ht="45" x14ac:dyDescent="0.25">
      <c r="A21" s="20" t="s">
        <v>13</v>
      </c>
      <c r="B21" s="28">
        <v>20</v>
      </c>
      <c r="C21" s="31" t="s">
        <v>26</v>
      </c>
      <c r="D21" s="30" t="s">
        <v>30</v>
      </c>
      <c r="E21" s="48" t="s">
        <v>24</v>
      </c>
    </row>
    <row r="22" spans="1:13" ht="30" x14ac:dyDescent="0.25">
      <c r="A22" s="21" t="s">
        <v>14</v>
      </c>
      <c r="B22" s="29">
        <v>5</v>
      </c>
      <c r="C22" s="31" t="s">
        <v>27</v>
      </c>
      <c r="D22" s="30" t="s">
        <v>31</v>
      </c>
      <c r="E22" s="49" t="s">
        <v>24</v>
      </c>
      <c r="G22" s="23"/>
      <c r="I22" s="46"/>
    </row>
    <row r="23" spans="1:13" x14ac:dyDescent="0.25">
      <c r="A23" s="21" t="s">
        <v>15</v>
      </c>
      <c r="B23" s="29">
        <v>15.52</v>
      </c>
      <c r="C23" s="31" t="s">
        <v>28</v>
      </c>
      <c r="D23" s="30" t="s">
        <v>32</v>
      </c>
    </row>
    <row r="24" spans="1:13" ht="30" x14ac:dyDescent="0.25">
      <c r="A24" s="21" t="s">
        <v>16</v>
      </c>
      <c r="B24" s="31">
        <v>15.52</v>
      </c>
      <c r="C24" s="31" t="s">
        <v>27</v>
      </c>
      <c r="D24" s="30" t="s">
        <v>33</v>
      </c>
    </row>
    <row r="25" spans="1:13" x14ac:dyDescent="0.25">
      <c r="A25" s="21" t="s">
        <v>17</v>
      </c>
      <c r="B25" s="31">
        <v>4.4736000000000002</v>
      </c>
      <c r="C25" s="31" t="s">
        <v>29</v>
      </c>
      <c r="D25" s="30" t="s">
        <v>32</v>
      </c>
    </row>
    <row r="26" spans="1:13" ht="30.75" thickBot="1" x14ac:dyDescent="0.3">
      <c r="A26" s="20" t="s">
        <v>18</v>
      </c>
      <c r="B26" s="28">
        <v>4.4736000000000002</v>
      </c>
      <c r="C26" s="31" t="s">
        <v>27</v>
      </c>
      <c r="D26" s="30" t="s">
        <v>31</v>
      </c>
      <c r="E26" s="5"/>
    </row>
    <row r="27" spans="1:13" ht="15.75" thickTop="1" x14ac:dyDescent="0.25">
      <c r="A27" s="101" t="s">
        <v>21</v>
      </c>
      <c r="B27" s="101"/>
      <c r="C27" s="101"/>
      <c r="D27" s="101"/>
      <c r="E27" s="24"/>
      <c r="F27" s="24"/>
    </row>
  </sheetData>
  <mergeCells count="14">
    <mergeCell ref="O1:Q1"/>
    <mergeCell ref="I1:M1"/>
    <mergeCell ref="H8:M8"/>
    <mergeCell ref="A27:D27"/>
    <mergeCell ref="H1:H2"/>
    <mergeCell ref="B1:F1"/>
    <mergeCell ref="A1:A2"/>
    <mergeCell ref="A8:F8"/>
    <mergeCell ref="A10:A11"/>
    <mergeCell ref="B10:F10"/>
    <mergeCell ref="A17:F17"/>
    <mergeCell ref="H10:H11"/>
    <mergeCell ref="I10:M10"/>
    <mergeCell ref="H17:M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0AE5-F8AA-4CEF-B4FC-912B3D42E77B}">
  <dimension ref="A1:AF37"/>
  <sheetViews>
    <sheetView topLeftCell="F1" zoomScale="80" zoomScaleNormal="80" workbookViewId="0">
      <selection activeCell="Y26" sqref="Y26"/>
    </sheetView>
  </sheetViews>
  <sheetFormatPr defaultRowHeight="15" x14ac:dyDescent="0.25"/>
  <cols>
    <col min="1" max="1" width="38.7109375" customWidth="1"/>
    <col min="2" max="2" width="11.140625" bestFit="1" customWidth="1"/>
    <col min="3" max="3" width="9.85546875" customWidth="1"/>
    <col min="4" max="4" width="29.7109375" customWidth="1"/>
    <col min="8" max="8" width="21" customWidth="1"/>
    <col min="9" max="9" width="19.5703125" bestFit="1" customWidth="1"/>
    <col min="10" max="10" width="15.85546875" bestFit="1" customWidth="1"/>
    <col min="11" max="11" width="20.140625" bestFit="1" customWidth="1"/>
    <col min="12" max="12" width="8" bestFit="1" customWidth="1"/>
    <col min="13" max="13" width="5.7109375" bestFit="1" customWidth="1"/>
    <col min="14" max="14" width="8.140625" bestFit="1" customWidth="1"/>
    <col min="15" max="15" width="5" customWidth="1"/>
    <col min="16" max="16" width="7.140625" bestFit="1" customWidth="1"/>
    <col min="17" max="17" width="9.85546875" customWidth="1"/>
    <col min="18" max="18" width="10.42578125" customWidth="1"/>
    <col min="19" max="19" width="10.140625" customWidth="1"/>
    <col min="20" max="20" width="21.5703125" bestFit="1" customWidth="1"/>
    <col min="21" max="21" width="12.85546875" customWidth="1"/>
    <col min="22" max="22" width="7.7109375" customWidth="1"/>
    <col min="23" max="23" width="8.85546875" customWidth="1"/>
    <col min="24" max="24" width="4" customWidth="1"/>
    <col min="25" max="25" width="34.42578125" bestFit="1" customWidth="1"/>
    <col min="26" max="26" width="18.42578125" bestFit="1" customWidth="1"/>
    <col min="27" max="27" width="10.7109375" bestFit="1" customWidth="1"/>
    <col min="28" max="28" width="6.5703125" bestFit="1" customWidth="1"/>
    <col min="29" max="29" width="8.5703125" bestFit="1" customWidth="1"/>
    <col min="30" max="30" width="10.5703125" bestFit="1" customWidth="1"/>
    <col min="31" max="32" width="4" customWidth="1"/>
  </cols>
  <sheetData>
    <row r="1" spans="1:32" s="53" customFormat="1" ht="31.5" thickTop="1" thickBot="1" x14ac:dyDescent="0.3">
      <c r="A1" s="51" t="s">
        <v>34</v>
      </c>
      <c r="B1" s="52" t="s">
        <v>35</v>
      </c>
      <c r="D1" s="31"/>
      <c r="H1" s="67" t="s">
        <v>0</v>
      </c>
      <c r="I1" s="68" t="s">
        <v>1</v>
      </c>
      <c r="J1" s="68" t="s">
        <v>52</v>
      </c>
      <c r="K1" s="68" t="s">
        <v>53</v>
      </c>
      <c r="L1" s="68" t="s">
        <v>54</v>
      </c>
      <c r="M1" s="68" t="s">
        <v>15</v>
      </c>
      <c r="N1" s="68" t="s">
        <v>16</v>
      </c>
      <c r="O1" s="68" t="s">
        <v>55</v>
      </c>
      <c r="P1" s="68" t="s">
        <v>56</v>
      </c>
      <c r="Q1" s="68" t="s">
        <v>65</v>
      </c>
      <c r="R1" s="68" t="s">
        <v>66</v>
      </c>
      <c r="S1" s="68" t="s">
        <v>42</v>
      </c>
      <c r="T1" s="68" t="s">
        <v>57</v>
      </c>
      <c r="U1" s="69" t="s">
        <v>41</v>
      </c>
      <c r="V1" s="31" t="s">
        <v>75</v>
      </c>
      <c r="W1" s="31" t="s">
        <v>76</v>
      </c>
      <c r="X1" s="31"/>
      <c r="Y1" s="31" t="s">
        <v>0</v>
      </c>
      <c r="Z1" s="31" t="s">
        <v>1</v>
      </c>
      <c r="AA1" s="31"/>
      <c r="AB1" s="31"/>
      <c r="AC1" s="31"/>
      <c r="AD1" s="31"/>
      <c r="AE1" s="31"/>
      <c r="AF1" s="31"/>
    </row>
    <row r="2" spans="1:32" ht="15.75" thickBot="1" x14ac:dyDescent="0.3">
      <c r="A2" s="33" t="s">
        <v>2</v>
      </c>
      <c r="B2" s="16" t="s">
        <v>36</v>
      </c>
      <c r="D2" s="57"/>
      <c r="H2" s="58" t="s">
        <v>36</v>
      </c>
      <c r="I2" s="60" t="s">
        <v>38</v>
      </c>
      <c r="J2" s="70">
        <v>0</v>
      </c>
      <c r="K2" s="70">
        <v>0</v>
      </c>
      <c r="L2" s="70">
        <v>0</v>
      </c>
      <c r="M2" s="70">
        <v>0</v>
      </c>
      <c r="N2" s="70">
        <v>0</v>
      </c>
      <c r="O2" s="70">
        <v>0</v>
      </c>
      <c r="P2" s="70">
        <v>3</v>
      </c>
      <c r="Q2" s="71">
        <v>200</v>
      </c>
      <c r="R2" s="71">
        <f t="array" ref="R2">SUMPRODUCT(J2:P2,TRANSPOSE($Z$10:$Z$16))*1000000/20000</f>
        <v>671.04</v>
      </c>
      <c r="S2" s="58">
        <f>Q2/(R2-Q2)</f>
        <v>0.42459239130434784</v>
      </c>
      <c r="T2" s="59">
        <f>1/(R2-Q2)</f>
        <v>2.1229619565217395E-3</v>
      </c>
      <c r="U2" s="60">
        <f>Q2/R2</f>
        <v>0.29804482594182169</v>
      </c>
      <c r="V2" s="57">
        <f>IF(Q2=R2,1,0)</f>
        <v>0</v>
      </c>
      <c r="W2" s="57">
        <f>Q2/$Q$22</f>
        <v>2.0618556701030927E-2</v>
      </c>
      <c r="X2" s="57"/>
      <c r="Y2" s="57"/>
      <c r="Z2" s="57" t="s">
        <v>2</v>
      </c>
      <c r="AA2" s="57" t="s">
        <v>3</v>
      </c>
      <c r="AB2" s="57" t="s">
        <v>4</v>
      </c>
      <c r="AC2" s="57" t="s">
        <v>5</v>
      </c>
      <c r="AD2" s="57" t="s">
        <v>6</v>
      </c>
      <c r="AE2" s="57"/>
      <c r="AF2" s="57"/>
    </row>
    <row r="3" spans="1:32" ht="15.75" thickTop="1" x14ac:dyDescent="0.25">
      <c r="A3" s="33" t="s">
        <v>3</v>
      </c>
      <c r="B3" s="16" t="s">
        <v>38</v>
      </c>
      <c r="D3" s="57"/>
      <c r="H3" s="61" t="s">
        <v>36</v>
      </c>
      <c r="I3" s="63" t="s">
        <v>39</v>
      </c>
      <c r="J3" s="62">
        <v>2</v>
      </c>
      <c r="K3" s="62">
        <v>0</v>
      </c>
      <c r="L3" s="62">
        <v>0</v>
      </c>
      <c r="M3" s="62">
        <v>2</v>
      </c>
      <c r="N3" s="62">
        <v>2</v>
      </c>
      <c r="O3" s="62">
        <v>0</v>
      </c>
      <c r="P3" s="62">
        <v>0</v>
      </c>
      <c r="Q3" s="71">
        <v>2500</v>
      </c>
      <c r="R3" s="71">
        <f t="array" ref="R3">SUMPRODUCT(J3:P3,TRANSPOSE($Z$10:$Z$16))*1000000/20000</f>
        <v>5103.9999999999991</v>
      </c>
      <c r="S3" s="61">
        <f t="shared" ref="S3:S22" si="0">Q3/(R3-Q3)</f>
        <v>0.960061443932412</v>
      </c>
      <c r="T3" s="62">
        <f>1/(R3-Q3)</f>
        <v>3.8402457757296478E-4</v>
      </c>
      <c r="U3" s="63">
        <f t="shared" ref="U3:U22" si="1">Q3/R3</f>
        <v>0.48981191222570541</v>
      </c>
      <c r="V3" s="57">
        <f t="shared" ref="V3:V22" si="2">IF(Q3=R3,1,0)</f>
        <v>0</v>
      </c>
      <c r="W3" s="57">
        <f t="shared" ref="W3:W21" si="3">Q3/$Q$22</f>
        <v>0.25773195876288657</v>
      </c>
      <c r="X3" s="57"/>
      <c r="Y3" s="57" t="s">
        <v>2</v>
      </c>
      <c r="Z3" s="7">
        <v>0</v>
      </c>
      <c r="AA3" s="8">
        <v>200</v>
      </c>
      <c r="AB3" s="8">
        <v>2500</v>
      </c>
      <c r="AC3" s="8">
        <v>1000</v>
      </c>
      <c r="AD3" s="9">
        <v>250</v>
      </c>
      <c r="AE3" s="57"/>
      <c r="AF3" s="57"/>
    </row>
    <row r="4" spans="1:32" x14ac:dyDescent="0.25">
      <c r="A4" s="33" t="s">
        <v>4</v>
      </c>
      <c r="B4" s="16" t="s">
        <v>39</v>
      </c>
      <c r="D4" s="57"/>
      <c r="H4" s="61" t="s">
        <v>36</v>
      </c>
      <c r="I4" s="63" t="s">
        <v>40</v>
      </c>
      <c r="J4" s="62">
        <v>0</v>
      </c>
      <c r="K4" s="62">
        <v>0</v>
      </c>
      <c r="L4" s="62">
        <v>0</v>
      </c>
      <c r="M4" s="62">
        <v>0</v>
      </c>
      <c r="N4" s="62">
        <v>1</v>
      </c>
      <c r="O4" s="62">
        <v>2</v>
      </c>
      <c r="P4" s="62">
        <v>4</v>
      </c>
      <c r="Q4" s="71">
        <v>1000</v>
      </c>
      <c r="R4" s="71">
        <f t="array" ref="R4">SUMPRODUCT(J4:P4,TRANSPOSE($Z$10:$Z$16))*1000000/20000</f>
        <v>2118.0799999999995</v>
      </c>
      <c r="S4" s="61">
        <f t="shared" si="0"/>
        <v>0.89439038351459688</v>
      </c>
      <c r="T4" s="62">
        <f t="shared" ref="T4:T22" si="4">1/(R4-Q4)</f>
        <v>8.9439038351459682E-4</v>
      </c>
      <c r="U4" s="63">
        <f t="shared" si="1"/>
        <v>0.47212569874603427</v>
      </c>
      <c r="V4" s="57">
        <f t="shared" si="2"/>
        <v>0</v>
      </c>
      <c r="W4" s="57">
        <f t="shared" si="3"/>
        <v>0.10309278350515463</v>
      </c>
      <c r="X4" s="57"/>
      <c r="Y4" s="57" t="s">
        <v>3</v>
      </c>
      <c r="Z4" s="6">
        <v>250</v>
      </c>
      <c r="AA4" s="1">
        <v>0</v>
      </c>
      <c r="AB4" s="1">
        <v>500</v>
      </c>
      <c r="AC4" s="1">
        <v>250</v>
      </c>
      <c r="AD4" s="1">
        <v>50</v>
      </c>
      <c r="AE4" s="57"/>
      <c r="AF4" s="57"/>
    </row>
    <row r="5" spans="1:32" x14ac:dyDescent="0.25">
      <c r="A5" s="33" t="s">
        <v>5</v>
      </c>
      <c r="B5" s="16" t="s">
        <v>40</v>
      </c>
      <c r="D5" s="57"/>
      <c r="H5" s="61" t="s">
        <v>36</v>
      </c>
      <c r="I5" s="63" t="s">
        <v>37</v>
      </c>
      <c r="J5" s="62">
        <v>0</v>
      </c>
      <c r="K5" s="62">
        <v>0</v>
      </c>
      <c r="L5" s="62">
        <v>0</v>
      </c>
      <c r="M5" s="62">
        <v>0</v>
      </c>
      <c r="N5" s="62">
        <v>0</v>
      </c>
      <c r="O5" s="62">
        <v>0</v>
      </c>
      <c r="P5" s="62">
        <v>2</v>
      </c>
      <c r="Q5" s="71">
        <v>250</v>
      </c>
      <c r="R5" s="71">
        <f t="array" ref="R5">SUMPRODUCT(J5:P5,TRANSPOSE($Z$10:$Z$16))*1000000/20000</f>
        <v>447.36</v>
      </c>
      <c r="S5" s="61">
        <f t="shared" si="0"/>
        <v>1.2667207134171057</v>
      </c>
      <c r="T5" s="62">
        <f t="shared" si="4"/>
        <v>5.0668828536684233E-3</v>
      </c>
      <c r="U5" s="63">
        <f t="shared" si="1"/>
        <v>0.55883404864091557</v>
      </c>
      <c r="V5" s="57">
        <f t="shared" si="2"/>
        <v>0</v>
      </c>
      <c r="W5" s="57">
        <f t="shared" si="3"/>
        <v>2.5773195876288658E-2</v>
      </c>
      <c r="X5" s="57"/>
      <c r="Y5" s="57" t="s">
        <v>4</v>
      </c>
      <c r="Z5" s="1">
        <v>250</v>
      </c>
      <c r="AA5" s="1">
        <v>500</v>
      </c>
      <c r="AB5" s="1">
        <v>0</v>
      </c>
      <c r="AC5" s="1">
        <v>500</v>
      </c>
      <c r="AD5" s="1">
        <v>250</v>
      </c>
      <c r="AE5" s="57"/>
      <c r="AF5" s="57"/>
    </row>
    <row r="6" spans="1:32" ht="15.75" thickBot="1" x14ac:dyDescent="0.3">
      <c r="A6" s="34" t="s">
        <v>6</v>
      </c>
      <c r="B6" s="17" t="s">
        <v>37</v>
      </c>
      <c r="D6" s="57"/>
      <c r="H6" s="61" t="s">
        <v>38</v>
      </c>
      <c r="I6" s="63" t="s">
        <v>36</v>
      </c>
      <c r="J6" s="62">
        <v>0</v>
      </c>
      <c r="K6" s="62">
        <v>0</v>
      </c>
      <c r="L6" s="62">
        <v>0</v>
      </c>
      <c r="M6" s="62">
        <v>0</v>
      </c>
      <c r="N6" s="62">
        <v>1</v>
      </c>
      <c r="O6" s="62">
        <v>0</v>
      </c>
      <c r="P6" s="62">
        <v>0</v>
      </c>
      <c r="Q6" s="71">
        <v>250</v>
      </c>
      <c r="R6" s="71">
        <f t="array" ref="R6">SUMPRODUCT(J6:P6,TRANSPOSE($Z$10:$Z$16))*1000000/20000</f>
        <v>776</v>
      </c>
      <c r="S6" s="61">
        <f t="shared" si="0"/>
        <v>0.47528517110266161</v>
      </c>
      <c r="T6" s="62">
        <f t="shared" si="4"/>
        <v>1.9011406844106464E-3</v>
      </c>
      <c r="U6" s="63">
        <f t="shared" si="1"/>
        <v>0.32216494845360827</v>
      </c>
      <c r="V6" s="57">
        <f t="shared" si="2"/>
        <v>0</v>
      </c>
      <c r="W6" s="57">
        <f t="shared" si="3"/>
        <v>2.5773195876288658E-2</v>
      </c>
      <c r="X6" s="57"/>
      <c r="Y6" s="57" t="s">
        <v>5</v>
      </c>
      <c r="Z6" s="1">
        <v>250</v>
      </c>
      <c r="AA6" s="1">
        <v>500</v>
      </c>
      <c r="AB6" s="1">
        <v>500</v>
      </c>
      <c r="AC6" s="1">
        <v>0</v>
      </c>
      <c r="AD6" s="1">
        <v>250</v>
      </c>
      <c r="AE6" s="57"/>
      <c r="AF6" s="57"/>
    </row>
    <row r="7" spans="1:32" ht="16.5" thickTop="1" thickBot="1" x14ac:dyDescent="0.3">
      <c r="D7" s="57"/>
      <c r="H7" s="61" t="s">
        <v>38</v>
      </c>
      <c r="I7" s="63" t="s">
        <v>39</v>
      </c>
      <c r="J7" s="62">
        <v>0</v>
      </c>
      <c r="K7" s="62">
        <v>0</v>
      </c>
      <c r="L7" s="62">
        <v>0</v>
      </c>
      <c r="M7" s="62">
        <v>0</v>
      </c>
      <c r="N7" s="62">
        <v>0</v>
      </c>
      <c r="O7" s="62">
        <v>0</v>
      </c>
      <c r="P7" s="62">
        <v>3</v>
      </c>
      <c r="Q7" s="71">
        <v>500</v>
      </c>
      <c r="R7" s="71">
        <f t="array" ref="R7">SUMPRODUCT(J7:P7,TRANSPOSE($Z$10:$Z$16))*1000000/20000</f>
        <v>671.04</v>
      </c>
      <c r="S7" s="61">
        <f t="shared" si="0"/>
        <v>2.9232927970065488</v>
      </c>
      <c r="T7" s="62">
        <f t="shared" si="4"/>
        <v>5.8465855940130979E-3</v>
      </c>
      <c r="U7" s="63">
        <f t="shared" si="1"/>
        <v>0.74511206485455417</v>
      </c>
      <c r="V7" s="57">
        <f t="shared" si="2"/>
        <v>0</v>
      </c>
      <c r="W7" s="57">
        <f t="shared" si="3"/>
        <v>5.1546391752577317E-2</v>
      </c>
      <c r="X7" s="57"/>
      <c r="Y7" s="57" t="s">
        <v>6</v>
      </c>
      <c r="Z7" s="11">
        <v>250</v>
      </c>
      <c r="AA7" s="1">
        <v>200</v>
      </c>
      <c r="AB7" s="1">
        <v>250</v>
      </c>
      <c r="AC7" s="4">
        <v>1000</v>
      </c>
      <c r="AD7" s="4">
        <v>0</v>
      </c>
      <c r="AE7" s="57"/>
      <c r="AF7" s="57"/>
    </row>
    <row r="8" spans="1:32" ht="15.75" thickTop="1" x14ac:dyDescent="0.25">
      <c r="A8" t="s">
        <v>11</v>
      </c>
      <c r="B8" t="s">
        <v>22</v>
      </c>
      <c r="C8" t="s">
        <v>19</v>
      </c>
      <c r="D8" s="57" t="s">
        <v>20</v>
      </c>
      <c r="H8" s="61" t="s">
        <v>38</v>
      </c>
      <c r="I8" s="63" t="s">
        <v>40</v>
      </c>
      <c r="J8" s="62">
        <v>0</v>
      </c>
      <c r="K8" s="62">
        <v>0</v>
      </c>
      <c r="L8" s="62">
        <v>0</v>
      </c>
      <c r="M8" s="62">
        <v>0</v>
      </c>
      <c r="N8" s="62">
        <v>1</v>
      </c>
      <c r="O8" s="62">
        <v>0</v>
      </c>
      <c r="P8" s="62">
        <v>0</v>
      </c>
      <c r="Q8" s="71">
        <v>250</v>
      </c>
      <c r="R8" s="71">
        <f t="array" ref="R8">SUMPRODUCT(J8:P8,TRANSPOSE($Z$10:$Z$16))*1000000/20000</f>
        <v>776</v>
      </c>
      <c r="S8" s="61">
        <f t="shared" si="0"/>
        <v>0.47528517110266161</v>
      </c>
      <c r="T8" s="62">
        <f t="shared" si="4"/>
        <v>1.9011406844106464E-3</v>
      </c>
      <c r="U8" s="63">
        <f t="shared" si="1"/>
        <v>0.32216494845360827</v>
      </c>
      <c r="V8" s="57">
        <f t="shared" si="2"/>
        <v>0</v>
      </c>
      <c r="W8" s="57">
        <f t="shared" si="3"/>
        <v>2.5773195876288658E-2</v>
      </c>
      <c r="X8" s="57"/>
      <c r="Y8" s="57"/>
      <c r="Z8" s="57"/>
      <c r="AA8" s="57"/>
      <c r="AB8" s="57"/>
      <c r="AC8" s="57"/>
      <c r="AD8" s="57"/>
      <c r="AE8" s="57"/>
      <c r="AF8" s="57"/>
    </row>
    <row r="9" spans="1:32" x14ac:dyDescent="0.25">
      <c r="A9" t="s">
        <v>12</v>
      </c>
      <c r="B9">
        <v>20</v>
      </c>
      <c r="C9" t="s">
        <v>25</v>
      </c>
      <c r="D9" s="57" t="s">
        <v>30</v>
      </c>
      <c r="H9" s="61" t="s">
        <v>38</v>
      </c>
      <c r="I9" s="63" t="s">
        <v>37</v>
      </c>
      <c r="J9" s="62">
        <v>0</v>
      </c>
      <c r="K9" s="62">
        <v>0</v>
      </c>
      <c r="L9" s="62">
        <v>0</v>
      </c>
      <c r="M9" s="62">
        <v>0</v>
      </c>
      <c r="N9" s="62">
        <v>1</v>
      </c>
      <c r="O9" s="62">
        <v>0</v>
      </c>
      <c r="P9" s="62">
        <v>0</v>
      </c>
      <c r="Q9" s="71">
        <v>50</v>
      </c>
      <c r="R9" s="71">
        <f t="array" ref="R9">SUMPRODUCT(J9:P9,TRANSPOSE($Z$10:$Z$16))*1000000/20000</f>
        <v>776</v>
      </c>
      <c r="S9" s="61">
        <f t="shared" si="0"/>
        <v>6.8870523415977963E-2</v>
      </c>
      <c r="T9" s="62">
        <f t="shared" si="4"/>
        <v>1.3774104683195593E-3</v>
      </c>
      <c r="U9" s="63">
        <f t="shared" si="1"/>
        <v>6.4432989690721643E-2</v>
      </c>
      <c r="V9" s="57">
        <f t="shared" si="2"/>
        <v>0</v>
      </c>
      <c r="W9" s="57">
        <f t="shared" si="3"/>
        <v>5.1546391752577319E-3</v>
      </c>
      <c r="X9" s="57"/>
      <c r="Y9" s="57" t="s">
        <v>11</v>
      </c>
      <c r="Z9" s="57" t="s">
        <v>22</v>
      </c>
      <c r="AA9" s="57"/>
      <c r="AB9" s="57"/>
      <c r="AC9" s="57"/>
      <c r="AD9" s="57"/>
      <c r="AE9" s="57"/>
      <c r="AF9" s="57"/>
    </row>
    <row r="10" spans="1:32" x14ac:dyDescent="0.25">
      <c r="A10" t="s">
        <v>13</v>
      </c>
      <c r="B10">
        <v>20</v>
      </c>
      <c r="C10" t="s">
        <v>26</v>
      </c>
      <c r="D10" s="57" t="s">
        <v>30</v>
      </c>
      <c r="H10" s="61" t="s">
        <v>39</v>
      </c>
      <c r="I10" s="63" t="s">
        <v>36</v>
      </c>
      <c r="J10" s="62">
        <v>0</v>
      </c>
      <c r="K10" s="62">
        <v>0</v>
      </c>
      <c r="L10" s="62">
        <v>0</v>
      </c>
      <c r="M10" s="62">
        <v>0</v>
      </c>
      <c r="N10" s="62">
        <v>0</v>
      </c>
      <c r="O10" s="62">
        <v>0</v>
      </c>
      <c r="P10" s="62">
        <v>2</v>
      </c>
      <c r="Q10" s="71">
        <v>250</v>
      </c>
      <c r="R10" s="71">
        <f t="array" ref="R10">SUMPRODUCT(J10:P10,TRANSPOSE($Z$10:$Z$16))*1000000/20000</f>
        <v>447.36</v>
      </c>
      <c r="S10" s="61">
        <f t="shared" si="0"/>
        <v>1.2667207134171057</v>
      </c>
      <c r="T10" s="62">
        <f t="shared" si="4"/>
        <v>5.0668828536684233E-3</v>
      </c>
      <c r="U10" s="63">
        <f t="shared" si="1"/>
        <v>0.55883404864091557</v>
      </c>
      <c r="V10" s="57">
        <f t="shared" si="2"/>
        <v>0</v>
      </c>
      <c r="W10" s="57">
        <f t="shared" si="3"/>
        <v>2.5773195876288658E-2</v>
      </c>
      <c r="X10" s="57"/>
      <c r="Y10" s="57" t="s">
        <v>12</v>
      </c>
      <c r="Z10" s="54">
        <v>20</v>
      </c>
      <c r="AA10" s="57"/>
      <c r="AB10" s="57"/>
      <c r="AC10" s="57"/>
      <c r="AD10" s="57"/>
      <c r="AE10" s="57"/>
      <c r="AF10" s="57"/>
    </row>
    <row r="11" spans="1:32" x14ac:dyDescent="0.25">
      <c r="A11" t="s">
        <v>14</v>
      </c>
      <c r="B11">
        <v>5</v>
      </c>
      <c r="C11" t="s">
        <v>27</v>
      </c>
      <c r="D11" s="57" t="s">
        <v>31</v>
      </c>
      <c r="H11" s="61" t="s">
        <v>39</v>
      </c>
      <c r="I11" s="63" t="s">
        <v>38</v>
      </c>
      <c r="J11" s="62">
        <v>0</v>
      </c>
      <c r="K11" s="62">
        <v>0</v>
      </c>
      <c r="L11" s="62">
        <v>0</v>
      </c>
      <c r="M11" s="62">
        <v>0</v>
      </c>
      <c r="N11" s="62">
        <v>0</v>
      </c>
      <c r="O11" s="62">
        <v>0</v>
      </c>
      <c r="P11" s="62">
        <v>3</v>
      </c>
      <c r="Q11" s="71">
        <v>500</v>
      </c>
      <c r="R11" s="71">
        <f t="array" ref="R11">SUMPRODUCT(J11:P11,TRANSPOSE($Z$10:$Z$16))*1000000/20000</f>
        <v>671.04</v>
      </c>
      <c r="S11" s="61">
        <f t="shared" si="0"/>
        <v>2.9232927970065488</v>
      </c>
      <c r="T11" s="62">
        <f t="shared" si="4"/>
        <v>5.8465855940130979E-3</v>
      </c>
      <c r="U11" s="63">
        <f t="shared" si="1"/>
        <v>0.74511206485455417</v>
      </c>
      <c r="V11" s="57">
        <f t="shared" si="2"/>
        <v>0</v>
      </c>
      <c r="W11" s="57">
        <f t="shared" si="3"/>
        <v>5.1546391752577317E-2</v>
      </c>
      <c r="X11" s="57"/>
      <c r="Y11" s="57" t="s">
        <v>13</v>
      </c>
      <c r="Z11" s="54">
        <v>20</v>
      </c>
      <c r="AA11" s="57"/>
      <c r="AB11" s="57"/>
      <c r="AC11" s="57"/>
      <c r="AD11" s="57"/>
      <c r="AE11" s="57"/>
      <c r="AF11" s="57"/>
    </row>
    <row r="12" spans="1:32" x14ac:dyDescent="0.25">
      <c r="A12" t="s">
        <v>15</v>
      </c>
      <c r="B12">
        <v>15.52</v>
      </c>
      <c r="C12" t="s">
        <v>28</v>
      </c>
      <c r="D12" s="57" t="s">
        <v>32</v>
      </c>
      <c r="H12" s="61" t="s">
        <v>39</v>
      </c>
      <c r="I12" s="63" t="s">
        <v>40</v>
      </c>
      <c r="J12" s="62">
        <v>0</v>
      </c>
      <c r="K12" s="62">
        <v>0</v>
      </c>
      <c r="L12" s="62">
        <v>0</v>
      </c>
      <c r="M12" s="62">
        <v>0</v>
      </c>
      <c r="N12" s="62">
        <v>0</v>
      </c>
      <c r="O12" s="62">
        <v>0</v>
      </c>
      <c r="P12" s="62">
        <v>3</v>
      </c>
      <c r="Q12" s="71">
        <v>500</v>
      </c>
      <c r="R12" s="71">
        <f t="array" ref="R12">SUMPRODUCT(J12:P12,TRANSPOSE($Z$10:$Z$16))*1000000/20000</f>
        <v>671.04</v>
      </c>
      <c r="S12" s="61">
        <f t="shared" si="0"/>
        <v>2.9232927970065488</v>
      </c>
      <c r="T12" s="62">
        <f t="shared" si="4"/>
        <v>5.8465855940130979E-3</v>
      </c>
      <c r="U12" s="63">
        <f t="shared" si="1"/>
        <v>0.74511206485455417</v>
      </c>
      <c r="V12" s="57">
        <f t="shared" si="2"/>
        <v>0</v>
      </c>
      <c r="W12" s="57">
        <f t="shared" si="3"/>
        <v>5.1546391752577317E-2</v>
      </c>
      <c r="X12" s="57"/>
      <c r="Y12" s="57" t="s">
        <v>14</v>
      </c>
      <c r="Z12" s="54">
        <v>5</v>
      </c>
      <c r="AA12" s="57"/>
      <c r="AB12" s="57"/>
      <c r="AC12" s="57"/>
      <c r="AD12" s="57"/>
      <c r="AE12" s="57"/>
      <c r="AF12" s="57"/>
    </row>
    <row r="13" spans="1:32" x14ac:dyDescent="0.25">
      <c r="A13" t="s">
        <v>16</v>
      </c>
      <c r="B13">
        <v>15.52</v>
      </c>
      <c r="C13" t="s">
        <v>27</v>
      </c>
      <c r="D13" s="57" t="s">
        <v>33</v>
      </c>
      <c r="H13" s="61" t="s">
        <v>39</v>
      </c>
      <c r="I13" s="63" t="s">
        <v>37</v>
      </c>
      <c r="J13" s="62">
        <v>0</v>
      </c>
      <c r="K13" s="62">
        <v>0</v>
      </c>
      <c r="L13" s="62">
        <v>0</v>
      </c>
      <c r="M13" s="62">
        <v>0</v>
      </c>
      <c r="N13" s="62">
        <v>1</v>
      </c>
      <c r="O13" s="62">
        <v>0</v>
      </c>
      <c r="P13" s="62">
        <v>0</v>
      </c>
      <c r="Q13" s="71">
        <v>250</v>
      </c>
      <c r="R13" s="71">
        <f t="array" ref="R13">SUMPRODUCT(J13:P13,TRANSPOSE($Z$10:$Z$16))*1000000/20000</f>
        <v>776</v>
      </c>
      <c r="S13" s="61">
        <f t="shared" si="0"/>
        <v>0.47528517110266161</v>
      </c>
      <c r="T13" s="62">
        <f t="shared" si="4"/>
        <v>1.9011406844106464E-3</v>
      </c>
      <c r="U13" s="63">
        <f t="shared" si="1"/>
        <v>0.32216494845360827</v>
      </c>
      <c r="V13" s="57">
        <f t="shared" si="2"/>
        <v>0</v>
      </c>
      <c r="W13" s="57">
        <f t="shared" si="3"/>
        <v>2.5773195876288658E-2</v>
      </c>
      <c r="X13" s="57"/>
      <c r="Y13" s="57" t="s">
        <v>15</v>
      </c>
      <c r="Z13" s="54">
        <v>15.52</v>
      </c>
      <c r="AA13" s="57"/>
      <c r="AB13" s="57"/>
      <c r="AC13" s="57"/>
      <c r="AD13" s="57"/>
      <c r="AE13" s="57"/>
      <c r="AF13" s="57"/>
    </row>
    <row r="14" spans="1:32" x14ac:dyDescent="0.25">
      <c r="A14" t="s">
        <v>17</v>
      </c>
      <c r="B14">
        <v>4.4736000000000002</v>
      </c>
      <c r="C14" t="s">
        <v>29</v>
      </c>
      <c r="D14" s="57" t="s">
        <v>32</v>
      </c>
      <c r="H14" s="61" t="s">
        <v>40</v>
      </c>
      <c r="I14" s="63" t="s">
        <v>36</v>
      </c>
      <c r="J14" s="62">
        <v>0</v>
      </c>
      <c r="K14" s="62">
        <v>0</v>
      </c>
      <c r="L14" s="62">
        <v>0</v>
      </c>
      <c r="M14" s="62">
        <v>0</v>
      </c>
      <c r="N14" s="62">
        <v>1</v>
      </c>
      <c r="O14" s="62">
        <v>0</v>
      </c>
      <c r="P14" s="62">
        <v>0</v>
      </c>
      <c r="Q14" s="71">
        <v>250</v>
      </c>
      <c r="R14" s="71">
        <f t="array" ref="R14">SUMPRODUCT(J14:P14,TRANSPOSE($Z$10:$Z$16))*1000000/20000</f>
        <v>776</v>
      </c>
      <c r="S14" s="61">
        <f t="shared" si="0"/>
        <v>0.47528517110266161</v>
      </c>
      <c r="T14" s="62">
        <f t="shared" si="4"/>
        <v>1.9011406844106464E-3</v>
      </c>
      <c r="U14" s="63">
        <f t="shared" si="1"/>
        <v>0.32216494845360827</v>
      </c>
      <c r="V14" s="57">
        <f t="shared" si="2"/>
        <v>0</v>
      </c>
      <c r="W14" s="57">
        <f t="shared" si="3"/>
        <v>2.5773195876288658E-2</v>
      </c>
      <c r="X14" s="57"/>
      <c r="Y14" s="57" t="s">
        <v>16</v>
      </c>
      <c r="Z14" s="54">
        <v>15.52</v>
      </c>
      <c r="AA14" s="57"/>
      <c r="AB14" s="57"/>
      <c r="AC14" s="57"/>
      <c r="AD14" s="57"/>
      <c r="AE14" s="57"/>
      <c r="AF14" s="57"/>
    </row>
    <row r="15" spans="1:32" x14ac:dyDescent="0.25">
      <c r="A15" t="s">
        <v>18</v>
      </c>
      <c r="B15">
        <v>4.4736000000000002</v>
      </c>
      <c r="C15" t="s">
        <v>27</v>
      </c>
      <c r="D15" s="57" t="s">
        <v>31</v>
      </c>
      <c r="H15" s="61" t="s">
        <v>40</v>
      </c>
      <c r="I15" s="63" t="s">
        <v>38</v>
      </c>
      <c r="J15" s="62">
        <v>0</v>
      </c>
      <c r="K15" s="62">
        <v>0</v>
      </c>
      <c r="L15" s="62">
        <v>0</v>
      </c>
      <c r="M15" s="62">
        <v>0</v>
      </c>
      <c r="N15" s="62">
        <v>1</v>
      </c>
      <c r="O15" s="62">
        <v>0</v>
      </c>
      <c r="P15" s="62">
        <v>0</v>
      </c>
      <c r="Q15" s="71">
        <v>500</v>
      </c>
      <c r="R15" s="71">
        <f t="array" ref="R15">SUMPRODUCT(J15:P15,TRANSPOSE($Z$10:$Z$16))*1000000/20000</f>
        <v>776</v>
      </c>
      <c r="S15" s="61">
        <f t="shared" si="0"/>
        <v>1.8115942028985508</v>
      </c>
      <c r="T15" s="62">
        <f t="shared" si="4"/>
        <v>3.6231884057971015E-3</v>
      </c>
      <c r="U15" s="63">
        <f t="shared" si="1"/>
        <v>0.64432989690721654</v>
      </c>
      <c r="V15" s="57">
        <f t="shared" si="2"/>
        <v>0</v>
      </c>
      <c r="W15" s="57">
        <f t="shared" si="3"/>
        <v>5.1546391752577317E-2</v>
      </c>
      <c r="X15" s="57"/>
      <c r="Y15" s="57" t="s">
        <v>17</v>
      </c>
      <c r="Z15" s="54">
        <v>4.4736000000000002</v>
      </c>
      <c r="AA15" s="57"/>
      <c r="AB15" s="57"/>
      <c r="AC15" s="57"/>
      <c r="AD15" s="57"/>
      <c r="AE15" s="57"/>
      <c r="AF15" s="57"/>
    </row>
    <row r="16" spans="1:32" x14ac:dyDescent="0.25">
      <c r="D16" s="57"/>
      <c r="H16" s="61" t="s">
        <v>40</v>
      </c>
      <c r="I16" s="63" t="s">
        <v>39</v>
      </c>
      <c r="J16" s="62">
        <v>0</v>
      </c>
      <c r="K16" s="62">
        <v>0</v>
      </c>
      <c r="L16" s="62">
        <v>0</v>
      </c>
      <c r="M16" s="62">
        <v>0</v>
      </c>
      <c r="N16" s="62">
        <v>0</v>
      </c>
      <c r="O16" s="62">
        <v>0</v>
      </c>
      <c r="P16" s="62">
        <v>3</v>
      </c>
      <c r="Q16" s="71">
        <v>500</v>
      </c>
      <c r="R16" s="71">
        <f t="array" ref="R16">SUMPRODUCT(J16:P16,TRANSPOSE($Z$10:$Z$16))*1000000/20000</f>
        <v>671.04</v>
      </c>
      <c r="S16" s="61">
        <f t="shared" si="0"/>
        <v>2.9232927970065488</v>
      </c>
      <c r="T16" s="62">
        <f t="shared" si="4"/>
        <v>5.8465855940130979E-3</v>
      </c>
      <c r="U16" s="63">
        <f t="shared" si="1"/>
        <v>0.74511206485455417</v>
      </c>
      <c r="V16" s="57">
        <f t="shared" si="2"/>
        <v>0</v>
      </c>
      <c r="W16" s="57">
        <f t="shared" si="3"/>
        <v>5.1546391752577317E-2</v>
      </c>
      <c r="X16" s="57"/>
      <c r="Y16" s="57" t="s">
        <v>18</v>
      </c>
      <c r="Z16" s="54">
        <v>4.4736000000000002</v>
      </c>
      <c r="AA16" s="57"/>
      <c r="AB16" s="57"/>
      <c r="AC16" s="57"/>
      <c r="AD16" s="57"/>
      <c r="AE16" s="57"/>
      <c r="AF16" s="57"/>
    </row>
    <row r="17" spans="1:32" ht="15.75" thickBot="1" x14ac:dyDescent="0.3">
      <c r="D17" s="57"/>
      <c r="H17" s="61" t="s">
        <v>40</v>
      </c>
      <c r="I17" s="63" t="s">
        <v>37</v>
      </c>
      <c r="J17" s="62">
        <v>0</v>
      </c>
      <c r="K17" s="62">
        <v>0</v>
      </c>
      <c r="L17" s="62">
        <v>0</v>
      </c>
      <c r="M17" s="62">
        <v>0</v>
      </c>
      <c r="N17" s="62">
        <v>1</v>
      </c>
      <c r="O17" s="62">
        <v>0</v>
      </c>
      <c r="P17" s="62">
        <v>0</v>
      </c>
      <c r="Q17" s="71">
        <v>250</v>
      </c>
      <c r="R17" s="71">
        <f t="array" ref="R17">SUMPRODUCT(J17:P17,TRANSPOSE($Z$10:$Z$16))*1000000/20000</f>
        <v>776</v>
      </c>
      <c r="S17" s="61">
        <f t="shared" si="0"/>
        <v>0.47528517110266161</v>
      </c>
      <c r="T17" s="62">
        <f t="shared" si="4"/>
        <v>1.9011406844106464E-3</v>
      </c>
      <c r="U17" s="63">
        <f t="shared" si="1"/>
        <v>0.32216494845360827</v>
      </c>
      <c r="V17" s="57">
        <f t="shared" si="2"/>
        <v>0</v>
      </c>
      <c r="W17" s="57">
        <f t="shared" si="3"/>
        <v>2.5773195876288658E-2</v>
      </c>
      <c r="X17" s="57"/>
      <c r="Y17" s="57"/>
      <c r="Z17" s="57"/>
      <c r="AA17" s="57"/>
      <c r="AB17" s="57"/>
      <c r="AC17" s="57"/>
      <c r="AD17" s="57"/>
      <c r="AE17" s="57"/>
      <c r="AF17" s="57"/>
    </row>
    <row r="18" spans="1:32" ht="16.5" thickTop="1" thickBot="1" x14ac:dyDescent="0.3">
      <c r="A18" s="103" t="s">
        <v>0</v>
      </c>
      <c r="B18" s="98" t="s">
        <v>1</v>
      </c>
      <c r="C18" s="99"/>
      <c r="D18" s="99"/>
      <c r="E18" s="99"/>
      <c r="F18" s="100"/>
      <c r="G18" s="55"/>
      <c r="H18" s="61" t="s">
        <v>37</v>
      </c>
      <c r="I18" s="63" t="s">
        <v>36</v>
      </c>
      <c r="J18" s="62">
        <v>0</v>
      </c>
      <c r="K18" s="62">
        <v>0</v>
      </c>
      <c r="L18" s="62">
        <v>0</v>
      </c>
      <c r="M18" s="62">
        <v>0</v>
      </c>
      <c r="N18" s="62">
        <v>0</v>
      </c>
      <c r="O18" s="62">
        <v>0</v>
      </c>
      <c r="P18" s="62">
        <v>2</v>
      </c>
      <c r="Q18" s="71">
        <v>250</v>
      </c>
      <c r="R18" s="71">
        <f t="array" ref="R18">SUMPRODUCT(J18:P18,TRANSPOSE($Z$10:$Z$16))*1000000/20000</f>
        <v>447.36</v>
      </c>
      <c r="S18" s="61">
        <f t="shared" si="0"/>
        <v>1.2667207134171057</v>
      </c>
      <c r="T18" s="62">
        <f t="shared" si="4"/>
        <v>5.0668828536684233E-3</v>
      </c>
      <c r="U18" s="63">
        <f t="shared" si="1"/>
        <v>0.55883404864091557</v>
      </c>
      <c r="V18" s="57">
        <f t="shared" si="2"/>
        <v>0</v>
      </c>
      <c r="W18" s="57">
        <f t="shared" si="3"/>
        <v>2.5773195876288658E-2</v>
      </c>
      <c r="X18" s="57"/>
      <c r="Y18" s="57"/>
      <c r="Z18" s="57"/>
      <c r="AA18" s="57"/>
      <c r="AB18" s="57"/>
      <c r="AC18" s="57"/>
      <c r="AD18" s="57"/>
      <c r="AE18" s="57"/>
      <c r="AF18" s="57"/>
    </row>
    <row r="19" spans="1:32" ht="16.5" thickTop="1" thickBot="1" x14ac:dyDescent="0.3">
      <c r="A19" s="105"/>
      <c r="B19" s="18" t="s">
        <v>2</v>
      </c>
      <c r="C19" s="2" t="s">
        <v>3</v>
      </c>
      <c r="D19" s="2" t="s">
        <v>4</v>
      </c>
      <c r="E19" s="2" t="s">
        <v>5</v>
      </c>
      <c r="F19" s="19" t="s">
        <v>6</v>
      </c>
      <c r="G19" s="55"/>
      <c r="H19" s="61" t="s">
        <v>37</v>
      </c>
      <c r="I19" s="63" t="s">
        <v>38</v>
      </c>
      <c r="J19" s="62">
        <v>0</v>
      </c>
      <c r="K19" s="62">
        <v>0</v>
      </c>
      <c r="L19" s="62">
        <v>0</v>
      </c>
      <c r="M19" s="62">
        <v>0</v>
      </c>
      <c r="N19" s="62">
        <v>0</v>
      </c>
      <c r="O19" s="62">
        <v>0</v>
      </c>
      <c r="P19" s="62">
        <v>1</v>
      </c>
      <c r="Q19" s="71">
        <v>200</v>
      </c>
      <c r="R19" s="71">
        <f t="array" ref="R19">SUMPRODUCT(J19:P19,TRANSPOSE($Z$10:$Z$16))*1000000/20000</f>
        <v>223.68</v>
      </c>
      <c r="S19" s="61">
        <f t="shared" si="0"/>
        <v>8.4459459459459438</v>
      </c>
      <c r="T19" s="62">
        <f t="shared" si="4"/>
        <v>4.2229729729729715E-2</v>
      </c>
      <c r="U19" s="63">
        <f t="shared" si="1"/>
        <v>0.89413447782546496</v>
      </c>
      <c r="V19" s="57">
        <f t="shared" si="2"/>
        <v>0</v>
      </c>
      <c r="W19" s="57">
        <f t="shared" si="3"/>
        <v>2.0618556701030927E-2</v>
      </c>
      <c r="X19" s="57"/>
      <c r="Y19" s="57"/>
      <c r="Z19" s="57"/>
      <c r="AA19" s="57"/>
      <c r="AB19" s="57"/>
      <c r="AC19" s="57"/>
      <c r="AD19" s="57"/>
      <c r="AE19" s="57"/>
      <c r="AF19" s="57"/>
    </row>
    <row r="20" spans="1:32" ht="15.75" thickTop="1" x14ac:dyDescent="0.25">
      <c r="A20" s="12" t="s">
        <v>2</v>
      </c>
      <c r="B20" s="7">
        <v>0</v>
      </c>
      <c r="C20" s="8">
        <v>5400</v>
      </c>
      <c r="D20" s="8">
        <v>14000</v>
      </c>
      <c r="E20" s="8">
        <v>7900</v>
      </c>
      <c r="F20" s="9">
        <v>12000</v>
      </c>
      <c r="G20" s="56"/>
      <c r="H20" s="61" t="s">
        <v>37</v>
      </c>
      <c r="I20" s="63" t="s">
        <v>39</v>
      </c>
      <c r="J20" s="62">
        <v>0</v>
      </c>
      <c r="K20" s="62">
        <v>0</v>
      </c>
      <c r="L20" s="62">
        <v>0</v>
      </c>
      <c r="M20" s="62">
        <v>0</v>
      </c>
      <c r="N20" s="62">
        <v>0</v>
      </c>
      <c r="O20" s="62">
        <v>0</v>
      </c>
      <c r="P20" s="62">
        <v>2</v>
      </c>
      <c r="Q20" s="71">
        <v>250</v>
      </c>
      <c r="R20" s="71">
        <f t="array" ref="R20">SUMPRODUCT(J20:P20,TRANSPOSE($Z$10:$Z$16))*1000000/20000</f>
        <v>447.36</v>
      </c>
      <c r="S20" s="61">
        <f t="shared" si="0"/>
        <v>1.2667207134171057</v>
      </c>
      <c r="T20" s="62">
        <f t="shared" si="4"/>
        <v>5.0668828536684233E-3</v>
      </c>
      <c r="U20" s="63">
        <f t="shared" si="1"/>
        <v>0.55883404864091557</v>
      </c>
      <c r="V20" s="57">
        <f t="shared" si="2"/>
        <v>0</v>
      </c>
      <c r="W20" s="57">
        <f t="shared" si="3"/>
        <v>2.5773195876288658E-2</v>
      </c>
      <c r="X20" s="57"/>
      <c r="Y20" s="57"/>
      <c r="Z20" s="57"/>
      <c r="AA20" s="57"/>
      <c r="AB20" s="57"/>
      <c r="AC20" s="57"/>
      <c r="AD20" s="57"/>
      <c r="AE20" s="57"/>
      <c r="AF20" s="57"/>
    </row>
    <row r="21" spans="1:32" x14ac:dyDescent="0.25">
      <c r="A21" s="3" t="s">
        <v>3</v>
      </c>
      <c r="B21" s="6">
        <v>5400</v>
      </c>
      <c r="C21" s="1">
        <v>0</v>
      </c>
      <c r="D21" s="1">
        <v>12500</v>
      </c>
      <c r="E21" s="1">
        <v>2500</v>
      </c>
      <c r="F21" s="1">
        <v>8200</v>
      </c>
      <c r="G21" s="1"/>
      <c r="H21" s="64" t="s">
        <v>37</v>
      </c>
      <c r="I21" s="66" t="s">
        <v>40</v>
      </c>
      <c r="J21" s="62">
        <v>0</v>
      </c>
      <c r="K21" s="62">
        <v>0</v>
      </c>
      <c r="L21" s="62">
        <v>0</v>
      </c>
      <c r="M21" s="62">
        <v>0</v>
      </c>
      <c r="N21" s="62">
        <v>0</v>
      </c>
      <c r="O21" s="62">
        <v>2</v>
      </c>
      <c r="P21" s="62">
        <v>3</v>
      </c>
      <c r="Q21" s="71">
        <v>1000</v>
      </c>
      <c r="R21" s="71">
        <f t="array" ref="R21">SUMPRODUCT(J21:P21,TRANSPOSE($Z$10:$Z$16))*1000000/20000</f>
        <v>1118.4000000000001</v>
      </c>
      <c r="S21" s="61">
        <f t="shared" si="0"/>
        <v>8.4459459459459403</v>
      </c>
      <c r="T21" s="62">
        <f t="shared" si="4"/>
        <v>8.4459459459459395E-3</v>
      </c>
      <c r="U21" s="63">
        <f t="shared" si="1"/>
        <v>0.89413447782546485</v>
      </c>
      <c r="V21" s="57">
        <f t="shared" si="2"/>
        <v>0</v>
      </c>
      <c r="W21" s="57">
        <f t="shared" si="3"/>
        <v>0.10309278350515463</v>
      </c>
      <c r="X21" s="57"/>
      <c r="Y21" s="57"/>
      <c r="Z21" s="57"/>
      <c r="AA21" s="57"/>
      <c r="AB21" s="57"/>
      <c r="AC21" s="57"/>
      <c r="AD21" s="57"/>
      <c r="AE21" s="57"/>
      <c r="AF21" s="57"/>
    </row>
    <row r="22" spans="1:32" x14ac:dyDescent="0.25">
      <c r="A22" s="10" t="s">
        <v>4</v>
      </c>
      <c r="B22" s="1">
        <v>14000</v>
      </c>
      <c r="C22" s="1">
        <v>12500</v>
      </c>
      <c r="D22" s="1">
        <v>0</v>
      </c>
      <c r="E22" s="1">
        <v>11200</v>
      </c>
      <c r="F22" s="1">
        <v>4600</v>
      </c>
      <c r="G22" s="1"/>
      <c r="H22" s="64"/>
      <c r="I22" s="65"/>
      <c r="J22" s="65"/>
      <c r="K22" s="65"/>
      <c r="L22" s="65"/>
      <c r="M22" s="65"/>
      <c r="N22" s="65"/>
      <c r="O22" s="65"/>
      <c r="P22" s="65"/>
      <c r="Q22" s="72">
        <f>SUM(Q2:Q21)</f>
        <v>9700</v>
      </c>
      <c r="R22" s="72">
        <f>SUM(R2:R21)</f>
        <v>19140.800000000007</v>
      </c>
      <c r="S22" s="64">
        <f t="shared" si="0"/>
        <v>1.0274553003982707</v>
      </c>
      <c r="T22" s="65">
        <f t="shared" si="4"/>
        <v>1.0592322684518254E-4</v>
      </c>
      <c r="U22" s="66">
        <f t="shared" si="1"/>
        <v>0.50677087687035005</v>
      </c>
      <c r="V22" s="57">
        <f t="shared" si="2"/>
        <v>0</v>
      </c>
      <c r="W22" s="57"/>
      <c r="X22" s="57"/>
      <c r="Y22" s="57"/>
      <c r="Z22" s="57"/>
      <c r="AA22" s="57"/>
      <c r="AB22" s="57"/>
      <c r="AC22" s="57"/>
      <c r="AD22" s="57"/>
      <c r="AE22" s="57"/>
      <c r="AF22" s="57"/>
    </row>
    <row r="23" spans="1:32" x14ac:dyDescent="0.25">
      <c r="A23" s="10" t="s">
        <v>5</v>
      </c>
      <c r="B23" s="1">
        <v>7900</v>
      </c>
      <c r="C23" s="1">
        <v>2500</v>
      </c>
      <c r="D23" s="1">
        <v>11200</v>
      </c>
      <c r="E23" s="1">
        <v>0</v>
      </c>
      <c r="F23" s="1">
        <v>6600</v>
      </c>
      <c r="G23" s="1"/>
      <c r="H23" s="57"/>
      <c r="I23" s="57" t="s">
        <v>78</v>
      </c>
      <c r="J23" s="57">
        <f>SUM(J2:J21)</f>
        <v>2</v>
      </c>
      <c r="K23" s="57">
        <f t="shared" ref="K23:P23" si="5">SUM(K2:K21)</f>
        <v>0</v>
      </c>
      <c r="L23" s="57">
        <f>SUM(L2:L21)</f>
        <v>0</v>
      </c>
      <c r="M23" s="57">
        <f t="shared" si="5"/>
        <v>2</v>
      </c>
      <c r="N23" s="57">
        <f t="shared" si="5"/>
        <v>10</v>
      </c>
      <c r="O23" s="57">
        <f t="shared" si="5"/>
        <v>4</v>
      </c>
      <c r="P23" s="57">
        <f t="shared" si="5"/>
        <v>31</v>
      </c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</row>
    <row r="24" spans="1:32" ht="15.75" thickBot="1" x14ac:dyDescent="0.3">
      <c r="A24" s="3" t="s">
        <v>6</v>
      </c>
      <c r="B24" s="11">
        <v>12000</v>
      </c>
      <c r="C24" s="1">
        <v>8200</v>
      </c>
      <c r="D24" s="1">
        <v>4600</v>
      </c>
      <c r="E24" s="4">
        <v>6600</v>
      </c>
      <c r="F24" s="4">
        <v>0</v>
      </c>
      <c r="G24" s="56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</row>
    <row r="25" spans="1:32" ht="15.75" thickTop="1" x14ac:dyDescent="0.25">
      <c r="D25" s="57"/>
      <c r="E25" s="57"/>
      <c r="F25" s="57"/>
      <c r="G25" s="57"/>
      <c r="H25" s="106" t="s">
        <v>69</v>
      </c>
      <c r="I25" s="106"/>
      <c r="J25" s="106"/>
      <c r="K25" s="106"/>
      <c r="L25" s="106"/>
      <c r="M25" s="57"/>
      <c r="N25" s="57"/>
      <c r="O25" s="57"/>
      <c r="P25" s="57"/>
      <c r="Q25" s="57"/>
      <c r="R25" s="57"/>
      <c r="S25" s="57"/>
      <c r="T25" s="57" t="s">
        <v>79</v>
      </c>
      <c r="U25" s="57">
        <f>SUMPRODUCT(W2:W21,T2:T21)</f>
        <v>4.1430804880583181E-3</v>
      </c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</row>
    <row r="26" spans="1:32" x14ac:dyDescent="0.25">
      <c r="D26" s="57"/>
      <c r="E26" s="57"/>
      <c r="F26" s="57"/>
      <c r="G26" s="57"/>
      <c r="H26" s="57" t="s">
        <v>58</v>
      </c>
      <c r="I26" s="74">
        <f>SUM(J2:J21)*60000000+SUM(K2:K21)*40000000</f>
        <v>120000000</v>
      </c>
      <c r="J26" s="74" t="s">
        <v>77</v>
      </c>
      <c r="K26" s="74">
        <f>J23*8000+K23*8000+L23*500000+M23*5000+N23*700000+O23*5000+P23*500000</f>
        <v>22546000</v>
      </c>
      <c r="M26" s="57"/>
      <c r="N26" s="57"/>
      <c r="O26" s="57"/>
      <c r="P26" s="57"/>
      <c r="Q26" s="57"/>
      <c r="R26" s="57"/>
      <c r="S26" s="57"/>
      <c r="T26" s="57" t="s">
        <v>80</v>
      </c>
      <c r="U26" s="57">
        <f>U25*1000</f>
        <v>4.1430804880583185</v>
      </c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</row>
    <row r="27" spans="1:32" x14ac:dyDescent="0.25">
      <c r="H27" s="57" t="s">
        <v>59</v>
      </c>
      <c r="I27" s="74">
        <f>IF(AND(M2=0, O2=0), 0, C20*10000)+IF( AND(M3=0, O3=0), 0, D20*10000)+IF(AND(M4=0, O4=0), 0, E20*10000)+IF(AND(M5=0, O5=0), 0, F20*10000)</f>
        <v>219000000</v>
      </c>
      <c r="L27" s="57"/>
    </row>
    <row r="28" spans="1:32" x14ac:dyDescent="0.25">
      <c r="H28" t="s">
        <v>60</v>
      </c>
      <c r="I28" s="74">
        <f>IF(AND(M6=0, O6=0), 0, B21*10000)+IF(AND(M7=0, O7=0),0, D21*10000)+IF(AND(M8=0, O8=0), 0, E21*10000)+IF(AND(M9=0, O9=0), 0, F21*10000)</f>
        <v>0</v>
      </c>
      <c r="J28" t="s">
        <v>67</v>
      </c>
      <c r="K28" s="75">
        <f>SUM(J2:P21)*20000</f>
        <v>980000</v>
      </c>
    </row>
    <row r="29" spans="1:32" x14ac:dyDescent="0.25">
      <c r="H29" s="57" t="s">
        <v>61</v>
      </c>
      <c r="I29" s="74">
        <f>IF(AND(M10=0, O10=0), 0, B22*10000)+IF(AND(M11=0, O11=0),0, C22*10000)+IF(AND(M12=0, O12=0), 0, E22*10000)+IF(AND(M13=0, O13=0), 0, F22*10000)</f>
        <v>0</v>
      </c>
    </row>
    <row r="30" spans="1:32" x14ac:dyDescent="0.25">
      <c r="H30" s="57" t="s">
        <v>62</v>
      </c>
      <c r="I30" s="74">
        <f>IF(AND(M14=0, O14=0), 0, B23*10000)+IF(AND(M15=0, O15=0),0, C23*10000)+IF(AND(M16=0, O16=0), 0, D23*10000)+IF(AND(M17=0, O17=0), 0, F23*10000)</f>
        <v>0</v>
      </c>
      <c r="T30" t="s">
        <v>81</v>
      </c>
    </row>
    <row r="31" spans="1:32" x14ac:dyDescent="0.25">
      <c r="H31" s="57" t="s">
        <v>63</v>
      </c>
      <c r="I31" s="74">
        <f>IF(AND(M18=0, O18=0), 0, B24*10000)+IF(AND(M19=0, O19=0),0, C24*10000)+IF(AND(M20=0, O20=0), 0, D24*10000)+IF(AND(M21=0, O21=0), 0, E24*10000)</f>
        <v>66000000</v>
      </c>
      <c r="J31" t="s">
        <v>74</v>
      </c>
      <c r="K31" s="75">
        <f>(I37+K28+K26*120)</f>
        <v>3396500000</v>
      </c>
      <c r="T31" t="s">
        <v>82</v>
      </c>
      <c r="U31" s="76">
        <f>K31/6000000</f>
        <v>566.08333333333337</v>
      </c>
    </row>
    <row r="32" spans="1:32" x14ac:dyDescent="0.25">
      <c r="H32" s="57" t="s">
        <v>68</v>
      </c>
      <c r="I32" s="74">
        <f>((M2+O2)*C20+(M3+O3)*D20+(M4+O4)*E20+(M5+O5)*F20)*5000</f>
        <v>219000000</v>
      </c>
      <c r="T32" t="s">
        <v>83</v>
      </c>
    </row>
    <row r="33" spans="8:21" x14ac:dyDescent="0.25">
      <c r="H33" s="57" t="s">
        <v>70</v>
      </c>
      <c r="I33" s="74">
        <f>((M6+O6)*B21+(M7+O7)*D21+(M8+O8)*E21+(M9+O9)*F21)*5000</f>
        <v>0</v>
      </c>
      <c r="T33" t="s">
        <v>84</v>
      </c>
      <c r="U33">
        <f>U26*0.1</f>
        <v>0.41430804880583189</v>
      </c>
    </row>
    <row r="34" spans="8:21" x14ac:dyDescent="0.25">
      <c r="H34" s="57" t="s">
        <v>71</v>
      </c>
      <c r="I34" s="74">
        <f>((M10+O10)*B22+(M11+O11)*C22+(M12+O12)*E22+(M13+O13)*F22)*5000</f>
        <v>0</v>
      </c>
      <c r="T34" t="s">
        <v>85</v>
      </c>
    </row>
    <row r="35" spans="8:21" x14ac:dyDescent="0.25">
      <c r="H35" s="57" t="s">
        <v>72</v>
      </c>
      <c r="I35" s="74">
        <f>((M14+O14)*B23+(M15+O15)*C23+(M16+O16)*D23+(M17+O17)*F23)*5000</f>
        <v>0</v>
      </c>
    </row>
    <row r="36" spans="8:21" x14ac:dyDescent="0.25">
      <c r="H36" s="57" t="s">
        <v>73</v>
      </c>
      <c r="I36" s="74">
        <f>((M18+O18)*B24+(M19+O19)*C24+(M20+O20)*D24+(M21+O21)*E24)*5000</f>
        <v>66000000</v>
      </c>
    </row>
    <row r="37" spans="8:21" x14ac:dyDescent="0.25">
      <c r="H37" s="73" t="s">
        <v>64</v>
      </c>
      <c r="I37" s="75">
        <f>SUM(I26:I36)</f>
        <v>690000000</v>
      </c>
    </row>
  </sheetData>
  <mergeCells count="3">
    <mergeCell ref="A18:A19"/>
    <mergeCell ref="B18:F18"/>
    <mergeCell ref="H25:L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1F4E-F21C-41E1-967C-33228DEFDE08}">
  <dimension ref="A1:AF64"/>
  <sheetViews>
    <sheetView zoomScale="55" zoomScaleNormal="55" workbookViewId="0">
      <selection activeCell="L41" sqref="L41"/>
    </sheetView>
  </sheetViews>
  <sheetFormatPr defaultRowHeight="15" x14ac:dyDescent="0.25"/>
  <cols>
    <col min="1" max="1" width="38.7109375" customWidth="1"/>
    <col min="2" max="2" width="11.140625" bestFit="1" customWidth="1"/>
    <col min="3" max="3" width="16.5703125" customWidth="1"/>
    <col min="4" max="4" width="29.7109375" customWidth="1"/>
    <col min="8" max="8" width="21" customWidth="1"/>
    <col min="9" max="9" width="21.140625" bestFit="1" customWidth="1"/>
    <col min="10" max="10" width="15.85546875" bestFit="1" customWidth="1"/>
    <col min="11" max="11" width="21.140625" bestFit="1" customWidth="1"/>
    <col min="12" max="12" width="8" bestFit="1" customWidth="1"/>
    <col min="13" max="13" width="5.7109375" bestFit="1" customWidth="1"/>
    <col min="14" max="14" width="8.140625" bestFit="1" customWidth="1"/>
    <col min="15" max="15" width="5" customWidth="1"/>
    <col min="16" max="16" width="7.140625" bestFit="1" customWidth="1"/>
    <col min="17" max="17" width="9.85546875" customWidth="1"/>
    <col min="18" max="18" width="10.42578125" customWidth="1"/>
    <col min="19" max="19" width="10.140625" customWidth="1"/>
    <col min="20" max="20" width="21.5703125" bestFit="1" customWidth="1"/>
    <col min="21" max="21" width="12.85546875" customWidth="1"/>
    <col min="22" max="22" width="7.7109375" customWidth="1"/>
    <col min="23" max="23" width="8.85546875" customWidth="1"/>
    <col min="24" max="24" width="4" customWidth="1"/>
    <col min="25" max="25" width="34.42578125" bestFit="1" customWidth="1"/>
    <col min="26" max="26" width="18.42578125" bestFit="1" customWidth="1"/>
    <col min="27" max="27" width="10.7109375" bestFit="1" customWidth="1"/>
    <col min="28" max="28" width="6.5703125" bestFit="1" customWidth="1"/>
    <col min="29" max="29" width="8.5703125" bestFit="1" customWidth="1"/>
    <col min="30" max="30" width="10.5703125" bestFit="1" customWidth="1"/>
    <col min="31" max="32" width="4" customWidth="1"/>
  </cols>
  <sheetData>
    <row r="1" spans="1:32" s="53" customFormat="1" ht="31.5" thickTop="1" thickBot="1" x14ac:dyDescent="0.3">
      <c r="A1" s="51" t="s">
        <v>34</v>
      </c>
      <c r="B1" s="52" t="s">
        <v>35</v>
      </c>
      <c r="D1" s="31"/>
      <c r="H1" s="67" t="s">
        <v>0</v>
      </c>
      <c r="I1" s="68" t="s">
        <v>1</v>
      </c>
      <c r="J1" s="68" t="s">
        <v>52</v>
      </c>
      <c r="K1" s="68" t="s">
        <v>53</v>
      </c>
      <c r="L1" s="68" t="s">
        <v>54</v>
      </c>
      <c r="M1" s="68" t="s">
        <v>15</v>
      </c>
      <c r="N1" s="68" t="s">
        <v>16</v>
      </c>
      <c r="O1" s="68" t="s">
        <v>55</v>
      </c>
      <c r="P1" s="68" t="s">
        <v>56</v>
      </c>
      <c r="Q1" s="68" t="s">
        <v>65</v>
      </c>
      <c r="R1" s="68" t="s">
        <v>66</v>
      </c>
      <c r="S1" s="68" t="s">
        <v>42</v>
      </c>
      <c r="T1" s="68" t="s">
        <v>57</v>
      </c>
      <c r="U1" s="69" t="s">
        <v>41</v>
      </c>
      <c r="V1" s="31" t="s">
        <v>75</v>
      </c>
      <c r="W1" s="31" t="s">
        <v>76</v>
      </c>
      <c r="X1" s="31"/>
      <c r="Y1" s="31" t="s">
        <v>0</v>
      </c>
      <c r="Z1" s="31" t="s">
        <v>1</v>
      </c>
      <c r="AA1" s="31"/>
      <c r="AB1" s="31"/>
      <c r="AC1" s="31"/>
      <c r="AD1" s="31"/>
      <c r="AE1" s="31"/>
      <c r="AF1" s="31"/>
    </row>
    <row r="2" spans="1:32" ht="15.75" thickBot="1" x14ac:dyDescent="0.3">
      <c r="A2" s="33" t="s">
        <v>2</v>
      </c>
      <c r="B2" s="16" t="s">
        <v>36</v>
      </c>
      <c r="D2" s="57"/>
      <c r="H2" s="58" t="s">
        <v>36</v>
      </c>
      <c r="I2" s="60" t="s">
        <v>38</v>
      </c>
      <c r="J2" s="70">
        <v>0</v>
      </c>
      <c r="K2" s="70">
        <v>0</v>
      </c>
      <c r="L2" s="70">
        <v>0</v>
      </c>
      <c r="M2" s="70">
        <v>0</v>
      </c>
      <c r="N2" s="70">
        <v>0</v>
      </c>
      <c r="O2" s="70">
        <v>0</v>
      </c>
      <c r="P2" s="70">
        <v>2</v>
      </c>
      <c r="Q2" s="71">
        <v>200</v>
      </c>
      <c r="R2" s="71">
        <f t="array" ref="R2">SUMPRODUCT(J2:P2,TRANSPOSE($Z$10:$Z$16))*1000000/20000</f>
        <v>447.36</v>
      </c>
      <c r="S2" s="58">
        <f>Q2/(R2-Q2)</f>
        <v>0.80853816300129366</v>
      </c>
      <c r="T2" s="59">
        <f>1/(R2-Q2)</f>
        <v>4.0426908150064684E-3</v>
      </c>
      <c r="U2" s="60">
        <f>Q2/R2</f>
        <v>0.44706723891273248</v>
      </c>
      <c r="V2" s="57">
        <f>IF(Q2=R2,1,0)</f>
        <v>0</v>
      </c>
      <c r="W2" s="57">
        <f>Q2/$Q$22</f>
        <v>2.0618556701030927E-2</v>
      </c>
      <c r="X2" s="57"/>
      <c r="Y2" s="57"/>
      <c r="Z2" s="57" t="s">
        <v>2</v>
      </c>
      <c r="AA2" s="57" t="s">
        <v>3</v>
      </c>
      <c r="AB2" s="57" t="s">
        <v>4</v>
      </c>
      <c r="AC2" s="57" t="s">
        <v>5</v>
      </c>
      <c r="AD2" s="57" t="s">
        <v>6</v>
      </c>
      <c r="AE2" s="57"/>
      <c r="AF2" s="57"/>
    </row>
    <row r="3" spans="1:32" ht="15.75" thickTop="1" x14ac:dyDescent="0.25">
      <c r="A3" s="33" t="s">
        <v>3</v>
      </c>
      <c r="B3" s="16" t="s">
        <v>38</v>
      </c>
      <c r="D3" s="57"/>
      <c r="H3" s="61" t="s">
        <v>36</v>
      </c>
      <c r="I3" s="63" t="s">
        <v>39</v>
      </c>
      <c r="J3" s="62">
        <v>1</v>
      </c>
      <c r="K3" s="62">
        <v>0</v>
      </c>
      <c r="L3" s="62">
        <v>0</v>
      </c>
      <c r="M3" s="62">
        <v>2</v>
      </c>
      <c r="N3" s="62">
        <v>3</v>
      </c>
      <c r="O3" s="62">
        <v>0</v>
      </c>
      <c r="P3" s="62">
        <v>1</v>
      </c>
      <c r="Q3" s="71">
        <v>2500</v>
      </c>
      <c r="R3" s="71">
        <f t="array" ref="R3">SUMPRODUCT(J3:P3,TRANSPOSE($Z$10:$Z$16))*1000000/20000</f>
        <v>5103.68</v>
      </c>
      <c r="S3" s="61">
        <f t="shared" ref="S3:S22" si="0">Q3/(R3-Q3)</f>
        <v>0.96017943833343566</v>
      </c>
      <c r="T3" s="62">
        <f>1/(R3-Q3)</f>
        <v>3.8407177533337426E-4</v>
      </c>
      <c r="U3" s="63">
        <f t="shared" ref="U3:U22" si="1">Q3/R3</f>
        <v>0.48984262336196621</v>
      </c>
      <c r="V3" s="57">
        <f t="shared" ref="V3:V22" si="2">IF(Q3=R3,1,0)</f>
        <v>0</v>
      </c>
      <c r="W3" s="57">
        <f t="shared" ref="W3:W21" si="3">Q3/$Q$22</f>
        <v>0.25773195876288657</v>
      </c>
      <c r="X3" s="57"/>
      <c r="Y3" s="57" t="s">
        <v>2</v>
      </c>
      <c r="Z3" s="7">
        <v>0</v>
      </c>
      <c r="AA3" s="8">
        <v>200</v>
      </c>
      <c r="AB3" s="8">
        <v>2500</v>
      </c>
      <c r="AC3" s="8">
        <v>1000</v>
      </c>
      <c r="AD3" s="9">
        <v>250</v>
      </c>
      <c r="AE3" s="57"/>
      <c r="AF3" s="57"/>
    </row>
    <row r="4" spans="1:32" x14ac:dyDescent="0.25">
      <c r="A4" s="33" t="s">
        <v>4</v>
      </c>
      <c r="B4" s="16" t="s">
        <v>39</v>
      </c>
      <c r="D4" s="57"/>
      <c r="H4" s="61" t="s">
        <v>36</v>
      </c>
      <c r="I4" s="63" t="s">
        <v>40</v>
      </c>
      <c r="J4" s="62">
        <v>0</v>
      </c>
      <c r="K4" s="62">
        <v>0</v>
      </c>
      <c r="L4" s="62">
        <v>1</v>
      </c>
      <c r="M4" s="62">
        <v>1</v>
      </c>
      <c r="N4" s="62">
        <v>0</v>
      </c>
      <c r="O4" s="62">
        <v>1</v>
      </c>
      <c r="P4" s="62">
        <v>4</v>
      </c>
      <c r="Q4" s="71">
        <v>1000</v>
      </c>
      <c r="R4" s="71">
        <f t="array" ref="R4">SUMPRODUCT(J4:P4,TRANSPOSE($Z$10:$Z$16))*1000000/20000</f>
        <v>2144.4000000000005</v>
      </c>
      <c r="S4" s="61">
        <f t="shared" si="0"/>
        <v>0.8738203425375739</v>
      </c>
      <c r="T4" s="62">
        <f t="shared" ref="T4:T22" si="4">1/(R4-Q4)</f>
        <v>8.738203425375738E-4</v>
      </c>
      <c r="U4" s="63">
        <f t="shared" si="1"/>
        <v>0.46633090841260949</v>
      </c>
      <c r="V4" s="57">
        <f t="shared" si="2"/>
        <v>0</v>
      </c>
      <c r="W4" s="57">
        <f t="shared" si="3"/>
        <v>0.10309278350515463</v>
      </c>
      <c r="X4" s="57"/>
      <c r="Y4" s="57" t="s">
        <v>3</v>
      </c>
      <c r="Z4" s="6">
        <v>250</v>
      </c>
      <c r="AA4" s="1">
        <v>0</v>
      </c>
      <c r="AB4" s="1">
        <v>500</v>
      </c>
      <c r="AC4" s="1">
        <v>250</v>
      </c>
      <c r="AD4" s="1">
        <v>50</v>
      </c>
      <c r="AE4" s="57"/>
      <c r="AF4" s="57"/>
    </row>
    <row r="5" spans="1:32" x14ac:dyDescent="0.25">
      <c r="A5" s="33" t="s">
        <v>5</v>
      </c>
      <c r="B5" s="16" t="s">
        <v>40</v>
      </c>
      <c r="D5" s="57"/>
      <c r="H5" s="61" t="s">
        <v>36</v>
      </c>
      <c r="I5" s="63" t="s">
        <v>37</v>
      </c>
      <c r="J5" s="62">
        <v>0</v>
      </c>
      <c r="K5" s="62">
        <v>0</v>
      </c>
      <c r="L5" s="62">
        <v>0</v>
      </c>
      <c r="M5" s="62">
        <v>0</v>
      </c>
      <c r="N5" s="62">
        <v>0</v>
      </c>
      <c r="O5" s="62">
        <v>2</v>
      </c>
      <c r="P5" s="62">
        <v>0</v>
      </c>
      <c r="Q5" s="71">
        <v>250</v>
      </c>
      <c r="R5" s="71">
        <f t="array" ref="R5">SUMPRODUCT(J5:P5,TRANSPOSE($Z$10:$Z$16))*1000000/20000</f>
        <v>447.36</v>
      </c>
      <c r="S5" s="61">
        <f t="shared" si="0"/>
        <v>1.2667207134171057</v>
      </c>
      <c r="T5" s="62">
        <f t="shared" si="4"/>
        <v>5.0668828536684233E-3</v>
      </c>
      <c r="U5" s="63">
        <f t="shared" si="1"/>
        <v>0.55883404864091557</v>
      </c>
      <c r="V5" s="57">
        <f t="shared" si="2"/>
        <v>0</v>
      </c>
      <c r="W5" s="57">
        <f t="shared" si="3"/>
        <v>2.5773195876288658E-2</v>
      </c>
      <c r="X5" s="57"/>
      <c r="Y5" s="57" t="s">
        <v>4</v>
      </c>
      <c r="Z5" s="1">
        <v>250</v>
      </c>
      <c r="AA5" s="1">
        <v>500</v>
      </c>
      <c r="AB5" s="1">
        <v>0</v>
      </c>
      <c r="AC5" s="1">
        <v>500</v>
      </c>
      <c r="AD5" s="1">
        <v>250</v>
      </c>
      <c r="AE5" s="57"/>
      <c r="AF5" s="57"/>
    </row>
    <row r="6" spans="1:32" ht="15.75" thickBot="1" x14ac:dyDescent="0.3">
      <c r="A6" s="34" t="s">
        <v>6</v>
      </c>
      <c r="B6" s="17" t="s">
        <v>37</v>
      </c>
      <c r="D6" s="57"/>
      <c r="H6" s="61" t="s">
        <v>38</v>
      </c>
      <c r="I6" s="63" t="s">
        <v>36</v>
      </c>
      <c r="J6" s="62">
        <v>0</v>
      </c>
      <c r="K6" s="62">
        <v>0</v>
      </c>
      <c r="L6" s="62">
        <v>0</v>
      </c>
      <c r="M6" s="62">
        <v>0</v>
      </c>
      <c r="N6" s="62">
        <v>0</v>
      </c>
      <c r="O6" s="62">
        <v>0</v>
      </c>
      <c r="P6" s="62">
        <v>2</v>
      </c>
      <c r="Q6" s="71">
        <v>250</v>
      </c>
      <c r="R6" s="71">
        <f t="array" ref="R6">SUMPRODUCT(J6:P6,TRANSPOSE($Z$10:$Z$16))*1000000/20000</f>
        <v>447.36</v>
      </c>
      <c r="S6" s="61">
        <f t="shared" si="0"/>
        <v>1.2667207134171057</v>
      </c>
      <c r="T6" s="62">
        <f t="shared" si="4"/>
        <v>5.0668828536684233E-3</v>
      </c>
      <c r="U6" s="63">
        <f t="shared" si="1"/>
        <v>0.55883404864091557</v>
      </c>
      <c r="V6" s="57">
        <f t="shared" si="2"/>
        <v>0</v>
      </c>
      <c r="W6" s="57">
        <f t="shared" si="3"/>
        <v>2.5773195876288658E-2</v>
      </c>
      <c r="X6" s="57"/>
      <c r="Y6" s="57" t="s">
        <v>5</v>
      </c>
      <c r="Z6" s="1">
        <v>250</v>
      </c>
      <c r="AA6" s="1">
        <v>500</v>
      </c>
      <c r="AB6" s="1">
        <v>500</v>
      </c>
      <c r="AC6" s="1">
        <v>0</v>
      </c>
      <c r="AD6" s="1">
        <v>250</v>
      </c>
      <c r="AE6" s="57"/>
      <c r="AF6" s="57"/>
    </row>
    <row r="7" spans="1:32" ht="16.5" thickTop="1" thickBot="1" x14ac:dyDescent="0.3">
      <c r="D7" s="57"/>
      <c r="H7" s="61" t="s">
        <v>38</v>
      </c>
      <c r="I7" s="63" t="s">
        <v>39</v>
      </c>
      <c r="J7" s="62">
        <v>0</v>
      </c>
      <c r="K7" s="62">
        <v>0</v>
      </c>
      <c r="L7" s="62">
        <v>0</v>
      </c>
      <c r="M7" s="62">
        <v>0</v>
      </c>
      <c r="N7" s="62">
        <v>0</v>
      </c>
      <c r="O7" s="62">
        <v>3</v>
      </c>
      <c r="P7" s="62">
        <v>0</v>
      </c>
      <c r="Q7" s="71">
        <v>500</v>
      </c>
      <c r="R7" s="71">
        <f t="array" ref="R7">SUMPRODUCT(J7:P7,TRANSPOSE($Z$10:$Z$16))*1000000/20000</f>
        <v>671.04</v>
      </c>
      <c r="S7" s="61">
        <f t="shared" si="0"/>
        <v>2.9232927970065488</v>
      </c>
      <c r="T7" s="62">
        <f t="shared" si="4"/>
        <v>5.8465855940130979E-3</v>
      </c>
      <c r="U7" s="63">
        <f t="shared" si="1"/>
        <v>0.74511206485455417</v>
      </c>
      <c r="V7" s="57">
        <f t="shared" si="2"/>
        <v>0</v>
      </c>
      <c r="W7" s="57">
        <f t="shared" si="3"/>
        <v>5.1546391752577317E-2</v>
      </c>
      <c r="X7" s="57"/>
      <c r="Y7" s="57" t="s">
        <v>6</v>
      </c>
      <c r="Z7" s="11">
        <v>250</v>
      </c>
      <c r="AA7" s="1">
        <v>200</v>
      </c>
      <c r="AB7" s="1">
        <v>250</v>
      </c>
      <c r="AC7" s="4">
        <v>1000</v>
      </c>
      <c r="AD7" s="4">
        <v>0</v>
      </c>
      <c r="AE7" s="57"/>
      <c r="AF7" s="57"/>
    </row>
    <row r="8" spans="1:32" ht="15.75" thickTop="1" x14ac:dyDescent="0.25">
      <c r="A8" t="s">
        <v>11</v>
      </c>
      <c r="B8" t="s">
        <v>22</v>
      </c>
      <c r="C8" t="s">
        <v>19</v>
      </c>
      <c r="D8" s="57" t="s">
        <v>20</v>
      </c>
      <c r="H8" s="61" t="s">
        <v>38</v>
      </c>
      <c r="I8" s="63" t="s">
        <v>40</v>
      </c>
      <c r="J8" s="62">
        <v>0</v>
      </c>
      <c r="K8" s="62">
        <v>0</v>
      </c>
      <c r="L8" s="62">
        <v>0</v>
      </c>
      <c r="M8" s="62">
        <v>0</v>
      </c>
      <c r="N8" s="62">
        <v>0</v>
      </c>
      <c r="O8" s="62">
        <v>0</v>
      </c>
      <c r="P8" s="62">
        <v>2</v>
      </c>
      <c r="Q8" s="71">
        <v>250</v>
      </c>
      <c r="R8" s="71">
        <f t="array" ref="R8">SUMPRODUCT(J8:P8,TRANSPOSE($Z$10:$Z$16))*1000000/20000</f>
        <v>447.36</v>
      </c>
      <c r="S8" s="61">
        <f t="shared" si="0"/>
        <v>1.2667207134171057</v>
      </c>
      <c r="T8" s="62">
        <f t="shared" si="4"/>
        <v>5.0668828536684233E-3</v>
      </c>
      <c r="U8" s="63">
        <f t="shared" si="1"/>
        <v>0.55883404864091557</v>
      </c>
      <c r="V8" s="57">
        <f t="shared" si="2"/>
        <v>0</v>
      </c>
      <c r="W8" s="57">
        <f t="shared" si="3"/>
        <v>2.5773195876288658E-2</v>
      </c>
      <c r="X8" s="57"/>
      <c r="Y8" s="57"/>
      <c r="Z8" s="57"/>
      <c r="AA8" s="57"/>
      <c r="AB8" s="57"/>
      <c r="AC8" s="57"/>
      <c r="AD8" s="57"/>
      <c r="AE8" s="57"/>
      <c r="AF8" s="57"/>
    </row>
    <row r="9" spans="1:32" x14ac:dyDescent="0.25">
      <c r="A9" t="s">
        <v>12</v>
      </c>
      <c r="B9">
        <v>20</v>
      </c>
      <c r="C9" t="s">
        <v>25</v>
      </c>
      <c r="D9" s="57" t="s">
        <v>30</v>
      </c>
      <c r="H9" s="61" t="s">
        <v>38</v>
      </c>
      <c r="I9" s="63" t="s">
        <v>37</v>
      </c>
      <c r="J9" s="62">
        <v>0</v>
      </c>
      <c r="K9" s="62">
        <v>0</v>
      </c>
      <c r="L9" s="62">
        <v>0</v>
      </c>
      <c r="M9" s="62">
        <v>0</v>
      </c>
      <c r="N9" s="62">
        <v>0</v>
      </c>
      <c r="O9" s="62">
        <v>0</v>
      </c>
      <c r="P9" s="62">
        <v>1</v>
      </c>
      <c r="Q9" s="71">
        <v>50</v>
      </c>
      <c r="R9" s="71">
        <f t="array" ref="R9">SUMPRODUCT(J9:P9,TRANSPOSE($Z$10:$Z$16))*1000000/20000</f>
        <v>223.68</v>
      </c>
      <c r="S9" s="61">
        <f t="shared" si="0"/>
        <v>0.28788576692768308</v>
      </c>
      <c r="T9" s="62">
        <f t="shared" si="4"/>
        <v>5.7577153385536617E-3</v>
      </c>
      <c r="U9" s="63">
        <f t="shared" si="1"/>
        <v>0.22353361945636624</v>
      </c>
      <c r="V9" s="57">
        <f t="shared" si="2"/>
        <v>0</v>
      </c>
      <c r="W9" s="57">
        <f t="shared" si="3"/>
        <v>5.1546391752577319E-3</v>
      </c>
      <c r="X9" s="57"/>
      <c r="Y9" s="57" t="s">
        <v>11</v>
      </c>
      <c r="Z9" s="57" t="s">
        <v>22</v>
      </c>
      <c r="AA9" s="57"/>
      <c r="AB9" s="57"/>
      <c r="AC9" s="57"/>
      <c r="AD9" s="57"/>
      <c r="AE9" s="57"/>
      <c r="AF9" s="57"/>
    </row>
    <row r="10" spans="1:32" x14ac:dyDescent="0.25">
      <c r="A10" t="s">
        <v>13</v>
      </c>
      <c r="B10">
        <v>20</v>
      </c>
      <c r="C10" t="s">
        <v>26</v>
      </c>
      <c r="D10" s="57" t="s">
        <v>30</v>
      </c>
      <c r="H10" s="61" t="s">
        <v>39</v>
      </c>
      <c r="I10" s="63" t="s">
        <v>36</v>
      </c>
      <c r="J10" s="62">
        <v>0</v>
      </c>
      <c r="K10" s="62">
        <v>0</v>
      </c>
      <c r="L10" s="62">
        <v>0</v>
      </c>
      <c r="M10" s="62">
        <v>0</v>
      </c>
      <c r="N10" s="62">
        <v>0</v>
      </c>
      <c r="O10" s="62">
        <v>2</v>
      </c>
      <c r="P10" s="62">
        <v>0</v>
      </c>
      <c r="Q10" s="71">
        <v>250</v>
      </c>
      <c r="R10" s="71">
        <f t="array" ref="R10">SUMPRODUCT(J10:P10,TRANSPOSE($Z$10:$Z$16))*1000000/20000</f>
        <v>447.36</v>
      </c>
      <c r="S10" s="61">
        <f t="shared" si="0"/>
        <v>1.2667207134171057</v>
      </c>
      <c r="T10" s="62">
        <f t="shared" si="4"/>
        <v>5.0668828536684233E-3</v>
      </c>
      <c r="U10" s="63">
        <f t="shared" si="1"/>
        <v>0.55883404864091557</v>
      </c>
      <c r="V10" s="57">
        <f t="shared" si="2"/>
        <v>0</v>
      </c>
      <c r="W10" s="57">
        <f t="shared" si="3"/>
        <v>2.5773195876288658E-2</v>
      </c>
      <c r="X10" s="57"/>
      <c r="Y10" s="57" t="s">
        <v>12</v>
      </c>
      <c r="Z10" s="54">
        <v>20</v>
      </c>
      <c r="AA10" s="57"/>
      <c r="AB10" s="57"/>
      <c r="AC10" s="57"/>
      <c r="AD10" s="57"/>
      <c r="AE10" s="57"/>
      <c r="AF10" s="57"/>
    </row>
    <row r="11" spans="1:32" x14ac:dyDescent="0.25">
      <c r="A11" t="s">
        <v>14</v>
      </c>
      <c r="B11">
        <v>5</v>
      </c>
      <c r="C11" t="s">
        <v>27</v>
      </c>
      <c r="D11" s="57" t="s">
        <v>31</v>
      </c>
      <c r="H11" s="61" t="s">
        <v>39</v>
      </c>
      <c r="I11" s="63" t="s">
        <v>38</v>
      </c>
      <c r="J11" s="62">
        <v>0</v>
      </c>
      <c r="K11" s="62">
        <v>0</v>
      </c>
      <c r="L11" s="62">
        <v>0</v>
      </c>
      <c r="M11" s="62">
        <v>0</v>
      </c>
      <c r="N11" s="62">
        <v>0</v>
      </c>
      <c r="O11" s="62">
        <v>3</v>
      </c>
      <c r="P11" s="62">
        <v>0</v>
      </c>
      <c r="Q11" s="71">
        <v>500</v>
      </c>
      <c r="R11" s="71">
        <f t="array" ref="R11">SUMPRODUCT(J11:P11,TRANSPOSE($Z$10:$Z$16))*1000000/20000</f>
        <v>671.04</v>
      </c>
      <c r="S11" s="61">
        <f t="shared" si="0"/>
        <v>2.9232927970065488</v>
      </c>
      <c r="T11" s="62">
        <f t="shared" si="4"/>
        <v>5.8465855940130979E-3</v>
      </c>
      <c r="U11" s="63">
        <f t="shared" si="1"/>
        <v>0.74511206485455417</v>
      </c>
      <c r="V11" s="57">
        <f t="shared" si="2"/>
        <v>0</v>
      </c>
      <c r="W11" s="57">
        <f t="shared" si="3"/>
        <v>5.1546391752577317E-2</v>
      </c>
      <c r="X11" s="57"/>
      <c r="Y11" s="57" t="s">
        <v>13</v>
      </c>
      <c r="Z11" s="54">
        <v>20</v>
      </c>
      <c r="AA11" s="57"/>
      <c r="AB11" s="57"/>
      <c r="AC11" s="57"/>
      <c r="AD11" s="57"/>
      <c r="AE11" s="57"/>
      <c r="AF11" s="57"/>
    </row>
    <row r="12" spans="1:32" x14ac:dyDescent="0.25">
      <c r="A12" t="s">
        <v>15</v>
      </c>
      <c r="B12">
        <v>15.52</v>
      </c>
      <c r="C12" t="s">
        <v>28</v>
      </c>
      <c r="D12" s="57" t="s">
        <v>32</v>
      </c>
      <c r="H12" s="61" t="s">
        <v>39</v>
      </c>
      <c r="I12" s="63" t="s">
        <v>40</v>
      </c>
      <c r="J12" s="62">
        <v>0</v>
      </c>
      <c r="K12" s="62">
        <v>0</v>
      </c>
      <c r="L12" s="62">
        <v>0</v>
      </c>
      <c r="M12" s="62">
        <v>0</v>
      </c>
      <c r="N12" s="62">
        <v>0</v>
      </c>
      <c r="O12" s="62">
        <v>3</v>
      </c>
      <c r="P12" s="62">
        <v>0</v>
      </c>
      <c r="Q12" s="71">
        <v>500</v>
      </c>
      <c r="R12" s="71">
        <f t="array" ref="R12">SUMPRODUCT(J12:P12,TRANSPOSE($Z$10:$Z$16))*1000000/20000</f>
        <v>671.04</v>
      </c>
      <c r="S12" s="61">
        <f t="shared" si="0"/>
        <v>2.9232927970065488</v>
      </c>
      <c r="T12" s="62">
        <f t="shared" si="4"/>
        <v>5.8465855940130979E-3</v>
      </c>
      <c r="U12" s="63">
        <f t="shared" si="1"/>
        <v>0.74511206485455417</v>
      </c>
      <c r="V12" s="57">
        <f t="shared" si="2"/>
        <v>0</v>
      </c>
      <c r="W12" s="57">
        <f t="shared" si="3"/>
        <v>5.1546391752577317E-2</v>
      </c>
      <c r="X12" s="57"/>
      <c r="Y12" s="57" t="s">
        <v>14</v>
      </c>
      <c r="Z12" s="54">
        <v>5</v>
      </c>
      <c r="AA12" s="57"/>
      <c r="AB12" s="57"/>
      <c r="AC12" s="57"/>
      <c r="AD12" s="57"/>
      <c r="AE12" s="57"/>
      <c r="AF12" s="57"/>
    </row>
    <row r="13" spans="1:32" x14ac:dyDescent="0.25">
      <c r="A13" t="s">
        <v>16</v>
      </c>
      <c r="B13">
        <v>15.52</v>
      </c>
      <c r="C13" t="s">
        <v>27</v>
      </c>
      <c r="D13" s="57" t="s">
        <v>33</v>
      </c>
      <c r="H13" s="61" t="s">
        <v>39</v>
      </c>
      <c r="I13" s="63" t="s">
        <v>37</v>
      </c>
      <c r="J13" s="62">
        <v>0</v>
      </c>
      <c r="K13" s="62">
        <v>0</v>
      </c>
      <c r="L13" s="62">
        <v>0</v>
      </c>
      <c r="M13" s="62">
        <v>0</v>
      </c>
      <c r="N13" s="62">
        <v>0</v>
      </c>
      <c r="O13" s="62">
        <v>0</v>
      </c>
      <c r="P13" s="62">
        <v>2</v>
      </c>
      <c r="Q13" s="71">
        <v>250</v>
      </c>
      <c r="R13" s="71">
        <f t="array" ref="R13">SUMPRODUCT(J13:P13,TRANSPOSE($Z$10:$Z$16))*1000000/20000</f>
        <v>447.36</v>
      </c>
      <c r="S13" s="61">
        <f t="shared" si="0"/>
        <v>1.2667207134171057</v>
      </c>
      <c r="T13" s="62">
        <f t="shared" si="4"/>
        <v>5.0668828536684233E-3</v>
      </c>
      <c r="U13" s="63">
        <f t="shared" si="1"/>
        <v>0.55883404864091557</v>
      </c>
      <c r="V13" s="57">
        <f t="shared" si="2"/>
        <v>0</v>
      </c>
      <c r="W13" s="57">
        <f t="shared" si="3"/>
        <v>2.5773195876288658E-2</v>
      </c>
      <c r="X13" s="57"/>
      <c r="Y13" s="57" t="s">
        <v>15</v>
      </c>
      <c r="Z13" s="54">
        <v>15.52</v>
      </c>
      <c r="AA13" s="57"/>
      <c r="AB13" s="57"/>
      <c r="AC13" s="57"/>
      <c r="AD13" s="57"/>
      <c r="AE13" s="57"/>
      <c r="AF13" s="57"/>
    </row>
    <row r="14" spans="1:32" x14ac:dyDescent="0.25">
      <c r="A14" t="s">
        <v>17</v>
      </c>
      <c r="B14">
        <v>4.4736000000000002</v>
      </c>
      <c r="C14" t="s">
        <v>29</v>
      </c>
      <c r="D14" s="57" t="s">
        <v>32</v>
      </c>
      <c r="H14" s="61" t="s">
        <v>40</v>
      </c>
      <c r="I14" s="63" t="s">
        <v>36</v>
      </c>
      <c r="J14" s="62">
        <v>0</v>
      </c>
      <c r="K14" s="62">
        <v>0</v>
      </c>
      <c r="L14" s="62">
        <v>0</v>
      </c>
      <c r="M14" s="62">
        <v>0</v>
      </c>
      <c r="N14" s="62">
        <v>0</v>
      </c>
      <c r="O14" s="62">
        <v>0</v>
      </c>
      <c r="P14" s="62">
        <v>2</v>
      </c>
      <c r="Q14" s="71">
        <v>250</v>
      </c>
      <c r="R14" s="71">
        <f t="array" ref="R14">SUMPRODUCT(J14:P14,TRANSPOSE($Z$10:$Z$16))*1000000/20000</f>
        <v>447.36</v>
      </c>
      <c r="S14" s="61">
        <f t="shared" si="0"/>
        <v>1.2667207134171057</v>
      </c>
      <c r="T14" s="62">
        <f t="shared" si="4"/>
        <v>5.0668828536684233E-3</v>
      </c>
      <c r="U14" s="63">
        <f t="shared" si="1"/>
        <v>0.55883404864091557</v>
      </c>
      <c r="V14" s="57">
        <f t="shared" si="2"/>
        <v>0</v>
      </c>
      <c r="W14" s="57">
        <f t="shared" si="3"/>
        <v>2.5773195876288658E-2</v>
      </c>
      <c r="X14" s="57"/>
      <c r="Y14" s="57" t="s">
        <v>16</v>
      </c>
      <c r="Z14" s="54">
        <v>15.52</v>
      </c>
      <c r="AA14" s="57"/>
      <c r="AB14" s="57"/>
      <c r="AC14" s="57"/>
      <c r="AD14" s="57"/>
      <c r="AE14" s="57"/>
      <c r="AF14" s="57"/>
    </row>
    <row r="15" spans="1:32" x14ac:dyDescent="0.25">
      <c r="A15" t="s">
        <v>18</v>
      </c>
      <c r="B15">
        <v>4.4736000000000002</v>
      </c>
      <c r="C15" t="s">
        <v>27</v>
      </c>
      <c r="D15" s="57" t="s">
        <v>31</v>
      </c>
      <c r="H15" s="61" t="s">
        <v>40</v>
      </c>
      <c r="I15" s="63" t="s">
        <v>38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1</v>
      </c>
      <c r="P15" s="62">
        <v>2</v>
      </c>
      <c r="Q15" s="71">
        <v>500</v>
      </c>
      <c r="R15" s="71">
        <f t="array" ref="R15">SUMPRODUCT(J15:P15,TRANSPOSE($Z$10:$Z$16))*1000000/20000</f>
        <v>671.04</v>
      </c>
      <c r="S15" s="61">
        <f t="shared" si="0"/>
        <v>2.9232927970065488</v>
      </c>
      <c r="T15" s="62">
        <f t="shared" si="4"/>
        <v>5.8465855940130979E-3</v>
      </c>
      <c r="U15" s="63">
        <f t="shared" si="1"/>
        <v>0.74511206485455417</v>
      </c>
      <c r="V15" s="57">
        <f t="shared" si="2"/>
        <v>0</v>
      </c>
      <c r="W15" s="57">
        <f t="shared" si="3"/>
        <v>5.1546391752577317E-2</v>
      </c>
      <c r="X15" s="57"/>
      <c r="Y15" s="57" t="s">
        <v>17</v>
      </c>
      <c r="Z15" s="54">
        <v>4.4736000000000002</v>
      </c>
      <c r="AA15" s="57"/>
      <c r="AB15" s="57"/>
      <c r="AC15" s="57"/>
      <c r="AD15" s="57"/>
      <c r="AE15" s="57"/>
      <c r="AF15" s="57"/>
    </row>
    <row r="16" spans="1:32" x14ac:dyDescent="0.25">
      <c r="D16" s="57"/>
      <c r="H16" s="61" t="s">
        <v>40</v>
      </c>
      <c r="I16" s="63" t="s">
        <v>39</v>
      </c>
      <c r="J16" s="62">
        <v>0</v>
      </c>
      <c r="K16" s="62">
        <v>0</v>
      </c>
      <c r="L16" s="62">
        <v>0</v>
      </c>
      <c r="M16" s="62">
        <v>0</v>
      </c>
      <c r="N16" s="62">
        <v>0</v>
      </c>
      <c r="O16" s="62">
        <v>3</v>
      </c>
      <c r="P16" s="62">
        <v>0</v>
      </c>
      <c r="Q16" s="71">
        <v>500</v>
      </c>
      <c r="R16" s="71">
        <f t="array" ref="R16">SUMPRODUCT(J16:P16,TRANSPOSE($Z$10:$Z$16))*1000000/20000</f>
        <v>671.04</v>
      </c>
      <c r="S16" s="61">
        <f t="shared" si="0"/>
        <v>2.9232927970065488</v>
      </c>
      <c r="T16" s="62">
        <f t="shared" si="4"/>
        <v>5.8465855940130979E-3</v>
      </c>
      <c r="U16" s="63">
        <f t="shared" si="1"/>
        <v>0.74511206485455417</v>
      </c>
      <c r="V16" s="57">
        <f t="shared" si="2"/>
        <v>0</v>
      </c>
      <c r="W16" s="57">
        <f t="shared" si="3"/>
        <v>5.1546391752577317E-2</v>
      </c>
      <c r="X16" s="57"/>
      <c r="Y16" s="57" t="s">
        <v>18</v>
      </c>
      <c r="Z16" s="54">
        <v>4.4736000000000002</v>
      </c>
      <c r="AA16" s="57"/>
      <c r="AB16" s="57"/>
      <c r="AC16" s="57"/>
      <c r="AD16" s="57"/>
      <c r="AE16" s="57"/>
      <c r="AF16" s="57"/>
    </row>
    <row r="17" spans="1:32" ht="15.75" thickBot="1" x14ac:dyDescent="0.3">
      <c r="D17" s="57"/>
      <c r="H17" s="61" t="s">
        <v>40</v>
      </c>
      <c r="I17" s="63" t="s">
        <v>37</v>
      </c>
      <c r="J17" s="62">
        <v>0</v>
      </c>
      <c r="K17" s="62">
        <v>0</v>
      </c>
      <c r="L17" s="62">
        <v>0</v>
      </c>
      <c r="M17" s="62">
        <v>0</v>
      </c>
      <c r="N17" s="62">
        <v>0</v>
      </c>
      <c r="O17" s="62">
        <v>0</v>
      </c>
      <c r="P17" s="62">
        <v>2</v>
      </c>
      <c r="Q17" s="71">
        <v>250</v>
      </c>
      <c r="R17" s="71">
        <f t="array" ref="R17">SUMPRODUCT(J17:P17,TRANSPOSE($Z$10:$Z$16))*1000000/20000</f>
        <v>447.36</v>
      </c>
      <c r="S17" s="61">
        <f t="shared" si="0"/>
        <v>1.2667207134171057</v>
      </c>
      <c r="T17" s="62">
        <f t="shared" si="4"/>
        <v>5.0668828536684233E-3</v>
      </c>
      <c r="U17" s="63">
        <f t="shared" si="1"/>
        <v>0.55883404864091557</v>
      </c>
      <c r="V17" s="57">
        <f t="shared" si="2"/>
        <v>0</v>
      </c>
      <c r="W17" s="57">
        <f t="shared" si="3"/>
        <v>2.5773195876288658E-2</v>
      </c>
      <c r="X17" s="57"/>
      <c r="Y17" s="57"/>
      <c r="Z17" s="57"/>
      <c r="AA17" s="57"/>
      <c r="AB17" s="57"/>
      <c r="AC17" s="57"/>
      <c r="AD17" s="57"/>
      <c r="AE17" s="57"/>
      <c r="AF17" s="57"/>
    </row>
    <row r="18" spans="1:32" ht="16.5" thickTop="1" thickBot="1" x14ac:dyDescent="0.3">
      <c r="A18" s="103" t="s">
        <v>0</v>
      </c>
      <c r="B18" s="98" t="s">
        <v>1</v>
      </c>
      <c r="C18" s="99"/>
      <c r="D18" s="99"/>
      <c r="E18" s="99"/>
      <c r="F18" s="100"/>
      <c r="G18" s="55"/>
      <c r="H18" s="61" t="s">
        <v>37</v>
      </c>
      <c r="I18" s="63" t="s">
        <v>36</v>
      </c>
      <c r="J18" s="62">
        <v>0</v>
      </c>
      <c r="K18" s="62">
        <v>0</v>
      </c>
      <c r="L18" s="62">
        <v>0</v>
      </c>
      <c r="M18" s="62">
        <v>0</v>
      </c>
      <c r="N18" s="62">
        <v>0</v>
      </c>
      <c r="O18" s="62">
        <v>2</v>
      </c>
      <c r="P18" s="62">
        <v>0</v>
      </c>
      <c r="Q18" s="71">
        <v>250</v>
      </c>
      <c r="R18" s="71">
        <f t="array" ref="R18">SUMPRODUCT(J18:P18,TRANSPOSE($Z$10:$Z$16))*1000000/20000</f>
        <v>447.36</v>
      </c>
      <c r="S18" s="61">
        <f t="shared" si="0"/>
        <v>1.2667207134171057</v>
      </c>
      <c r="T18" s="62">
        <f t="shared" si="4"/>
        <v>5.0668828536684233E-3</v>
      </c>
      <c r="U18" s="63">
        <f t="shared" si="1"/>
        <v>0.55883404864091557</v>
      </c>
      <c r="V18" s="57">
        <f t="shared" si="2"/>
        <v>0</v>
      </c>
      <c r="W18" s="57">
        <f t="shared" si="3"/>
        <v>2.5773195876288658E-2</v>
      </c>
      <c r="X18" s="57"/>
      <c r="Y18" s="57"/>
      <c r="Z18" s="57"/>
      <c r="AA18" s="57"/>
      <c r="AB18" s="57"/>
      <c r="AC18" s="57"/>
      <c r="AD18" s="57"/>
      <c r="AE18" s="57"/>
      <c r="AF18" s="57"/>
    </row>
    <row r="19" spans="1:32" ht="16.5" thickTop="1" thickBot="1" x14ac:dyDescent="0.3">
      <c r="A19" s="105"/>
      <c r="B19" s="18" t="s">
        <v>2</v>
      </c>
      <c r="C19" s="2" t="s">
        <v>3</v>
      </c>
      <c r="D19" s="2" t="s">
        <v>4</v>
      </c>
      <c r="E19" s="2" t="s">
        <v>5</v>
      </c>
      <c r="F19" s="19" t="s">
        <v>6</v>
      </c>
      <c r="G19" s="55"/>
      <c r="H19" s="61" t="s">
        <v>37</v>
      </c>
      <c r="I19" s="63" t="s">
        <v>38</v>
      </c>
      <c r="J19" s="62">
        <v>0</v>
      </c>
      <c r="K19" s="62">
        <v>0</v>
      </c>
      <c r="L19" s="62">
        <v>0</v>
      </c>
      <c r="M19" s="62">
        <v>0</v>
      </c>
      <c r="N19" s="62">
        <v>0</v>
      </c>
      <c r="O19" s="62">
        <v>1</v>
      </c>
      <c r="P19" s="62">
        <v>0</v>
      </c>
      <c r="Q19" s="71">
        <v>200</v>
      </c>
      <c r="R19" s="71">
        <f t="array" ref="R19">SUMPRODUCT(J19:P19,TRANSPOSE($Z$10:$Z$16))*1000000/20000</f>
        <v>223.68</v>
      </c>
      <c r="S19" s="61">
        <f t="shared" si="0"/>
        <v>8.4459459459459438</v>
      </c>
      <c r="T19" s="62">
        <f t="shared" si="4"/>
        <v>4.2229729729729715E-2</v>
      </c>
      <c r="U19" s="63">
        <f t="shared" si="1"/>
        <v>0.89413447782546496</v>
      </c>
      <c r="V19" s="57">
        <f t="shared" si="2"/>
        <v>0</v>
      </c>
      <c r="W19" s="57">
        <f t="shared" si="3"/>
        <v>2.0618556701030927E-2</v>
      </c>
      <c r="X19" s="57"/>
      <c r="Y19" s="57"/>
      <c r="Z19" s="57"/>
      <c r="AA19" s="57"/>
      <c r="AB19" s="57"/>
      <c r="AC19" s="57"/>
      <c r="AD19" s="57"/>
      <c r="AE19" s="57"/>
      <c r="AF19" s="57"/>
    </row>
    <row r="20" spans="1:32" ht="15.75" thickTop="1" x14ac:dyDescent="0.25">
      <c r="A20" s="12" t="s">
        <v>2</v>
      </c>
      <c r="B20" s="7">
        <v>0</v>
      </c>
      <c r="C20" s="8">
        <v>5400</v>
      </c>
      <c r="D20" s="8">
        <v>14000</v>
      </c>
      <c r="E20" s="8">
        <v>7900</v>
      </c>
      <c r="F20" s="9">
        <v>12000</v>
      </c>
      <c r="G20" s="77"/>
      <c r="H20" s="61" t="s">
        <v>37</v>
      </c>
      <c r="I20" s="63" t="s">
        <v>39</v>
      </c>
      <c r="J20" s="62">
        <v>0</v>
      </c>
      <c r="K20" s="62">
        <v>0</v>
      </c>
      <c r="L20" s="62">
        <v>0</v>
      </c>
      <c r="M20" s="62">
        <v>0</v>
      </c>
      <c r="N20" s="62">
        <v>0</v>
      </c>
      <c r="O20" s="62">
        <v>2</v>
      </c>
      <c r="P20" s="62">
        <v>0</v>
      </c>
      <c r="Q20" s="71">
        <v>250</v>
      </c>
      <c r="R20" s="71">
        <f t="array" ref="R20">SUMPRODUCT(J20:P20,TRANSPOSE($Z$10:$Z$16))*1000000/20000</f>
        <v>447.36</v>
      </c>
      <c r="S20" s="61">
        <f t="shared" si="0"/>
        <v>1.2667207134171057</v>
      </c>
      <c r="T20" s="62">
        <f t="shared" si="4"/>
        <v>5.0668828536684233E-3</v>
      </c>
      <c r="U20" s="63">
        <f t="shared" si="1"/>
        <v>0.55883404864091557</v>
      </c>
      <c r="V20" s="57">
        <f t="shared" si="2"/>
        <v>0</v>
      </c>
      <c r="W20" s="57">
        <f t="shared" si="3"/>
        <v>2.5773195876288658E-2</v>
      </c>
      <c r="X20" s="57"/>
      <c r="Y20" s="57"/>
      <c r="Z20" s="57"/>
      <c r="AA20" s="57"/>
      <c r="AB20" s="57"/>
      <c r="AC20" s="57"/>
      <c r="AD20" s="57"/>
      <c r="AE20" s="57"/>
      <c r="AF20" s="57"/>
    </row>
    <row r="21" spans="1:32" x14ac:dyDescent="0.25">
      <c r="A21" s="3" t="s">
        <v>3</v>
      </c>
      <c r="B21" s="6">
        <v>5400</v>
      </c>
      <c r="C21" s="1">
        <v>0</v>
      </c>
      <c r="D21" s="1">
        <v>12500</v>
      </c>
      <c r="E21" s="1">
        <v>2500</v>
      </c>
      <c r="F21" s="1">
        <v>8200</v>
      </c>
      <c r="G21" s="1"/>
      <c r="H21" s="64" t="s">
        <v>37</v>
      </c>
      <c r="I21" s="66" t="s">
        <v>40</v>
      </c>
      <c r="J21" s="62">
        <v>0</v>
      </c>
      <c r="K21" s="62">
        <v>0</v>
      </c>
      <c r="L21" s="62">
        <v>0</v>
      </c>
      <c r="M21" s="62">
        <v>0</v>
      </c>
      <c r="N21" s="62">
        <v>0</v>
      </c>
      <c r="O21" s="62">
        <v>1</v>
      </c>
      <c r="P21" s="62">
        <v>4</v>
      </c>
      <c r="Q21" s="71">
        <v>1000</v>
      </c>
      <c r="R21" s="71">
        <f t="array" ref="R21">SUMPRODUCT(J21:P21,TRANSPOSE($Z$10:$Z$16))*1000000/20000</f>
        <v>1118.4000000000001</v>
      </c>
      <c r="S21" s="61">
        <f t="shared" si="0"/>
        <v>8.4459459459459403</v>
      </c>
      <c r="T21" s="62">
        <f t="shared" si="4"/>
        <v>8.4459459459459395E-3</v>
      </c>
      <c r="U21" s="63">
        <f t="shared" si="1"/>
        <v>0.89413447782546485</v>
      </c>
      <c r="V21" s="57">
        <f t="shared" si="2"/>
        <v>0</v>
      </c>
      <c r="W21" s="57">
        <f t="shared" si="3"/>
        <v>0.10309278350515463</v>
      </c>
      <c r="X21" s="57"/>
      <c r="Y21" s="57"/>
      <c r="Z21" s="57" t="s">
        <v>86</v>
      </c>
      <c r="AA21" s="57"/>
      <c r="AB21" s="57"/>
      <c r="AC21" s="57"/>
      <c r="AD21" s="57"/>
      <c r="AE21" s="57"/>
      <c r="AF21" s="57"/>
    </row>
    <row r="22" spans="1:32" x14ac:dyDescent="0.25">
      <c r="A22" s="10" t="s">
        <v>4</v>
      </c>
      <c r="B22" s="1">
        <v>14000</v>
      </c>
      <c r="C22" s="1">
        <v>12500</v>
      </c>
      <c r="D22" s="1">
        <v>0</v>
      </c>
      <c r="E22" s="1">
        <v>11200</v>
      </c>
      <c r="F22" s="1">
        <v>4600</v>
      </c>
      <c r="G22" s="1"/>
      <c r="H22" s="64"/>
      <c r="I22" s="65"/>
      <c r="J22" s="65"/>
      <c r="K22" s="65"/>
      <c r="L22" s="65"/>
      <c r="M22" s="65"/>
      <c r="N22" s="65"/>
      <c r="O22" s="65"/>
      <c r="P22" s="65"/>
      <c r="Q22" s="72">
        <f>SUM(Q2:Q21)</f>
        <v>9700</v>
      </c>
      <c r="R22" s="72">
        <f>SUM(R2:R21)</f>
        <v>16642.64000000001</v>
      </c>
      <c r="S22" s="64">
        <f t="shared" si="0"/>
        <v>1.3971630388440111</v>
      </c>
      <c r="T22" s="65">
        <f t="shared" si="4"/>
        <v>1.440374266849496E-4</v>
      </c>
      <c r="U22" s="66">
        <f t="shared" si="1"/>
        <v>0.58284022246470479</v>
      </c>
      <c r="V22" s="57">
        <f t="shared" si="2"/>
        <v>0</v>
      </c>
      <c r="W22" s="57"/>
      <c r="X22" s="57"/>
      <c r="Y22" s="57"/>
      <c r="Z22" s="57" t="s">
        <v>87</v>
      </c>
      <c r="AA22" s="57">
        <f>IF(OR(OR(M2&gt;0, O2&gt;0),OR(M6&gt;0, O6&gt;0)), 1,0)</f>
        <v>0</v>
      </c>
      <c r="AB22" s="57"/>
      <c r="AC22" s="57"/>
      <c r="AD22" s="57"/>
      <c r="AE22" s="57"/>
      <c r="AF22" s="57"/>
    </row>
    <row r="23" spans="1:32" x14ac:dyDescent="0.25">
      <c r="A23" s="10" t="s">
        <v>5</v>
      </c>
      <c r="B23" s="1">
        <v>7900</v>
      </c>
      <c r="C23" s="1">
        <v>2500</v>
      </c>
      <c r="D23" s="1">
        <v>11200</v>
      </c>
      <c r="E23" s="1">
        <v>0</v>
      </c>
      <c r="F23" s="1">
        <v>6600</v>
      </c>
      <c r="G23" s="1"/>
      <c r="H23" s="57"/>
      <c r="I23" s="57" t="s">
        <v>78</v>
      </c>
      <c r="J23" s="57">
        <f>SUM(J2:J21)</f>
        <v>1</v>
      </c>
      <c r="K23" s="57">
        <f t="shared" ref="K23:P23" si="5">SUM(K2:K21)</f>
        <v>0</v>
      </c>
      <c r="L23" s="57">
        <f>SUM(L2:L21)</f>
        <v>1</v>
      </c>
      <c r="M23" s="57">
        <f t="shared" si="5"/>
        <v>3</v>
      </c>
      <c r="N23" s="57">
        <f t="shared" si="5"/>
        <v>3</v>
      </c>
      <c r="O23" s="57">
        <f t="shared" si="5"/>
        <v>24</v>
      </c>
      <c r="P23" s="57">
        <f t="shared" si="5"/>
        <v>24</v>
      </c>
      <c r="Q23" s="57"/>
      <c r="R23" s="57"/>
      <c r="S23" s="57"/>
      <c r="T23" s="57"/>
      <c r="U23" s="57"/>
      <c r="V23" s="57"/>
      <c r="W23" s="57"/>
      <c r="X23" s="57"/>
      <c r="Y23" s="57"/>
      <c r="Z23" s="57" t="s">
        <v>89</v>
      </c>
      <c r="AA23" s="57">
        <f>IF(OR(OR(M3&gt;0, O3&gt;0),OR(M10&gt;0, O10&gt;0)), 1,0)</f>
        <v>1</v>
      </c>
      <c r="AB23" s="57"/>
      <c r="AC23" s="57"/>
      <c r="AD23" s="57"/>
      <c r="AE23" s="57"/>
      <c r="AF23" s="57"/>
    </row>
    <row r="24" spans="1:32" ht="15.75" thickBot="1" x14ac:dyDescent="0.3">
      <c r="A24" s="3" t="s">
        <v>6</v>
      </c>
      <c r="B24" s="11">
        <v>12000</v>
      </c>
      <c r="C24" s="1">
        <v>8200</v>
      </c>
      <c r="D24" s="1">
        <v>4600</v>
      </c>
      <c r="E24" s="4">
        <v>6600</v>
      </c>
      <c r="F24" s="4">
        <v>0</v>
      </c>
      <c r="G24" s="7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 t="s">
        <v>90</v>
      </c>
      <c r="AA24" s="57">
        <f>IF(OR(OR(M4&gt;0, O4&gt;0),OR(M14&gt;0, O14&gt;0)), 1,0)</f>
        <v>1</v>
      </c>
      <c r="AB24" s="57"/>
      <c r="AC24" s="57"/>
      <c r="AD24" s="57"/>
      <c r="AE24" s="57"/>
      <c r="AF24" s="57"/>
    </row>
    <row r="25" spans="1:32" ht="15.75" thickTop="1" x14ac:dyDescent="0.25">
      <c r="D25" s="57"/>
      <c r="E25" s="57"/>
      <c r="F25" s="57"/>
      <c r="G25" s="57"/>
      <c r="H25" s="106" t="s">
        <v>69</v>
      </c>
      <c r="I25" s="106"/>
      <c r="J25" s="106"/>
      <c r="K25" s="106"/>
      <c r="L25" s="106"/>
      <c r="M25" s="57"/>
      <c r="N25" s="57"/>
      <c r="O25" s="57"/>
      <c r="P25" s="57"/>
      <c r="Q25" s="57"/>
      <c r="R25" s="57"/>
      <c r="S25" s="57"/>
      <c r="T25" s="57" t="s">
        <v>79</v>
      </c>
      <c r="U25" s="57">
        <f>SUMPRODUCT(W2:W21,T2:T21)</f>
        <v>4.7256975266472736E-3</v>
      </c>
      <c r="V25" s="57"/>
      <c r="W25" s="57"/>
      <c r="X25" s="57"/>
      <c r="Y25" s="57"/>
      <c r="Z25" s="57" t="s">
        <v>91</v>
      </c>
      <c r="AA25" s="57">
        <f>IF(OR(OR(M5&gt;0, O5&gt;0),OR(M18&gt;0, O18&gt;0)), 1,0)</f>
        <v>1</v>
      </c>
      <c r="AB25" s="57"/>
      <c r="AC25" s="57"/>
      <c r="AD25" s="57"/>
      <c r="AE25" s="57"/>
      <c r="AF25" s="57"/>
    </row>
    <row r="26" spans="1:32" x14ac:dyDescent="0.25">
      <c r="D26" s="57"/>
      <c r="E26" s="57"/>
      <c r="F26" s="57"/>
      <c r="G26" s="57"/>
      <c r="H26" s="57" t="s">
        <v>58</v>
      </c>
      <c r="I26" s="74">
        <f>IF(SUM(J2:J21)&lt;4, 0, SUM(J2:J21)*60000000)+SUM(K2:K21)*40000000</f>
        <v>0</v>
      </c>
      <c r="J26" s="74" t="s">
        <v>77</v>
      </c>
      <c r="K26" s="74">
        <f>J23*8000+K23*8000+L23*500000+M23*5000+N23*700000+O23*5000+P23*500000</f>
        <v>14743000</v>
      </c>
      <c r="M26" s="57"/>
      <c r="N26" s="57"/>
      <c r="O26" s="57"/>
      <c r="P26" s="57"/>
      <c r="Q26" s="57"/>
      <c r="R26" s="57"/>
      <c r="S26" s="57"/>
      <c r="T26" s="57" t="s">
        <v>80</v>
      </c>
      <c r="U26" s="57">
        <f>U25*1000</f>
        <v>4.7256975266472736</v>
      </c>
      <c r="V26" s="57"/>
      <c r="W26" s="57"/>
      <c r="X26" s="57"/>
      <c r="Y26" s="57"/>
      <c r="Z26" s="57" t="s">
        <v>92</v>
      </c>
      <c r="AA26" s="57">
        <f>IF(OR(OR(M7&gt;0, O7&gt;0),OR(M11&gt;0, O11&gt;0)), 1,0)</f>
        <v>1</v>
      </c>
      <c r="AB26" s="57"/>
      <c r="AC26" s="57"/>
      <c r="AD26" s="57"/>
      <c r="AE26" s="57"/>
      <c r="AF26" s="57"/>
    </row>
    <row r="27" spans="1:32" ht="15.75" thickBot="1" x14ac:dyDescent="0.3">
      <c r="H27" s="57" t="s">
        <v>59</v>
      </c>
      <c r="I27" s="74">
        <f>IF(AND(M2=0, O2=0), 0, C20*10000)+IF( AND(M3=0, O3=0), 0, D20*10000)+IF(AND(M4=0, O4=0), 0, E20*10000)+IF(AND(M5=0, O5=0), 0, F20*10000)</f>
        <v>339000000</v>
      </c>
      <c r="L27" s="57"/>
      <c r="Z27" s="57" t="s">
        <v>93</v>
      </c>
      <c r="AA27" s="57">
        <f>IF(OR(OR(M8&gt;0, O8&gt;0),OR(M15&gt;0, O15&gt;0)), 1,0)</f>
        <v>1</v>
      </c>
    </row>
    <row r="28" spans="1:32" ht="16.5" thickTop="1" thickBot="1" x14ac:dyDescent="0.3">
      <c r="A28" s="79" t="s">
        <v>2</v>
      </c>
      <c r="B28" s="80" t="s">
        <v>99</v>
      </c>
      <c r="C28" s="81" t="s">
        <v>100</v>
      </c>
      <c r="D28">
        <v>21.33</v>
      </c>
      <c r="E28">
        <v>157.91999999999999</v>
      </c>
      <c r="H28" t="s">
        <v>60</v>
      </c>
      <c r="I28" s="74">
        <f>IF(AND(M6=0, O6=0), 0, B21*10000)+IF(AND(M7=0, O7=0),0, D21*10000)+IF(AND(M8=0, O8=0), 0, E21*10000)+IF(AND(M9=0, O9=0), 0, F21*10000)</f>
        <v>125000000</v>
      </c>
      <c r="J28" t="s">
        <v>67</v>
      </c>
      <c r="K28" s="75">
        <f>SUM(J2:P21)*20000</f>
        <v>1120000</v>
      </c>
      <c r="Z28" s="57" t="s">
        <v>94</v>
      </c>
      <c r="AA28" s="57">
        <f>IF(OR(OR(M9&gt;0, O9&gt;0),OR(M19&gt;0, O19&gt;0)), 1,0)</f>
        <v>1</v>
      </c>
    </row>
    <row r="29" spans="1:32" ht="16.5" thickTop="1" thickBot="1" x14ac:dyDescent="0.3">
      <c r="A29" s="82" t="s">
        <v>3</v>
      </c>
      <c r="B29" s="83" t="s">
        <v>101</v>
      </c>
      <c r="C29" s="84" t="s">
        <v>102</v>
      </c>
      <c r="D29">
        <v>38.82</v>
      </c>
      <c r="E29">
        <v>104.72</v>
      </c>
      <c r="H29" s="57" t="s">
        <v>61</v>
      </c>
      <c r="I29" s="74">
        <f>IF(AND(M10=0, O10=0), 0, B22*10000)+IF(AND(M11=0, O11=0),0, C22*10000)+IF(AND(M12=0, O12=0), 0, E22*10000)+IF(AND(M13=0, O13=0), 0, F22*10000)</f>
        <v>377000000</v>
      </c>
      <c r="Z29" s="57" t="s">
        <v>95</v>
      </c>
      <c r="AA29" s="57">
        <f>IF(OR(OR(M12&gt;0, O12&gt;0),OR(M16&gt;0, O16&gt;0)), 1,0)</f>
        <v>1</v>
      </c>
    </row>
    <row r="30" spans="1:32" ht="16.5" thickTop="1" thickBot="1" x14ac:dyDescent="0.3">
      <c r="A30" s="82" t="s">
        <v>4</v>
      </c>
      <c r="B30" s="83" t="s">
        <v>103</v>
      </c>
      <c r="C30" s="84" t="s">
        <v>104</v>
      </c>
      <c r="D30">
        <v>25.3</v>
      </c>
      <c r="E30">
        <v>51.52</v>
      </c>
      <c r="H30" s="57" t="s">
        <v>62</v>
      </c>
      <c r="I30" s="74">
        <f>IF(AND(M14=0, O14=0), 0, B23*10000)+IF(AND(M15=0, O15=0),0, C23*10000)+IF(AND(M16=0, O16=0), 0, D23*10000)+IF(AND(M17=0, O17=0), 0, F23*10000)</f>
        <v>137000000</v>
      </c>
      <c r="T30" t="s">
        <v>81</v>
      </c>
      <c r="Z30" s="57" t="s">
        <v>96</v>
      </c>
      <c r="AA30" s="57">
        <f>IF(OR(OR(M13&gt;0, O13&gt;0),OR(M20&gt;0, O20&gt;0)), 1,0)</f>
        <v>1</v>
      </c>
    </row>
    <row r="31" spans="1:32" ht="16.5" thickTop="1" thickBot="1" x14ac:dyDescent="0.3">
      <c r="A31" s="82" t="s">
        <v>5</v>
      </c>
      <c r="B31" s="83" t="s">
        <v>105</v>
      </c>
      <c r="C31" s="84" t="s">
        <v>106</v>
      </c>
      <c r="D31">
        <v>36.9</v>
      </c>
      <c r="E31">
        <v>76.2</v>
      </c>
      <c r="H31" s="57" t="s">
        <v>63</v>
      </c>
      <c r="I31" s="74">
        <f>IF(AND(M18=0, O18=0), 0, B24*10000)+IF(AND(M19=0, O19=0),0, C24*10000)+IF(AND(M20=0, O20=0), 0, D24*10000)+IF(AND(M21=0, O21=0), 0, E24*10000)</f>
        <v>314000000</v>
      </c>
      <c r="J31" t="s">
        <v>74</v>
      </c>
      <c r="K31" s="75">
        <f>(I37+K28+K26*120)</f>
        <v>4504780000</v>
      </c>
      <c r="T31" t="s">
        <v>82</v>
      </c>
      <c r="U31" s="76">
        <f>K31/6000000</f>
        <v>750.79666666666662</v>
      </c>
      <c r="Z31" s="57" t="s">
        <v>97</v>
      </c>
      <c r="AA31" s="57">
        <f>IF(OR(OR(M17&gt;0, O17&gt;0),OR(M21&gt;0, O21&gt;0)), 1,0)</f>
        <v>1</v>
      </c>
    </row>
    <row r="32" spans="1:32" ht="16.5" thickTop="1" thickBot="1" x14ac:dyDescent="0.3">
      <c r="A32" s="85" t="s">
        <v>6</v>
      </c>
      <c r="B32" s="86" t="s">
        <v>107</v>
      </c>
      <c r="C32" s="87" t="s">
        <v>108</v>
      </c>
      <c r="D32">
        <v>49.57</v>
      </c>
      <c r="E32">
        <v>8.4700000000000006</v>
      </c>
      <c r="H32" s="57" t="s">
        <v>68</v>
      </c>
      <c r="I32" s="74">
        <f>((M2+O2)*C20+(M3+O3)*D20+(M4+O4)*E20+(M5+O5)*F20)*5000</f>
        <v>339000000</v>
      </c>
      <c r="T32" t="s">
        <v>83</v>
      </c>
    </row>
    <row r="33" spans="1:21" ht="16.5" thickTop="1" thickBot="1" x14ac:dyDescent="0.3">
      <c r="H33" s="57" t="s">
        <v>70</v>
      </c>
      <c r="I33" s="74">
        <f>((M6+O6)*B21+(M7+O7)*D21+(M8+O8)*E21+(M9+O9)*F21)*5000</f>
        <v>187500000</v>
      </c>
      <c r="T33" t="s">
        <v>84</v>
      </c>
      <c r="U33">
        <f>U26*0.1</f>
        <v>0.47256975266472739</v>
      </c>
    </row>
    <row r="34" spans="1:21" ht="16.5" thickTop="1" thickBot="1" x14ac:dyDescent="0.3">
      <c r="A34" s="88" t="s">
        <v>34</v>
      </c>
      <c r="B34" s="89" t="s">
        <v>35</v>
      </c>
      <c r="C34" t="s">
        <v>109</v>
      </c>
      <c r="D34" t="s">
        <v>110</v>
      </c>
      <c r="H34" s="57" t="s">
        <v>71</v>
      </c>
      <c r="I34" s="74">
        <f>((M10+O10)*B22+(M11+O11)*C22+(M12+O12)*E22+(M13+O13)*F22)*5000</f>
        <v>495500000</v>
      </c>
      <c r="T34" t="s">
        <v>85</v>
      </c>
    </row>
    <row r="35" spans="1:21" x14ac:dyDescent="0.25">
      <c r="A35" s="33" t="s">
        <v>2</v>
      </c>
      <c r="B35" s="16" t="s">
        <v>36</v>
      </c>
      <c r="C35">
        <v>1</v>
      </c>
      <c r="D35">
        <v>1</v>
      </c>
      <c r="H35" s="57" t="s">
        <v>72</v>
      </c>
      <c r="I35" s="74">
        <f>((M14+O14)*B23+(M15+O15)*C23+(M16+O16)*D23+(M17+O17)*F23)*5000</f>
        <v>180500000</v>
      </c>
    </row>
    <row r="36" spans="1:21" x14ac:dyDescent="0.25">
      <c r="A36" s="33" t="s">
        <v>3</v>
      </c>
      <c r="B36" s="16" t="s">
        <v>38</v>
      </c>
      <c r="C36">
        <v>0</v>
      </c>
      <c r="D36">
        <v>1</v>
      </c>
      <c r="H36" s="57" t="s">
        <v>73</v>
      </c>
      <c r="I36" s="74">
        <f>((M18+O18)*B24+(M19+O19)*C24+(M20+O20)*D24+(M21+O21)*E24)*5000</f>
        <v>240000000</v>
      </c>
    </row>
    <row r="37" spans="1:21" x14ac:dyDescent="0.25">
      <c r="A37" s="33" t="s">
        <v>4</v>
      </c>
      <c r="B37" s="16" t="s">
        <v>39</v>
      </c>
      <c r="C37">
        <v>1</v>
      </c>
      <c r="D37">
        <v>1</v>
      </c>
      <c r="H37" s="73" t="s">
        <v>64</v>
      </c>
      <c r="I37" s="75">
        <f>SUM(I26:I36)</f>
        <v>2734500000</v>
      </c>
    </row>
    <row r="38" spans="1:21" x14ac:dyDescent="0.25">
      <c r="A38" s="33" t="s">
        <v>5</v>
      </c>
      <c r="B38" s="16" t="s">
        <v>40</v>
      </c>
      <c r="C38">
        <v>1</v>
      </c>
      <c r="D38">
        <v>1</v>
      </c>
    </row>
    <row r="39" spans="1:21" ht="15.75" thickBot="1" x14ac:dyDescent="0.3">
      <c r="A39" s="34" t="s">
        <v>6</v>
      </c>
      <c r="B39" s="17" t="s">
        <v>37</v>
      </c>
      <c r="C39">
        <v>1</v>
      </c>
      <c r="D39">
        <v>0</v>
      </c>
    </row>
    <row r="40" spans="1:21" ht="15.75" thickTop="1" x14ac:dyDescent="0.25"/>
    <row r="42" spans="1:21" x14ac:dyDescent="0.25">
      <c r="H42" t="s">
        <v>88</v>
      </c>
    </row>
    <row r="43" spans="1:21" x14ac:dyDescent="0.25">
      <c r="H43" s="57" t="s">
        <v>87</v>
      </c>
      <c r="I43" s="78">
        <f>IF(AA22=1, C20*10000,0)</f>
        <v>0</v>
      </c>
    </row>
    <row r="44" spans="1:21" x14ac:dyDescent="0.25">
      <c r="H44" s="57" t="s">
        <v>89</v>
      </c>
      <c r="I44" s="78">
        <f>IF(AA23=1, D20*10000,0)</f>
        <v>140000000</v>
      </c>
    </row>
    <row r="45" spans="1:21" x14ac:dyDescent="0.25">
      <c r="H45" s="57" t="s">
        <v>90</v>
      </c>
      <c r="I45" s="78">
        <f>IF(AA24=1, E20*10000,0)</f>
        <v>79000000</v>
      </c>
    </row>
    <row r="46" spans="1:21" x14ac:dyDescent="0.25">
      <c r="H46" s="57" t="s">
        <v>91</v>
      </c>
      <c r="I46" s="78">
        <f>IF(AA25=1, F20*10000,0)</f>
        <v>120000000</v>
      </c>
    </row>
    <row r="47" spans="1:21" x14ac:dyDescent="0.25">
      <c r="H47" s="57" t="s">
        <v>92</v>
      </c>
      <c r="I47" s="78">
        <f>IF(AA26=1, B21*10000,0)</f>
        <v>54000000</v>
      </c>
    </row>
    <row r="48" spans="1:21" x14ac:dyDescent="0.25">
      <c r="H48" s="57" t="s">
        <v>93</v>
      </c>
      <c r="I48" s="78">
        <f>IF(AA27=1, D21*10000,0)</f>
        <v>125000000</v>
      </c>
    </row>
    <row r="49" spans="8:9" x14ac:dyDescent="0.25">
      <c r="H49" s="57" t="s">
        <v>94</v>
      </c>
      <c r="I49" s="78">
        <f>IF(AA28=1, F21*10000,0)</f>
        <v>82000000</v>
      </c>
    </row>
    <row r="50" spans="8:9" x14ac:dyDescent="0.25">
      <c r="H50" s="57" t="s">
        <v>95</v>
      </c>
      <c r="I50" s="78">
        <f>IF(AA29=1, E22*10000,0)</f>
        <v>112000000</v>
      </c>
    </row>
    <row r="51" spans="8:9" x14ac:dyDescent="0.25">
      <c r="H51" s="57" t="s">
        <v>96</v>
      </c>
      <c r="I51" s="78">
        <f>IF(AA30=1, F22*10000,0)</f>
        <v>46000000</v>
      </c>
    </row>
    <row r="52" spans="8:9" x14ac:dyDescent="0.25">
      <c r="H52" s="57" t="s">
        <v>97</v>
      </c>
      <c r="I52" s="78">
        <f>IF(AA31=1, F23*10000,0)</f>
        <v>66000000</v>
      </c>
    </row>
    <row r="54" spans="8:9" x14ac:dyDescent="0.25">
      <c r="H54" s="57" t="s">
        <v>98</v>
      </c>
    </row>
    <row r="55" spans="8:9" x14ac:dyDescent="0.25">
      <c r="H55" s="57" t="s">
        <v>87</v>
      </c>
      <c r="I55">
        <f>(M2+M6)*C20*5000 + (O2+O6)*C20*2000</f>
        <v>0</v>
      </c>
    </row>
    <row r="56" spans="8:9" x14ac:dyDescent="0.25">
      <c r="H56" s="57" t="s">
        <v>89</v>
      </c>
      <c r="I56">
        <f>(M3+M10)*D20*5000 + (O3+O10)*D20*2000</f>
        <v>196000000</v>
      </c>
    </row>
    <row r="57" spans="8:9" x14ac:dyDescent="0.25">
      <c r="H57" s="57" t="s">
        <v>90</v>
      </c>
      <c r="I57">
        <f>(M4+M14)*E20*5000 + (O4+O14)*E20*2000</f>
        <v>55300000</v>
      </c>
    </row>
    <row r="58" spans="8:9" x14ac:dyDescent="0.25">
      <c r="H58" s="57" t="s">
        <v>91</v>
      </c>
      <c r="I58">
        <f>(M5+M18)*F20*5000 + (O5+O18)*F20*2000</f>
        <v>96000000</v>
      </c>
    </row>
    <row r="59" spans="8:9" x14ac:dyDescent="0.25">
      <c r="H59" s="57" t="s">
        <v>92</v>
      </c>
      <c r="I59">
        <f>(M7+M11)*B21*5000 + (O7+O11)*B21*2000</f>
        <v>64800000</v>
      </c>
    </row>
    <row r="60" spans="8:9" x14ac:dyDescent="0.25">
      <c r="H60" s="57" t="s">
        <v>93</v>
      </c>
      <c r="I60">
        <f>(M8+M15)*D21*5000 + (O8+O15)*D21*2000</f>
        <v>25000000</v>
      </c>
    </row>
    <row r="61" spans="8:9" x14ac:dyDescent="0.25">
      <c r="H61" s="57" t="s">
        <v>94</v>
      </c>
      <c r="I61">
        <f>(M9+M19)*F21*5000 + (O9+O19)*F21*2000</f>
        <v>16400000</v>
      </c>
    </row>
    <row r="62" spans="8:9" x14ac:dyDescent="0.25">
      <c r="H62" s="57" t="s">
        <v>95</v>
      </c>
      <c r="I62">
        <f>(M12+M16)*E22*5000 + (O12+O16)*E22*2000</f>
        <v>134400000</v>
      </c>
    </row>
    <row r="63" spans="8:9" x14ac:dyDescent="0.25">
      <c r="H63" s="57" t="s">
        <v>96</v>
      </c>
      <c r="I63">
        <f>(M13+M20)*F22*5000 + (O13+O20)*F22*2000</f>
        <v>18400000</v>
      </c>
    </row>
    <row r="64" spans="8:9" x14ac:dyDescent="0.25">
      <c r="H64" s="57" t="s">
        <v>97</v>
      </c>
      <c r="I64">
        <f>(M17+M21)*F23*5000 + (O17+O21)*F23*2000</f>
        <v>13200000</v>
      </c>
    </row>
  </sheetData>
  <mergeCells count="3">
    <mergeCell ref="A18:A19"/>
    <mergeCell ref="B18:F18"/>
    <mergeCell ref="H25:L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A4D1-28BF-4BFA-BF7E-C5DDB25D9CE5}">
  <dimension ref="A1:AJ51"/>
  <sheetViews>
    <sheetView topLeftCell="F1" zoomScale="64" zoomScaleNormal="55" workbookViewId="0">
      <selection activeCell="M26" sqref="M26"/>
    </sheetView>
  </sheetViews>
  <sheetFormatPr defaultRowHeight="15" x14ac:dyDescent="0.25"/>
  <cols>
    <col min="1" max="1" width="38.7109375" customWidth="1"/>
    <col min="2" max="2" width="11.140625" bestFit="1" customWidth="1"/>
    <col min="3" max="3" width="16.5703125" customWidth="1"/>
    <col min="4" max="4" width="29.7109375" customWidth="1"/>
    <col min="8" max="8" width="21" customWidth="1"/>
    <col min="9" max="9" width="19.140625" bestFit="1" customWidth="1"/>
    <col min="10" max="10" width="19.7109375" customWidth="1"/>
    <col min="11" max="11" width="21.140625" bestFit="1" customWidth="1"/>
    <col min="12" max="12" width="19.28515625" bestFit="1" customWidth="1"/>
    <col min="13" max="13" width="16.85546875" bestFit="1" customWidth="1"/>
    <col min="14" max="14" width="20.140625" bestFit="1" customWidth="1"/>
    <col min="15" max="15" width="16" bestFit="1" customWidth="1"/>
    <col min="16" max="16" width="13.42578125" bestFit="1" customWidth="1"/>
    <col min="17" max="17" width="9.85546875" customWidth="1"/>
    <col min="18" max="18" width="10.42578125" customWidth="1"/>
    <col min="19" max="19" width="14.7109375" bestFit="1" customWidth="1"/>
    <col min="20" max="21" width="10.140625" customWidth="1"/>
    <col min="22" max="22" width="14.7109375" customWidth="1"/>
    <col min="23" max="23" width="21.5703125" bestFit="1" customWidth="1"/>
    <col min="24" max="24" width="12.85546875" customWidth="1"/>
    <col min="25" max="25" width="7.7109375" customWidth="1"/>
    <col min="26" max="26" width="8.85546875" customWidth="1"/>
    <col min="27" max="27" width="4" customWidth="1"/>
    <col min="28" max="28" width="34.42578125" bestFit="1" customWidth="1"/>
    <col min="29" max="29" width="18.42578125" bestFit="1" customWidth="1"/>
    <col min="30" max="30" width="10.7109375" bestFit="1" customWidth="1"/>
    <col min="31" max="31" width="6.5703125" bestFit="1" customWidth="1"/>
    <col min="32" max="32" width="8.5703125" bestFit="1" customWidth="1"/>
    <col min="33" max="33" width="10.5703125" bestFit="1" customWidth="1"/>
    <col min="34" max="35" width="4" customWidth="1"/>
  </cols>
  <sheetData>
    <row r="1" spans="1:35" s="53" customFormat="1" ht="31.5" thickTop="1" thickBot="1" x14ac:dyDescent="0.3">
      <c r="A1" s="51" t="s">
        <v>34</v>
      </c>
      <c r="B1" s="52" t="s">
        <v>35</v>
      </c>
      <c r="D1" s="31"/>
      <c r="H1" s="67" t="s">
        <v>0</v>
      </c>
      <c r="I1" s="68" t="s">
        <v>1</v>
      </c>
      <c r="J1" s="68" t="s">
        <v>52</v>
      </c>
      <c r="K1" s="68" t="s">
        <v>53</v>
      </c>
      <c r="L1" s="68" t="s">
        <v>54</v>
      </c>
      <c r="M1" s="68" t="s">
        <v>15</v>
      </c>
      <c r="N1" s="68" t="s">
        <v>16</v>
      </c>
      <c r="O1" s="68" t="s">
        <v>55</v>
      </c>
      <c r="P1" s="68" t="s">
        <v>56</v>
      </c>
      <c r="Q1" s="68" t="s">
        <v>65</v>
      </c>
      <c r="R1" s="68" t="s">
        <v>66</v>
      </c>
      <c r="S1" s="68" t="s">
        <v>42</v>
      </c>
      <c r="T1" s="68" t="s">
        <v>111</v>
      </c>
      <c r="U1" s="68" t="s">
        <v>112</v>
      </c>
      <c r="V1" s="68" t="s">
        <v>113</v>
      </c>
      <c r="W1" s="68" t="s">
        <v>57</v>
      </c>
      <c r="X1" s="69" t="s">
        <v>41</v>
      </c>
      <c r="Y1" s="31" t="s">
        <v>75</v>
      </c>
      <c r="Z1" s="31" t="s">
        <v>76</v>
      </c>
      <c r="AA1" s="31"/>
      <c r="AB1" s="31" t="s">
        <v>0</v>
      </c>
      <c r="AC1" s="31" t="s">
        <v>1</v>
      </c>
      <c r="AD1" s="31"/>
      <c r="AE1" s="31"/>
      <c r="AF1" s="31"/>
      <c r="AG1" s="31"/>
      <c r="AH1" s="31"/>
      <c r="AI1" s="31"/>
    </row>
    <row r="2" spans="1:35" ht="15.75" thickBot="1" x14ac:dyDescent="0.3">
      <c r="A2" s="33" t="s">
        <v>2</v>
      </c>
      <c r="B2" s="16" t="s">
        <v>36</v>
      </c>
      <c r="D2" s="57"/>
      <c r="H2" s="91" t="s">
        <v>36</v>
      </c>
      <c r="I2" s="92" t="s">
        <v>39</v>
      </c>
      <c r="J2" s="62">
        <v>0</v>
      </c>
      <c r="K2" s="62">
        <v>0</v>
      </c>
      <c r="L2" s="62">
        <v>0</v>
      </c>
      <c r="M2" s="62">
        <v>3</v>
      </c>
      <c r="N2" s="62">
        <v>0</v>
      </c>
      <c r="O2" s="62">
        <v>1</v>
      </c>
      <c r="P2" s="62">
        <v>0</v>
      </c>
      <c r="Q2" s="71">
        <v>2500</v>
      </c>
      <c r="R2" s="71">
        <f t="array" ref="R2">SUMPRODUCT(J2:P2,TRANSPOSE($AC$10:$AC$16))*1000000/20000</f>
        <v>2551.6799999999998</v>
      </c>
      <c r="S2" s="61">
        <f>Q2/(R2-Q2)</f>
        <v>48.37461300309613</v>
      </c>
      <c r="T2" s="62">
        <f>D20*1000/(3*10^8)</f>
        <v>4.6666666666666669E-2</v>
      </c>
      <c r="U2" s="62">
        <v>0.54</v>
      </c>
      <c r="V2" s="62">
        <f t="array" ref="V2">SUMPRODUCT(M2:P2, TRANSPOSE($AC$13:$AC$16))*(1000000/20000)/R2</f>
        <v>1</v>
      </c>
      <c r="W2" s="62">
        <f>1/(R2-Q2)+V2*T2+(1-V2)*U2</f>
        <v>6.6016511867905123E-2</v>
      </c>
      <c r="X2" s="63">
        <f t="shared" ref="X2:X12" si="0">Q2/R2</f>
        <v>0.97974667669927273</v>
      </c>
      <c r="Y2" s="57">
        <f t="shared" ref="Y2:Y12" si="1">IF(Q2=R2,1,0)</f>
        <v>0</v>
      </c>
      <c r="Z2" s="57">
        <f>Q2/($Q$12+$J$51)</f>
        <v>0.25773195876288657</v>
      </c>
      <c r="AA2" s="57"/>
      <c r="AB2" s="57"/>
      <c r="AC2" s="57" t="s">
        <v>2</v>
      </c>
      <c r="AD2" s="57" t="s">
        <v>3</v>
      </c>
      <c r="AE2" s="57" t="s">
        <v>4</v>
      </c>
      <c r="AF2" s="57" t="s">
        <v>5</v>
      </c>
      <c r="AG2" s="57" t="s">
        <v>6</v>
      </c>
      <c r="AH2" s="57"/>
      <c r="AI2" s="57"/>
    </row>
    <row r="3" spans="1:35" ht="15.75" thickTop="1" x14ac:dyDescent="0.25">
      <c r="A3" s="33" t="s">
        <v>3</v>
      </c>
      <c r="B3" s="16" t="s">
        <v>38</v>
      </c>
      <c r="D3" s="57"/>
      <c r="H3" s="91" t="s">
        <v>36</v>
      </c>
      <c r="I3" s="92" t="s">
        <v>40</v>
      </c>
      <c r="J3" s="62">
        <v>2</v>
      </c>
      <c r="K3" s="62">
        <v>0</v>
      </c>
      <c r="L3" s="62">
        <v>0</v>
      </c>
      <c r="M3" s="62">
        <v>0</v>
      </c>
      <c r="N3" s="62">
        <v>0</v>
      </c>
      <c r="O3" s="62">
        <v>0</v>
      </c>
      <c r="P3" s="62">
        <v>0</v>
      </c>
      <c r="Q3" s="71">
        <v>1000</v>
      </c>
      <c r="R3" s="71">
        <f t="array" ref="R3">SUMPRODUCT(J3:P3,TRANSPOSE($AC$10:$AC$16))*1000000/20000</f>
        <v>2000</v>
      </c>
      <c r="S3" s="61">
        <f t="shared" ref="S3:S12" si="2">Q3/(R3-Q3)</f>
        <v>1</v>
      </c>
      <c r="T3" s="62">
        <f>E20*1000/(3*10^8)</f>
        <v>2.6333333333333334E-2</v>
      </c>
      <c r="U3" s="62">
        <v>0.54</v>
      </c>
      <c r="V3" s="62">
        <f t="array" ref="V3">SUMPRODUCT(M3:P3, TRANSPOSE($AC$13:$AC$16))*(1000000/20000)/R3</f>
        <v>0</v>
      </c>
      <c r="W3" s="62">
        <f t="shared" ref="W3:W11" si="3">1/(R3-Q3)+V3*T3+(1-V3)*U3</f>
        <v>0.54100000000000004</v>
      </c>
      <c r="X3" s="63">
        <f t="shared" si="0"/>
        <v>0.5</v>
      </c>
      <c r="Y3" s="57">
        <f t="shared" si="1"/>
        <v>0</v>
      </c>
      <c r="Z3" s="57">
        <f t="shared" ref="Z3:Z11" si="4">Q3/($Q$12+$J$51)</f>
        <v>0.10309278350515463</v>
      </c>
      <c r="AA3" s="57"/>
      <c r="AB3" s="57" t="s">
        <v>2</v>
      </c>
      <c r="AC3" s="7">
        <v>0</v>
      </c>
      <c r="AD3" s="8">
        <v>200</v>
      </c>
      <c r="AE3" s="8">
        <v>2500</v>
      </c>
      <c r="AF3" s="8">
        <v>1000</v>
      </c>
      <c r="AG3" s="9">
        <v>250</v>
      </c>
      <c r="AH3" s="57"/>
      <c r="AI3" s="57"/>
    </row>
    <row r="4" spans="1:35" x14ac:dyDescent="0.25">
      <c r="A4" s="33" t="s">
        <v>4</v>
      </c>
      <c r="B4" s="16" t="s">
        <v>39</v>
      </c>
      <c r="D4" s="57"/>
      <c r="H4" s="91" t="s">
        <v>36</v>
      </c>
      <c r="I4" s="92" t="s">
        <v>37</v>
      </c>
      <c r="J4" s="62">
        <v>0</v>
      </c>
      <c r="K4" s="62">
        <v>0</v>
      </c>
      <c r="L4" s="62">
        <v>0</v>
      </c>
      <c r="M4" s="62">
        <v>0</v>
      </c>
      <c r="N4" s="62">
        <v>0</v>
      </c>
      <c r="O4" s="62">
        <v>0</v>
      </c>
      <c r="P4" s="62">
        <v>2</v>
      </c>
      <c r="Q4" s="71">
        <v>250</v>
      </c>
      <c r="R4" s="71">
        <f t="array" ref="R4">SUMPRODUCT(J4:P4,TRANSPOSE($AC$10:$AC$16))*1000000/20000</f>
        <v>447.36</v>
      </c>
      <c r="S4" s="61">
        <f t="shared" si="2"/>
        <v>1.2667207134171057</v>
      </c>
      <c r="T4" s="62">
        <f>F20*1000/(3*10^8)</f>
        <v>0.04</v>
      </c>
      <c r="U4" s="62">
        <v>0.54</v>
      </c>
      <c r="V4" s="62">
        <f t="array" ref="V4">SUMPRODUCT(M4:P4, TRANSPOSE($AC$13:$AC$16))*(1000000/20000)/R4</f>
        <v>1</v>
      </c>
      <c r="W4" s="62">
        <f t="shared" si="3"/>
        <v>4.5066882853668423E-2</v>
      </c>
      <c r="X4" s="63">
        <f t="shared" si="0"/>
        <v>0.55883404864091557</v>
      </c>
      <c r="Y4" s="57">
        <f t="shared" si="1"/>
        <v>0</v>
      </c>
      <c r="Z4" s="57">
        <f t="shared" si="4"/>
        <v>2.5773195876288658E-2</v>
      </c>
      <c r="AA4" s="57"/>
      <c r="AB4" s="57" t="s">
        <v>3</v>
      </c>
      <c r="AC4" s="6">
        <v>250</v>
      </c>
      <c r="AD4" s="1">
        <v>0</v>
      </c>
      <c r="AE4" s="1">
        <v>500</v>
      </c>
      <c r="AF4" s="1">
        <v>250</v>
      </c>
      <c r="AG4" s="1">
        <v>50</v>
      </c>
      <c r="AH4" s="57"/>
      <c r="AI4" s="57"/>
    </row>
    <row r="5" spans="1:35" x14ac:dyDescent="0.25">
      <c r="A5" s="33" t="s">
        <v>5</v>
      </c>
      <c r="B5" s="16" t="s">
        <v>40</v>
      </c>
      <c r="D5" s="57"/>
      <c r="H5" s="91" t="s">
        <v>38</v>
      </c>
      <c r="I5" s="92" t="s">
        <v>36</v>
      </c>
      <c r="J5" s="62">
        <v>0</v>
      </c>
      <c r="K5" s="62">
        <v>0</v>
      </c>
      <c r="L5" s="62">
        <v>0</v>
      </c>
      <c r="M5" s="62">
        <v>0</v>
      </c>
      <c r="N5" s="62">
        <v>0</v>
      </c>
      <c r="O5" s="62">
        <v>2</v>
      </c>
      <c r="P5" s="62">
        <v>0</v>
      </c>
      <c r="Q5" s="71">
        <v>250</v>
      </c>
      <c r="R5" s="71">
        <f t="array" ref="R5">SUMPRODUCT(J5:P5,TRANSPOSE($AC$10:$AC$16))*1000000/20000</f>
        <v>447.36</v>
      </c>
      <c r="S5" s="61">
        <f t="shared" si="2"/>
        <v>1.2667207134171057</v>
      </c>
      <c r="T5" s="62">
        <f>B21*1000/(3*10^8)</f>
        <v>1.7999999999999999E-2</v>
      </c>
      <c r="U5" s="62">
        <v>0.54</v>
      </c>
      <c r="V5" s="62">
        <f t="array" ref="V5">SUMPRODUCT(M5:P5, TRANSPOSE($AC$13:$AC$16))*(1000000/20000)/R5</f>
        <v>1</v>
      </c>
      <c r="W5" s="62">
        <f t="shared" si="3"/>
        <v>2.3066882853668421E-2</v>
      </c>
      <c r="X5" s="63">
        <f t="shared" si="0"/>
        <v>0.55883404864091557</v>
      </c>
      <c r="Y5" s="57">
        <f t="shared" si="1"/>
        <v>0</v>
      </c>
      <c r="Z5" s="57">
        <f t="shared" si="4"/>
        <v>2.5773195876288658E-2</v>
      </c>
      <c r="AA5" s="57"/>
      <c r="AB5" s="57" t="s">
        <v>4</v>
      </c>
      <c r="AC5" s="1">
        <v>250</v>
      </c>
      <c r="AD5" s="1">
        <v>500</v>
      </c>
      <c r="AE5" s="1">
        <v>0</v>
      </c>
      <c r="AF5" s="1">
        <v>500</v>
      </c>
      <c r="AG5" s="1">
        <v>250</v>
      </c>
      <c r="AH5" s="57"/>
      <c r="AI5" s="57"/>
    </row>
    <row r="6" spans="1:35" ht="15.75" thickBot="1" x14ac:dyDescent="0.3">
      <c r="A6" s="34" t="s">
        <v>6</v>
      </c>
      <c r="B6" s="17" t="s">
        <v>37</v>
      </c>
      <c r="D6" s="57"/>
      <c r="H6" s="91" t="s">
        <v>38</v>
      </c>
      <c r="I6" s="92" t="s">
        <v>39</v>
      </c>
      <c r="J6" s="62">
        <v>0</v>
      </c>
      <c r="K6" s="62">
        <v>0</v>
      </c>
      <c r="L6" s="62">
        <v>0</v>
      </c>
      <c r="M6" s="62">
        <v>2</v>
      </c>
      <c r="N6" s="62">
        <v>0</v>
      </c>
      <c r="O6" s="62">
        <v>0</v>
      </c>
      <c r="P6" s="62">
        <v>0</v>
      </c>
      <c r="Q6" s="71">
        <v>500</v>
      </c>
      <c r="R6" s="71">
        <f t="array" ref="R6">SUMPRODUCT(J6:P6,TRANSPOSE($AC$10:$AC$16))*1000000/20000</f>
        <v>1552</v>
      </c>
      <c r="S6" s="61">
        <f t="shared" si="2"/>
        <v>0.47528517110266161</v>
      </c>
      <c r="T6" s="62">
        <f>D21*1000/(3*10^8)</f>
        <v>4.1666666666666664E-2</v>
      </c>
      <c r="U6" s="62">
        <v>0.54</v>
      </c>
      <c r="V6" s="62">
        <f t="array" ref="V6">SUMPRODUCT(M6:P6, TRANSPOSE($AC$13:$AC$16))*(1000000/20000)/R6</f>
        <v>1</v>
      </c>
      <c r="W6" s="62">
        <f t="shared" si="3"/>
        <v>4.2617237008871989E-2</v>
      </c>
      <c r="X6" s="63">
        <f t="shared" si="0"/>
        <v>0.32216494845360827</v>
      </c>
      <c r="Y6" s="57">
        <f t="shared" si="1"/>
        <v>0</v>
      </c>
      <c r="Z6" s="57">
        <f t="shared" si="4"/>
        <v>5.1546391752577317E-2</v>
      </c>
      <c r="AA6" s="57"/>
      <c r="AB6" s="57" t="s">
        <v>5</v>
      </c>
      <c r="AC6" s="1">
        <v>250</v>
      </c>
      <c r="AD6" s="1">
        <v>500</v>
      </c>
      <c r="AE6" s="1">
        <v>500</v>
      </c>
      <c r="AF6" s="1">
        <v>0</v>
      </c>
      <c r="AG6" s="1">
        <v>250</v>
      </c>
      <c r="AH6" s="57"/>
      <c r="AI6" s="57"/>
    </row>
    <row r="7" spans="1:35" ht="16.5" thickTop="1" thickBot="1" x14ac:dyDescent="0.3">
      <c r="D7" s="57"/>
      <c r="H7" s="91" t="s">
        <v>39</v>
      </c>
      <c r="I7" s="92" t="s">
        <v>40</v>
      </c>
      <c r="J7" s="62">
        <v>0</v>
      </c>
      <c r="K7" s="62">
        <v>0</v>
      </c>
      <c r="L7" s="62">
        <v>0</v>
      </c>
      <c r="M7" s="62">
        <v>2</v>
      </c>
      <c r="N7" s="62">
        <v>0</v>
      </c>
      <c r="O7" s="62">
        <v>0</v>
      </c>
      <c r="P7" s="62">
        <v>0</v>
      </c>
      <c r="Q7" s="71">
        <v>500</v>
      </c>
      <c r="R7" s="71">
        <f t="array" ref="R7">SUMPRODUCT(J7:P7,TRANSPOSE($AC$10:$AC$16))*1000000/20000</f>
        <v>1552</v>
      </c>
      <c r="S7" s="61">
        <f t="shared" si="2"/>
        <v>0.47528517110266161</v>
      </c>
      <c r="T7" s="62">
        <f>E22*1000/(3*10^8)</f>
        <v>3.7333333333333336E-2</v>
      </c>
      <c r="U7" s="62">
        <v>0.54</v>
      </c>
      <c r="V7" s="62">
        <f t="array" ref="V7">SUMPRODUCT(M7:P7, TRANSPOSE($AC$13:$AC$16))*(1000000/20000)/R7</f>
        <v>1</v>
      </c>
      <c r="W7" s="62">
        <f t="shared" si="3"/>
        <v>3.8283903675538661E-2</v>
      </c>
      <c r="X7" s="63">
        <f t="shared" si="0"/>
        <v>0.32216494845360827</v>
      </c>
      <c r="Y7" s="57">
        <f t="shared" si="1"/>
        <v>0</v>
      </c>
      <c r="Z7" s="57">
        <f t="shared" si="4"/>
        <v>5.1546391752577317E-2</v>
      </c>
      <c r="AA7" s="57"/>
      <c r="AB7" s="57" t="s">
        <v>6</v>
      </c>
      <c r="AC7" s="11">
        <v>250</v>
      </c>
      <c r="AD7" s="1">
        <v>200</v>
      </c>
      <c r="AE7" s="1">
        <v>250</v>
      </c>
      <c r="AF7" s="4">
        <v>1000</v>
      </c>
      <c r="AG7" s="4">
        <v>0</v>
      </c>
      <c r="AH7" s="57"/>
      <c r="AI7" s="57"/>
    </row>
    <row r="8" spans="1:35" ht="15.75" thickTop="1" x14ac:dyDescent="0.25">
      <c r="A8" t="s">
        <v>11</v>
      </c>
      <c r="B8" t="s">
        <v>22</v>
      </c>
      <c r="C8" t="s">
        <v>19</v>
      </c>
      <c r="D8" s="57" t="s">
        <v>20</v>
      </c>
      <c r="H8" s="91" t="s">
        <v>39</v>
      </c>
      <c r="I8" s="92" t="s">
        <v>37</v>
      </c>
      <c r="J8" s="62">
        <v>0</v>
      </c>
      <c r="K8" s="62">
        <v>0</v>
      </c>
      <c r="L8" s="62">
        <v>0</v>
      </c>
      <c r="M8" s="62">
        <v>1</v>
      </c>
      <c r="N8" s="62">
        <v>0</v>
      </c>
      <c r="O8" s="62">
        <v>0</v>
      </c>
      <c r="P8" s="62">
        <v>0</v>
      </c>
      <c r="Q8" s="71">
        <v>250</v>
      </c>
      <c r="R8" s="71">
        <f t="array" ref="R8">SUMPRODUCT(J8:P8,TRANSPOSE($AC$10:$AC$16))*1000000/20000</f>
        <v>776</v>
      </c>
      <c r="S8" s="61">
        <f t="shared" si="2"/>
        <v>0.47528517110266161</v>
      </c>
      <c r="T8" s="62">
        <f>F22*1000/(3*10^8)</f>
        <v>1.5333333333333332E-2</v>
      </c>
      <c r="U8" s="62">
        <v>0.54</v>
      </c>
      <c r="V8" s="62">
        <f t="array" ref="V8">SUMPRODUCT(M8:P8, TRANSPOSE($AC$13:$AC$16))*(1000000/20000)/R8</f>
        <v>1</v>
      </c>
      <c r="W8" s="62">
        <f t="shared" si="3"/>
        <v>1.723447401774398E-2</v>
      </c>
      <c r="X8" s="63">
        <f t="shared" si="0"/>
        <v>0.32216494845360827</v>
      </c>
      <c r="Y8" s="57">
        <f t="shared" si="1"/>
        <v>0</v>
      </c>
      <c r="Z8" s="57">
        <f t="shared" si="4"/>
        <v>2.5773195876288658E-2</v>
      </c>
      <c r="AA8" s="57"/>
      <c r="AB8" s="57"/>
      <c r="AC8" s="57"/>
      <c r="AD8" s="57"/>
      <c r="AE8" s="57"/>
      <c r="AF8" s="57"/>
      <c r="AG8" s="57"/>
      <c r="AH8" s="57"/>
      <c r="AI8" s="57"/>
    </row>
    <row r="9" spans="1:35" x14ac:dyDescent="0.25">
      <c r="A9" t="s">
        <v>12</v>
      </c>
      <c r="B9">
        <v>20</v>
      </c>
      <c r="C9" t="s">
        <v>25</v>
      </c>
      <c r="D9" s="57" t="s">
        <v>30</v>
      </c>
      <c r="H9" s="91" t="s">
        <v>40</v>
      </c>
      <c r="I9" s="92" t="s">
        <v>38</v>
      </c>
      <c r="J9" s="62">
        <v>0</v>
      </c>
      <c r="K9" s="62">
        <v>0</v>
      </c>
      <c r="L9" s="62">
        <v>0</v>
      </c>
      <c r="M9" s="62">
        <v>1</v>
      </c>
      <c r="N9" s="62">
        <v>0</v>
      </c>
      <c r="O9" s="62">
        <v>0</v>
      </c>
      <c r="P9" s="62">
        <v>0</v>
      </c>
      <c r="Q9" s="71">
        <v>500</v>
      </c>
      <c r="R9" s="71">
        <f t="array" ref="R9">SUMPRODUCT(J9:P9,TRANSPOSE($AC$10:$AC$16))*1000000/20000</f>
        <v>776</v>
      </c>
      <c r="S9" s="61">
        <f t="shared" si="2"/>
        <v>1.8115942028985508</v>
      </c>
      <c r="T9" s="62">
        <f>C23*1000/(3*10^8)</f>
        <v>8.3333333333333332E-3</v>
      </c>
      <c r="U9" s="62">
        <v>0.54</v>
      </c>
      <c r="V9" s="62">
        <f t="array" ref="V9">SUMPRODUCT(M9:P9, TRANSPOSE($AC$13:$AC$16))*(1000000/20000)/R9</f>
        <v>1</v>
      </c>
      <c r="W9" s="62">
        <f t="shared" si="3"/>
        <v>1.1956521739130435E-2</v>
      </c>
      <c r="X9" s="63">
        <f t="shared" si="0"/>
        <v>0.64432989690721654</v>
      </c>
      <c r="Y9" s="57">
        <f t="shared" si="1"/>
        <v>0</v>
      </c>
      <c r="Z9" s="57">
        <f t="shared" si="4"/>
        <v>5.1546391752577317E-2</v>
      </c>
      <c r="AA9" s="57"/>
      <c r="AB9" s="57" t="s">
        <v>11</v>
      </c>
      <c r="AC9" s="57" t="s">
        <v>22</v>
      </c>
      <c r="AD9" s="57"/>
      <c r="AE9" s="57"/>
      <c r="AF9" s="57"/>
      <c r="AG9" s="57"/>
      <c r="AH9" s="57"/>
      <c r="AI9" s="57"/>
    </row>
    <row r="10" spans="1:35" x14ac:dyDescent="0.25">
      <c r="A10" t="s">
        <v>13</v>
      </c>
      <c r="B10">
        <v>20</v>
      </c>
      <c r="C10" t="s">
        <v>26</v>
      </c>
      <c r="D10" s="57" t="s">
        <v>30</v>
      </c>
      <c r="H10" s="91" t="s">
        <v>37</v>
      </c>
      <c r="I10" s="92" t="s">
        <v>38</v>
      </c>
      <c r="J10" s="62">
        <v>0</v>
      </c>
      <c r="K10" s="62">
        <v>0</v>
      </c>
      <c r="L10" s="62">
        <v>1</v>
      </c>
      <c r="M10" s="62">
        <v>0</v>
      </c>
      <c r="N10" s="62">
        <v>0</v>
      </c>
      <c r="O10" s="62">
        <v>0</v>
      </c>
      <c r="P10" s="62">
        <v>0</v>
      </c>
      <c r="Q10" s="71">
        <v>200</v>
      </c>
      <c r="R10" s="71">
        <f t="array" ref="R10">SUMPRODUCT(J10:P10,TRANSPOSE($AC$10:$AC$16))*1000000/20000</f>
        <v>250</v>
      </c>
      <c r="S10" s="61">
        <f t="shared" si="2"/>
        <v>4</v>
      </c>
      <c r="T10" s="62">
        <f>C24*1000/(3*10^8)</f>
        <v>2.7333333333333334E-2</v>
      </c>
      <c r="U10" s="62">
        <v>0.54</v>
      </c>
      <c r="V10" s="62">
        <f t="array" ref="V10">SUMPRODUCT(M10:P10, TRANSPOSE($AC$13:$AC$16))*(1000000/20000)/R10</f>
        <v>0</v>
      </c>
      <c r="W10" s="62">
        <f t="shared" si="3"/>
        <v>0.56000000000000005</v>
      </c>
      <c r="X10" s="63">
        <f t="shared" si="0"/>
        <v>0.8</v>
      </c>
      <c r="Y10" s="57">
        <f t="shared" si="1"/>
        <v>0</v>
      </c>
      <c r="Z10" s="57">
        <f t="shared" si="4"/>
        <v>2.0618556701030927E-2</v>
      </c>
      <c r="AA10" s="57"/>
      <c r="AB10" s="57" t="s">
        <v>12</v>
      </c>
      <c r="AC10" s="54">
        <v>20</v>
      </c>
      <c r="AD10" s="57"/>
      <c r="AE10" s="57"/>
      <c r="AF10" s="57"/>
      <c r="AG10" s="57"/>
      <c r="AH10" s="57"/>
      <c r="AI10" s="57"/>
    </row>
    <row r="11" spans="1:35" x14ac:dyDescent="0.25">
      <c r="A11" t="s">
        <v>14</v>
      </c>
      <c r="B11">
        <v>5</v>
      </c>
      <c r="C11" t="s">
        <v>27</v>
      </c>
      <c r="D11" s="57" t="s">
        <v>31</v>
      </c>
      <c r="H11" s="93" t="s">
        <v>37</v>
      </c>
      <c r="I11" s="94" t="s">
        <v>40</v>
      </c>
      <c r="J11" s="62">
        <v>0</v>
      </c>
      <c r="K11" s="62">
        <v>0</v>
      </c>
      <c r="L11" s="62">
        <v>0</v>
      </c>
      <c r="M11" s="62">
        <v>2</v>
      </c>
      <c r="N11" s="62">
        <v>0</v>
      </c>
      <c r="O11" s="62">
        <v>0</v>
      </c>
      <c r="P11" s="62">
        <v>0</v>
      </c>
      <c r="Q11" s="71">
        <v>1000</v>
      </c>
      <c r="R11" s="71">
        <f t="array" ref="R11">SUMPRODUCT(J11:P11,TRANSPOSE($AC$10:$AC$16))*1000000/20000</f>
        <v>1552</v>
      </c>
      <c r="S11" s="61">
        <f t="shared" si="2"/>
        <v>1.8115942028985508</v>
      </c>
      <c r="T11" s="62">
        <f>E24*1000/(3*10^8)</f>
        <v>2.1999999999999999E-2</v>
      </c>
      <c r="U11" s="62">
        <v>0.54</v>
      </c>
      <c r="V11" s="62">
        <f t="array" ref="V11">SUMPRODUCT(M11:P11, TRANSPOSE($AC$13:$AC$16))*(1000000/20000)/R11</f>
        <v>1</v>
      </c>
      <c r="W11" s="62">
        <f t="shared" si="3"/>
        <v>2.3811594202898551E-2</v>
      </c>
      <c r="X11" s="63">
        <f t="shared" si="0"/>
        <v>0.64432989690721654</v>
      </c>
      <c r="Y11" s="57">
        <f t="shared" si="1"/>
        <v>0</v>
      </c>
      <c r="Z11" s="57">
        <f t="shared" si="4"/>
        <v>0.10309278350515463</v>
      </c>
      <c r="AA11" s="57"/>
      <c r="AB11" s="57" t="s">
        <v>13</v>
      </c>
      <c r="AC11" s="54">
        <v>20</v>
      </c>
      <c r="AD11" s="57"/>
      <c r="AE11" s="57"/>
      <c r="AF11" s="57"/>
      <c r="AG11" s="57"/>
      <c r="AH11" s="57"/>
      <c r="AI11" s="57"/>
    </row>
    <row r="12" spans="1:35" x14ac:dyDescent="0.25">
      <c r="A12" t="s">
        <v>15</v>
      </c>
      <c r="B12">
        <v>15.52</v>
      </c>
      <c r="C12" t="s">
        <v>28</v>
      </c>
      <c r="D12" s="57" t="s">
        <v>32</v>
      </c>
      <c r="H12" s="64"/>
      <c r="I12" s="65"/>
      <c r="J12" s="65"/>
      <c r="K12" s="65"/>
      <c r="L12" s="65"/>
      <c r="M12" s="65"/>
      <c r="N12" s="65"/>
      <c r="O12" s="65"/>
      <c r="P12" s="65"/>
      <c r="Q12" s="72">
        <f>SUM(Q2:Q11)</f>
        <v>6950</v>
      </c>
      <c r="R12" s="72">
        <f>SUM(R2:R11)</f>
        <v>11904.4</v>
      </c>
      <c r="S12" s="64">
        <f t="shared" si="2"/>
        <v>1.4027934765057324</v>
      </c>
      <c r="T12" s="62"/>
      <c r="U12" s="65"/>
      <c r="V12" s="62"/>
      <c r="W12" s="65">
        <f>1/(R12-Q12)</f>
        <v>2.0184078798643631E-4</v>
      </c>
      <c r="X12" s="66">
        <f t="shared" si="0"/>
        <v>0.58381774805954101</v>
      </c>
      <c r="Y12" s="57">
        <f t="shared" si="1"/>
        <v>0</v>
      </c>
      <c r="Z12" s="57"/>
      <c r="AA12" s="57"/>
      <c r="AB12" s="57" t="s">
        <v>14</v>
      </c>
      <c r="AC12" s="54">
        <v>5</v>
      </c>
      <c r="AD12" s="57"/>
      <c r="AE12" s="57"/>
      <c r="AF12" s="57"/>
      <c r="AG12" s="57"/>
      <c r="AH12" s="57"/>
      <c r="AI12" s="57"/>
    </row>
    <row r="13" spans="1:35" x14ac:dyDescent="0.25">
      <c r="A13" t="s">
        <v>16</v>
      </c>
      <c r="B13">
        <v>15.52</v>
      </c>
      <c r="C13" t="s">
        <v>27</v>
      </c>
      <c r="D13" s="57" t="s">
        <v>33</v>
      </c>
      <c r="H13" s="57"/>
      <c r="I13" s="57" t="s">
        <v>78</v>
      </c>
      <c r="J13" s="57">
        <f t="shared" ref="J13:P13" si="5">SUM(J2:J11)</f>
        <v>2</v>
      </c>
      <c r="K13" s="57">
        <f t="shared" si="5"/>
        <v>0</v>
      </c>
      <c r="L13" s="57">
        <f t="shared" si="5"/>
        <v>1</v>
      </c>
      <c r="M13" s="57">
        <f t="shared" si="5"/>
        <v>11</v>
      </c>
      <c r="N13" s="57">
        <f t="shared" si="5"/>
        <v>0</v>
      </c>
      <c r="O13" s="57">
        <f t="shared" si="5"/>
        <v>3</v>
      </c>
      <c r="P13" s="57">
        <f t="shared" si="5"/>
        <v>2</v>
      </c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 t="s">
        <v>15</v>
      </c>
      <c r="AC13" s="54">
        <v>15.52</v>
      </c>
      <c r="AD13" s="57"/>
      <c r="AE13" s="57"/>
      <c r="AF13" s="57"/>
      <c r="AG13" s="57"/>
      <c r="AH13" s="57"/>
      <c r="AI13" s="57"/>
    </row>
    <row r="14" spans="1:35" x14ac:dyDescent="0.25">
      <c r="A14" t="s">
        <v>17</v>
      </c>
      <c r="B14">
        <v>4.4736000000000002</v>
      </c>
      <c r="C14" t="s">
        <v>29</v>
      </c>
      <c r="D14" s="57" t="s">
        <v>32</v>
      </c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 t="s">
        <v>16</v>
      </c>
      <c r="AC14" s="54">
        <v>15.52</v>
      </c>
      <c r="AD14" s="57"/>
      <c r="AE14" s="57"/>
      <c r="AF14" s="57"/>
      <c r="AG14" s="57"/>
      <c r="AH14" s="57"/>
      <c r="AI14" s="57"/>
    </row>
    <row r="15" spans="1:35" x14ac:dyDescent="0.25">
      <c r="A15" t="s">
        <v>18</v>
      </c>
      <c r="B15">
        <v>4.4736000000000002</v>
      </c>
      <c r="C15" t="s">
        <v>27</v>
      </c>
      <c r="D15" s="57" t="s">
        <v>31</v>
      </c>
      <c r="H15" s="106" t="s">
        <v>69</v>
      </c>
      <c r="I15" s="106"/>
      <c r="J15" s="106"/>
      <c r="K15" s="106"/>
      <c r="L15" s="106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 t="s">
        <v>79</v>
      </c>
      <c r="X15" s="57">
        <f>SUMPRODUCT(Z2:Z11,W2:W11)+SUMPRODUCT(P41:P50,R41:R50)</f>
        <v>0.31721022682936489</v>
      </c>
      <c r="Y15" s="57"/>
      <c r="Z15" s="57"/>
      <c r="AA15" s="57"/>
      <c r="AB15" s="57" t="s">
        <v>17</v>
      </c>
      <c r="AC15" s="54">
        <v>4.4736000000000002</v>
      </c>
      <c r="AD15" s="57"/>
      <c r="AE15" s="57"/>
      <c r="AF15" s="57"/>
      <c r="AG15" s="57"/>
      <c r="AH15" s="57"/>
      <c r="AI15" s="57"/>
    </row>
    <row r="16" spans="1:35" x14ac:dyDescent="0.25">
      <c r="D16" s="57"/>
      <c r="H16" s="57" t="s">
        <v>58</v>
      </c>
      <c r="I16" s="74">
        <f>SUM(J2:J11)*60000000*0+SUM(K2:K11)*40000000</f>
        <v>0</v>
      </c>
      <c r="J16" s="74" t="s">
        <v>77</v>
      </c>
      <c r="K16" s="74">
        <f>J13*8000+K13*8000+L13*500000+M13*5000+N13*700000+O13*5000+P13*500000</f>
        <v>1586000</v>
      </c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 t="s">
        <v>80</v>
      </c>
      <c r="X16" s="57">
        <f>X15*1000</f>
        <v>317.2102268293649</v>
      </c>
      <c r="Y16" s="57"/>
      <c r="Z16" s="57"/>
      <c r="AA16" s="57"/>
      <c r="AB16" s="57" t="s">
        <v>18</v>
      </c>
      <c r="AC16" s="54">
        <v>4.4736000000000002</v>
      </c>
      <c r="AD16" s="57"/>
      <c r="AE16" s="57"/>
      <c r="AF16" s="57"/>
      <c r="AG16" s="57"/>
      <c r="AH16" s="57"/>
      <c r="AI16" s="57"/>
    </row>
    <row r="17" spans="1:36" ht="15.75" thickBot="1" x14ac:dyDescent="0.3">
      <c r="D17" s="57"/>
      <c r="H17" s="57"/>
      <c r="I17" s="74"/>
      <c r="L17" s="57"/>
      <c r="AA17" s="57"/>
      <c r="AB17" s="57"/>
      <c r="AC17" s="57"/>
      <c r="AD17" s="57"/>
      <c r="AE17" s="57"/>
      <c r="AF17" s="57"/>
      <c r="AG17" s="57"/>
      <c r="AH17" s="57"/>
      <c r="AI17" s="57"/>
    </row>
    <row r="18" spans="1:36" ht="16.5" thickTop="1" thickBot="1" x14ac:dyDescent="0.3">
      <c r="A18" s="103" t="s">
        <v>0</v>
      </c>
      <c r="B18" s="98" t="s">
        <v>1</v>
      </c>
      <c r="C18" s="99"/>
      <c r="D18" s="99"/>
      <c r="E18" s="99"/>
      <c r="F18" s="100"/>
      <c r="G18" s="55"/>
      <c r="I18" s="74"/>
      <c r="J18" t="s">
        <v>67</v>
      </c>
      <c r="K18" s="75">
        <f>SUM(J2:P11)*20000</f>
        <v>380000</v>
      </c>
      <c r="AA18" s="57"/>
      <c r="AB18" s="57"/>
      <c r="AC18" s="57"/>
      <c r="AD18" s="57"/>
      <c r="AE18" s="57"/>
      <c r="AF18" s="57"/>
      <c r="AG18" s="57"/>
      <c r="AH18" s="57"/>
      <c r="AI18" s="57"/>
    </row>
    <row r="19" spans="1:36" ht="16.5" thickTop="1" thickBot="1" x14ac:dyDescent="0.3">
      <c r="A19" s="105"/>
      <c r="B19" s="18" t="s">
        <v>2</v>
      </c>
      <c r="C19" s="2" t="s">
        <v>3</v>
      </c>
      <c r="D19" s="2" t="s">
        <v>4</v>
      </c>
      <c r="E19" s="2" t="s">
        <v>5</v>
      </c>
      <c r="F19" s="19" t="s">
        <v>6</v>
      </c>
      <c r="G19" s="55"/>
      <c r="H19" s="57"/>
      <c r="I19" s="74"/>
      <c r="AA19" s="57"/>
      <c r="AB19" s="57"/>
      <c r="AC19" s="57"/>
      <c r="AD19" s="57"/>
      <c r="AE19" s="57"/>
      <c r="AF19" s="57"/>
      <c r="AG19" s="57"/>
      <c r="AH19" s="57"/>
      <c r="AI19" s="57"/>
    </row>
    <row r="20" spans="1:36" ht="15.75" thickTop="1" x14ac:dyDescent="0.25">
      <c r="A20" s="12" t="s">
        <v>2</v>
      </c>
      <c r="B20" s="7">
        <v>0</v>
      </c>
      <c r="C20" s="8">
        <v>5400</v>
      </c>
      <c r="D20" s="8">
        <v>14000</v>
      </c>
      <c r="E20" s="8">
        <v>7900</v>
      </c>
      <c r="F20" s="9">
        <v>12000</v>
      </c>
      <c r="G20" s="90"/>
      <c r="H20" s="57"/>
      <c r="I20" s="74"/>
      <c r="W20" t="s">
        <v>81</v>
      </c>
      <c r="AA20" s="57"/>
      <c r="AB20" s="57"/>
      <c r="AC20" s="57"/>
      <c r="AD20" s="57"/>
      <c r="AE20" s="57"/>
      <c r="AF20" s="57"/>
      <c r="AG20" s="57"/>
      <c r="AH20" s="57"/>
      <c r="AI20" s="57"/>
    </row>
    <row r="21" spans="1:36" x14ac:dyDescent="0.25">
      <c r="A21" s="3" t="s">
        <v>3</v>
      </c>
      <c r="B21" s="6">
        <v>5400</v>
      </c>
      <c r="C21" s="1">
        <v>0</v>
      </c>
      <c r="D21" s="1">
        <v>12500</v>
      </c>
      <c r="E21" s="1">
        <v>2500</v>
      </c>
      <c r="F21" s="1">
        <v>8200</v>
      </c>
      <c r="G21" s="1"/>
      <c r="H21" s="57"/>
      <c r="I21" s="74"/>
      <c r="K21" s="75"/>
      <c r="W21" t="s">
        <v>82</v>
      </c>
      <c r="X21" s="96">
        <f>L35/6000000</f>
        <v>197.59333333333333</v>
      </c>
      <c r="AA21" s="57"/>
      <c r="AB21" s="57"/>
      <c r="AC21" s="57"/>
      <c r="AD21" s="57"/>
      <c r="AE21" s="57"/>
      <c r="AF21" s="57"/>
      <c r="AG21" s="57"/>
      <c r="AH21" s="57"/>
      <c r="AI21" s="57"/>
    </row>
    <row r="22" spans="1:36" x14ac:dyDescent="0.25">
      <c r="A22" s="10" t="s">
        <v>4</v>
      </c>
      <c r="B22" s="1">
        <v>14000</v>
      </c>
      <c r="C22" s="1">
        <v>12500</v>
      </c>
      <c r="D22" s="1">
        <v>0</v>
      </c>
      <c r="E22" s="1">
        <v>11200</v>
      </c>
      <c r="F22" s="1">
        <v>4600</v>
      </c>
      <c r="G22" s="1"/>
      <c r="W22" t="s">
        <v>83</v>
      </c>
      <c r="X22">
        <v>0</v>
      </c>
      <c r="AA22" s="57"/>
      <c r="AB22" s="57"/>
      <c r="AC22" s="57"/>
      <c r="AD22" s="57"/>
      <c r="AE22" s="57"/>
      <c r="AF22" s="57"/>
      <c r="AG22" s="57"/>
      <c r="AH22" s="57"/>
      <c r="AI22" s="57"/>
    </row>
    <row r="23" spans="1:36" x14ac:dyDescent="0.25">
      <c r="A23" s="10" t="s">
        <v>5</v>
      </c>
      <c r="B23" s="1">
        <v>7900</v>
      </c>
      <c r="C23" s="1">
        <v>2500</v>
      </c>
      <c r="D23" s="1">
        <v>11200</v>
      </c>
      <c r="E23" s="1">
        <v>0</v>
      </c>
      <c r="F23" s="1">
        <v>6600</v>
      </c>
      <c r="G23" s="1"/>
      <c r="L23" s="95"/>
      <c r="W23" t="s">
        <v>126</v>
      </c>
      <c r="X23">
        <f>X16*0.1</f>
        <v>31.721022682936493</v>
      </c>
      <c r="AA23" s="57"/>
      <c r="AB23" s="57"/>
      <c r="AC23" s="57"/>
      <c r="AD23" s="57"/>
      <c r="AE23" s="57"/>
      <c r="AF23" s="57"/>
      <c r="AG23" s="57"/>
      <c r="AH23" s="57"/>
      <c r="AI23" s="57"/>
    </row>
    <row r="24" spans="1:36" ht="15.75" thickBot="1" x14ac:dyDescent="0.3">
      <c r="A24" s="3" t="s">
        <v>6</v>
      </c>
      <c r="B24" s="11">
        <v>12000</v>
      </c>
      <c r="C24" s="1">
        <v>8200</v>
      </c>
      <c r="D24" s="1">
        <v>4600</v>
      </c>
      <c r="E24" s="4">
        <v>6600</v>
      </c>
      <c r="F24" s="4">
        <v>0</v>
      </c>
      <c r="G24" s="90"/>
      <c r="H24" t="s">
        <v>88</v>
      </c>
      <c r="I24" t="s">
        <v>123</v>
      </c>
      <c r="K24" t="s">
        <v>118</v>
      </c>
      <c r="L24" t="s">
        <v>120</v>
      </c>
      <c r="M24" s="75">
        <f>N13*700000+P13*500000</f>
        <v>1000000</v>
      </c>
      <c r="W24" t="s">
        <v>85</v>
      </c>
      <c r="X24" s="76">
        <f>SUM(X21:X23)</f>
        <v>229.31435601626981</v>
      </c>
      <c r="AA24" s="57"/>
      <c r="AB24" s="57"/>
      <c r="AC24" s="57"/>
      <c r="AD24" s="57"/>
      <c r="AE24" s="57"/>
      <c r="AF24" s="57"/>
      <c r="AG24" s="57"/>
      <c r="AH24" s="57"/>
      <c r="AI24" s="57"/>
    </row>
    <row r="25" spans="1:36" ht="15.75" thickTop="1" x14ac:dyDescent="0.25">
      <c r="D25" s="57"/>
      <c r="E25" s="57"/>
      <c r="F25" s="57"/>
      <c r="G25" s="57"/>
      <c r="H25" s="57" t="s">
        <v>89</v>
      </c>
      <c r="I25" s="57">
        <f>IF(NOT((M2+O2)=0), 1, 0)</f>
        <v>1</v>
      </c>
      <c r="J25" s="78">
        <f>10000*$D$20*I25</f>
        <v>140000000</v>
      </c>
      <c r="K25" s="78">
        <f>((M2*4000+O2*2000)*$D$20)</f>
        <v>196000000</v>
      </c>
      <c r="L25" s="75" t="s">
        <v>121</v>
      </c>
      <c r="M25" s="75">
        <f>M13*5000+O13*5000</f>
        <v>70000</v>
      </c>
      <c r="AB25" s="57"/>
      <c r="AC25" s="57"/>
      <c r="AD25" s="57"/>
      <c r="AE25" s="57"/>
      <c r="AF25" s="57"/>
      <c r="AG25" s="57"/>
      <c r="AH25" s="57"/>
      <c r="AI25" s="57"/>
      <c r="AJ25" s="57"/>
    </row>
    <row r="26" spans="1:36" x14ac:dyDescent="0.25">
      <c r="D26" s="57"/>
      <c r="E26" s="57"/>
      <c r="F26" s="57"/>
      <c r="G26" s="57"/>
      <c r="H26" s="57" t="s">
        <v>90</v>
      </c>
      <c r="I26" s="57">
        <f t="shared" ref="I26:I34" si="6">IF(NOT((M3+O3)=0), 1, 0)</f>
        <v>0</v>
      </c>
      <c r="J26" s="78">
        <f>I26*10000*$E$20</f>
        <v>0</v>
      </c>
      <c r="K26" s="78">
        <f>((M3*4000+O3*2000)*E20)</f>
        <v>0</v>
      </c>
      <c r="L26" t="s">
        <v>67</v>
      </c>
      <c r="M26" s="75">
        <f>SUM(J13:P13)*2*20000</f>
        <v>760000</v>
      </c>
      <c r="N26" t="s">
        <v>122</v>
      </c>
      <c r="AB26" s="57"/>
      <c r="AC26" s="57"/>
      <c r="AD26" s="57"/>
      <c r="AE26" s="57"/>
      <c r="AF26" s="57"/>
      <c r="AG26" s="57"/>
      <c r="AH26" s="57"/>
      <c r="AI26" s="57"/>
      <c r="AJ26" s="57"/>
    </row>
    <row r="27" spans="1:36" ht="15.75" thickBot="1" x14ac:dyDescent="0.3">
      <c r="H27" s="57" t="s">
        <v>91</v>
      </c>
      <c r="I27" s="57">
        <f t="shared" si="6"/>
        <v>0</v>
      </c>
      <c r="J27" s="78">
        <f>I27*10000*$F$20</f>
        <v>0</v>
      </c>
      <c r="K27" s="78">
        <f>((M4*4000+O4*2000)*F20)</f>
        <v>0</v>
      </c>
      <c r="AD27" s="57"/>
      <c r="AE27" s="57"/>
    </row>
    <row r="28" spans="1:36" ht="16.5" thickTop="1" thickBot="1" x14ac:dyDescent="0.3">
      <c r="A28" s="79" t="s">
        <v>2</v>
      </c>
      <c r="B28" s="80" t="s">
        <v>99</v>
      </c>
      <c r="C28" s="81" t="s">
        <v>100</v>
      </c>
      <c r="D28">
        <v>21.33</v>
      </c>
      <c r="E28">
        <v>157.91999999999999</v>
      </c>
      <c r="H28" s="57" t="s">
        <v>114</v>
      </c>
      <c r="I28" s="57">
        <f t="shared" si="6"/>
        <v>1</v>
      </c>
      <c r="J28" s="78">
        <f>I28*10000*$B$21</f>
        <v>54000000</v>
      </c>
      <c r="K28" s="78">
        <f>((M5*4000+O5*2000)*$B$21)</f>
        <v>21600000</v>
      </c>
      <c r="AD28" s="57"/>
      <c r="AE28" s="57"/>
    </row>
    <row r="29" spans="1:36" ht="16.5" thickTop="1" thickBot="1" x14ac:dyDescent="0.3">
      <c r="A29" s="82" t="s">
        <v>3</v>
      </c>
      <c r="B29" s="83" t="s">
        <v>101</v>
      </c>
      <c r="C29" s="84" t="s">
        <v>102</v>
      </c>
      <c r="D29">
        <v>38.82</v>
      </c>
      <c r="E29">
        <v>104.72</v>
      </c>
      <c r="H29" s="57" t="s">
        <v>92</v>
      </c>
      <c r="I29" s="57">
        <f t="shared" si="6"/>
        <v>1</v>
      </c>
      <c r="J29" s="78">
        <f>I29*10000*$D$21</f>
        <v>125000000</v>
      </c>
      <c r="K29" s="78">
        <f>(M6*4000+O6*2000)*$D$21</f>
        <v>100000000</v>
      </c>
      <c r="AD29" s="57"/>
      <c r="AE29" s="57"/>
    </row>
    <row r="30" spans="1:36" ht="16.5" thickTop="1" thickBot="1" x14ac:dyDescent="0.3">
      <c r="A30" s="82" t="s">
        <v>4</v>
      </c>
      <c r="B30" s="83" t="s">
        <v>103</v>
      </c>
      <c r="C30" s="84" t="s">
        <v>104</v>
      </c>
      <c r="D30">
        <v>25.3</v>
      </c>
      <c r="E30">
        <v>51.52</v>
      </c>
      <c r="H30" s="57" t="s">
        <v>95</v>
      </c>
      <c r="I30" s="57">
        <f t="shared" si="6"/>
        <v>1</v>
      </c>
      <c r="J30" s="78">
        <f>I30*10000*$E$22</f>
        <v>112000000</v>
      </c>
      <c r="K30" s="78">
        <f>(M7*4000+O7*2000)*$E$22</f>
        <v>89600000</v>
      </c>
      <c r="AD30" s="57"/>
      <c r="AE30" s="57"/>
    </row>
    <row r="31" spans="1:36" ht="16.5" thickTop="1" thickBot="1" x14ac:dyDescent="0.3">
      <c r="A31" s="82" t="s">
        <v>5</v>
      </c>
      <c r="B31" s="83" t="s">
        <v>105</v>
      </c>
      <c r="C31" s="84" t="s">
        <v>106</v>
      </c>
      <c r="D31">
        <v>36.9</v>
      </c>
      <c r="E31">
        <v>76.2</v>
      </c>
      <c r="H31" s="57" t="s">
        <v>96</v>
      </c>
      <c r="I31" s="57">
        <f t="shared" si="6"/>
        <v>1</v>
      </c>
      <c r="J31" s="78">
        <f>I31*10000*$F$22</f>
        <v>46000000</v>
      </c>
      <c r="K31" s="78">
        <f>(M8*4000+O8*2000)*$F$22</f>
        <v>18400000</v>
      </c>
      <c r="AD31" s="57"/>
      <c r="AE31" s="57"/>
    </row>
    <row r="32" spans="1:36" ht="16.5" thickTop="1" thickBot="1" x14ac:dyDescent="0.3">
      <c r="A32" s="85" t="s">
        <v>6</v>
      </c>
      <c r="B32" s="86" t="s">
        <v>107</v>
      </c>
      <c r="C32" s="87" t="s">
        <v>108</v>
      </c>
      <c r="D32">
        <v>49.57</v>
      </c>
      <c r="E32">
        <v>8.4700000000000006</v>
      </c>
      <c r="H32" s="57" t="s">
        <v>115</v>
      </c>
      <c r="I32" s="57">
        <f t="shared" si="6"/>
        <v>1</v>
      </c>
      <c r="J32" s="78">
        <f>I32*10000*$C$23</f>
        <v>25000000</v>
      </c>
      <c r="K32" s="78">
        <f>(M9*4000+O9*2000)*$C$23</f>
        <v>10000000</v>
      </c>
    </row>
    <row r="33" spans="1:18" ht="16.5" thickTop="1" thickBot="1" x14ac:dyDescent="0.3">
      <c r="H33" s="57" t="s">
        <v>116</v>
      </c>
      <c r="I33" s="57">
        <f t="shared" si="6"/>
        <v>0</v>
      </c>
      <c r="J33" s="78">
        <f>I33*10000*$C$24</f>
        <v>0</v>
      </c>
      <c r="K33" s="78">
        <f>(M10*4000+O10*2000)*$C$24</f>
        <v>0</v>
      </c>
    </row>
    <row r="34" spans="1:18" ht="16.5" thickTop="1" thickBot="1" x14ac:dyDescent="0.3">
      <c r="A34" s="88" t="s">
        <v>34</v>
      </c>
      <c r="B34" s="89" t="s">
        <v>35</v>
      </c>
      <c r="C34" t="s">
        <v>109</v>
      </c>
      <c r="D34" t="s">
        <v>110</v>
      </c>
      <c r="H34" s="57" t="s">
        <v>117</v>
      </c>
      <c r="I34" s="57">
        <f t="shared" si="6"/>
        <v>1</v>
      </c>
      <c r="J34" s="78">
        <f>I34*10000*$E$24</f>
        <v>66000000</v>
      </c>
      <c r="K34" s="78">
        <f>(M11*4000+O11*2000)*$E$24</f>
        <v>52800000</v>
      </c>
    </row>
    <row r="35" spans="1:18" x14ac:dyDescent="0.25">
      <c r="A35" s="33" t="s">
        <v>2</v>
      </c>
      <c r="B35" s="16" t="s">
        <v>36</v>
      </c>
      <c r="C35">
        <v>1</v>
      </c>
      <c r="D35">
        <v>1</v>
      </c>
      <c r="K35" t="s">
        <v>74</v>
      </c>
      <c r="L35" s="78">
        <f>I37+SUM(M24:M25)*120+M26</f>
        <v>1185560000</v>
      </c>
    </row>
    <row r="36" spans="1:18" x14ac:dyDescent="0.25">
      <c r="A36" s="33" t="s">
        <v>3</v>
      </c>
      <c r="B36" s="16" t="s">
        <v>38</v>
      </c>
      <c r="C36">
        <v>0</v>
      </c>
      <c r="D36">
        <v>1</v>
      </c>
      <c r="H36" s="57"/>
    </row>
    <row r="37" spans="1:18" x14ac:dyDescent="0.25">
      <c r="A37" s="33" t="s">
        <v>4</v>
      </c>
      <c r="B37" s="16" t="s">
        <v>39</v>
      </c>
      <c r="C37">
        <v>1</v>
      </c>
      <c r="D37">
        <v>1</v>
      </c>
      <c r="H37" s="57" t="s">
        <v>119</v>
      </c>
      <c r="I37" s="78">
        <f>SUM(J25:K34)+I16</f>
        <v>1056400000</v>
      </c>
    </row>
    <row r="38" spans="1:18" x14ac:dyDescent="0.25">
      <c r="A38" s="33" t="s">
        <v>5</v>
      </c>
      <c r="B38" s="16" t="s">
        <v>40</v>
      </c>
      <c r="C38">
        <v>1</v>
      </c>
      <c r="D38">
        <v>1</v>
      </c>
      <c r="H38" s="57"/>
    </row>
    <row r="39" spans="1:18" ht="15.75" thickBot="1" x14ac:dyDescent="0.3">
      <c r="A39" s="34" t="s">
        <v>6</v>
      </c>
      <c r="B39" s="17" t="s">
        <v>37</v>
      </c>
      <c r="C39">
        <v>1</v>
      </c>
      <c r="D39">
        <v>0</v>
      </c>
      <c r="H39" s="57"/>
    </row>
    <row r="40" spans="1:18" ht="16.5" thickTop="1" thickBot="1" x14ac:dyDescent="0.3">
      <c r="H40" s="67" t="s">
        <v>0</v>
      </c>
      <c r="I40" s="68" t="s">
        <v>1</v>
      </c>
      <c r="J40" t="s">
        <v>65</v>
      </c>
      <c r="K40" t="s">
        <v>66</v>
      </c>
      <c r="L40" t="s">
        <v>42</v>
      </c>
      <c r="M40" t="s">
        <v>124</v>
      </c>
      <c r="N40" t="s">
        <v>112</v>
      </c>
      <c r="O40" t="s">
        <v>113</v>
      </c>
      <c r="P40" t="s">
        <v>125</v>
      </c>
      <c r="Q40" t="s">
        <v>41</v>
      </c>
      <c r="R40" t="s">
        <v>76</v>
      </c>
    </row>
    <row r="41" spans="1:18" x14ac:dyDescent="0.25">
      <c r="H41" s="91" t="s">
        <v>36</v>
      </c>
      <c r="I41" s="92" t="s">
        <v>39</v>
      </c>
      <c r="J41">
        <v>250</v>
      </c>
      <c r="K41">
        <f>R2</f>
        <v>2551.6799999999998</v>
      </c>
      <c r="L41">
        <f>1/(K41-J41)</f>
        <v>4.3446526015779779E-4</v>
      </c>
      <c r="M41">
        <f>T2</f>
        <v>4.6666666666666669E-2</v>
      </c>
      <c r="N41">
        <f t="shared" ref="N41:O51" si="7">U2</f>
        <v>0.54</v>
      </c>
      <c r="O41">
        <f t="shared" si="7"/>
        <v>1</v>
      </c>
      <c r="P41">
        <f>J41/(K41-J41)+O41*M41+(1-O41)*N41</f>
        <v>0.15528298170611612</v>
      </c>
      <c r="Q41">
        <f>J41/K41</f>
        <v>9.7974667669927268E-2</v>
      </c>
      <c r="R41">
        <f>J41/(J451+$Q$12)</f>
        <v>3.5971223021582732E-2</v>
      </c>
    </row>
    <row r="42" spans="1:18" x14ac:dyDescent="0.25">
      <c r="H42" s="91" t="s">
        <v>36</v>
      </c>
      <c r="I42" s="92" t="s">
        <v>40</v>
      </c>
      <c r="J42">
        <v>250</v>
      </c>
      <c r="K42">
        <f t="shared" ref="K42:K50" si="8">R3</f>
        <v>2000</v>
      </c>
      <c r="L42">
        <f t="shared" ref="L42:L51" si="9">1/(K42-J42)</f>
        <v>5.7142857142857147E-4</v>
      </c>
      <c r="M42">
        <f t="shared" ref="M42:M51" si="10">T3</f>
        <v>2.6333333333333334E-2</v>
      </c>
      <c r="N42">
        <f t="shared" si="7"/>
        <v>0.54</v>
      </c>
      <c r="O42">
        <f t="shared" si="7"/>
        <v>0</v>
      </c>
      <c r="P42">
        <f t="shared" ref="P42:P51" si="11">J42/(K42-J42)+O42*M42+(1-O42)*N42</f>
        <v>0.68285714285714283</v>
      </c>
      <c r="Q42">
        <f t="shared" ref="Q42:Q51" si="12">J42/K42</f>
        <v>0.125</v>
      </c>
      <c r="R42">
        <f t="shared" ref="R42:R50" si="13">J42/(J452+$Q$12)</f>
        <v>3.5971223021582732E-2</v>
      </c>
    </row>
    <row r="43" spans="1:18" x14ac:dyDescent="0.25">
      <c r="H43" s="91" t="s">
        <v>36</v>
      </c>
      <c r="I43" s="92" t="s">
        <v>37</v>
      </c>
      <c r="J43">
        <v>250</v>
      </c>
      <c r="K43">
        <f t="shared" si="8"/>
        <v>447.36</v>
      </c>
      <c r="L43">
        <f t="shared" si="9"/>
        <v>5.0668828536684233E-3</v>
      </c>
      <c r="M43">
        <f t="shared" si="10"/>
        <v>0.04</v>
      </c>
      <c r="N43">
        <f t="shared" si="7"/>
        <v>0.54</v>
      </c>
      <c r="O43">
        <f t="shared" si="7"/>
        <v>1</v>
      </c>
      <c r="P43">
        <f t="shared" si="11"/>
        <v>1.3067207134171057</v>
      </c>
      <c r="Q43">
        <f t="shared" si="12"/>
        <v>0.55883404864091557</v>
      </c>
      <c r="R43">
        <f t="shared" si="13"/>
        <v>3.5971223021582732E-2</v>
      </c>
    </row>
    <row r="44" spans="1:18" x14ac:dyDescent="0.25">
      <c r="H44" s="91" t="s">
        <v>38</v>
      </c>
      <c r="I44" s="92" t="s">
        <v>36</v>
      </c>
      <c r="J44">
        <v>200</v>
      </c>
      <c r="K44">
        <f t="shared" si="8"/>
        <v>447.36</v>
      </c>
      <c r="L44">
        <f t="shared" si="9"/>
        <v>4.0426908150064684E-3</v>
      </c>
      <c r="M44">
        <f t="shared" si="10"/>
        <v>1.7999999999999999E-2</v>
      </c>
      <c r="N44">
        <f t="shared" si="7"/>
        <v>0.54</v>
      </c>
      <c r="O44">
        <f t="shared" si="7"/>
        <v>1</v>
      </c>
      <c r="P44">
        <f t="shared" si="11"/>
        <v>0.82653816300129368</v>
      </c>
      <c r="Q44">
        <f t="shared" si="12"/>
        <v>0.44706723891273248</v>
      </c>
      <c r="R44">
        <f t="shared" si="13"/>
        <v>2.8776978417266189E-2</v>
      </c>
    </row>
    <row r="45" spans="1:18" x14ac:dyDescent="0.25">
      <c r="H45" s="91" t="s">
        <v>38</v>
      </c>
      <c r="I45" s="92" t="s">
        <v>39</v>
      </c>
      <c r="J45">
        <v>500</v>
      </c>
      <c r="K45">
        <f t="shared" si="8"/>
        <v>1552</v>
      </c>
      <c r="L45">
        <f t="shared" si="9"/>
        <v>9.5057034220532319E-4</v>
      </c>
      <c r="M45">
        <f t="shared" si="10"/>
        <v>4.1666666666666664E-2</v>
      </c>
      <c r="N45">
        <f t="shared" si="7"/>
        <v>0.54</v>
      </c>
      <c r="O45">
        <f t="shared" si="7"/>
        <v>1</v>
      </c>
      <c r="P45">
        <f t="shared" si="11"/>
        <v>0.51695183776932829</v>
      </c>
      <c r="Q45">
        <f t="shared" si="12"/>
        <v>0.32216494845360827</v>
      </c>
      <c r="R45">
        <f t="shared" si="13"/>
        <v>7.1942446043165464E-2</v>
      </c>
    </row>
    <row r="46" spans="1:18" x14ac:dyDescent="0.25">
      <c r="H46" s="91" t="s">
        <v>39</v>
      </c>
      <c r="I46" s="92" t="s">
        <v>40</v>
      </c>
      <c r="J46">
        <v>500</v>
      </c>
      <c r="K46">
        <f t="shared" si="8"/>
        <v>1552</v>
      </c>
      <c r="L46">
        <f t="shared" si="9"/>
        <v>9.5057034220532319E-4</v>
      </c>
      <c r="M46">
        <f t="shared" si="10"/>
        <v>3.7333333333333336E-2</v>
      </c>
      <c r="N46">
        <f t="shared" si="7"/>
        <v>0.54</v>
      </c>
      <c r="O46">
        <f t="shared" si="7"/>
        <v>1</v>
      </c>
      <c r="P46">
        <f t="shared" si="11"/>
        <v>0.51261850443599499</v>
      </c>
      <c r="Q46">
        <f t="shared" si="12"/>
        <v>0.32216494845360827</v>
      </c>
      <c r="R46">
        <f t="shared" si="13"/>
        <v>7.1942446043165464E-2</v>
      </c>
    </row>
    <row r="47" spans="1:18" x14ac:dyDescent="0.25">
      <c r="H47" s="91" t="s">
        <v>39</v>
      </c>
      <c r="I47" s="92" t="s">
        <v>37</v>
      </c>
      <c r="J47">
        <v>250</v>
      </c>
      <c r="K47">
        <f t="shared" si="8"/>
        <v>776</v>
      </c>
      <c r="L47">
        <f t="shared" si="9"/>
        <v>1.9011406844106464E-3</v>
      </c>
      <c r="M47">
        <f t="shared" si="10"/>
        <v>1.5333333333333332E-2</v>
      </c>
      <c r="N47">
        <f t="shared" si="7"/>
        <v>0.54</v>
      </c>
      <c r="O47">
        <f t="shared" si="7"/>
        <v>1</v>
      </c>
      <c r="P47">
        <f t="shared" si="11"/>
        <v>0.49061850443599492</v>
      </c>
      <c r="Q47">
        <f t="shared" si="12"/>
        <v>0.32216494845360827</v>
      </c>
      <c r="R47">
        <f t="shared" si="13"/>
        <v>3.5971223021582732E-2</v>
      </c>
    </row>
    <row r="48" spans="1:18" x14ac:dyDescent="0.25">
      <c r="H48" s="91" t="s">
        <v>40</v>
      </c>
      <c r="I48" s="92" t="s">
        <v>38</v>
      </c>
      <c r="J48">
        <v>250</v>
      </c>
      <c r="K48">
        <f t="shared" si="8"/>
        <v>776</v>
      </c>
      <c r="L48">
        <f t="shared" si="9"/>
        <v>1.9011406844106464E-3</v>
      </c>
      <c r="M48">
        <f t="shared" si="10"/>
        <v>8.3333333333333332E-3</v>
      </c>
      <c r="N48">
        <f t="shared" si="7"/>
        <v>0.54</v>
      </c>
      <c r="O48">
        <f t="shared" si="7"/>
        <v>1</v>
      </c>
      <c r="P48">
        <f t="shared" si="11"/>
        <v>0.48361850443599497</v>
      </c>
      <c r="Q48">
        <f t="shared" si="12"/>
        <v>0.32216494845360827</v>
      </c>
      <c r="R48">
        <f t="shared" si="13"/>
        <v>3.5971223021582732E-2</v>
      </c>
    </row>
    <row r="49" spans="8:18" x14ac:dyDescent="0.25">
      <c r="H49" s="91" t="s">
        <v>37</v>
      </c>
      <c r="I49" s="92" t="s">
        <v>38</v>
      </c>
      <c r="J49">
        <v>50</v>
      </c>
      <c r="K49">
        <f t="shared" si="8"/>
        <v>250</v>
      </c>
      <c r="L49">
        <f t="shared" si="9"/>
        <v>5.0000000000000001E-3</v>
      </c>
      <c r="M49">
        <f t="shared" si="10"/>
        <v>2.7333333333333334E-2</v>
      </c>
      <c r="N49">
        <f t="shared" si="7"/>
        <v>0.54</v>
      </c>
      <c r="O49">
        <f t="shared" si="7"/>
        <v>0</v>
      </c>
      <c r="P49">
        <f t="shared" si="11"/>
        <v>0.79</v>
      </c>
      <c r="Q49">
        <f t="shared" si="12"/>
        <v>0.2</v>
      </c>
      <c r="R49">
        <f t="shared" si="13"/>
        <v>7.1942446043165471E-3</v>
      </c>
    </row>
    <row r="50" spans="8:18" x14ac:dyDescent="0.25">
      <c r="H50" s="93" t="s">
        <v>37</v>
      </c>
      <c r="I50" s="94" t="s">
        <v>40</v>
      </c>
      <c r="J50">
        <v>250</v>
      </c>
      <c r="K50">
        <f t="shared" si="8"/>
        <v>1552</v>
      </c>
      <c r="L50">
        <f t="shared" si="9"/>
        <v>7.6804915514592934E-4</v>
      </c>
      <c r="M50">
        <f t="shared" si="10"/>
        <v>2.1999999999999999E-2</v>
      </c>
      <c r="N50">
        <f t="shared" si="7"/>
        <v>0.54</v>
      </c>
      <c r="O50">
        <f t="shared" si="7"/>
        <v>1</v>
      </c>
      <c r="P50">
        <f t="shared" si="11"/>
        <v>0.21401228878648232</v>
      </c>
      <c r="Q50">
        <f t="shared" si="12"/>
        <v>0.16108247422680413</v>
      </c>
      <c r="R50">
        <f t="shared" si="13"/>
        <v>3.5971223021582732E-2</v>
      </c>
    </row>
    <row r="51" spans="8:18" x14ac:dyDescent="0.25">
      <c r="J51">
        <f>SUM(J41:J50)</f>
        <v>2750</v>
      </c>
      <c r="K51">
        <f>SUM(K41:K50)</f>
        <v>11904.4</v>
      </c>
      <c r="L51">
        <f t="shared" si="9"/>
        <v>1.0923708817617758E-4</v>
      </c>
      <c r="M51">
        <f t="shared" si="10"/>
        <v>0</v>
      </c>
      <c r="N51">
        <f t="shared" si="7"/>
        <v>0</v>
      </c>
      <c r="O51">
        <f t="shared" si="7"/>
        <v>0</v>
      </c>
      <c r="P51">
        <f t="shared" si="11"/>
        <v>0.30040199248448834</v>
      </c>
      <c r="Q51">
        <f t="shared" si="12"/>
        <v>0.23100702261348746</v>
      </c>
      <c r="R51">
        <f>SUM(R41:R50)</f>
        <v>0.39568345323741005</v>
      </c>
    </row>
  </sheetData>
  <mergeCells count="3">
    <mergeCell ref="H15:L15"/>
    <mergeCell ref="A18:A19"/>
    <mergeCell ref="B18:F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723E-BA3C-4FD0-82AD-CD7446255BB3}">
  <dimension ref="A1:AJ51"/>
  <sheetViews>
    <sheetView tabSelected="1" topLeftCell="F1" zoomScale="64" zoomScaleNormal="55" workbookViewId="0">
      <selection activeCell="L12" sqref="L12"/>
    </sheetView>
  </sheetViews>
  <sheetFormatPr defaultRowHeight="15" x14ac:dyDescent="0.25"/>
  <cols>
    <col min="1" max="1" width="38.7109375" customWidth="1"/>
    <col min="2" max="2" width="11.140625" bestFit="1" customWidth="1"/>
    <col min="3" max="3" width="16.5703125" customWidth="1"/>
    <col min="4" max="4" width="29.7109375" customWidth="1"/>
    <col min="8" max="8" width="21" customWidth="1"/>
    <col min="9" max="9" width="19.140625" bestFit="1" customWidth="1"/>
    <col min="10" max="10" width="19.7109375" customWidth="1"/>
    <col min="11" max="11" width="21.140625" bestFit="1" customWidth="1"/>
    <col min="12" max="12" width="19.28515625" bestFit="1" customWidth="1"/>
    <col min="13" max="13" width="16.85546875" bestFit="1" customWidth="1"/>
    <col min="14" max="14" width="20.140625" bestFit="1" customWidth="1"/>
    <col min="15" max="15" width="16" bestFit="1" customWidth="1"/>
    <col min="16" max="16" width="13.42578125" bestFit="1" customWidth="1"/>
    <col min="17" max="17" width="9.85546875" customWidth="1"/>
    <col min="18" max="18" width="10.42578125" customWidth="1"/>
    <col min="19" max="19" width="14.7109375" bestFit="1" customWidth="1"/>
    <col min="20" max="21" width="10.140625" customWidth="1"/>
    <col min="22" max="22" width="14.7109375" customWidth="1"/>
    <col min="23" max="23" width="21.5703125" bestFit="1" customWidth="1"/>
    <col min="24" max="24" width="12.85546875" customWidth="1"/>
    <col min="25" max="25" width="7.7109375" customWidth="1"/>
    <col min="26" max="26" width="8.85546875" customWidth="1"/>
    <col min="27" max="27" width="4" customWidth="1"/>
    <col min="28" max="28" width="34.42578125" bestFit="1" customWidth="1"/>
    <col min="29" max="29" width="18.42578125" bestFit="1" customWidth="1"/>
    <col min="30" max="30" width="10.7109375" bestFit="1" customWidth="1"/>
    <col min="31" max="31" width="6.5703125" bestFit="1" customWidth="1"/>
    <col min="32" max="32" width="8.5703125" bestFit="1" customWidth="1"/>
    <col min="33" max="33" width="10.5703125" bestFit="1" customWidth="1"/>
    <col min="34" max="35" width="4" customWidth="1"/>
  </cols>
  <sheetData>
    <row r="1" spans="1:35" s="53" customFormat="1" ht="31.5" thickTop="1" thickBot="1" x14ac:dyDescent="0.3">
      <c r="A1" s="51" t="s">
        <v>34</v>
      </c>
      <c r="B1" s="52" t="s">
        <v>35</v>
      </c>
      <c r="D1" s="31"/>
      <c r="H1" s="67" t="s">
        <v>0</v>
      </c>
      <c r="I1" s="68" t="s">
        <v>1</v>
      </c>
      <c r="J1" s="68" t="s">
        <v>52</v>
      </c>
      <c r="K1" s="68" t="s">
        <v>53</v>
      </c>
      <c r="L1" s="68" t="s">
        <v>54</v>
      </c>
      <c r="M1" s="68" t="s">
        <v>15</v>
      </c>
      <c r="N1" s="68" t="s">
        <v>16</v>
      </c>
      <c r="O1" s="68" t="s">
        <v>55</v>
      </c>
      <c r="P1" s="68" t="s">
        <v>56</v>
      </c>
      <c r="Q1" s="68" t="s">
        <v>65</v>
      </c>
      <c r="R1" s="68" t="s">
        <v>66</v>
      </c>
      <c r="S1" s="68" t="s">
        <v>42</v>
      </c>
      <c r="T1" s="68" t="s">
        <v>111</v>
      </c>
      <c r="U1" s="68" t="s">
        <v>112</v>
      </c>
      <c r="V1" s="68" t="s">
        <v>113</v>
      </c>
      <c r="W1" s="68" t="s">
        <v>57</v>
      </c>
      <c r="X1" s="69" t="s">
        <v>41</v>
      </c>
      <c r="Y1" s="31" t="s">
        <v>75</v>
      </c>
      <c r="Z1" s="31" t="s">
        <v>76</v>
      </c>
      <c r="AA1" s="31"/>
      <c r="AB1" s="31" t="s">
        <v>0</v>
      </c>
      <c r="AC1" s="31" t="s">
        <v>1</v>
      </c>
      <c r="AD1" s="31"/>
      <c r="AE1" s="31"/>
      <c r="AF1" s="31"/>
      <c r="AG1" s="31"/>
      <c r="AH1" s="31"/>
      <c r="AI1" s="31"/>
    </row>
    <row r="2" spans="1:35" ht="15.75" thickBot="1" x14ac:dyDescent="0.3">
      <c r="A2" s="33" t="s">
        <v>2</v>
      </c>
      <c r="B2" s="16" t="s">
        <v>36</v>
      </c>
      <c r="D2" s="57"/>
      <c r="H2" s="91" t="s">
        <v>36</v>
      </c>
      <c r="I2" s="92" t="s">
        <v>39</v>
      </c>
      <c r="J2" s="62">
        <v>0</v>
      </c>
      <c r="K2" s="62">
        <v>0</v>
      </c>
      <c r="L2" s="62">
        <v>0</v>
      </c>
      <c r="M2" s="62">
        <v>3</v>
      </c>
      <c r="N2" s="62">
        <v>0</v>
      </c>
      <c r="O2" s="62">
        <v>1</v>
      </c>
      <c r="P2" s="62">
        <v>0</v>
      </c>
      <c r="Q2" s="71">
        <v>2500</v>
      </c>
      <c r="R2" s="71">
        <f t="array" ref="R2">SUMPRODUCT(J2:P2,TRANSPOSE($AC$10:$AC$16))*1000000/20000</f>
        <v>2551.6799999999998</v>
      </c>
      <c r="S2" s="61">
        <f>Q2/(R2-Q2)</f>
        <v>48.37461300309613</v>
      </c>
      <c r="T2" s="62">
        <f>D20*1000/(3*10^8)</f>
        <v>4.6666666666666669E-2</v>
      </c>
      <c r="U2" s="62">
        <v>0.54</v>
      </c>
      <c r="V2" s="62">
        <f t="array" ref="V2">SUMPRODUCT(M2:P2, TRANSPOSE($AC$13:$AC$16))*(1000000/20000)/R2</f>
        <v>1</v>
      </c>
      <c r="W2" s="62">
        <f>1/(R2-Q2)+V2*T2+(1-V2)*U2</f>
        <v>6.6016511867905123E-2</v>
      </c>
      <c r="X2" s="63">
        <f t="shared" ref="X2:X12" si="0">Q2/R2</f>
        <v>0.97974667669927273</v>
      </c>
      <c r="Y2" s="57">
        <f t="shared" ref="Y2:Y12" si="1">IF(Q2=R2,1,0)</f>
        <v>0</v>
      </c>
      <c r="Z2" s="57">
        <f>Q2/($Q$12+$J$51)</f>
        <v>0.25773195876288657</v>
      </c>
      <c r="AA2" s="57"/>
      <c r="AB2" s="57"/>
      <c r="AC2" s="57" t="s">
        <v>2</v>
      </c>
      <c r="AD2" s="57" t="s">
        <v>3</v>
      </c>
      <c r="AE2" s="57" t="s">
        <v>4</v>
      </c>
      <c r="AF2" s="57" t="s">
        <v>5</v>
      </c>
      <c r="AG2" s="57" t="s">
        <v>6</v>
      </c>
      <c r="AH2" s="57"/>
      <c r="AI2" s="57"/>
    </row>
    <row r="3" spans="1:35" ht="15.75" thickTop="1" x14ac:dyDescent="0.25">
      <c r="A3" s="33" t="s">
        <v>3</v>
      </c>
      <c r="B3" s="16" t="s">
        <v>38</v>
      </c>
      <c r="D3" s="57"/>
      <c r="H3" s="91" t="s">
        <v>36</v>
      </c>
      <c r="I3" s="92" t="s">
        <v>40</v>
      </c>
      <c r="J3" s="62">
        <v>2</v>
      </c>
      <c r="K3" s="62">
        <v>0</v>
      </c>
      <c r="L3" s="62">
        <v>0</v>
      </c>
      <c r="M3" s="62">
        <v>0</v>
      </c>
      <c r="N3" s="62">
        <v>0</v>
      </c>
      <c r="O3" s="62">
        <v>0</v>
      </c>
      <c r="P3" s="62">
        <v>0</v>
      </c>
      <c r="Q3" s="71">
        <v>1000</v>
      </c>
      <c r="R3" s="71">
        <f t="array" ref="R3">SUMPRODUCT(J3:P3,TRANSPOSE($AC$10:$AC$16))*1000000/20000</f>
        <v>2000</v>
      </c>
      <c r="S3" s="61">
        <f t="shared" ref="S3:S12" si="2">Q3/(R3-Q3)</f>
        <v>1</v>
      </c>
      <c r="T3" s="62">
        <f>E20*1000/(3*10^8)</f>
        <v>2.6333333333333334E-2</v>
      </c>
      <c r="U3" s="62">
        <v>0.54</v>
      </c>
      <c r="V3" s="62">
        <f t="array" ref="V3">SUMPRODUCT(M3:P3, TRANSPOSE($AC$13:$AC$16))*(1000000/20000)/R3</f>
        <v>0</v>
      </c>
      <c r="W3" s="62">
        <f t="shared" ref="W3:W11" si="3">1/(R3-Q3)+V3*T3+(1-V3)*U3</f>
        <v>0.54100000000000004</v>
      </c>
      <c r="X3" s="63">
        <f t="shared" si="0"/>
        <v>0.5</v>
      </c>
      <c r="Y3" s="57">
        <f t="shared" si="1"/>
        <v>0</v>
      </c>
      <c r="Z3" s="57">
        <f t="shared" ref="Z3:Z11" si="4">Q3/($Q$12+$J$51)</f>
        <v>0.10309278350515463</v>
      </c>
      <c r="AA3" s="57"/>
      <c r="AB3" s="57" t="s">
        <v>2</v>
      </c>
      <c r="AC3" s="7">
        <v>0</v>
      </c>
      <c r="AD3" s="8">
        <v>200</v>
      </c>
      <c r="AE3" s="8">
        <v>2500</v>
      </c>
      <c r="AF3" s="8">
        <v>1000</v>
      </c>
      <c r="AG3" s="9">
        <v>250</v>
      </c>
      <c r="AH3" s="57"/>
      <c r="AI3" s="57"/>
    </row>
    <row r="4" spans="1:35" x14ac:dyDescent="0.25">
      <c r="A4" s="33" t="s">
        <v>4</v>
      </c>
      <c r="B4" s="16" t="s">
        <v>39</v>
      </c>
      <c r="D4" s="57"/>
      <c r="H4" s="91" t="s">
        <v>36</v>
      </c>
      <c r="I4" s="92" t="s">
        <v>37</v>
      </c>
      <c r="J4" s="62">
        <v>0</v>
      </c>
      <c r="K4" s="62">
        <v>0</v>
      </c>
      <c r="L4" s="62">
        <v>0</v>
      </c>
      <c r="M4" s="62">
        <v>0</v>
      </c>
      <c r="N4" s="62">
        <v>0</v>
      </c>
      <c r="O4" s="62">
        <v>0</v>
      </c>
      <c r="P4" s="62">
        <v>2</v>
      </c>
      <c r="Q4" s="71">
        <v>250</v>
      </c>
      <c r="R4" s="71">
        <f t="array" ref="R4">SUMPRODUCT(J4:P4,TRANSPOSE($AC$10:$AC$16))*1000000/20000</f>
        <v>447.36</v>
      </c>
      <c r="S4" s="61">
        <f t="shared" si="2"/>
        <v>1.2667207134171057</v>
      </c>
      <c r="T4" s="62">
        <f>F20*1000/(3*10^8)</f>
        <v>0.04</v>
      </c>
      <c r="U4" s="62">
        <v>0.54</v>
      </c>
      <c r="V4" s="62">
        <f t="array" ref="V4">SUMPRODUCT(M4:P4, TRANSPOSE($AC$13:$AC$16))*(1000000/20000)/R4</f>
        <v>1</v>
      </c>
      <c r="W4" s="62">
        <f t="shared" si="3"/>
        <v>4.5066882853668423E-2</v>
      </c>
      <c r="X4" s="63">
        <f t="shared" si="0"/>
        <v>0.55883404864091557</v>
      </c>
      <c r="Y4" s="57">
        <f t="shared" si="1"/>
        <v>0</v>
      </c>
      <c r="Z4" s="57">
        <f t="shared" si="4"/>
        <v>2.5773195876288658E-2</v>
      </c>
      <c r="AA4" s="57"/>
      <c r="AB4" s="57" t="s">
        <v>3</v>
      </c>
      <c r="AC4" s="6">
        <v>250</v>
      </c>
      <c r="AD4" s="1">
        <v>0</v>
      </c>
      <c r="AE4" s="1">
        <v>500</v>
      </c>
      <c r="AF4" s="1">
        <v>250</v>
      </c>
      <c r="AG4" s="1">
        <v>50</v>
      </c>
      <c r="AH4" s="57"/>
      <c r="AI4" s="57"/>
    </row>
    <row r="5" spans="1:35" x14ac:dyDescent="0.25">
      <c r="A5" s="33" t="s">
        <v>5</v>
      </c>
      <c r="B5" s="16" t="s">
        <v>40</v>
      </c>
      <c r="D5" s="57"/>
      <c r="H5" s="91" t="s">
        <v>38</v>
      </c>
      <c r="I5" s="92" t="s">
        <v>36</v>
      </c>
      <c r="J5" s="62">
        <v>0</v>
      </c>
      <c r="K5" s="62">
        <v>0</v>
      </c>
      <c r="L5" s="62">
        <v>0</v>
      </c>
      <c r="M5" s="62">
        <v>0</v>
      </c>
      <c r="N5" s="62">
        <v>0</v>
      </c>
      <c r="O5" s="62">
        <v>2</v>
      </c>
      <c r="P5" s="62">
        <v>0</v>
      </c>
      <c r="Q5" s="71">
        <v>250</v>
      </c>
      <c r="R5" s="71">
        <f t="array" ref="R5">SUMPRODUCT(J5:P5,TRANSPOSE($AC$10:$AC$16))*1000000/20000</f>
        <v>447.36</v>
      </c>
      <c r="S5" s="61">
        <f t="shared" si="2"/>
        <v>1.2667207134171057</v>
      </c>
      <c r="T5" s="62">
        <f>B21*1000/(3*10^8)</f>
        <v>1.7999999999999999E-2</v>
      </c>
      <c r="U5" s="62">
        <v>0.54</v>
      </c>
      <c r="V5" s="62">
        <f t="array" ref="V5">SUMPRODUCT(M5:P5, TRANSPOSE($AC$13:$AC$16))*(1000000/20000)/R5</f>
        <v>1</v>
      </c>
      <c r="W5" s="62">
        <f t="shared" si="3"/>
        <v>2.3066882853668421E-2</v>
      </c>
      <c r="X5" s="63">
        <f t="shared" si="0"/>
        <v>0.55883404864091557</v>
      </c>
      <c r="Y5" s="57">
        <f t="shared" si="1"/>
        <v>0</v>
      </c>
      <c r="Z5" s="57">
        <f t="shared" si="4"/>
        <v>2.5773195876288658E-2</v>
      </c>
      <c r="AA5" s="57"/>
      <c r="AB5" s="57" t="s">
        <v>4</v>
      </c>
      <c r="AC5" s="1">
        <v>250</v>
      </c>
      <c r="AD5" s="1">
        <v>500</v>
      </c>
      <c r="AE5" s="1">
        <v>0</v>
      </c>
      <c r="AF5" s="1">
        <v>500</v>
      </c>
      <c r="AG5" s="1">
        <v>250</v>
      </c>
      <c r="AH5" s="57"/>
      <c r="AI5" s="57"/>
    </row>
    <row r="6" spans="1:35" ht="15.75" thickBot="1" x14ac:dyDescent="0.3">
      <c r="A6" s="34" t="s">
        <v>6</v>
      </c>
      <c r="B6" s="17" t="s">
        <v>37</v>
      </c>
      <c r="D6" s="57"/>
      <c r="H6" s="91" t="s">
        <v>38</v>
      </c>
      <c r="I6" s="92" t="s">
        <v>39</v>
      </c>
      <c r="J6" s="62">
        <v>2</v>
      </c>
      <c r="K6" s="62">
        <v>0</v>
      </c>
      <c r="L6" s="62">
        <v>0</v>
      </c>
      <c r="M6" s="62">
        <v>0</v>
      </c>
      <c r="N6" s="62">
        <v>0</v>
      </c>
      <c r="O6" s="62">
        <v>0</v>
      </c>
      <c r="P6" s="62">
        <v>0</v>
      </c>
      <c r="Q6" s="71">
        <v>500</v>
      </c>
      <c r="R6" s="71">
        <f t="array" ref="R6">SUMPRODUCT(J6:P6,TRANSPOSE($AC$10:$AC$16))*1000000/20000</f>
        <v>2000</v>
      </c>
      <c r="S6" s="61">
        <f t="shared" si="2"/>
        <v>0.33333333333333331</v>
      </c>
      <c r="T6" s="62">
        <f>D21*1000/(3*10^8)</f>
        <v>4.1666666666666664E-2</v>
      </c>
      <c r="U6" s="62">
        <v>0.54</v>
      </c>
      <c r="V6" s="62">
        <f t="array" ref="V6">SUMPRODUCT(M6:P6, TRANSPOSE($AC$13:$AC$16))*(1000000/20000)/R6</f>
        <v>0</v>
      </c>
      <c r="W6" s="62">
        <f t="shared" si="3"/>
        <v>0.54066666666666674</v>
      </c>
      <c r="X6" s="63">
        <f t="shared" si="0"/>
        <v>0.25</v>
      </c>
      <c r="Y6" s="57">
        <f t="shared" si="1"/>
        <v>0</v>
      </c>
      <c r="Z6" s="57">
        <f t="shared" si="4"/>
        <v>5.1546391752577317E-2</v>
      </c>
      <c r="AA6" s="57"/>
      <c r="AB6" s="57" t="s">
        <v>5</v>
      </c>
      <c r="AC6" s="1">
        <v>250</v>
      </c>
      <c r="AD6" s="1">
        <v>500</v>
      </c>
      <c r="AE6" s="1">
        <v>500</v>
      </c>
      <c r="AF6" s="1">
        <v>0</v>
      </c>
      <c r="AG6" s="1">
        <v>250</v>
      </c>
      <c r="AH6" s="57"/>
      <c r="AI6" s="57"/>
    </row>
    <row r="7" spans="1:35" ht="16.5" thickTop="1" thickBot="1" x14ac:dyDescent="0.3">
      <c r="D7" s="57"/>
      <c r="H7" s="91" t="s">
        <v>39</v>
      </c>
      <c r="I7" s="92" t="s">
        <v>40</v>
      </c>
      <c r="J7" s="62">
        <v>0</v>
      </c>
      <c r="K7" s="62">
        <v>0</v>
      </c>
      <c r="L7" s="62">
        <v>0</v>
      </c>
      <c r="M7" s="62">
        <v>2</v>
      </c>
      <c r="N7" s="62">
        <v>0</v>
      </c>
      <c r="O7" s="62">
        <v>0</v>
      </c>
      <c r="P7" s="62">
        <v>0</v>
      </c>
      <c r="Q7" s="71">
        <v>500</v>
      </c>
      <c r="R7" s="71">
        <f t="array" ref="R7">SUMPRODUCT(J7:P7,TRANSPOSE($AC$10:$AC$16))*1000000/20000</f>
        <v>1552</v>
      </c>
      <c r="S7" s="61">
        <f t="shared" si="2"/>
        <v>0.47528517110266161</v>
      </c>
      <c r="T7" s="62">
        <f>E22*1000/(3*10^8)</f>
        <v>3.7333333333333336E-2</v>
      </c>
      <c r="U7" s="62">
        <v>0.54</v>
      </c>
      <c r="V7" s="62">
        <f t="array" ref="V7">SUMPRODUCT(M7:P7, TRANSPOSE($AC$13:$AC$16))*(1000000/20000)/R7</f>
        <v>1</v>
      </c>
      <c r="W7" s="62">
        <f t="shared" si="3"/>
        <v>3.8283903675538661E-2</v>
      </c>
      <c r="X7" s="63">
        <f t="shared" si="0"/>
        <v>0.32216494845360827</v>
      </c>
      <c r="Y7" s="57">
        <f t="shared" si="1"/>
        <v>0</v>
      </c>
      <c r="Z7" s="57">
        <f t="shared" si="4"/>
        <v>5.1546391752577317E-2</v>
      </c>
      <c r="AA7" s="57"/>
      <c r="AB7" s="57" t="s">
        <v>6</v>
      </c>
      <c r="AC7" s="11">
        <v>250</v>
      </c>
      <c r="AD7" s="1">
        <v>200</v>
      </c>
      <c r="AE7" s="1">
        <v>250</v>
      </c>
      <c r="AF7" s="4">
        <v>1000</v>
      </c>
      <c r="AG7" s="4">
        <v>0</v>
      </c>
      <c r="AH7" s="57"/>
      <c r="AI7" s="57"/>
    </row>
    <row r="8" spans="1:35" ht="15.75" thickTop="1" x14ac:dyDescent="0.25">
      <c r="A8" t="s">
        <v>11</v>
      </c>
      <c r="B8" t="s">
        <v>22</v>
      </c>
      <c r="C8" t="s">
        <v>19</v>
      </c>
      <c r="D8" s="57" t="s">
        <v>20</v>
      </c>
      <c r="H8" s="91" t="s">
        <v>39</v>
      </c>
      <c r="I8" s="92" t="s">
        <v>37</v>
      </c>
      <c r="J8" s="62">
        <v>0</v>
      </c>
      <c r="K8" s="62">
        <v>0</v>
      </c>
      <c r="L8" s="62">
        <v>0</v>
      </c>
      <c r="M8" s="62">
        <v>1</v>
      </c>
      <c r="N8" s="62">
        <v>0</v>
      </c>
      <c r="O8" s="62">
        <v>0</v>
      </c>
      <c r="P8" s="62">
        <v>0</v>
      </c>
      <c r="Q8" s="71">
        <v>250</v>
      </c>
      <c r="R8" s="71">
        <f t="array" ref="R8">SUMPRODUCT(J8:P8,TRANSPOSE($AC$10:$AC$16))*1000000/20000</f>
        <v>776</v>
      </c>
      <c r="S8" s="61">
        <f t="shared" si="2"/>
        <v>0.47528517110266161</v>
      </c>
      <c r="T8" s="62">
        <f>F22*1000/(3*10^8)</f>
        <v>1.5333333333333332E-2</v>
      </c>
      <c r="U8" s="62">
        <v>0.54</v>
      </c>
      <c r="V8" s="62">
        <f t="array" ref="V8">SUMPRODUCT(M8:P8, TRANSPOSE($AC$13:$AC$16))*(1000000/20000)/R8</f>
        <v>1</v>
      </c>
      <c r="W8" s="62">
        <f t="shared" si="3"/>
        <v>1.723447401774398E-2</v>
      </c>
      <c r="X8" s="63">
        <f t="shared" si="0"/>
        <v>0.32216494845360827</v>
      </c>
      <c r="Y8" s="57">
        <f t="shared" si="1"/>
        <v>0</v>
      </c>
      <c r="Z8" s="57">
        <f t="shared" si="4"/>
        <v>2.5773195876288658E-2</v>
      </c>
      <c r="AA8" s="57"/>
      <c r="AB8" s="57"/>
      <c r="AC8" s="57"/>
      <c r="AD8" s="57"/>
      <c r="AE8" s="57"/>
      <c r="AF8" s="57"/>
      <c r="AG8" s="57"/>
      <c r="AH8" s="57"/>
      <c r="AI8" s="57"/>
    </row>
    <row r="9" spans="1:35" x14ac:dyDescent="0.25">
      <c r="A9" t="s">
        <v>12</v>
      </c>
      <c r="B9">
        <v>20</v>
      </c>
      <c r="C9" t="s">
        <v>25</v>
      </c>
      <c r="D9" s="57" t="s">
        <v>30</v>
      </c>
      <c r="H9" s="91" t="s">
        <v>40</v>
      </c>
      <c r="I9" s="92" t="s">
        <v>38</v>
      </c>
      <c r="J9" s="62">
        <v>0</v>
      </c>
      <c r="K9" s="62">
        <v>0</v>
      </c>
      <c r="L9" s="62">
        <v>0</v>
      </c>
      <c r="M9" s="62">
        <v>1</v>
      </c>
      <c r="N9" s="62">
        <v>0</v>
      </c>
      <c r="O9" s="62">
        <v>0</v>
      </c>
      <c r="P9" s="62">
        <v>0</v>
      </c>
      <c r="Q9" s="71">
        <v>500</v>
      </c>
      <c r="R9" s="71">
        <f t="array" ref="R9">SUMPRODUCT(J9:P9,TRANSPOSE($AC$10:$AC$16))*1000000/20000</f>
        <v>776</v>
      </c>
      <c r="S9" s="61">
        <f t="shared" si="2"/>
        <v>1.8115942028985508</v>
      </c>
      <c r="T9" s="62">
        <f>C23*1000/(3*10^8)</f>
        <v>8.3333333333333332E-3</v>
      </c>
      <c r="U9" s="62">
        <v>0.54</v>
      </c>
      <c r="V9" s="62">
        <f t="array" ref="V9">SUMPRODUCT(M9:P9, TRANSPOSE($AC$13:$AC$16))*(1000000/20000)/R9</f>
        <v>1</v>
      </c>
      <c r="W9" s="62">
        <f t="shared" si="3"/>
        <v>1.1956521739130435E-2</v>
      </c>
      <c r="X9" s="63">
        <f t="shared" si="0"/>
        <v>0.64432989690721654</v>
      </c>
      <c r="Y9" s="57">
        <f t="shared" si="1"/>
        <v>0</v>
      </c>
      <c r="Z9" s="57">
        <f t="shared" si="4"/>
        <v>5.1546391752577317E-2</v>
      </c>
      <c r="AA9" s="57"/>
      <c r="AB9" s="57" t="s">
        <v>11</v>
      </c>
      <c r="AC9" s="57" t="s">
        <v>22</v>
      </c>
      <c r="AD9" s="57"/>
      <c r="AE9" s="57"/>
      <c r="AF9" s="57"/>
      <c r="AG9" s="57"/>
      <c r="AH9" s="57"/>
      <c r="AI9" s="57"/>
    </row>
    <row r="10" spans="1:35" x14ac:dyDescent="0.25">
      <c r="A10" t="s">
        <v>13</v>
      </c>
      <c r="B10">
        <v>20</v>
      </c>
      <c r="C10" t="s">
        <v>26</v>
      </c>
      <c r="D10" s="57" t="s">
        <v>30</v>
      </c>
      <c r="H10" s="91" t="s">
        <v>37</v>
      </c>
      <c r="I10" s="92" t="s">
        <v>38</v>
      </c>
      <c r="J10" s="62">
        <v>0</v>
      </c>
      <c r="K10" s="62">
        <v>0</v>
      </c>
      <c r="L10" s="62">
        <v>1</v>
      </c>
      <c r="M10" s="62">
        <v>0</v>
      </c>
      <c r="N10" s="62">
        <v>0</v>
      </c>
      <c r="O10" s="62">
        <v>0</v>
      </c>
      <c r="P10" s="62">
        <v>0</v>
      </c>
      <c r="Q10" s="71">
        <v>200</v>
      </c>
      <c r="R10" s="71">
        <f t="array" ref="R10">SUMPRODUCT(J10:P10,TRANSPOSE($AC$10:$AC$16))*1000000/20000</f>
        <v>250</v>
      </c>
      <c r="S10" s="61">
        <f t="shared" si="2"/>
        <v>4</v>
      </c>
      <c r="T10" s="62">
        <f>C24*1000/(3*10^8)</f>
        <v>2.7333333333333334E-2</v>
      </c>
      <c r="U10" s="62">
        <v>0.54</v>
      </c>
      <c r="V10" s="62">
        <f t="array" ref="V10">SUMPRODUCT(M10:P10, TRANSPOSE($AC$13:$AC$16))*(1000000/20000)/R10</f>
        <v>0</v>
      </c>
      <c r="W10" s="62">
        <f t="shared" si="3"/>
        <v>0.56000000000000005</v>
      </c>
      <c r="X10" s="63">
        <f t="shared" si="0"/>
        <v>0.8</v>
      </c>
      <c r="Y10" s="57">
        <f t="shared" si="1"/>
        <v>0</v>
      </c>
      <c r="Z10" s="57">
        <f t="shared" si="4"/>
        <v>2.0618556701030927E-2</v>
      </c>
      <c r="AA10" s="57"/>
      <c r="AB10" s="57" t="s">
        <v>12</v>
      </c>
      <c r="AC10" s="54">
        <v>20</v>
      </c>
      <c r="AD10" s="57"/>
      <c r="AE10" s="57"/>
      <c r="AF10" s="57"/>
      <c r="AG10" s="57"/>
      <c r="AH10" s="57"/>
      <c r="AI10" s="57"/>
    </row>
    <row r="11" spans="1:35" x14ac:dyDescent="0.25">
      <c r="A11" t="s">
        <v>14</v>
      </c>
      <c r="B11">
        <v>5</v>
      </c>
      <c r="C11" t="s">
        <v>27</v>
      </c>
      <c r="D11" s="57" t="s">
        <v>31</v>
      </c>
      <c r="H11" s="93" t="s">
        <v>37</v>
      </c>
      <c r="I11" s="94" t="s">
        <v>40</v>
      </c>
      <c r="J11" s="62">
        <v>0</v>
      </c>
      <c r="K11" s="62">
        <v>0</v>
      </c>
      <c r="L11" s="62">
        <v>0</v>
      </c>
      <c r="M11" s="62">
        <v>2</v>
      </c>
      <c r="N11" s="62">
        <v>0</v>
      </c>
      <c r="O11" s="62">
        <v>0</v>
      </c>
      <c r="P11" s="62">
        <v>0</v>
      </c>
      <c r="Q11" s="71">
        <v>1000</v>
      </c>
      <c r="R11" s="71">
        <f t="array" ref="R11">SUMPRODUCT(J11:P11,TRANSPOSE($AC$10:$AC$16))*1000000/20000</f>
        <v>1552</v>
      </c>
      <c r="S11" s="61">
        <f t="shared" si="2"/>
        <v>1.8115942028985508</v>
      </c>
      <c r="T11" s="62">
        <f>E24*1000/(3*10^8)</f>
        <v>2.1999999999999999E-2</v>
      </c>
      <c r="U11" s="62">
        <v>0.54</v>
      </c>
      <c r="V11" s="62">
        <f t="array" ref="V11">SUMPRODUCT(M11:P11, TRANSPOSE($AC$13:$AC$16))*(1000000/20000)/R11</f>
        <v>1</v>
      </c>
      <c r="W11" s="62">
        <f t="shared" si="3"/>
        <v>2.3811594202898551E-2</v>
      </c>
      <c r="X11" s="63">
        <f t="shared" si="0"/>
        <v>0.64432989690721654</v>
      </c>
      <c r="Y11" s="57">
        <f t="shared" si="1"/>
        <v>0</v>
      </c>
      <c r="Z11" s="57">
        <f t="shared" si="4"/>
        <v>0.10309278350515463</v>
      </c>
      <c r="AA11" s="57"/>
      <c r="AB11" s="57" t="s">
        <v>13</v>
      </c>
      <c r="AC11" s="54">
        <v>20</v>
      </c>
      <c r="AD11" s="57"/>
      <c r="AE11" s="57"/>
      <c r="AF11" s="57"/>
      <c r="AG11" s="57"/>
      <c r="AH11" s="57"/>
      <c r="AI11" s="57"/>
    </row>
    <row r="12" spans="1:35" x14ac:dyDescent="0.25">
      <c r="A12" t="s">
        <v>15</v>
      </c>
      <c r="B12">
        <v>15.52</v>
      </c>
      <c r="C12" t="s">
        <v>28</v>
      </c>
      <c r="D12" s="57" t="s">
        <v>32</v>
      </c>
      <c r="H12" s="64"/>
      <c r="I12" s="65"/>
      <c r="J12" s="65"/>
      <c r="K12" s="65"/>
      <c r="L12" s="65"/>
      <c r="M12" s="65"/>
      <c r="N12" s="65"/>
      <c r="O12" s="65"/>
      <c r="P12" s="65"/>
      <c r="Q12" s="72">
        <f>SUM(Q2:Q11)</f>
        <v>6950</v>
      </c>
      <c r="R12" s="72">
        <f>SUM(R2:R11)</f>
        <v>12352.4</v>
      </c>
      <c r="S12" s="64">
        <f t="shared" si="2"/>
        <v>1.2864652746927292</v>
      </c>
      <c r="T12" s="62"/>
      <c r="U12" s="65"/>
      <c r="V12" s="62"/>
      <c r="W12" s="65">
        <f>1/(R12-Q12)</f>
        <v>1.8510291722197543E-4</v>
      </c>
      <c r="X12" s="66">
        <f t="shared" si="0"/>
        <v>0.56264369677147763</v>
      </c>
      <c r="Y12" s="57">
        <f t="shared" si="1"/>
        <v>0</v>
      </c>
      <c r="Z12" s="57"/>
      <c r="AA12" s="57"/>
      <c r="AB12" s="57" t="s">
        <v>14</v>
      </c>
      <c r="AC12" s="54">
        <v>5</v>
      </c>
      <c r="AD12" s="57"/>
      <c r="AE12" s="57"/>
      <c r="AF12" s="57"/>
      <c r="AG12" s="57"/>
      <c r="AH12" s="57"/>
      <c r="AI12" s="57"/>
    </row>
    <row r="13" spans="1:35" x14ac:dyDescent="0.25">
      <c r="A13" t="s">
        <v>16</v>
      </c>
      <c r="B13">
        <v>15.52</v>
      </c>
      <c r="C13" t="s">
        <v>27</v>
      </c>
      <c r="D13" s="57" t="s">
        <v>33</v>
      </c>
      <c r="H13" s="57"/>
      <c r="I13" s="57" t="s">
        <v>78</v>
      </c>
      <c r="J13" s="57">
        <f t="shared" ref="J13:P13" si="5">SUM(J2:J11)</f>
        <v>4</v>
      </c>
      <c r="K13" s="57">
        <f t="shared" si="5"/>
        <v>0</v>
      </c>
      <c r="L13" s="57">
        <f t="shared" si="5"/>
        <v>1</v>
      </c>
      <c r="M13" s="57">
        <f t="shared" si="5"/>
        <v>9</v>
      </c>
      <c r="N13" s="57">
        <f t="shared" si="5"/>
        <v>0</v>
      </c>
      <c r="O13" s="57">
        <f t="shared" si="5"/>
        <v>3</v>
      </c>
      <c r="P13" s="57">
        <f t="shared" si="5"/>
        <v>2</v>
      </c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 t="s">
        <v>15</v>
      </c>
      <c r="AC13" s="54">
        <v>15.52</v>
      </c>
      <c r="AD13" s="57"/>
      <c r="AE13" s="57"/>
      <c r="AF13" s="57"/>
      <c r="AG13" s="57"/>
      <c r="AH13" s="57"/>
      <c r="AI13" s="57"/>
    </row>
    <row r="14" spans="1:35" x14ac:dyDescent="0.25">
      <c r="A14" t="s">
        <v>17</v>
      </c>
      <c r="B14">
        <v>4.4736000000000002</v>
      </c>
      <c r="C14" t="s">
        <v>29</v>
      </c>
      <c r="D14" s="57" t="s">
        <v>32</v>
      </c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 t="s">
        <v>16</v>
      </c>
      <c r="AC14" s="54">
        <v>15.52</v>
      </c>
      <c r="AD14" s="57"/>
      <c r="AE14" s="57"/>
      <c r="AF14" s="57"/>
      <c r="AG14" s="57"/>
      <c r="AH14" s="57"/>
      <c r="AI14" s="57"/>
    </row>
    <row r="15" spans="1:35" x14ac:dyDescent="0.25">
      <c r="A15" t="s">
        <v>18</v>
      </c>
      <c r="B15">
        <v>4.4736000000000002</v>
      </c>
      <c r="C15" t="s">
        <v>27</v>
      </c>
      <c r="D15" s="57" t="s">
        <v>31</v>
      </c>
      <c r="H15" s="106" t="s">
        <v>69</v>
      </c>
      <c r="I15" s="106"/>
      <c r="J15" s="106"/>
      <c r="K15" s="106"/>
      <c r="L15" s="106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 t="s">
        <v>79</v>
      </c>
      <c r="X15" s="57">
        <f>SUMPRODUCT(Z2:Z11,W2:W11)+SUMPRODUCT(P41:P50,R41:R50)</f>
        <v>0.36852183435804931</v>
      </c>
      <c r="Y15" s="57"/>
      <c r="Z15" s="57"/>
      <c r="AA15" s="57"/>
      <c r="AB15" s="57" t="s">
        <v>17</v>
      </c>
      <c r="AC15" s="54">
        <v>4.4736000000000002</v>
      </c>
      <c r="AD15" s="57"/>
      <c r="AE15" s="57"/>
      <c r="AF15" s="57"/>
      <c r="AG15" s="57"/>
      <c r="AH15" s="57"/>
      <c r="AI15" s="57"/>
    </row>
    <row r="16" spans="1:35" x14ac:dyDescent="0.25">
      <c r="D16" s="57"/>
      <c r="H16" s="57" t="s">
        <v>58</v>
      </c>
      <c r="I16" s="74">
        <f>SUM(J2:J11)*60000000*0+SUM(K2:K11)*40000000</f>
        <v>0</v>
      </c>
      <c r="J16" s="74" t="s">
        <v>77</v>
      </c>
      <c r="K16" s="74">
        <f>J13*8000+K13*8000+L13*500000+M13*5000+N13*700000+O13*5000+P13*500000</f>
        <v>1592000</v>
      </c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 t="s">
        <v>80</v>
      </c>
      <c r="X16" s="57">
        <f>X15*1000</f>
        <v>368.52183435804932</v>
      </c>
      <c r="Y16" s="57"/>
      <c r="Z16" s="57"/>
      <c r="AA16" s="57"/>
      <c r="AB16" s="57" t="s">
        <v>18</v>
      </c>
      <c r="AC16" s="54">
        <v>4.4736000000000002</v>
      </c>
      <c r="AD16" s="57"/>
      <c r="AE16" s="57"/>
      <c r="AF16" s="57"/>
      <c r="AG16" s="57"/>
      <c r="AH16" s="57"/>
      <c r="AI16" s="57"/>
    </row>
    <row r="17" spans="1:36" ht="15.75" thickBot="1" x14ac:dyDescent="0.3">
      <c r="D17" s="57"/>
      <c r="H17" s="57"/>
      <c r="I17" s="74"/>
      <c r="L17" s="57"/>
      <c r="AA17" s="57"/>
      <c r="AB17" s="57"/>
      <c r="AC17" s="57"/>
      <c r="AD17" s="57"/>
      <c r="AE17" s="57"/>
      <c r="AF17" s="57"/>
      <c r="AG17" s="57"/>
      <c r="AH17" s="57"/>
      <c r="AI17" s="57"/>
    </row>
    <row r="18" spans="1:36" ht="16.5" thickTop="1" thickBot="1" x14ac:dyDescent="0.3">
      <c r="A18" s="103" t="s">
        <v>0</v>
      </c>
      <c r="B18" s="98" t="s">
        <v>1</v>
      </c>
      <c r="C18" s="99"/>
      <c r="D18" s="99"/>
      <c r="E18" s="99"/>
      <c r="F18" s="100"/>
      <c r="G18" s="55"/>
      <c r="I18" s="74"/>
      <c r="J18" t="s">
        <v>67</v>
      </c>
      <c r="K18" s="75">
        <f>SUM(J2:P11)*20000</f>
        <v>380000</v>
      </c>
      <c r="AA18" s="57"/>
      <c r="AB18" s="57"/>
      <c r="AC18" s="57"/>
      <c r="AD18" s="57"/>
      <c r="AE18" s="57"/>
      <c r="AF18" s="57"/>
      <c r="AG18" s="57"/>
      <c r="AH18" s="57"/>
      <c r="AI18" s="57"/>
    </row>
    <row r="19" spans="1:36" ht="16.5" thickTop="1" thickBot="1" x14ac:dyDescent="0.3">
      <c r="A19" s="105"/>
      <c r="B19" s="18" t="s">
        <v>2</v>
      </c>
      <c r="C19" s="2" t="s">
        <v>3</v>
      </c>
      <c r="D19" s="2" t="s">
        <v>4</v>
      </c>
      <c r="E19" s="2" t="s">
        <v>5</v>
      </c>
      <c r="F19" s="19" t="s">
        <v>6</v>
      </c>
      <c r="G19" s="55"/>
      <c r="H19" s="57"/>
      <c r="I19" s="74"/>
      <c r="AA19" s="57"/>
      <c r="AB19" s="57"/>
      <c r="AC19" s="57"/>
      <c r="AD19" s="57"/>
      <c r="AE19" s="57"/>
      <c r="AF19" s="57"/>
      <c r="AG19" s="57"/>
      <c r="AH19" s="57"/>
      <c r="AI19" s="57"/>
    </row>
    <row r="20" spans="1:36" ht="15.75" thickTop="1" x14ac:dyDescent="0.25">
      <c r="A20" s="12" t="s">
        <v>2</v>
      </c>
      <c r="B20" s="7">
        <v>0</v>
      </c>
      <c r="C20" s="8">
        <v>5400</v>
      </c>
      <c r="D20" s="8">
        <v>14000</v>
      </c>
      <c r="E20" s="8">
        <v>7900</v>
      </c>
      <c r="F20" s="9">
        <v>12000</v>
      </c>
      <c r="G20" s="90"/>
      <c r="H20" s="57"/>
      <c r="I20" s="74"/>
      <c r="W20" t="s">
        <v>81</v>
      </c>
      <c r="AA20" s="57"/>
      <c r="AB20" s="57"/>
      <c r="AC20" s="57"/>
      <c r="AD20" s="57"/>
      <c r="AE20" s="57"/>
      <c r="AF20" s="57"/>
      <c r="AG20" s="57"/>
      <c r="AH20" s="57"/>
      <c r="AI20" s="57"/>
    </row>
    <row r="21" spans="1:36" x14ac:dyDescent="0.25">
      <c r="A21" s="3" t="s">
        <v>3</v>
      </c>
      <c r="B21" s="6">
        <v>5400</v>
      </c>
      <c r="C21" s="1">
        <v>0</v>
      </c>
      <c r="D21" s="1">
        <v>12500</v>
      </c>
      <c r="E21" s="1">
        <v>2500</v>
      </c>
      <c r="F21" s="1">
        <v>8200</v>
      </c>
      <c r="G21" s="1"/>
      <c r="H21" s="57"/>
      <c r="I21" s="74"/>
      <c r="K21" s="75"/>
      <c r="W21" t="s">
        <v>82</v>
      </c>
      <c r="X21" s="96">
        <f>L35/6000000</f>
        <v>159.89333333333335</v>
      </c>
      <c r="AA21" s="57"/>
      <c r="AB21" s="57"/>
      <c r="AC21" s="57"/>
      <c r="AD21" s="57"/>
      <c r="AE21" s="57"/>
      <c r="AF21" s="57"/>
      <c r="AG21" s="57"/>
      <c r="AH21" s="57"/>
      <c r="AI21" s="57"/>
    </row>
    <row r="22" spans="1:36" x14ac:dyDescent="0.25">
      <c r="A22" s="10" t="s">
        <v>4</v>
      </c>
      <c r="B22" s="1">
        <v>14000</v>
      </c>
      <c r="C22" s="1">
        <v>12500</v>
      </c>
      <c r="D22" s="1">
        <v>0</v>
      </c>
      <c r="E22" s="1">
        <v>11200</v>
      </c>
      <c r="F22" s="1">
        <v>4600</v>
      </c>
      <c r="G22" s="1"/>
      <c r="W22" t="s">
        <v>83</v>
      </c>
      <c r="X22">
        <v>0</v>
      </c>
      <c r="AA22" s="57"/>
      <c r="AB22" s="57"/>
      <c r="AC22" s="57"/>
      <c r="AD22" s="57"/>
      <c r="AE22" s="57"/>
      <c r="AF22" s="57"/>
      <c r="AG22" s="57"/>
      <c r="AH22" s="57"/>
      <c r="AI22" s="57"/>
    </row>
    <row r="23" spans="1:36" x14ac:dyDescent="0.25">
      <c r="A23" s="10" t="s">
        <v>5</v>
      </c>
      <c r="B23" s="1">
        <v>7900</v>
      </c>
      <c r="C23" s="1">
        <v>2500</v>
      </c>
      <c r="D23" s="1">
        <v>11200</v>
      </c>
      <c r="E23" s="1">
        <v>0</v>
      </c>
      <c r="F23" s="1">
        <v>6600</v>
      </c>
      <c r="G23" s="1"/>
      <c r="L23" s="95"/>
      <c r="W23" t="s">
        <v>126</v>
      </c>
      <c r="X23">
        <f>X16*0.1</f>
        <v>36.852183435804932</v>
      </c>
      <c r="AA23" s="57"/>
      <c r="AB23" s="57"/>
      <c r="AC23" s="57"/>
      <c r="AD23" s="57"/>
      <c r="AE23" s="57"/>
      <c r="AF23" s="57"/>
      <c r="AG23" s="57"/>
      <c r="AH23" s="57"/>
      <c r="AI23" s="57"/>
    </row>
    <row r="24" spans="1:36" ht="15.75" thickBot="1" x14ac:dyDescent="0.3">
      <c r="A24" s="3" t="s">
        <v>6</v>
      </c>
      <c r="B24" s="11">
        <v>12000</v>
      </c>
      <c r="C24" s="1">
        <v>8200</v>
      </c>
      <c r="D24" s="1">
        <v>4600</v>
      </c>
      <c r="E24" s="4">
        <v>6600</v>
      </c>
      <c r="F24" s="4">
        <v>0</v>
      </c>
      <c r="G24" s="90"/>
      <c r="H24" t="s">
        <v>88</v>
      </c>
      <c r="I24" t="s">
        <v>123</v>
      </c>
      <c r="K24" t="s">
        <v>118</v>
      </c>
      <c r="L24" t="s">
        <v>120</v>
      </c>
      <c r="M24" s="75">
        <f>N13*700000+P13*500000</f>
        <v>1000000</v>
      </c>
      <c r="W24" t="s">
        <v>85</v>
      </c>
      <c r="X24" s="76">
        <f>SUM(X21:X23)</f>
        <v>196.74551676913828</v>
      </c>
      <c r="AA24" s="57"/>
      <c r="AB24" s="57"/>
      <c r="AC24" s="57"/>
      <c r="AD24" s="57"/>
      <c r="AE24" s="57"/>
      <c r="AF24" s="57"/>
      <c r="AG24" s="57"/>
      <c r="AH24" s="57"/>
      <c r="AI24" s="57"/>
    </row>
    <row r="25" spans="1:36" ht="15.75" thickTop="1" x14ac:dyDescent="0.25">
      <c r="D25" s="57"/>
      <c r="E25" s="57"/>
      <c r="F25" s="57"/>
      <c r="G25" s="57"/>
      <c r="H25" s="57" t="s">
        <v>89</v>
      </c>
      <c r="I25" s="57">
        <f>IF(NOT((M2+O2)=0), 1, 0)</f>
        <v>1</v>
      </c>
      <c r="J25" s="78">
        <f>10000*$D$20*I25</f>
        <v>140000000</v>
      </c>
      <c r="K25" s="78">
        <f>((M2*4000+O2*2000)*$D$20)</f>
        <v>196000000</v>
      </c>
      <c r="L25" s="75" t="s">
        <v>121</v>
      </c>
      <c r="M25" s="75">
        <f>M13*5000+O13*5000</f>
        <v>60000</v>
      </c>
      <c r="AB25" s="57"/>
      <c r="AC25" s="57"/>
      <c r="AD25" s="57"/>
      <c r="AE25" s="57"/>
      <c r="AF25" s="57"/>
      <c r="AG25" s="57"/>
      <c r="AH25" s="57"/>
      <c r="AI25" s="57"/>
      <c r="AJ25" s="57"/>
    </row>
    <row r="26" spans="1:36" x14ac:dyDescent="0.25">
      <c r="D26" s="57"/>
      <c r="E26" s="57"/>
      <c r="F26" s="57"/>
      <c r="G26" s="57"/>
      <c r="H26" s="57" t="s">
        <v>90</v>
      </c>
      <c r="I26" s="57">
        <f t="shared" ref="I26:I34" si="6">IF(NOT((M3+O3)=0), 1, 0)</f>
        <v>0</v>
      </c>
      <c r="J26" s="78">
        <f>I26*10000*$E$20</f>
        <v>0</v>
      </c>
      <c r="K26" s="78">
        <f>((M3*4000+O3*2000)*E20)</f>
        <v>0</v>
      </c>
      <c r="L26" t="s">
        <v>67</v>
      </c>
      <c r="M26" s="75">
        <f>SUM(J13:P13)*2*20000</f>
        <v>760000</v>
      </c>
      <c r="N26" t="s">
        <v>122</v>
      </c>
      <c r="AB26" s="57"/>
      <c r="AC26" s="57"/>
      <c r="AD26" s="57"/>
      <c r="AE26" s="57"/>
      <c r="AF26" s="57"/>
      <c r="AG26" s="57"/>
      <c r="AH26" s="57"/>
      <c r="AI26" s="57"/>
      <c r="AJ26" s="57"/>
    </row>
    <row r="27" spans="1:36" ht="15.75" thickBot="1" x14ac:dyDescent="0.3">
      <c r="H27" s="57" t="s">
        <v>91</v>
      </c>
      <c r="I27" s="57">
        <f t="shared" si="6"/>
        <v>0</v>
      </c>
      <c r="J27" s="78">
        <f>I27*10000*$F$20</f>
        <v>0</v>
      </c>
      <c r="K27" s="78">
        <f>((M4*4000+O4*2000)*F20)</f>
        <v>0</v>
      </c>
      <c r="AD27" s="57"/>
      <c r="AE27" s="57"/>
    </row>
    <row r="28" spans="1:36" ht="16.5" thickTop="1" thickBot="1" x14ac:dyDescent="0.3">
      <c r="A28" s="79" t="s">
        <v>2</v>
      </c>
      <c r="B28" s="80" t="s">
        <v>99</v>
      </c>
      <c r="C28" s="81" t="s">
        <v>100</v>
      </c>
      <c r="D28">
        <v>21.33</v>
      </c>
      <c r="E28">
        <v>157.91999999999999</v>
      </c>
      <c r="H28" s="57" t="s">
        <v>114</v>
      </c>
      <c r="I28" s="57">
        <f t="shared" si="6"/>
        <v>1</v>
      </c>
      <c r="J28" s="78">
        <f>I28*10000*$B$21</f>
        <v>54000000</v>
      </c>
      <c r="K28" s="78">
        <f>((M5*4000+O5*2000)*$B$21)</f>
        <v>21600000</v>
      </c>
      <c r="AD28" s="57"/>
      <c r="AE28" s="57"/>
    </row>
    <row r="29" spans="1:36" ht="16.5" thickTop="1" thickBot="1" x14ac:dyDescent="0.3">
      <c r="A29" s="82" t="s">
        <v>3</v>
      </c>
      <c r="B29" s="83" t="s">
        <v>101</v>
      </c>
      <c r="C29" s="84" t="s">
        <v>102</v>
      </c>
      <c r="D29">
        <v>38.82</v>
      </c>
      <c r="E29">
        <v>104.72</v>
      </c>
      <c r="H29" s="57" t="s">
        <v>92</v>
      </c>
      <c r="I29" s="57">
        <f t="shared" si="6"/>
        <v>0</v>
      </c>
      <c r="J29" s="78">
        <f>I29*10000*$D$21</f>
        <v>0</v>
      </c>
      <c r="K29" s="78">
        <f>(M6*4000+O6*2000)*$D$21</f>
        <v>0</v>
      </c>
      <c r="AD29" s="57"/>
      <c r="AE29" s="57"/>
    </row>
    <row r="30" spans="1:36" ht="16.5" thickTop="1" thickBot="1" x14ac:dyDescent="0.3">
      <c r="A30" s="82" t="s">
        <v>4</v>
      </c>
      <c r="B30" s="83" t="s">
        <v>103</v>
      </c>
      <c r="C30" s="84" t="s">
        <v>104</v>
      </c>
      <c r="D30">
        <v>25.3</v>
      </c>
      <c r="E30">
        <v>51.52</v>
      </c>
      <c r="H30" s="57" t="s">
        <v>95</v>
      </c>
      <c r="I30" s="57">
        <f t="shared" si="6"/>
        <v>1</v>
      </c>
      <c r="J30" s="78">
        <f>I30*10000*$E$22</f>
        <v>112000000</v>
      </c>
      <c r="K30" s="78">
        <f>(M7*4000+O7*2000)*$E$22</f>
        <v>89600000</v>
      </c>
      <c r="AD30" s="57"/>
      <c r="AE30" s="57"/>
    </row>
    <row r="31" spans="1:36" ht="16.5" thickTop="1" thickBot="1" x14ac:dyDescent="0.3">
      <c r="A31" s="82" t="s">
        <v>5</v>
      </c>
      <c r="B31" s="83" t="s">
        <v>105</v>
      </c>
      <c r="C31" s="84" t="s">
        <v>106</v>
      </c>
      <c r="D31">
        <v>36.9</v>
      </c>
      <c r="E31">
        <v>76.2</v>
      </c>
      <c r="H31" s="57" t="s">
        <v>96</v>
      </c>
      <c r="I31" s="57">
        <f t="shared" si="6"/>
        <v>1</v>
      </c>
      <c r="J31" s="78">
        <f>I31*10000*$F$22</f>
        <v>46000000</v>
      </c>
      <c r="K31" s="78">
        <f>(M8*4000+O8*2000)*$F$22</f>
        <v>18400000</v>
      </c>
      <c r="AD31" s="57"/>
      <c r="AE31" s="57"/>
    </row>
    <row r="32" spans="1:36" ht="16.5" thickTop="1" thickBot="1" x14ac:dyDescent="0.3">
      <c r="A32" s="85" t="s">
        <v>6</v>
      </c>
      <c r="B32" s="86" t="s">
        <v>107</v>
      </c>
      <c r="C32" s="87" t="s">
        <v>108</v>
      </c>
      <c r="D32">
        <v>49.57</v>
      </c>
      <c r="E32">
        <v>8.4700000000000006</v>
      </c>
      <c r="H32" s="57" t="s">
        <v>115</v>
      </c>
      <c r="I32" s="57">
        <f t="shared" si="6"/>
        <v>1</v>
      </c>
      <c r="J32" s="78">
        <f>I32*10000*$C$23</f>
        <v>25000000</v>
      </c>
      <c r="K32" s="78">
        <f>(M9*4000+O9*2000)*$C$23</f>
        <v>10000000</v>
      </c>
    </row>
    <row r="33" spans="1:18" ht="16.5" thickTop="1" thickBot="1" x14ac:dyDescent="0.3">
      <c r="H33" s="57" t="s">
        <v>116</v>
      </c>
      <c r="I33" s="57">
        <f t="shared" si="6"/>
        <v>0</v>
      </c>
      <c r="J33" s="78">
        <f>I33*10000*$C$24</f>
        <v>0</v>
      </c>
      <c r="K33" s="78">
        <f>(M10*4000+O10*2000)*$C$24</f>
        <v>0</v>
      </c>
    </row>
    <row r="34" spans="1:18" ht="16.5" thickTop="1" thickBot="1" x14ac:dyDescent="0.3">
      <c r="A34" s="88" t="s">
        <v>34</v>
      </c>
      <c r="B34" s="89" t="s">
        <v>35</v>
      </c>
      <c r="C34" t="s">
        <v>109</v>
      </c>
      <c r="D34" t="s">
        <v>110</v>
      </c>
      <c r="H34" s="57" t="s">
        <v>117</v>
      </c>
      <c r="I34" s="57">
        <f t="shared" si="6"/>
        <v>1</v>
      </c>
      <c r="J34" s="78">
        <f>I34*10000*$E$24</f>
        <v>66000000</v>
      </c>
      <c r="K34" s="78">
        <f>(M11*4000+O11*2000)*$E$24</f>
        <v>52800000</v>
      </c>
    </row>
    <row r="35" spans="1:18" x14ac:dyDescent="0.25">
      <c r="A35" s="33" t="s">
        <v>2</v>
      </c>
      <c r="B35" s="16" t="s">
        <v>36</v>
      </c>
      <c r="C35">
        <v>1</v>
      </c>
      <c r="D35">
        <v>1</v>
      </c>
      <c r="K35" t="s">
        <v>74</v>
      </c>
      <c r="L35" s="78">
        <f>I37+SUM(M24:M25)*120+M26</f>
        <v>959360000</v>
      </c>
    </row>
    <row r="36" spans="1:18" x14ac:dyDescent="0.25">
      <c r="A36" s="33" t="s">
        <v>3</v>
      </c>
      <c r="B36" s="16" t="s">
        <v>38</v>
      </c>
      <c r="C36">
        <v>0</v>
      </c>
      <c r="D36">
        <v>1</v>
      </c>
      <c r="H36" s="57"/>
    </row>
    <row r="37" spans="1:18" x14ac:dyDescent="0.25">
      <c r="A37" s="33" t="s">
        <v>4</v>
      </c>
      <c r="B37" s="16" t="s">
        <v>39</v>
      </c>
      <c r="C37">
        <v>1</v>
      </c>
      <c r="D37">
        <v>1</v>
      </c>
      <c r="H37" s="57" t="s">
        <v>119</v>
      </c>
      <c r="I37" s="78">
        <f>SUM(J25:K34)+I16</f>
        <v>831400000</v>
      </c>
    </row>
    <row r="38" spans="1:18" x14ac:dyDescent="0.25">
      <c r="A38" s="33" t="s">
        <v>5</v>
      </c>
      <c r="B38" s="16" t="s">
        <v>40</v>
      </c>
      <c r="C38">
        <v>1</v>
      </c>
      <c r="D38">
        <v>1</v>
      </c>
      <c r="H38" s="57"/>
    </row>
    <row r="39" spans="1:18" ht="15.75" thickBot="1" x14ac:dyDescent="0.3">
      <c r="A39" s="34" t="s">
        <v>6</v>
      </c>
      <c r="B39" s="17" t="s">
        <v>37</v>
      </c>
      <c r="C39">
        <v>1</v>
      </c>
      <c r="D39">
        <v>0</v>
      </c>
      <c r="H39" s="57"/>
    </row>
    <row r="40" spans="1:18" ht="16.5" thickTop="1" thickBot="1" x14ac:dyDescent="0.3">
      <c r="H40" s="67" t="s">
        <v>0</v>
      </c>
      <c r="I40" s="68" t="s">
        <v>1</v>
      </c>
      <c r="J40" t="s">
        <v>65</v>
      </c>
      <c r="K40" t="s">
        <v>66</v>
      </c>
      <c r="L40" t="s">
        <v>42</v>
      </c>
      <c r="M40" t="s">
        <v>124</v>
      </c>
      <c r="N40" t="s">
        <v>112</v>
      </c>
      <c r="O40" t="s">
        <v>113</v>
      </c>
      <c r="P40" t="s">
        <v>125</v>
      </c>
      <c r="Q40" t="s">
        <v>41</v>
      </c>
      <c r="R40" t="s">
        <v>76</v>
      </c>
    </row>
    <row r="41" spans="1:18" x14ac:dyDescent="0.25">
      <c r="H41" s="91" t="s">
        <v>36</v>
      </c>
      <c r="I41" s="92" t="s">
        <v>39</v>
      </c>
      <c r="J41">
        <v>250</v>
      </c>
      <c r="K41">
        <f>R2</f>
        <v>2551.6799999999998</v>
      </c>
      <c r="L41">
        <f>1/(K41-J41)</f>
        <v>4.3446526015779779E-4</v>
      </c>
      <c r="M41">
        <f>T2</f>
        <v>4.6666666666666669E-2</v>
      </c>
      <c r="N41">
        <f t="shared" ref="N41:O51" si="7">U2</f>
        <v>0.54</v>
      </c>
      <c r="O41">
        <f t="shared" si="7"/>
        <v>1</v>
      </c>
      <c r="P41">
        <f>J41/(K41-J41)+O41*M41+(1-O41)*N41</f>
        <v>0.15528298170611612</v>
      </c>
      <c r="Q41">
        <f>J41/K41</f>
        <v>9.7974667669927268E-2</v>
      </c>
      <c r="R41">
        <f>J41/(J451+$Q$12)</f>
        <v>3.5971223021582732E-2</v>
      </c>
    </row>
    <row r="42" spans="1:18" x14ac:dyDescent="0.25">
      <c r="H42" s="91" t="s">
        <v>36</v>
      </c>
      <c r="I42" s="92" t="s">
        <v>40</v>
      </c>
      <c r="J42">
        <v>250</v>
      </c>
      <c r="K42">
        <f t="shared" ref="K42:K50" si="8">R3</f>
        <v>2000</v>
      </c>
      <c r="L42">
        <f t="shared" ref="L42:L51" si="9">1/(K42-J42)</f>
        <v>5.7142857142857147E-4</v>
      </c>
      <c r="M42">
        <f t="shared" ref="M42:M51" si="10">T3</f>
        <v>2.6333333333333334E-2</v>
      </c>
      <c r="N42">
        <f t="shared" si="7"/>
        <v>0.54</v>
      </c>
      <c r="O42">
        <f t="shared" si="7"/>
        <v>0</v>
      </c>
      <c r="P42">
        <f t="shared" ref="P42:P51" si="11">J42/(K42-J42)+O42*M42+(1-O42)*N42</f>
        <v>0.68285714285714283</v>
      </c>
      <c r="Q42">
        <f t="shared" ref="Q42:Q51" si="12">J42/K42</f>
        <v>0.125</v>
      </c>
      <c r="R42">
        <f t="shared" ref="R42:R50" si="13">J42/(J452+$Q$12)</f>
        <v>3.5971223021582732E-2</v>
      </c>
    </row>
    <row r="43" spans="1:18" x14ac:dyDescent="0.25">
      <c r="H43" s="91" t="s">
        <v>36</v>
      </c>
      <c r="I43" s="92" t="s">
        <v>37</v>
      </c>
      <c r="J43">
        <v>250</v>
      </c>
      <c r="K43">
        <f t="shared" si="8"/>
        <v>447.36</v>
      </c>
      <c r="L43">
        <f t="shared" si="9"/>
        <v>5.0668828536684233E-3</v>
      </c>
      <c r="M43">
        <f t="shared" si="10"/>
        <v>0.04</v>
      </c>
      <c r="N43">
        <f t="shared" si="7"/>
        <v>0.54</v>
      </c>
      <c r="O43">
        <f t="shared" si="7"/>
        <v>1</v>
      </c>
      <c r="P43">
        <f t="shared" si="11"/>
        <v>1.3067207134171057</v>
      </c>
      <c r="Q43">
        <f t="shared" si="12"/>
        <v>0.55883404864091557</v>
      </c>
      <c r="R43">
        <f t="shared" si="13"/>
        <v>3.5971223021582732E-2</v>
      </c>
    </row>
    <row r="44" spans="1:18" x14ac:dyDescent="0.25">
      <c r="H44" s="91" t="s">
        <v>38</v>
      </c>
      <c r="I44" s="92" t="s">
        <v>36</v>
      </c>
      <c r="J44">
        <v>200</v>
      </c>
      <c r="K44">
        <f t="shared" si="8"/>
        <v>447.36</v>
      </c>
      <c r="L44">
        <f t="shared" si="9"/>
        <v>4.0426908150064684E-3</v>
      </c>
      <c r="M44">
        <f t="shared" si="10"/>
        <v>1.7999999999999999E-2</v>
      </c>
      <c r="N44">
        <f t="shared" si="7"/>
        <v>0.54</v>
      </c>
      <c r="O44">
        <f t="shared" si="7"/>
        <v>1</v>
      </c>
      <c r="P44">
        <f t="shared" si="11"/>
        <v>0.82653816300129368</v>
      </c>
      <c r="Q44">
        <f t="shared" si="12"/>
        <v>0.44706723891273248</v>
      </c>
      <c r="R44">
        <f t="shared" si="13"/>
        <v>2.8776978417266189E-2</v>
      </c>
    </row>
    <row r="45" spans="1:18" x14ac:dyDescent="0.25">
      <c r="H45" s="91" t="s">
        <v>38</v>
      </c>
      <c r="I45" s="92" t="s">
        <v>39</v>
      </c>
      <c r="J45">
        <v>500</v>
      </c>
      <c r="K45">
        <f t="shared" si="8"/>
        <v>2000</v>
      </c>
      <c r="L45">
        <f t="shared" si="9"/>
        <v>6.6666666666666664E-4</v>
      </c>
      <c r="M45">
        <f t="shared" si="10"/>
        <v>4.1666666666666664E-2</v>
      </c>
      <c r="N45">
        <f t="shared" si="7"/>
        <v>0.54</v>
      </c>
      <c r="O45">
        <f t="shared" si="7"/>
        <v>0</v>
      </c>
      <c r="P45">
        <f t="shared" si="11"/>
        <v>0.87333333333333329</v>
      </c>
      <c r="Q45">
        <f t="shared" si="12"/>
        <v>0.25</v>
      </c>
      <c r="R45">
        <f t="shared" si="13"/>
        <v>7.1942446043165464E-2</v>
      </c>
    </row>
    <row r="46" spans="1:18" x14ac:dyDescent="0.25">
      <c r="H46" s="91" t="s">
        <v>39</v>
      </c>
      <c r="I46" s="92" t="s">
        <v>40</v>
      </c>
      <c r="J46">
        <v>500</v>
      </c>
      <c r="K46">
        <f t="shared" si="8"/>
        <v>1552</v>
      </c>
      <c r="L46">
        <f t="shared" si="9"/>
        <v>9.5057034220532319E-4</v>
      </c>
      <c r="M46">
        <f t="shared" si="10"/>
        <v>3.7333333333333336E-2</v>
      </c>
      <c r="N46">
        <f t="shared" si="7"/>
        <v>0.54</v>
      </c>
      <c r="O46">
        <f t="shared" si="7"/>
        <v>1</v>
      </c>
      <c r="P46">
        <f t="shared" si="11"/>
        <v>0.51261850443599499</v>
      </c>
      <c r="Q46">
        <f t="shared" si="12"/>
        <v>0.32216494845360827</v>
      </c>
      <c r="R46">
        <f t="shared" si="13"/>
        <v>7.1942446043165464E-2</v>
      </c>
    </row>
    <row r="47" spans="1:18" x14ac:dyDescent="0.25">
      <c r="H47" s="91" t="s">
        <v>39</v>
      </c>
      <c r="I47" s="92" t="s">
        <v>37</v>
      </c>
      <c r="J47">
        <v>250</v>
      </c>
      <c r="K47">
        <f t="shared" si="8"/>
        <v>776</v>
      </c>
      <c r="L47">
        <f t="shared" si="9"/>
        <v>1.9011406844106464E-3</v>
      </c>
      <c r="M47">
        <f t="shared" si="10"/>
        <v>1.5333333333333332E-2</v>
      </c>
      <c r="N47">
        <f t="shared" si="7"/>
        <v>0.54</v>
      </c>
      <c r="O47">
        <f t="shared" si="7"/>
        <v>1</v>
      </c>
      <c r="P47">
        <f t="shared" si="11"/>
        <v>0.49061850443599492</v>
      </c>
      <c r="Q47">
        <f t="shared" si="12"/>
        <v>0.32216494845360827</v>
      </c>
      <c r="R47">
        <f t="shared" si="13"/>
        <v>3.5971223021582732E-2</v>
      </c>
    </row>
    <row r="48" spans="1:18" x14ac:dyDescent="0.25">
      <c r="H48" s="91" t="s">
        <v>40</v>
      </c>
      <c r="I48" s="92" t="s">
        <v>38</v>
      </c>
      <c r="J48">
        <v>250</v>
      </c>
      <c r="K48">
        <f t="shared" si="8"/>
        <v>776</v>
      </c>
      <c r="L48">
        <f t="shared" si="9"/>
        <v>1.9011406844106464E-3</v>
      </c>
      <c r="M48">
        <f t="shared" si="10"/>
        <v>8.3333333333333332E-3</v>
      </c>
      <c r="N48">
        <f t="shared" si="7"/>
        <v>0.54</v>
      </c>
      <c r="O48">
        <f t="shared" si="7"/>
        <v>1</v>
      </c>
      <c r="P48">
        <f t="shared" si="11"/>
        <v>0.48361850443599497</v>
      </c>
      <c r="Q48">
        <f t="shared" si="12"/>
        <v>0.32216494845360827</v>
      </c>
      <c r="R48">
        <f t="shared" si="13"/>
        <v>3.5971223021582732E-2</v>
      </c>
    </row>
    <row r="49" spans="8:18" x14ac:dyDescent="0.25">
      <c r="H49" s="91" t="s">
        <v>37</v>
      </c>
      <c r="I49" s="92" t="s">
        <v>38</v>
      </c>
      <c r="J49">
        <v>50</v>
      </c>
      <c r="K49">
        <f t="shared" si="8"/>
        <v>250</v>
      </c>
      <c r="L49">
        <f t="shared" si="9"/>
        <v>5.0000000000000001E-3</v>
      </c>
      <c r="M49">
        <f t="shared" si="10"/>
        <v>2.7333333333333334E-2</v>
      </c>
      <c r="N49">
        <f t="shared" si="7"/>
        <v>0.54</v>
      </c>
      <c r="O49">
        <f t="shared" si="7"/>
        <v>0</v>
      </c>
      <c r="P49">
        <f t="shared" si="11"/>
        <v>0.79</v>
      </c>
      <c r="Q49">
        <f t="shared" si="12"/>
        <v>0.2</v>
      </c>
      <c r="R49">
        <f t="shared" si="13"/>
        <v>7.1942446043165471E-3</v>
      </c>
    </row>
    <row r="50" spans="8:18" x14ac:dyDescent="0.25">
      <c r="H50" s="93" t="s">
        <v>37</v>
      </c>
      <c r="I50" s="94" t="s">
        <v>40</v>
      </c>
      <c r="J50">
        <v>250</v>
      </c>
      <c r="K50">
        <f t="shared" si="8"/>
        <v>1552</v>
      </c>
      <c r="L50">
        <f t="shared" si="9"/>
        <v>7.6804915514592934E-4</v>
      </c>
      <c r="M50">
        <f t="shared" si="10"/>
        <v>2.1999999999999999E-2</v>
      </c>
      <c r="N50">
        <f t="shared" si="7"/>
        <v>0.54</v>
      </c>
      <c r="O50">
        <f t="shared" si="7"/>
        <v>1</v>
      </c>
      <c r="P50">
        <f t="shared" si="11"/>
        <v>0.21401228878648232</v>
      </c>
      <c r="Q50">
        <f t="shared" si="12"/>
        <v>0.16108247422680413</v>
      </c>
      <c r="R50">
        <f t="shared" si="13"/>
        <v>3.5971223021582732E-2</v>
      </c>
    </row>
    <row r="51" spans="8:18" x14ac:dyDescent="0.25">
      <c r="J51">
        <f>SUM(J41:J50)</f>
        <v>2750</v>
      </c>
      <c r="K51">
        <f>SUM(K41:K50)</f>
        <v>12352.4</v>
      </c>
      <c r="L51">
        <f t="shared" si="9"/>
        <v>1.0414063150878948E-4</v>
      </c>
      <c r="M51">
        <f t="shared" si="10"/>
        <v>0</v>
      </c>
      <c r="N51">
        <f t="shared" si="7"/>
        <v>0</v>
      </c>
      <c r="O51">
        <f t="shared" si="7"/>
        <v>0</v>
      </c>
      <c r="P51">
        <f t="shared" si="11"/>
        <v>0.28638673664917103</v>
      </c>
      <c r="Q51">
        <f t="shared" si="12"/>
        <v>0.2226288008808005</v>
      </c>
      <c r="R51">
        <f>SUM(R41:R50)</f>
        <v>0.39568345323741005</v>
      </c>
    </row>
  </sheetData>
  <mergeCells count="3">
    <mergeCell ref="H15:L15"/>
    <mergeCell ref="A18:A19"/>
    <mergeCell ref="B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PacketDelay</vt:lpstr>
      <vt:lpstr>PacketDelay Ryan</vt:lpstr>
      <vt:lpstr>Optimal</vt:lpstr>
      <vt:lpstr>Working_EditThis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Hayden</dc:creator>
  <cp:lastModifiedBy>Micah Hayden</cp:lastModifiedBy>
  <dcterms:created xsi:type="dcterms:W3CDTF">2019-04-25T23:21:19Z</dcterms:created>
  <dcterms:modified xsi:type="dcterms:W3CDTF">2019-05-13T13:37:43Z</dcterms:modified>
</cp:coreProperties>
</file>