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h Hayden\Documents\AFIT\SP2019\CSCE 654 - Communications\Assignments\Project4\"/>
    </mc:Choice>
  </mc:AlternateContent>
  <xr:revisionPtr revIDLastSave="0" documentId="13_ncr:1_{01B79754-9048-4247-82EE-7601276204CD}" xr6:coauthVersionLast="43" xr6:coauthVersionMax="43" xr10:uidLastSave="{00000000-0000-0000-0000-000000000000}"/>
  <bookViews>
    <workbookView xWindow="-120" yWindow="-120" windowWidth="20730" windowHeight="11760" tabRatio="700" xr2:uid="{DFA697D2-2C29-43C4-A322-5A73EA6783C9}"/>
  </bookViews>
  <sheets>
    <sheet name="Optimal" sheetId="12" r:id="rId1"/>
    <sheet name="3-Connected" sheetId="10" r:id="rId2"/>
    <sheet name="Data" sheetId="1" r:id="rId3"/>
    <sheet name="Probabilities" sheetId="13" r:id="rId4"/>
  </sheets>
  <definedNames>
    <definedName name="solver_adj" localSheetId="1" hidden="1">'3-Connected'!$L$2:$R$11</definedName>
    <definedName name="solver_adj" localSheetId="0" hidden="1">Optimal!$L$3:$R$12</definedName>
    <definedName name="solver_cvg" localSheetId="1" hidden="1">0.00001</definedName>
    <definedName name="solver_cvg" localSheetId="0" hidden="1">0.00001</definedName>
    <definedName name="solver_drv" localSheetId="1" hidden="1">2</definedName>
    <definedName name="solver_drv" localSheetId="0" hidden="1">2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'3-Connected'!$AB$2:$AB$12</definedName>
    <definedName name="solver_lhs1" localSheetId="0" hidden="1">Optimal!$AB$3:$AB$13</definedName>
    <definedName name="solver_lhs2" localSheetId="1" hidden="1">'3-Connected'!$L$2:$R$11</definedName>
    <definedName name="solver_lhs2" localSheetId="0" hidden="1">Optimal!$L$3:$R$12</definedName>
    <definedName name="solver_lhs3" localSheetId="1" hidden="1">'3-Connected'!$T$2:$T$11</definedName>
    <definedName name="solver_lhs3" localSheetId="0" hidden="1">Optimal!$T$3:$T$12</definedName>
    <definedName name="solver_lhs4" localSheetId="1" hidden="1">'3-Connected'!$AA$2:$AA$11</definedName>
    <definedName name="solver_lhs4" localSheetId="0" hidden="1">Optimal!$AA$3:$AA$12</definedName>
    <definedName name="solver_lhs5" localSheetId="1" hidden="1">'3-Connected'!$AB$2:$AB$12</definedName>
    <definedName name="solver_lhs5" localSheetId="0" hidden="1">Optimal!$AB$3:$AB$13</definedName>
    <definedName name="solver_lhs6" localSheetId="1" hidden="1">'3-Connected'!$AB$2:$AB$12</definedName>
    <definedName name="solver_lhs6" localSheetId="0" hidden="1">Optimal!$AB$3:$AB$13</definedName>
    <definedName name="solver_lhs7" localSheetId="1" hidden="1">'3-Connected'!$AB$2:$AB$12</definedName>
    <definedName name="solver_lhs7" localSheetId="0" hidden="1">Optimal!$AB$3:$AB$13</definedName>
    <definedName name="solver_lhs8" localSheetId="1" hidden="1">'3-Connected'!$AB$2:$AB$12</definedName>
    <definedName name="solver_lhs8" localSheetId="0" hidden="1">Optimal!$AB$3:$AB$13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4</definedName>
    <definedName name="solver_num" localSheetId="0" hidden="1">4</definedName>
    <definedName name="solver_nwt" localSheetId="1" hidden="1">1</definedName>
    <definedName name="solver_nwt" localSheetId="0" hidden="1">1</definedName>
    <definedName name="solver_opt" localSheetId="1" hidden="1">'3-Connected'!$Z$42</definedName>
    <definedName name="solver_opt" localSheetId="0" hidden="1">Optimal!$Z$44</definedName>
    <definedName name="solver_pre" localSheetId="1" hidden="1">0.00001</definedName>
    <definedName name="solver_pre" localSheetId="0" hidden="1">0.00001</definedName>
    <definedName name="solver_rbv" localSheetId="1" hidden="1">2</definedName>
    <definedName name="solver_rbv" localSheetId="0" hidden="1">2</definedName>
    <definedName name="solver_rel1" localSheetId="1" hidden="1">2</definedName>
    <definedName name="solver_rel1" localSheetId="0" hidden="1">2</definedName>
    <definedName name="solver_rel2" localSheetId="1" hidden="1">4</definedName>
    <definedName name="solver_rel2" localSheetId="0" hidden="1">4</definedName>
    <definedName name="solver_rel3" localSheetId="1" hidden="1">3</definedName>
    <definedName name="solver_rel3" localSheetId="0" hidden="1">3</definedName>
    <definedName name="solver_rel4" localSheetId="1" hidden="1">1</definedName>
    <definedName name="solver_rel4" localSheetId="0" hidden="1">1</definedName>
    <definedName name="solver_rel5" localSheetId="1" hidden="1">2</definedName>
    <definedName name="solver_rel5" localSheetId="0" hidden="1">2</definedName>
    <definedName name="solver_rel6" localSheetId="1" hidden="1">2</definedName>
    <definedName name="solver_rel6" localSheetId="0" hidden="1">2</definedName>
    <definedName name="solver_rel7" localSheetId="1" hidden="1">2</definedName>
    <definedName name="solver_rel7" localSheetId="0" hidden="1">2</definedName>
    <definedName name="solver_rel8" localSheetId="1" hidden="1">2</definedName>
    <definedName name="solver_rel8" localSheetId="0" hidden="1">2</definedName>
    <definedName name="solver_rhs1" localSheetId="1" hidden="1">0</definedName>
    <definedName name="solver_rhs1" localSheetId="0" hidden="1">0</definedName>
    <definedName name="solver_rhs2" localSheetId="1" hidden="1">integer</definedName>
    <definedName name="solver_rhs2" localSheetId="0" hidden="1">integer</definedName>
    <definedName name="solver_rhs3" localSheetId="1" hidden="1">'3-Connected'!$S$2:$S$11</definedName>
    <definedName name="solver_rhs3" localSheetId="0" hidden="1">Optimal!$S$3:$S$12</definedName>
    <definedName name="solver_rhs4" localSheetId="1" hidden="1">0.8</definedName>
    <definedName name="solver_rhs4" localSheetId="0" hidden="1">0.8</definedName>
    <definedName name="solver_rhs5" localSheetId="1" hidden="1">0</definedName>
    <definedName name="solver_rhs5" localSheetId="0" hidden="1">0</definedName>
    <definedName name="solver_rhs6" localSheetId="1" hidden="1">0</definedName>
    <definedName name="solver_rhs6" localSheetId="0" hidden="1">0</definedName>
    <definedName name="solver_rhs7" localSheetId="1" hidden="1">0</definedName>
    <definedName name="solver_rhs7" localSheetId="0" hidden="1">0</definedName>
    <definedName name="solver_rhs8" localSheetId="1" hidden="1">0</definedName>
    <definedName name="solver_rhs8" localSheetId="0" hidden="1">0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2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</definedName>
    <definedName name="solver_tol" localSheetId="0" hidden="1">0</definedName>
    <definedName name="solver_typ" localSheetId="1" hidden="1">2</definedName>
    <definedName name="solver_typ" localSheetId="0" hidden="1">2</definedName>
    <definedName name="solver_val" localSheetId="1" hidden="1">415</definedName>
    <definedName name="solver_val" localSheetId="0" hidden="1">415</definedName>
    <definedName name="solver_ver" localSheetId="1" hidden="1">3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38" i="12" l="1"/>
  <c r="O47" i="12" s="1"/>
  <c r="G28" i="13" l="1"/>
  <c r="G29" i="13"/>
  <c r="G30" i="13"/>
  <c r="G31" i="13"/>
  <c r="G32" i="13"/>
  <c r="G33" i="13"/>
  <c r="G34" i="13"/>
  <c r="G35" i="13"/>
  <c r="G36" i="13"/>
  <c r="G27" i="13"/>
  <c r="V3" i="12"/>
  <c r="K5" i="13" l="1"/>
  <c r="K6" i="13" s="1"/>
  <c r="K7" i="13" s="1"/>
  <c r="K8" i="13" s="1"/>
  <c r="E14" i="13"/>
  <c r="E20" i="13" s="1"/>
  <c r="F14" i="13"/>
  <c r="G14" i="13"/>
  <c r="H14" i="13"/>
  <c r="I14" i="13"/>
  <c r="E15" i="13"/>
  <c r="E21" i="13" s="1"/>
  <c r="F15" i="13"/>
  <c r="G15" i="13"/>
  <c r="H15" i="13"/>
  <c r="I15" i="13"/>
  <c r="E16" i="13"/>
  <c r="E22" i="13" s="1"/>
  <c r="F16" i="13"/>
  <c r="G16" i="13"/>
  <c r="H16" i="13"/>
  <c r="I16" i="13"/>
  <c r="E17" i="13"/>
  <c r="F17" i="13"/>
  <c r="G17" i="13"/>
  <c r="H17" i="13"/>
  <c r="I17" i="13"/>
  <c r="F13" i="13"/>
  <c r="G13" i="13"/>
  <c r="H13" i="13"/>
  <c r="I13" i="13"/>
  <c r="E13" i="13"/>
  <c r="E19" i="13" s="1"/>
  <c r="F21" i="13" l="1"/>
  <c r="G21" i="13" s="1"/>
  <c r="H21" i="13" s="1"/>
  <c r="I21" i="13" s="1"/>
  <c r="J16" i="13"/>
  <c r="J13" i="13"/>
  <c r="F20" i="13"/>
  <c r="G20" i="13" s="1"/>
  <c r="H20" i="13" s="1"/>
  <c r="I20" i="13" s="1"/>
  <c r="F19" i="13"/>
  <c r="G19" i="13" s="1"/>
  <c r="H19" i="13" s="1"/>
  <c r="I19" i="13" s="1"/>
  <c r="J17" i="13"/>
  <c r="E23" i="13"/>
  <c r="F23" i="13" s="1"/>
  <c r="G23" i="13" s="1"/>
  <c r="H23" i="13" s="1"/>
  <c r="I23" i="13" s="1"/>
  <c r="J15" i="13"/>
  <c r="J14" i="13"/>
  <c r="F22" i="13"/>
  <c r="G22" i="13" s="1"/>
  <c r="H22" i="13" s="1"/>
  <c r="I22" i="13" s="1"/>
  <c r="N37" i="12"/>
  <c r="L28" i="12" l="1"/>
  <c r="P26" i="12"/>
  <c r="N46" i="12"/>
  <c r="L46" i="12"/>
  <c r="M46" i="12" s="1"/>
  <c r="N45" i="12"/>
  <c r="L45" i="12"/>
  <c r="M45" i="12" s="1"/>
  <c r="N44" i="12"/>
  <c r="L44" i="12"/>
  <c r="M44" i="12" s="1"/>
  <c r="N43" i="12"/>
  <c r="L43" i="12"/>
  <c r="M43" i="12" s="1"/>
  <c r="N42" i="12"/>
  <c r="L42" i="12"/>
  <c r="M42" i="12" s="1"/>
  <c r="N41" i="12"/>
  <c r="L41" i="12"/>
  <c r="M41" i="12" s="1"/>
  <c r="N40" i="12"/>
  <c r="L40" i="12"/>
  <c r="M40" i="12" s="1"/>
  <c r="N39" i="12"/>
  <c r="L39" i="12"/>
  <c r="M39" i="12" s="1"/>
  <c r="N38" i="12"/>
  <c r="L38" i="12"/>
  <c r="M38" i="12" s="1"/>
  <c r="L37" i="12"/>
  <c r="M37" i="12" s="1"/>
  <c r="N34" i="12"/>
  <c r="L32" i="12"/>
  <c r="R14" i="12"/>
  <c r="Q14" i="12"/>
  <c r="P14" i="12"/>
  <c r="O14" i="12"/>
  <c r="N14" i="12"/>
  <c r="L33" i="12" s="1"/>
  <c r="M14" i="12"/>
  <c r="L14" i="12"/>
  <c r="S13" i="12"/>
  <c r="W12" i="12"/>
  <c r="P27" i="12" s="1"/>
  <c r="V12" i="12"/>
  <c r="O27" i="12" s="1"/>
  <c r="T12" i="12" a="1"/>
  <c r="T12" i="12" s="1"/>
  <c r="V11" i="12"/>
  <c r="O26" i="12" s="1"/>
  <c r="T11" i="12" a="1"/>
  <c r="T11" i="12" s="1"/>
  <c r="W10" i="12"/>
  <c r="P25" i="12" s="1"/>
  <c r="V10" i="12"/>
  <c r="O25" i="12" s="1"/>
  <c r="T10" i="12" a="1"/>
  <c r="T10" i="12" s="1"/>
  <c r="W9" i="12"/>
  <c r="P24" i="12" s="1"/>
  <c r="V9" i="12"/>
  <c r="O24" i="12" s="1"/>
  <c r="T9" i="12" a="1"/>
  <c r="T9" i="12" s="1"/>
  <c r="W8" i="12"/>
  <c r="P23" i="12" s="1"/>
  <c r="V8" i="12"/>
  <c r="O23" i="12" s="1"/>
  <c r="T8" i="12" a="1"/>
  <c r="T8" i="12" s="1"/>
  <c r="W7" i="12"/>
  <c r="P22" i="12" s="1"/>
  <c r="V7" i="12"/>
  <c r="O22" i="12" s="1"/>
  <c r="T7" i="12" a="1"/>
  <c r="T7" i="12" s="1"/>
  <c r="M22" i="12" s="1"/>
  <c r="W6" i="12"/>
  <c r="P21" i="12" s="1"/>
  <c r="V6" i="12"/>
  <c r="O21" i="12" s="1"/>
  <c r="T6" i="12" a="1"/>
  <c r="T6" i="12" s="1"/>
  <c r="Y6" i="12" s="1" a="1"/>
  <c r="Y6" i="12" s="1"/>
  <c r="W5" i="12"/>
  <c r="P20" i="12" s="1"/>
  <c r="V5" i="12"/>
  <c r="O20" i="12" s="1"/>
  <c r="T5" i="12" a="1"/>
  <c r="T5" i="12" s="1"/>
  <c r="M20" i="12" s="1"/>
  <c r="AC4" i="12"/>
  <c r="W4" i="12"/>
  <c r="P19" i="12" s="1"/>
  <c r="V4" i="12"/>
  <c r="O19" i="12" s="1"/>
  <c r="T4" i="12" a="1"/>
  <c r="T4" i="12" s="1"/>
  <c r="W3" i="12"/>
  <c r="P18" i="12" s="1"/>
  <c r="O18" i="12"/>
  <c r="T3" i="12" a="1"/>
  <c r="T3" i="12" s="1"/>
  <c r="AA3" i="12" s="1"/>
  <c r="W11" i="10"/>
  <c r="W9" i="10"/>
  <c r="W8" i="10"/>
  <c r="W7" i="10"/>
  <c r="W6" i="10"/>
  <c r="W5" i="10"/>
  <c r="W4" i="10"/>
  <c r="W3" i="10"/>
  <c r="W2" i="10"/>
  <c r="N32" i="12" l="1"/>
  <c r="P37" i="12"/>
  <c r="L49" i="12"/>
  <c r="T21" i="12"/>
  <c r="T25" i="12"/>
  <c r="T22" i="12"/>
  <c r="T26" i="12"/>
  <c r="T19" i="12"/>
  <c r="T23" i="12"/>
  <c r="T27" i="12"/>
  <c r="T20" i="12"/>
  <c r="T24" i="12"/>
  <c r="T18" i="12"/>
  <c r="AC8" i="12"/>
  <c r="AC10" i="12"/>
  <c r="AC6" i="12"/>
  <c r="P36" i="12"/>
  <c r="AC7" i="12"/>
  <c r="AC3" i="12"/>
  <c r="AC5" i="12"/>
  <c r="AC11" i="12"/>
  <c r="AC9" i="12"/>
  <c r="M21" i="12"/>
  <c r="N21" i="12" s="1"/>
  <c r="AB6" i="12"/>
  <c r="M24" i="12"/>
  <c r="U9" i="12"/>
  <c r="AA9" i="12"/>
  <c r="AB9" i="12"/>
  <c r="Y9" i="12" a="1"/>
  <c r="Y9" i="12" s="1"/>
  <c r="Q24" i="12" s="1"/>
  <c r="M19" i="12"/>
  <c r="U4" i="12"/>
  <c r="AB4" i="12"/>
  <c r="AA4" i="12"/>
  <c r="Y4" i="12" a="1"/>
  <c r="Y4" i="12" s="1"/>
  <c r="Q19" i="12" s="1"/>
  <c r="S21" i="12"/>
  <c r="M27" i="12"/>
  <c r="U12" i="12"/>
  <c r="AB12" i="12"/>
  <c r="AA12" i="12"/>
  <c r="Y12" i="12" a="1"/>
  <c r="Y12" i="12" s="1"/>
  <c r="Q27" i="12" s="1"/>
  <c r="M26" i="12"/>
  <c r="Y11" i="12" a="1"/>
  <c r="Y11" i="12" s="1"/>
  <c r="Q26" i="12" s="1"/>
  <c r="U11" i="12"/>
  <c r="AB11" i="12"/>
  <c r="AA11" i="12"/>
  <c r="M23" i="12"/>
  <c r="Y8" i="12" a="1"/>
  <c r="Y8" i="12" s="1"/>
  <c r="Q23" i="12" s="1"/>
  <c r="U8" i="12"/>
  <c r="AB8" i="12"/>
  <c r="AA8" i="12"/>
  <c r="S22" i="12"/>
  <c r="N22" i="12"/>
  <c r="M18" i="12"/>
  <c r="T13" i="12"/>
  <c r="U3" i="12"/>
  <c r="Y3" i="12" a="1"/>
  <c r="Y3" i="12" s="1"/>
  <c r="Q18" i="12" s="1"/>
  <c r="AB3" i="12"/>
  <c r="M25" i="12"/>
  <c r="AB10" i="12"/>
  <c r="AA10" i="12"/>
  <c r="Y10" i="12" a="1"/>
  <c r="Y10" i="12" s="1"/>
  <c r="Q25" i="12" s="1"/>
  <c r="U10" i="12"/>
  <c r="S20" i="12"/>
  <c r="N20" i="12"/>
  <c r="AB5" i="12"/>
  <c r="U5" i="12"/>
  <c r="AA6" i="12"/>
  <c r="Y7" i="12" a="1"/>
  <c r="Y7" i="12" s="1"/>
  <c r="Q22" i="12" s="1"/>
  <c r="R22" i="12" s="1"/>
  <c r="Y5" i="12" a="1"/>
  <c r="Y5" i="12" s="1"/>
  <c r="Q20" i="12" s="1"/>
  <c r="R20" i="12" s="1"/>
  <c r="U6" i="12"/>
  <c r="AA7" i="12"/>
  <c r="AC12" i="12"/>
  <c r="AB7" i="12"/>
  <c r="AA5" i="12"/>
  <c r="Q21" i="12"/>
  <c r="R21" i="12" s="1"/>
  <c r="U7" i="12"/>
  <c r="Q51" i="10"/>
  <c r="P51" i="10"/>
  <c r="O51" i="10"/>
  <c r="L51" i="10"/>
  <c r="P50" i="10"/>
  <c r="P48" i="10"/>
  <c r="P47" i="10"/>
  <c r="P45" i="10"/>
  <c r="P44" i="10"/>
  <c r="P43" i="10"/>
  <c r="P42" i="10"/>
  <c r="P41" i="10"/>
  <c r="M34" i="10"/>
  <c r="K34" i="10"/>
  <c r="L34" i="10" s="1"/>
  <c r="M33" i="10"/>
  <c r="K33" i="10"/>
  <c r="L33" i="10" s="1"/>
  <c r="M32" i="10"/>
  <c r="K32" i="10"/>
  <c r="L32" i="10" s="1"/>
  <c r="M31" i="10"/>
  <c r="K31" i="10"/>
  <c r="L31" i="10" s="1"/>
  <c r="M30" i="10"/>
  <c r="K30" i="10"/>
  <c r="L30" i="10" s="1"/>
  <c r="M29" i="10"/>
  <c r="K29" i="10"/>
  <c r="L29" i="10" s="1"/>
  <c r="M28" i="10"/>
  <c r="K28" i="10"/>
  <c r="L28" i="10" s="1"/>
  <c r="M27" i="10"/>
  <c r="K27" i="10"/>
  <c r="L27" i="10" s="1"/>
  <c r="M26" i="10"/>
  <c r="K26" i="10"/>
  <c r="L26" i="10" s="1"/>
  <c r="M25" i="10"/>
  <c r="K25" i="10"/>
  <c r="L25" i="10" s="1"/>
  <c r="M18" i="10"/>
  <c r="K16" i="10"/>
  <c r="R13" i="10"/>
  <c r="Q13" i="10"/>
  <c r="P13" i="10"/>
  <c r="O13" i="10"/>
  <c r="N13" i="10"/>
  <c r="K17" i="10" s="1"/>
  <c r="M13" i="10"/>
  <c r="L13" i="10"/>
  <c r="S12" i="10"/>
  <c r="T50" i="10" s="1"/>
  <c r="V11" i="10"/>
  <c r="O50" i="10" s="1"/>
  <c r="T11" i="10" a="1"/>
  <c r="T11" i="10" s="1"/>
  <c r="T10" i="10" a="1"/>
  <c r="T10" i="10" s="1"/>
  <c r="M49" i="10" s="1"/>
  <c r="V9" i="10"/>
  <c r="O48" i="10" s="1"/>
  <c r="T9" i="10" a="1"/>
  <c r="T9" i="10" s="1"/>
  <c r="V8" i="10"/>
  <c r="O47" i="10" s="1"/>
  <c r="T8" i="10" a="1"/>
  <c r="T8" i="10" s="1"/>
  <c r="M47" i="10" s="1"/>
  <c r="V6" i="10"/>
  <c r="O45" i="10" s="1"/>
  <c r="T6" i="10" a="1"/>
  <c r="T6" i="10" s="1"/>
  <c r="M45" i="10" s="1"/>
  <c r="V5" i="10"/>
  <c r="O44" i="10" s="1"/>
  <c r="T5" i="10" a="1"/>
  <c r="T5" i="10" s="1"/>
  <c r="V4" i="10"/>
  <c r="O43" i="10" s="1"/>
  <c r="T4" i="10" a="1"/>
  <c r="T4" i="10" s="1"/>
  <c r="M43" i="10" s="1"/>
  <c r="V3" i="10"/>
  <c r="O42" i="10" s="1"/>
  <c r="T3" i="10" a="1"/>
  <c r="T3" i="10" s="1"/>
  <c r="V2" i="10"/>
  <c r="O41" i="10" s="1"/>
  <c r="T2" i="10" a="1"/>
  <c r="T2" i="10" s="1"/>
  <c r="M41" i="10" s="1"/>
  <c r="T28" i="12" l="1"/>
  <c r="AC13" i="12"/>
  <c r="Z4" i="12"/>
  <c r="Z11" i="12"/>
  <c r="Z8" i="12"/>
  <c r="Z3" i="12"/>
  <c r="Z7" i="12"/>
  <c r="S27" i="12"/>
  <c r="R27" i="12"/>
  <c r="N27" i="12"/>
  <c r="S18" i="12"/>
  <c r="R18" i="12"/>
  <c r="M28" i="12"/>
  <c r="N18" i="12"/>
  <c r="S26" i="12"/>
  <c r="R26" i="12"/>
  <c r="N26" i="12"/>
  <c r="S19" i="12"/>
  <c r="R19" i="12"/>
  <c r="N19" i="12"/>
  <c r="S25" i="12"/>
  <c r="R25" i="12"/>
  <c r="N25" i="12"/>
  <c r="S23" i="12"/>
  <c r="R23" i="12"/>
  <c r="N23" i="12"/>
  <c r="Z9" i="12"/>
  <c r="Z12" i="12"/>
  <c r="Z6" i="12"/>
  <c r="AA22" i="12"/>
  <c r="Z5" i="12"/>
  <c r="Z10" i="12"/>
  <c r="S24" i="12"/>
  <c r="R24" i="12"/>
  <c r="N24" i="12"/>
  <c r="O24" i="10"/>
  <c r="O25" i="10"/>
  <c r="K37" i="10"/>
  <c r="M16" i="10"/>
  <c r="AC10" i="10"/>
  <c r="AC2" i="10"/>
  <c r="AC5" i="10"/>
  <c r="AC6" i="10"/>
  <c r="AC9" i="10"/>
  <c r="AC3" i="10"/>
  <c r="AC4" i="10"/>
  <c r="AC7" i="10"/>
  <c r="AC8" i="10"/>
  <c r="S47" i="10"/>
  <c r="N47" i="10"/>
  <c r="M44" i="10"/>
  <c r="U5" i="10"/>
  <c r="AB5" i="10"/>
  <c r="Y5" i="10" a="1"/>
  <c r="Y5" i="10" s="1"/>
  <c r="Q44" i="10" s="1"/>
  <c r="AA5" i="10"/>
  <c r="S45" i="10"/>
  <c r="N45" i="10"/>
  <c r="M42" i="10"/>
  <c r="U3" i="10"/>
  <c r="AB3" i="10"/>
  <c r="Y3" i="10" a="1"/>
  <c r="Y3" i="10" s="1"/>
  <c r="Q42" i="10" s="1"/>
  <c r="AA3" i="10"/>
  <c r="S43" i="10"/>
  <c r="N43" i="10"/>
  <c r="M50" i="10"/>
  <c r="AA11" i="10"/>
  <c r="U11" i="10"/>
  <c r="AB11" i="10"/>
  <c r="Y11" i="10" a="1"/>
  <c r="Y11" i="10" s="1"/>
  <c r="Q50" i="10" s="1"/>
  <c r="S41" i="10"/>
  <c r="N41" i="10"/>
  <c r="M48" i="10"/>
  <c r="U9" i="10"/>
  <c r="AB9" i="10"/>
  <c r="Y9" i="10" a="1"/>
  <c r="Y9" i="10" s="1"/>
  <c r="Q48" i="10" s="1"/>
  <c r="AA9" i="10"/>
  <c r="U2" i="10"/>
  <c r="O26" i="10"/>
  <c r="AA2" i="10"/>
  <c r="AA4" i="10"/>
  <c r="AA6" i="10"/>
  <c r="AA8" i="10"/>
  <c r="AC11" i="10"/>
  <c r="U4" i="10"/>
  <c r="U6" i="10"/>
  <c r="U8" i="10"/>
  <c r="Y2" i="10" a="1"/>
  <c r="Y2" i="10" s="1"/>
  <c r="Q41" i="10" s="1"/>
  <c r="R41" i="10" s="1"/>
  <c r="AB2" i="10"/>
  <c r="Y4" i="10" a="1"/>
  <c r="Y4" i="10" s="1"/>
  <c r="Q43" i="10" s="1"/>
  <c r="R43" i="10" s="1"/>
  <c r="AB4" i="10"/>
  <c r="Y6" i="10" a="1"/>
  <c r="Y6" i="10" s="1"/>
  <c r="Q45" i="10" s="1"/>
  <c r="R45" i="10" s="1"/>
  <c r="AB6" i="10"/>
  <c r="Y8" i="10" a="1"/>
  <c r="Y8" i="10" s="1"/>
  <c r="Q47" i="10" s="1"/>
  <c r="R47" i="10" s="1"/>
  <c r="AB8" i="10"/>
  <c r="AB10" i="10"/>
  <c r="T41" i="10"/>
  <c r="T42" i="10"/>
  <c r="T43" i="10"/>
  <c r="T44" i="10"/>
  <c r="T45" i="10"/>
  <c r="T47" i="10"/>
  <c r="T48" i="10"/>
  <c r="T12" i="10"/>
  <c r="AA12" i="10" s="1"/>
  <c r="AA16" i="12" l="1"/>
  <c r="AA17" i="12" s="1"/>
  <c r="AA24" i="12" s="1"/>
  <c r="AA25" i="12" s="1"/>
  <c r="N35" i="10"/>
  <c r="AA21" i="10" s="1"/>
  <c r="Z8" i="10"/>
  <c r="Z11" i="10"/>
  <c r="Z5" i="10"/>
  <c r="Z4" i="10"/>
  <c r="S44" i="10"/>
  <c r="R44" i="10"/>
  <c r="N44" i="10"/>
  <c r="S48" i="10"/>
  <c r="R48" i="10"/>
  <c r="N48" i="10"/>
  <c r="AB12" i="10"/>
  <c r="Z12" i="10"/>
  <c r="U12" i="10"/>
  <c r="T51" i="10"/>
  <c r="Z6" i="10"/>
  <c r="Z2" i="10"/>
  <c r="S50" i="10"/>
  <c r="R50" i="10"/>
  <c r="N50" i="10"/>
  <c r="Z3" i="10"/>
  <c r="Z9" i="10"/>
  <c r="M51" i="10"/>
  <c r="S42" i="10"/>
  <c r="R42" i="10"/>
  <c r="N42" i="10"/>
  <c r="AA15" i="10" l="1"/>
  <c r="AA16" i="10" s="1"/>
  <c r="AA23" i="10" s="1"/>
  <c r="AA24" i="10" s="1"/>
  <c r="R51" i="10"/>
  <c r="S51" i="10"/>
  <c r="N51" i="10"/>
  <c r="I15" i="1" l="1"/>
  <c r="J15" i="1"/>
  <c r="K15" i="1"/>
  <c r="L15" i="1"/>
  <c r="M15" i="1"/>
  <c r="I16" i="1"/>
  <c r="J16" i="1"/>
  <c r="K16" i="1"/>
  <c r="L16" i="1"/>
  <c r="M16" i="1"/>
  <c r="I17" i="1"/>
  <c r="J17" i="1"/>
  <c r="K17" i="1"/>
  <c r="L17" i="1"/>
  <c r="M17" i="1"/>
  <c r="I18" i="1"/>
  <c r="J18" i="1"/>
  <c r="K18" i="1"/>
  <c r="L18" i="1"/>
  <c r="M18" i="1"/>
  <c r="J14" i="1"/>
  <c r="K14" i="1"/>
  <c r="L14" i="1"/>
  <c r="M14" i="1"/>
  <c r="I14" i="1"/>
  <c r="I22" i="1" l="1"/>
  <c r="I4" i="1" s="1"/>
  <c r="M3" i="1" l="1"/>
  <c r="K5" i="1"/>
  <c r="L3" i="1"/>
  <c r="M6" i="1"/>
  <c r="J5" i="1"/>
  <c r="I7" i="1"/>
  <c r="M7" i="1"/>
  <c r="J6" i="1"/>
  <c r="L4" i="1"/>
  <c r="L7" i="1"/>
  <c r="I6" i="1"/>
  <c r="K4" i="1"/>
  <c r="K3" i="1"/>
  <c r="K7" i="1"/>
  <c r="L6" i="1"/>
  <c r="M5" i="1"/>
  <c r="I5" i="1"/>
  <c r="J4" i="1"/>
  <c r="I3" i="1"/>
  <c r="J3" i="1"/>
  <c r="J7" i="1"/>
  <c r="K6" i="1"/>
  <c r="L5" i="1"/>
  <c r="M4" i="1"/>
  <c r="N6" i="1" l="1"/>
  <c r="N4" i="1"/>
  <c r="K9" i="1"/>
  <c r="L9" i="1"/>
  <c r="N7" i="1"/>
  <c r="I9" i="1"/>
  <c r="N3" i="1"/>
  <c r="N5" i="1"/>
  <c r="M9" i="1"/>
  <c r="J9" i="1"/>
</calcChain>
</file>

<file path=xl/sharedStrings.xml><?xml version="1.0" encoding="utf-8"?>
<sst xmlns="http://schemas.openxmlformats.org/spreadsheetml/2006/main" count="560" uniqueCount="131">
  <si>
    <t>Source</t>
  </si>
  <si>
    <t>Destination</t>
  </si>
  <si>
    <t>Hickam</t>
  </si>
  <si>
    <t>Cheyenne</t>
  </si>
  <si>
    <t>Qatar</t>
  </si>
  <si>
    <t>Langley</t>
  </si>
  <si>
    <t>Ramstein</t>
  </si>
  <si>
    <t>Mean packet rate (pkts/sec)</t>
  </si>
  <si>
    <t>Packet Size:</t>
  </si>
  <si>
    <t>bits</t>
  </si>
  <si>
    <t>Ground Distance (km)</t>
  </si>
  <si>
    <t>Link Type</t>
  </si>
  <si>
    <t>Intelligent (4 xcvr) Geo satellite</t>
  </si>
  <si>
    <t>"Bent-pipe" Geo satellite</t>
  </si>
  <si>
    <t>Leased "bent-pipe" Geo satellite</t>
  </si>
  <si>
    <t>STS-3</t>
  </si>
  <si>
    <t>Leased STS-3</t>
  </si>
  <si>
    <t>T-3</t>
  </si>
  <si>
    <t>Leased T-3</t>
  </si>
  <si>
    <t>Installation Cost</t>
  </si>
  <si>
    <t>Monthly Cost</t>
  </si>
  <si>
    <t>Link types and cost</t>
  </si>
  <si>
    <t>Data Rate (Mbps)</t>
  </si>
  <si>
    <t>up/down/cross</t>
  </si>
  <si>
    <t>up/down</t>
  </si>
  <si>
    <t>$60M</t>
  </si>
  <si>
    <t>$40M</t>
  </si>
  <si>
    <t>none</t>
  </si>
  <si>
    <t>$4K per km</t>
  </si>
  <si>
    <t>$2K per km</t>
  </si>
  <si>
    <t>$8K per earth station (Max 4)</t>
  </si>
  <si>
    <t>$500K per link</t>
  </si>
  <si>
    <t>$5K per link</t>
  </si>
  <si>
    <t>$700K per link</t>
  </si>
  <si>
    <t>Base:</t>
  </si>
  <si>
    <t>Designator:</t>
  </si>
  <si>
    <t>A</t>
  </si>
  <si>
    <t>E</t>
  </si>
  <si>
    <t>B</t>
  </si>
  <si>
    <t>C</t>
  </si>
  <si>
    <t>D</t>
  </si>
  <si>
    <t>Utilization</t>
  </si>
  <si>
    <t>Num_Sys</t>
  </si>
  <si>
    <t>Total packet rate:</t>
  </si>
  <si>
    <t>Percentage of total traffic</t>
  </si>
  <si>
    <t>pkts/sec</t>
  </si>
  <si>
    <t>Observations:</t>
  </si>
  <si>
    <t>Hickam --&gt; Qatar</t>
  </si>
  <si>
    <t>45% of traffic is on:</t>
  </si>
  <si>
    <t>Hickam --&gt; Langley</t>
  </si>
  <si>
    <t>Ramstein --&gt; Langley</t>
  </si>
  <si>
    <t>Mean bandwidth requirement (Mbps)</t>
  </si>
  <si>
    <t>intel. Sat</t>
  </si>
  <si>
    <t>bent-pipe</t>
  </si>
  <si>
    <t>leased bp sat.</t>
  </si>
  <si>
    <t>T3</t>
  </si>
  <si>
    <t>Leased T3</t>
  </si>
  <si>
    <t>Average Delay</t>
  </si>
  <si>
    <t>Sat Install</t>
  </si>
  <si>
    <t>Lambda</t>
  </si>
  <si>
    <t>Mu</t>
  </si>
  <si>
    <t>Server Cost:</t>
  </si>
  <si>
    <t>Costs:</t>
  </si>
  <si>
    <t>Total Cost:</t>
  </si>
  <si>
    <t>Equal</t>
  </si>
  <si>
    <t>Percent</t>
  </si>
  <si>
    <t>Monthly Cost:</t>
  </si>
  <si>
    <t>Total Connections:</t>
  </si>
  <si>
    <t>Expected Delay (s):</t>
  </si>
  <si>
    <t>Expected Delay (ms):</t>
  </si>
  <si>
    <t>Cost Function Parameters:</t>
  </si>
  <si>
    <t>10 Year Cost/$6M:</t>
  </si>
  <si>
    <t>K-Connectedness:</t>
  </si>
  <si>
    <t>Score:</t>
  </si>
  <si>
    <t>Trenching Cost</t>
  </si>
  <si>
    <t>A&lt;-&gt;C</t>
  </si>
  <si>
    <t>A&lt;-&gt;D</t>
  </si>
  <si>
    <t>A&lt;-&gt;E</t>
  </si>
  <si>
    <t>B&lt;-&gt;C</t>
  </si>
  <si>
    <t>C&lt;-&gt;D</t>
  </si>
  <si>
    <t>C&lt;-&gt;E</t>
  </si>
  <si>
    <t>21° 20' N</t>
  </si>
  <si>
    <t>157° 55' W</t>
  </si>
  <si>
    <t>38° 49' N</t>
  </si>
  <si>
    <t>104° 43' W</t>
  </si>
  <si>
    <t>25° 18' N</t>
  </si>
  <si>
    <t>51° 31' E</t>
  </si>
  <si>
    <t>36° 54' N</t>
  </si>
  <si>
    <t>76° 12' W</t>
  </si>
  <si>
    <t>49° 34' N</t>
  </si>
  <si>
    <t>8° 28' E</t>
  </si>
  <si>
    <t>Dprop_gnd</t>
  </si>
  <si>
    <t>Dprop_sat</t>
  </si>
  <si>
    <t>Percent Ground</t>
  </si>
  <si>
    <t>B&lt;-&gt;A</t>
  </si>
  <si>
    <t>D&lt;-&gt;B</t>
  </si>
  <si>
    <t>E&lt;-&gt;B</t>
  </si>
  <si>
    <t>E&lt;-&gt;D</t>
  </si>
  <si>
    <t>Owned Link Cost:</t>
  </si>
  <si>
    <t>Install Cost:</t>
  </si>
  <si>
    <t>Leased Monthly Cost:</t>
  </si>
  <si>
    <t>Owned Monthly Cost:</t>
  </si>
  <si>
    <t>&lt;-- bidirectional links</t>
  </si>
  <si>
    <t>Used/Owned:</t>
  </si>
  <si>
    <t>Dprop_ground</t>
  </si>
  <si>
    <t>Avg Delay</t>
  </si>
  <si>
    <t>Weighted Delay:</t>
  </si>
  <si>
    <t>RTT</t>
  </si>
  <si>
    <t>Distance to IntelSat @ 21</t>
  </si>
  <si>
    <t>Distance to IntelSat @ 100 (km)</t>
  </si>
  <si>
    <t>RTT (s)</t>
  </si>
  <si>
    <t>-</t>
  </si>
  <si>
    <t>Ref</t>
  </si>
  <si>
    <t>Sat Monthly:</t>
  </si>
  <si>
    <t>Intel Sat</t>
  </si>
  <si>
    <t>Base</t>
  </si>
  <si>
    <t>Latitude (DMS)</t>
  </si>
  <si>
    <t>Longitude (DMS)</t>
  </si>
  <si>
    <t>Latitude (dec degrees)</t>
  </si>
  <si>
    <t>Longitude (dec degrees)</t>
  </si>
  <si>
    <t>Distance to IntelSat @ 21 (km)</t>
  </si>
  <si>
    <t>Total</t>
  </si>
  <si>
    <t>Destination (km)</t>
  </si>
  <si>
    <t>Destination (pkts/s)</t>
  </si>
  <si>
    <t>Network Generation Table</t>
  </si>
  <si>
    <t>Trench Cost</t>
  </si>
  <si>
    <t>Owned Link Install:</t>
  </si>
  <si>
    <t>Total:</t>
  </si>
  <si>
    <t>Conditional:</t>
  </si>
  <si>
    <t>HIC</t>
  </si>
  <si>
    <t>Service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</si>
</sst>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&quot;$&quot;#,##0.00"/>
    <numFmt numFmtId="165" formatCode="0.00000"/>
    <numFmt numFmtId="166" formatCode="0.000"/>
    <numFmt numFmtId="167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85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/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/>
      <bottom style="thick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thick">
        <color indexed="64"/>
      </bottom>
      <diagonal/>
    </border>
    <border>
      <left style="double">
        <color indexed="64"/>
      </left>
      <right/>
      <top/>
      <bottom style="thick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ck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8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2" fillId="0" borderId="1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3" xfId="0" applyBorder="1" applyAlignment="1">
      <alignment horizontal="center"/>
    </xf>
    <xf numFmtId="10" fontId="0" fillId="0" borderId="0" xfId="1" applyNumberFormat="1" applyFon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0" fontId="0" fillId="0" borderId="22" xfId="1" applyNumberFormat="1" applyFont="1" applyBorder="1" applyAlignment="1">
      <alignment horizontal="center"/>
    </xf>
    <xf numFmtId="10" fontId="0" fillId="0" borderId="18" xfId="1" applyNumberFormat="1" applyFont="1" applyBorder="1" applyAlignment="1">
      <alignment horizontal="center"/>
    </xf>
    <xf numFmtId="10" fontId="0" fillId="0" borderId="3" xfId="1" applyNumberFormat="1" applyFont="1" applyBorder="1" applyAlignment="1">
      <alignment horizontal="center"/>
    </xf>
    <xf numFmtId="10" fontId="0" fillId="0" borderId="4" xfId="1" applyNumberFormat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2" fillId="0" borderId="29" xfId="0" applyFont="1" applyBorder="1" applyAlignment="1">
      <alignment horizontal="center"/>
    </xf>
    <xf numFmtId="0" fontId="2" fillId="0" borderId="24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2" fillId="0" borderId="0" xfId="0" applyFont="1"/>
    <xf numFmtId="44" fontId="0" fillId="0" borderId="0" xfId="2" applyFont="1" applyAlignment="1">
      <alignment horizontal="center" vertical="center"/>
    </xf>
    <xf numFmtId="44" fontId="0" fillId="0" borderId="0" xfId="2" applyFont="1"/>
    <xf numFmtId="0" fontId="0" fillId="0" borderId="0" xfId="0" applyNumberFormat="1"/>
    <xf numFmtId="164" fontId="0" fillId="0" borderId="0" xfId="0" applyNumberFormat="1"/>
    <xf numFmtId="0" fontId="3" fillId="0" borderId="3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4" fontId="0" fillId="0" borderId="0" xfId="0" applyNumberFormat="1"/>
    <xf numFmtId="2" fontId="0" fillId="0" borderId="0" xfId="0" applyNumberFormat="1"/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0" borderId="3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wrapText="1"/>
    </xf>
    <xf numFmtId="0" fontId="2" fillId="0" borderId="65" xfId="0" applyFont="1" applyBorder="1" applyAlignment="1">
      <alignment horizontal="center" wrapText="1"/>
    </xf>
    <xf numFmtId="0" fontId="2" fillId="0" borderId="57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71" xfId="0" applyFont="1" applyBorder="1" applyAlignment="1">
      <alignment horizontal="center"/>
    </xf>
    <xf numFmtId="0" fontId="2" fillId="0" borderId="72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2" fillId="0" borderId="61" xfId="0" applyFont="1" applyBorder="1" applyAlignment="1">
      <alignment horizontal="center"/>
    </xf>
    <xf numFmtId="0" fontId="2" fillId="0" borderId="60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0" fillId="0" borderId="45" xfId="0" applyFont="1" applyBorder="1"/>
    <xf numFmtId="0" fontId="2" fillId="0" borderId="74" xfId="0" applyFont="1" applyBorder="1"/>
    <xf numFmtId="0" fontId="2" fillId="0" borderId="66" xfId="0" applyFont="1" applyBorder="1"/>
    <xf numFmtId="0" fontId="2" fillId="0" borderId="66" xfId="0" applyFont="1" applyBorder="1" applyAlignment="1">
      <alignment wrapText="1"/>
    </xf>
    <xf numFmtId="0" fontId="2" fillId="0" borderId="65" xfId="0" applyFont="1" applyBorder="1"/>
    <xf numFmtId="0" fontId="0" fillId="0" borderId="47" xfId="0" applyFont="1" applyBorder="1" applyAlignment="1">
      <alignment horizontal="center"/>
    </xf>
    <xf numFmtId="0" fontId="0" fillId="0" borderId="63" xfId="0" applyFont="1" applyBorder="1" applyAlignment="1">
      <alignment horizontal="center"/>
    </xf>
    <xf numFmtId="0" fontId="0" fillId="0" borderId="45" xfId="0" applyFont="1" applyBorder="1" applyAlignment="1">
      <alignment horizontal="center"/>
    </xf>
    <xf numFmtId="0" fontId="0" fillId="0" borderId="58" xfId="0" applyFont="1" applyBorder="1" applyAlignment="1">
      <alignment horizontal="center"/>
    </xf>
    <xf numFmtId="0" fontId="0" fillId="0" borderId="60" xfId="0" applyFont="1" applyBorder="1" applyAlignment="1">
      <alignment horizontal="center"/>
    </xf>
    <xf numFmtId="0" fontId="0" fillId="0" borderId="61" xfId="0" applyFont="1" applyBorder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65" xfId="0" applyFont="1" applyBorder="1" applyAlignment="1">
      <alignment horizontal="center" vertical="center"/>
    </xf>
    <xf numFmtId="0" fontId="0" fillId="0" borderId="47" xfId="0" applyFont="1" applyBorder="1"/>
    <xf numFmtId="0" fontId="0" fillId="0" borderId="63" xfId="0" applyFont="1" applyBorder="1" applyAlignment="1">
      <alignment horizontal="center" vertical="center"/>
    </xf>
    <xf numFmtId="0" fontId="0" fillId="0" borderId="58" xfId="0" applyFont="1" applyBorder="1" applyAlignment="1">
      <alignment horizontal="center" vertical="center"/>
    </xf>
    <xf numFmtId="0" fontId="0" fillId="0" borderId="60" xfId="0" applyFont="1" applyBorder="1"/>
    <xf numFmtId="0" fontId="0" fillId="0" borderId="61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6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38" xfId="0" applyFont="1" applyBorder="1" applyAlignment="1">
      <alignment horizontal="center"/>
    </xf>
    <xf numFmtId="0" fontId="0" fillId="0" borderId="63" xfId="0" applyFont="1" applyBorder="1"/>
    <xf numFmtId="0" fontId="0" fillId="0" borderId="58" xfId="0" applyFont="1" applyBorder="1"/>
    <xf numFmtId="0" fontId="0" fillId="0" borderId="61" xfId="0" applyFont="1" applyBorder="1"/>
    <xf numFmtId="0" fontId="0" fillId="0" borderId="0" xfId="0" applyFont="1" applyBorder="1"/>
    <xf numFmtId="0" fontId="0" fillId="0" borderId="38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45" xfId="0" applyFont="1" applyBorder="1" applyAlignment="1">
      <alignment horizontal="center" vertical="center" wrapText="1"/>
    </xf>
    <xf numFmtId="0" fontId="2" fillId="0" borderId="59" xfId="0" applyFont="1" applyBorder="1" applyAlignment="1">
      <alignment horizontal="center" vertical="center"/>
    </xf>
    <xf numFmtId="0" fontId="2" fillId="0" borderId="71" xfId="0" applyFont="1" applyBorder="1" applyAlignment="1">
      <alignment horizontal="center" vertical="center"/>
    </xf>
    <xf numFmtId="0" fontId="2" fillId="0" borderId="7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8" xfId="0" applyFont="1" applyFill="1" applyBorder="1" applyAlignment="1">
      <alignment horizontal="center" vertical="center"/>
    </xf>
    <xf numFmtId="0" fontId="2" fillId="0" borderId="73" xfId="0" applyFont="1" applyBorder="1" applyAlignment="1">
      <alignment horizontal="center" vertical="center" wrapText="1"/>
    </xf>
    <xf numFmtId="0" fontId="0" fillId="0" borderId="35" xfId="0" applyFont="1" applyBorder="1" applyAlignment="1">
      <alignment horizontal="center" vertical="center" wrapText="1"/>
    </xf>
    <xf numFmtId="0" fontId="0" fillId="0" borderId="47" xfId="0" applyFont="1" applyBorder="1" applyAlignment="1">
      <alignment horizontal="center" vertical="center" wrapText="1"/>
    </xf>
    <xf numFmtId="0" fontId="2" fillId="0" borderId="71" xfId="0" applyFont="1" applyBorder="1" applyAlignment="1">
      <alignment horizontal="center" vertical="center" wrapText="1"/>
    </xf>
    <xf numFmtId="0" fontId="0" fillId="0" borderId="69" xfId="0" applyFont="1" applyBorder="1" applyAlignment="1">
      <alignment horizontal="center" vertical="center" wrapText="1"/>
    </xf>
    <xf numFmtId="0" fontId="2" fillId="0" borderId="72" xfId="0" applyFont="1" applyBorder="1" applyAlignment="1">
      <alignment horizontal="center" vertical="center" wrapText="1"/>
    </xf>
    <xf numFmtId="0" fontId="0" fillId="0" borderId="60" xfId="0" applyFont="1" applyBorder="1" applyAlignment="1">
      <alignment horizontal="center" vertical="center" wrapText="1"/>
    </xf>
    <xf numFmtId="0" fontId="0" fillId="0" borderId="6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64" fontId="0" fillId="0" borderId="0" xfId="0" applyNumberFormat="1" applyFont="1"/>
    <xf numFmtId="0" fontId="2" fillId="0" borderId="65" xfId="0" applyFont="1" applyBorder="1" applyAlignment="1">
      <alignment horizontal="center" vertical="center"/>
    </xf>
    <xf numFmtId="0" fontId="0" fillId="0" borderId="35" xfId="0" applyFont="1" applyBorder="1"/>
    <xf numFmtId="0" fontId="0" fillId="0" borderId="69" xfId="0" applyFont="1" applyBorder="1"/>
    <xf numFmtId="0" fontId="0" fillId="0" borderId="38" xfId="0" applyFont="1" applyBorder="1"/>
    <xf numFmtId="0" fontId="2" fillId="0" borderId="48" xfId="0" applyFont="1" applyBorder="1"/>
    <xf numFmtId="0" fontId="2" fillId="0" borderId="73" xfId="0" applyFont="1" applyBorder="1"/>
    <xf numFmtId="0" fontId="2" fillId="0" borderId="71" xfId="0" applyFont="1" applyBorder="1"/>
    <xf numFmtId="0" fontId="2" fillId="0" borderId="72" xfId="0" applyFont="1" applyBorder="1"/>
    <xf numFmtId="0" fontId="2" fillId="0" borderId="73" xfId="0" applyFont="1" applyBorder="1" applyAlignment="1">
      <alignment horizontal="center"/>
    </xf>
    <xf numFmtId="0" fontId="2" fillId="0" borderId="73" xfId="0" applyFont="1" applyBorder="1" applyAlignment="1">
      <alignment horizontal="center" vertical="center"/>
    </xf>
    <xf numFmtId="0" fontId="2" fillId="0" borderId="62" xfId="0" applyFont="1" applyBorder="1" applyAlignment="1">
      <alignment horizontal="center"/>
    </xf>
    <xf numFmtId="0" fontId="0" fillId="0" borderId="74" xfId="0" applyFont="1" applyBorder="1" applyAlignment="1">
      <alignment horizontal="center" vertical="center" wrapText="1"/>
    </xf>
    <xf numFmtId="0" fontId="0" fillId="0" borderId="50" xfId="0" applyFont="1" applyBorder="1" applyAlignment="1">
      <alignment horizontal="center" vertical="center"/>
    </xf>
    <xf numFmtId="0" fontId="0" fillId="0" borderId="77" xfId="0" applyFont="1" applyBorder="1" applyAlignment="1">
      <alignment horizontal="center" vertical="center"/>
    </xf>
    <xf numFmtId="0" fontId="0" fillId="0" borderId="52" xfId="0" applyFont="1" applyBorder="1" applyAlignment="1">
      <alignment horizontal="center" vertical="center"/>
    </xf>
    <xf numFmtId="0" fontId="0" fillId="0" borderId="45" xfId="0" applyFont="1" applyBorder="1" applyAlignment="1">
      <alignment horizontal="center" vertical="center"/>
    </xf>
    <xf numFmtId="0" fontId="0" fillId="2" borderId="45" xfId="0" applyFont="1" applyFill="1" applyBorder="1" applyAlignment="1">
      <alignment horizontal="center" vertical="center"/>
    </xf>
    <xf numFmtId="0" fontId="0" fillId="0" borderId="69" xfId="0" applyFont="1" applyBorder="1" applyAlignment="1">
      <alignment horizontal="center" vertical="center"/>
    </xf>
    <xf numFmtId="0" fontId="0" fillId="0" borderId="54" xfId="0" applyFont="1" applyBorder="1" applyAlignment="1">
      <alignment horizontal="center" vertical="center" wrapText="1"/>
    </xf>
    <xf numFmtId="0" fontId="0" fillId="0" borderId="56" xfId="0" applyFont="1" applyBorder="1" applyAlignment="1">
      <alignment horizontal="center" vertical="center" wrapText="1"/>
    </xf>
    <xf numFmtId="0" fontId="2" fillId="0" borderId="57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0" fillId="2" borderId="47" xfId="0" applyFont="1" applyFill="1" applyBorder="1" applyAlignment="1">
      <alignment horizontal="center" vertical="center"/>
    </xf>
    <xf numFmtId="0" fontId="0" fillId="0" borderId="64" xfId="0" applyFont="1" applyBorder="1" applyAlignment="1">
      <alignment horizontal="center" vertical="center" wrapText="1"/>
    </xf>
    <xf numFmtId="0" fontId="0" fillId="0" borderId="65" xfId="0" applyFont="1" applyBorder="1" applyAlignment="1">
      <alignment horizontal="center" vertical="center" wrapText="1"/>
    </xf>
    <xf numFmtId="0" fontId="0" fillId="0" borderId="66" xfId="0" applyFont="1" applyBorder="1" applyAlignment="1">
      <alignment horizontal="center" vertical="center" wrapText="1"/>
    </xf>
    <xf numFmtId="0" fontId="0" fillId="0" borderId="55" xfId="0" applyFont="1" applyBorder="1"/>
    <xf numFmtId="0" fontId="0" fillId="0" borderId="56" xfId="0" applyFont="1" applyBorder="1"/>
    <xf numFmtId="0" fontId="0" fillId="0" borderId="68" xfId="0" applyFont="1" applyBorder="1"/>
    <xf numFmtId="0" fontId="0" fillId="0" borderId="75" xfId="0" applyFont="1" applyBorder="1"/>
    <xf numFmtId="0" fontId="0" fillId="0" borderId="76" xfId="0" applyFont="1" applyBorder="1"/>
    <xf numFmtId="0" fontId="2" fillId="2" borderId="62" xfId="0" applyFont="1" applyFill="1" applyBorder="1" applyAlignment="1">
      <alignment horizontal="center" vertical="center"/>
    </xf>
    <xf numFmtId="0" fontId="2" fillId="2" borderId="63" xfId="0" applyFont="1" applyFill="1" applyBorder="1" applyAlignment="1">
      <alignment horizontal="center" vertical="center"/>
    </xf>
    <xf numFmtId="0" fontId="0" fillId="2" borderId="35" xfId="0" applyFont="1" applyFill="1" applyBorder="1" applyAlignment="1">
      <alignment horizontal="center" vertical="center"/>
    </xf>
    <xf numFmtId="0" fontId="0" fillId="2" borderId="63" xfId="0" applyFont="1" applyFill="1" applyBorder="1" applyAlignment="1">
      <alignment horizontal="center" vertical="center"/>
    </xf>
    <xf numFmtId="0" fontId="2" fillId="2" borderId="57" xfId="0" applyFont="1" applyFill="1" applyBorder="1" applyAlignment="1">
      <alignment horizontal="center" vertical="center"/>
    </xf>
    <xf numFmtId="0" fontId="2" fillId="2" borderId="58" xfId="0" applyFont="1" applyFill="1" applyBorder="1" applyAlignment="1">
      <alignment horizontal="center" vertical="center"/>
    </xf>
    <xf numFmtId="0" fontId="0" fillId="2" borderId="69" xfId="0" applyFont="1" applyFill="1" applyBorder="1" applyAlignment="1">
      <alignment horizontal="center" vertical="center"/>
    </xf>
    <xf numFmtId="0" fontId="0" fillId="2" borderId="58" xfId="0" applyFont="1" applyFill="1" applyBorder="1" applyAlignment="1">
      <alignment horizontal="center" vertical="center"/>
    </xf>
    <xf numFmtId="0" fontId="0" fillId="2" borderId="69" xfId="0" applyFont="1" applyFill="1" applyBorder="1"/>
    <xf numFmtId="0" fontId="0" fillId="2" borderId="45" xfId="0" applyFont="1" applyFill="1" applyBorder="1"/>
    <xf numFmtId="0" fontId="0" fillId="2" borderId="58" xfId="0" applyFont="1" applyFill="1" applyBorder="1"/>
    <xf numFmtId="0" fontId="0" fillId="4" borderId="47" xfId="0" applyFont="1" applyFill="1" applyBorder="1" applyAlignment="1">
      <alignment horizontal="center" vertical="center"/>
    </xf>
    <xf numFmtId="0" fontId="0" fillId="4" borderId="45" xfId="0" applyFont="1" applyFill="1" applyBorder="1" applyAlignment="1">
      <alignment horizontal="center" vertical="center"/>
    </xf>
    <xf numFmtId="0" fontId="0" fillId="4" borderId="79" xfId="0" applyFont="1" applyFill="1" applyBorder="1" applyAlignment="1">
      <alignment horizontal="center" vertical="center"/>
    </xf>
    <xf numFmtId="0" fontId="0" fillId="0" borderId="79" xfId="0" applyFont="1" applyBorder="1" applyAlignment="1">
      <alignment horizontal="center" vertical="center"/>
    </xf>
    <xf numFmtId="0" fontId="2" fillId="0" borderId="81" xfId="0" applyFont="1" applyBorder="1" applyAlignment="1">
      <alignment horizontal="center" vertical="center"/>
    </xf>
    <xf numFmtId="0" fontId="2" fillId="2" borderId="82" xfId="0" applyFont="1" applyFill="1" applyBorder="1" applyAlignment="1">
      <alignment horizontal="center" vertical="center"/>
    </xf>
    <xf numFmtId="0" fontId="0" fillId="2" borderId="30" xfId="0" applyFont="1" applyFill="1" applyBorder="1" applyAlignment="1">
      <alignment horizontal="center" vertical="center"/>
    </xf>
    <xf numFmtId="0" fontId="0" fillId="2" borderId="46" xfId="0" applyFont="1" applyFill="1" applyBorder="1" applyAlignment="1">
      <alignment horizontal="center" vertical="center"/>
    </xf>
    <xf numFmtId="0" fontId="0" fillId="4" borderId="46" xfId="0" applyFont="1" applyFill="1" applyBorder="1" applyAlignment="1">
      <alignment horizontal="center" vertical="center"/>
    </xf>
    <xf numFmtId="0" fontId="0" fillId="2" borderId="82" xfId="0" applyFont="1" applyFill="1" applyBorder="1" applyAlignment="1">
      <alignment horizontal="center" vertical="center"/>
    </xf>
    <xf numFmtId="0" fontId="0" fillId="3" borderId="47" xfId="0" applyFont="1" applyFill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0" fillId="0" borderId="74" xfId="0" applyFont="1" applyBorder="1" applyAlignment="1">
      <alignment horizontal="center" vertical="center"/>
    </xf>
    <xf numFmtId="0" fontId="0" fillId="0" borderId="66" xfId="0" applyFont="1" applyBorder="1" applyAlignment="1">
      <alignment horizontal="center" vertical="center"/>
    </xf>
    <xf numFmtId="0" fontId="0" fillId="4" borderId="66" xfId="0" applyFont="1" applyFill="1" applyBorder="1" applyAlignment="1">
      <alignment horizontal="center" vertical="center"/>
    </xf>
    <xf numFmtId="0" fontId="2" fillId="0" borderId="67" xfId="0" applyFont="1" applyBorder="1" applyAlignment="1">
      <alignment horizontal="center" vertical="center"/>
    </xf>
    <xf numFmtId="0" fontId="0" fillId="0" borderId="48" xfId="0" applyFont="1" applyBorder="1" applyAlignment="1">
      <alignment horizontal="center" vertical="center"/>
    </xf>
    <xf numFmtId="2" fontId="0" fillId="0" borderId="45" xfId="0" applyNumberFormat="1" applyFont="1" applyBorder="1"/>
    <xf numFmtId="0" fontId="0" fillId="0" borderId="45" xfId="0" applyNumberFormat="1" applyFont="1" applyBorder="1"/>
    <xf numFmtId="0" fontId="2" fillId="0" borderId="80" xfId="0" applyFont="1" applyBorder="1" applyAlignment="1">
      <alignment horizontal="center" vertical="center"/>
    </xf>
    <xf numFmtId="0" fontId="2" fillId="0" borderId="78" xfId="0" applyFont="1" applyBorder="1"/>
    <xf numFmtId="0" fontId="0" fillId="0" borderId="0" xfId="0" applyFont="1" applyFill="1" applyBorder="1"/>
    <xf numFmtId="0" fontId="0" fillId="0" borderId="0" xfId="0" applyFont="1" applyAlignment="1">
      <alignment horizontal="right"/>
    </xf>
    <xf numFmtId="44" fontId="0" fillId="0" borderId="0" xfId="2" applyFont="1" applyAlignment="1">
      <alignment horizontal="right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/>
    <xf numFmtId="0" fontId="0" fillId="0" borderId="56" xfId="0" applyFont="1" applyBorder="1" applyAlignment="1">
      <alignment horizontal="center" vertical="center" wrapText="1"/>
    </xf>
    <xf numFmtId="10" fontId="0" fillId="0" borderId="0" xfId="0" applyNumberFormat="1"/>
    <xf numFmtId="10" fontId="0" fillId="0" borderId="0" xfId="1" applyNumberFormat="1" applyFont="1" applyAlignment="1">
      <alignment horizontal="center"/>
    </xf>
    <xf numFmtId="10" fontId="0" fillId="0" borderId="34" xfId="1" applyNumberFormat="1" applyFont="1" applyBorder="1" applyAlignment="1">
      <alignment horizontal="center"/>
    </xf>
    <xf numFmtId="10" fontId="0" fillId="0" borderId="83" xfId="1" applyNumberFormat="1" applyFont="1" applyBorder="1" applyAlignment="1">
      <alignment horizontal="center"/>
    </xf>
    <xf numFmtId="10" fontId="0" fillId="0" borderId="84" xfId="1" applyNumberFormat="1" applyFont="1" applyBorder="1" applyAlignment="1">
      <alignment horizontal="center"/>
    </xf>
    <xf numFmtId="10" fontId="0" fillId="0" borderId="30" xfId="1" applyNumberFormat="1" applyFont="1" applyBorder="1" applyAlignment="1">
      <alignment horizontal="center"/>
    </xf>
    <xf numFmtId="10" fontId="0" fillId="0" borderId="31" xfId="1" applyNumberFormat="1" applyFont="1" applyBorder="1" applyAlignment="1">
      <alignment horizontal="center"/>
    </xf>
    <xf numFmtId="10" fontId="0" fillId="0" borderId="32" xfId="1" applyNumberFormat="1" applyFont="1" applyBorder="1" applyAlignment="1">
      <alignment horizontal="center"/>
    </xf>
    <xf numFmtId="10" fontId="0" fillId="0" borderId="33" xfId="1" applyNumberFormat="1" applyFont="1" applyBorder="1" applyAlignment="1">
      <alignment horizontal="center"/>
    </xf>
    <xf numFmtId="10" fontId="0" fillId="0" borderId="35" xfId="1" applyNumberFormat="1" applyFont="1" applyBorder="1" applyAlignment="1">
      <alignment horizontal="center"/>
    </xf>
    <xf numFmtId="10" fontId="0" fillId="0" borderId="83" xfId="0" applyNumberFormat="1" applyBorder="1"/>
    <xf numFmtId="10" fontId="0" fillId="0" borderId="84" xfId="0" applyNumberFormat="1" applyBorder="1"/>
    <xf numFmtId="10" fontId="0" fillId="0" borderId="30" xfId="0" applyNumberFormat="1" applyBorder="1"/>
    <xf numFmtId="10" fontId="0" fillId="0" borderId="31" xfId="0" applyNumberFormat="1" applyBorder="1"/>
    <xf numFmtId="10" fontId="0" fillId="0" borderId="0" xfId="0" applyNumberFormat="1" applyBorder="1"/>
    <xf numFmtId="10" fontId="0" fillId="0" borderId="32" xfId="0" applyNumberFormat="1" applyBorder="1"/>
    <xf numFmtId="10" fontId="0" fillId="0" borderId="33" xfId="0" applyNumberFormat="1" applyBorder="1"/>
    <xf numFmtId="10" fontId="0" fillId="0" borderId="34" xfId="0" applyNumberFormat="1" applyBorder="1"/>
    <xf numFmtId="10" fontId="0" fillId="0" borderId="35" xfId="0" applyNumberFormat="1" applyBorder="1"/>
    <xf numFmtId="10" fontId="0" fillId="0" borderId="0" xfId="1" applyNumberFormat="1" applyFont="1" applyFill="1" applyBorder="1" applyAlignment="1">
      <alignment horizontal="center"/>
    </xf>
    <xf numFmtId="10" fontId="0" fillId="0" borderId="0" xfId="1" applyNumberFormat="1" applyFont="1"/>
    <xf numFmtId="165" fontId="0" fillId="2" borderId="47" xfId="0" applyNumberFormat="1" applyFont="1" applyFill="1" applyBorder="1" applyAlignment="1">
      <alignment horizontal="center" vertical="center"/>
    </xf>
    <xf numFmtId="165" fontId="0" fillId="0" borderId="45" xfId="0" applyNumberFormat="1" applyFont="1" applyBorder="1" applyAlignment="1">
      <alignment horizontal="center" vertical="center"/>
    </xf>
    <xf numFmtId="165" fontId="0" fillId="2" borderId="45" xfId="0" applyNumberFormat="1" applyFont="1" applyFill="1" applyBorder="1" applyAlignment="1">
      <alignment horizontal="center" vertical="center"/>
    </xf>
    <xf numFmtId="165" fontId="0" fillId="2" borderId="46" xfId="0" applyNumberFormat="1" applyFont="1" applyFill="1" applyBorder="1" applyAlignment="1">
      <alignment horizontal="center" vertical="center"/>
    </xf>
    <xf numFmtId="165" fontId="0" fillId="0" borderId="66" xfId="0" applyNumberFormat="1" applyFont="1" applyBorder="1" applyAlignment="1">
      <alignment horizontal="center" vertical="center"/>
    </xf>
    <xf numFmtId="165" fontId="0" fillId="2" borderId="45" xfId="0" applyNumberFormat="1" applyFont="1" applyFill="1" applyBorder="1"/>
    <xf numFmtId="165" fontId="0" fillId="0" borderId="45" xfId="0" applyNumberFormat="1" applyFont="1" applyBorder="1"/>
    <xf numFmtId="165" fontId="0" fillId="0" borderId="60" xfId="0" applyNumberFormat="1" applyFont="1" applyBorder="1"/>
    <xf numFmtId="2" fontId="0" fillId="0" borderId="0" xfId="0" applyNumberFormat="1" applyFont="1"/>
    <xf numFmtId="166" fontId="0" fillId="0" borderId="0" xfId="0" applyNumberFormat="1"/>
    <xf numFmtId="0" fontId="0" fillId="0" borderId="84" xfId="1" applyNumberFormat="1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34" xfId="1" applyNumberFormat="1" applyFont="1" applyBorder="1" applyAlignment="1">
      <alignment horizontal="center"/>
    </xf>
    <xf numFmtId="167" fontId="0" fillId="0" borderId="0" xfId="0" applyNumberFormat="1"/>
    <xf numFmtId="0" fontId="5" fillId="0" borderId="51" xfId="0" applyFont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70" xfId="0" applyFont="1" applyBorder="1" applyAlignment="1">
      <alignment horizontal="center" vertical="center"/>
    </xf>
    <xf numFmtId="0" fontId="2" fillId="0" borderId="72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2" fillId="0" borderId="56" xfId="0" applyFont="1" applyBorder="1" applyAlignment="1">
      <alignment horizontal="center"/>
    </xf>
    <xf numFmtId="0" fontId="2" fillId="0" borderId="54" xfId="0" applyFont="1" applyBorder="1" applyAlignment="1">
      <alignment horizontal="center" vertical="center" wrapText="1"/>
    </xf>
    <xf numFmtId="0" fontId="0" fillId="0" borderId="55" xfId="0" applyFont="1" applyBorder="1" applyAlignment="1">
      <alignment horizontal="center" vertical="center" wrapText="1"/>
    </xf>
    <xf numFmtId="0" fontId="0" fillId="0" borderId="56" xfId="0" applyFont="1" applyBorder="1" applyAlignment="1">
      <alignment horizontal="center" vertical="center" wrapText="1"/>
    </xf>
    <xf numFmtId="0" fontId="2" fillId="0" borderId="70" xfId="0" applyFont="1" applyBorder="1" applyAlignment="1">
      <alignment horizontal="center" vertical="center" wrapText="1"/>
    </xf>
    <xf numFmtId="0" fontId="2" fillId="0" borderId="72" xfId="0" applyFont="1" applyBorder="1" applyAlignment="1">
      <alignment horizontal="center" vertical="center" wrapText="1"/>
    </xf>
    <xf numFmtId="0" fontId="0" fillId="0" borderId="49" xfId="0" applyFont="1" applyBorder="1" applyAlignment="1">
      <alignment horizontal="center"/>
    </xf>
    <xf numFmtId="0" fontId="0" fillId="0" borderId="53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44" fontId="0" fillId="0" borderId="0" xfId="0" applyNumberFormat="1" applyFont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E45C-E09F-4B88-8D03-401E0FD5B2E0}">
  <sheetPr>
    <pageSetUpPr fitToPage="1"/>
  </sheetPr>
  <dimension ref="A1:AM69"/>
  <sheetViews>
    <sheetView tabSelected="1" topLeftCell="I1" zoomScale="60" zoomScaleNormal="60" workbookViewId="0">
      <selection activeCell="S12" sqref="S12"/>
    </sheetView>
  </sheetViews>
  <sheetFormatPr defaultRowHeight="15" x14ac:dyDescent="0.25"/>
  <cols>
    <col min="1" max="1" width="38.7109375" style="118" customWidth="1"/>
    <col min="2" max="2" width="17.28515625" style="118" customWidth="1"/>
    <col min="3" max="3" width="16.5703125" style="118" customWidth="1"/>
    <col min="4" max="4" width="28.5703125" style="118" customWidth="1"/>
    <col min="5" max="5" width="19.42578125" style="118" customWidth="1"/>
    <col min="6" max="7" width="14.85546875" style="118" customWidth="1"/>
    <col min="8" max="8" width="15" style="118" customWidth="1"/>
    <col min="9" max="9" width="9.140625" style="118"/>
    <col min="10" max="10" width="21" style="118" customWidth="1"/>
    <col min="11" max="11" width="20.85546875" style="118" bestFit="1" customWidth="1"/>
    <col min="12" max="12" width="23.140625" style="118" bestFit="1" customWidth="1"/>
    <col min="13" max="13" width="18.140625" style="118" customWidth="1"/>
    <col min="14" max="14" width="20.28515625" style="118" bestFit="1" customWidth="1"/>
    <col min="15" max="15" width="23.5703125" style="118" bestFit="1" customWidth="1"/>
    <col min="16" max="16" width="17.7109375" style="118" customWidth="1"/>
    <col min="17" max="17" width="11.28515625" style="118" customWidth="1"/>
    <col min="18" max="18" width="13.5703125" style="118" bestFit="1" customWidth="1"/>
    <col min="19" max="19" width="9.85546875" style="118" customWidth="1"/>
    <col min="20" max="20" width="10.42578125" style="118" customWidth="1"/>
    <col min="21" max="21" width="14.85546875" style="118" bestFit="1" customWidth="1"/>
    <col min="22" max="22" width="12.42578125" style="118" customWidth="1"/>
    <col min="23" max="23" width="11" style="118" customWidth="1"/>
    <col min="24" max="24" width="10.140625" style="118" customWidth="1"/>
    <col min="25" max="25" width="11.85546875" style="118" customWidth="1"/>
    <col min="26" max="26" width="21.7109375" style="118" bestFit="1" customWidth="1"/>
    <col min="27" max="27" width="12.85546875" style="118" customWidth="1"/>
    <col min="28" max="28" width="40.28515625" style="118" customWidth="1"/>
    <col min="29" max="29" width="20.7109375" style="118" customWidth="1"/>
    <col min="30" max="30" width="15.28515625" style="118" customWidth="1"/>
    <col min="31" max="31" width="34.42578125" style="118" bestFit="1" customWidth="1"/>
    <col min="32" max="32" width="18.5703125" style="118" bestFit="1" customWidth="1"/>
    <col min="33" max="33" width="10.7109375" style="118" bestFit="1" customWidth="1"/>
    <col min="34" max="34" width="6.5703125" style="118" bestFit="1" customWidth="1"/>
    <col min="35" max="35" width="8.5703125" style="118" bestFit="1" customWidth="1"/>
    <col min="36" max="36" width="10.5703125" style="118" bestFit="1" customWidth="1"/>
    <col min="37" max="38" width="4" style="118" customWidth="1"/>
    <col min="39" max="16384" width="9.140625" style="118"/>
  </cols>
  <sheetData>
    <row r="1" spans="1:38" ht="16.5" thickBot="1" x14ac:dyDescent="0.3">
      <c r="J1" s="258" t="s">
        <v>124</v>
      </c>
      <c r="K1" s="258"/>
      <c r="L1" s="258"/>
      <c r="M1" s="258"/>
      <c r="N1" s="258"/>
      <c r="O1" s="258"/>
      <c r="P1" s="258"/>
      <c r="Q1" s="258"/>
      <c r="R1" s="258"/>
      <c r="S1" s="258"/>
      <c r="T1" s="258"/>
      <c r="U1" s="258"/>
      <c r="V1" s="258"/>
      <c r="W1" s="258"/>
      <c r="X1" s="258"/>
      <c r="Y1" s="258"/>
      <c r="Z1" s="258"/>
      <c r="AA1" s="258"/>
      <c r="AB1" s="258"/>
      <c r="AC1" s="258"/>
    </row>
    <row r="2" spans="1:38" s="116" customFormat="1" ht="30.75" thickBot="1" x14ac:dyDescent="0.3">
      <c r="A2" s="95" t="s">
        <v>34</v>
      </c>
      <c r="B2" s="96" t="s">
        <v>35</v>
      </c>
      <c r="D2" s="117"/>
      <c r="J2" s="177" t="s">
        <v>0</v>
      </c>
      <c r="K2" s="178" t="s">
        <v>1</v>
      </c>
      <c r="L2" s="165" t="s">
        <v>52</v>
      </c>
      <c r="M2" s="179" t="s">
        <v>53</v>
      </c>
      <c r="N2" s="179" t="s">
        <v>54</v>
      </c>
      <c r="O2" s="179" t="s">
        <v>15</v>
      </c>
      <c r="P2" s="179" t="s">
        <v>16</v>
      </c>
      <c r="Q2" s="179" t="s">
        <v>55</v>
      </c>
      <c r="R2" s="179" t="s">
        <v>56</v>
      </c>
      <c r="S2" s="179" t="s">
        <v>59</v>
      </c>
      <c r="T2" s="179" t="s">
        <v>60</v>
      </c>
      <c r="U2" s="179" t="s">
        <v>42</v>
      </c>
      <c r="V2" s="179" t="s">
        <v>91</v>
      </c>
      <c r="W2" s="179" t="s">
        <v>92</v>
      </c>
      <c r="X2" s="179" t="s">
        <v>114</v>
      </c>
      <c r="Y2" s="179" t="s">
        <v>93</v>
      </c>
      <c r="Z2" s="179" t="s">
        <v>57</v>
      </c>
      <c r="AA2" s="179" t="s">
        <v>41</v>
      </c>
      <c r="AB2" s="179" t="s">
        <v>64</v>
      </c>
      <c r="AC2" s="178" t="s">
        <v>65</v>
      </c>
      <c r="AD2" s="117"/>
      <c r="AK2" s="117"/>
      <c r="AL2" s="117"/>
    </row>
    <row r="3" spans="1:38" x14ac:dyDescent="0.25">
      <c r="A3" s="164" t="s">
        <v>2</v>
      </c>
      <c r="B3" s="111" t="s">
        <v>36</v>
      </c>
      <c r="D3" s="119"/>
      <c r="J3" s="185" t="s">
        <v>36</v>
      </c>
      <c r="K3" s="186" t="s">
        <v>39</v>
      </c>
      <c r="L3" s="187">
        <v>0</v>
      </c>
      <c r="M3" s="176">
        <v>0</v>
      </c>
      <c r="N3" s="176">
        <v>0</v>
      </c>
      <c r="O3" s="176">
        <v>3</v>
      </c>
      <c r="P3" s="176">
        <v>0</v>
      </c>
      <c r="Q3" s="176">
        <v>1</v>
      </c>
      <c r="R3" s="176">
        <v>0</v>
      </c>
      <c r="S3" s="196">
        <v>2500</v>
      </c>
      <c r="T3" s="196">
        <f t="array" ref="T3">SUMPRODUCT(L3:R3,TRANSPOSE($AF$11:$AF$17))*1000000/20000</f>
        <v>2551.6799999999998</v>
      </c>
      <c r="U3" s="176">
        <f>S3/(T3-S3)</f>
        <v>48.37461300309613</v>
      </c>
      <c r="V3" s="244">
        <f>D21*1000/(3*10^8)</f>
        <v>4.6666666666666669E-2</v>
      </c>
      <c r="W3" s="176">
        <f>G37/2 + G39/2</f>
        <v>0.26</v>
      </c>
      <c r="X3" s="176">
        <v>100</v>
      </c>
      <c r="Y3" s="176">
        <f t="array" ref="Y3">SUMPRODUCT(O3:R3, TRANSPOSE($AF$14:$AF$17))*(1000000/20000)/T3</f>
        <v>1</v>
      </c>
      <c r="Z3" s="176">
        <f>1/(T3-S3)+Y3*V3+(1-Y3)*W3</f>
        <v>6.6016511867905123E-2</v>
      </c>
      <c r="AA3" s="176">
        <f>S3/T3</f>
        <v>0.97974667669927273</v>
      </c>
      <c r="AB3" s="176">
        <f t="shared" ref="AB3:AB12" si="0">IF(S3=T3,1,0)</f>
        <v>0</v>
      </c>
      <c r="AC3" s="188">
        <f t="shared" ref="AC3:AC12" si="1">S3/($S$13+$L$28)</f>
        <v>0.25773195876288657</v>
      </c>
      <c r="AD3" s="119"/>
      <c r="AK3" s="119"/>
      <c r="AL3" s="119"/>
    </row>
    <row r="4" spans="1:38" x14ac:dyDescent="0.25">
      <c r="A4" s="97" t="s">
        <v>3</v>
      </c>
      <c r="B4" s="113" t="s">
        <v>38</v>
      </c>
      <c r="D4" s="119"/>
      <c r="J4" s="174" t="s">
        <v>36</v>
      </c>
      <c r="K4" s="175" t="s">
        <v>40</v>
      </c>
      <c r="L4" s="171">
        <v>2</v>
      </c>
      <c r="M4" s="169">
        <v>0</v>
      </c>
      <c r="N4" s="169">
        <v>0</v>
      </c>
      <c r="O4" s="169">
        <v>0</v>
      </c>
      <c r="P4" s="169">
        <v>0</v>
      </c>
      <c r="Q4" s="169">
        <v>0</v>
      </c>
      <c r="R4" s="169">
        <v>0</v>
      </c>
      <c r="S4" s="197">
        <v>1000</v>
      </c>
      <c r="T4" s="197">
        <f t="array" ref="T4">SUMPRODUCT(L4:R4,TRANSPOSE($AF$11:$AF$17))*1000000/20000</f>
        <v>2000</v>
      </c>
      <c r="U4" s="169">
        <f t="shared" ref="U4:U12" si="2">S4/(T4-S4)</f>
        <v>1</v>
      </c>
      <c r="V4" s="245">
        <f>E21*1000/(3*10^8)</f>
        <v>2.6333333333333334E-2</v>
      </c>
      <c r="W4" s="169">
        <f>G37/2 + G40/2</f>
        <v>0.25700000000000001</v>
      </c>
      <c r="X4" s="169">
        <v>100</v>
      </c>
      <c r="Y4" s="169">
        <f t="array" ref="Y4">SUMPRODUCT(O4:R4, TRANSPOSE($AF$14:$AF$17))*(1000000/20000)/T4</f>
        <v>0</v>
      </c>
      <c r="Z4" s="169">
        <f>2/(T4-S4)+Y4*V4+(1-Y4)*W4</f>
        <v>0.25900000000000001</v>
      </c>
      <c r="AA4" s="169">
        <f t="shared" ref="AA4:AA12" si="3">S4/T4</f>
        <v>0.5</v>
      </c>
      <c r="AB4" s="169">
        <f t="shared" si="0"/>
        <v>0</v>
      </c>
      <c r="AC4" s="123">
        <f t="shared" si="1"/>
        <v>0.10309278350515463</v>
      </c>
      <c r="AD4" s="119"/>
      <c r="AK4" s="119"/>
      <c r="AL4" s="119"/>
    </row>
    <row r="5" spans="1:38" x14ac:dyDescent="0.25">
      <c r="A5" s="97" t="s">
        <v>4</v>
      </c>
      <c r="B5" s="113" t="s">
        <v>39</v>
      </c>
      <c r="D5" s="119"/>
      <c r="J5" s="189" t="s">
        <v>36</v>
      </c>
      <c r="K5" s="190" t="s">
        <v>37</v>
      </c>
      <c r="L5" s="191">
        <v>0</v>
      </c>
      <c r="M5" s="170">
        <v>0</v>
      </c>
      <c r="N5" s="170">
        <v>0</v>
      </c>
      <c r="O5" s="170">
        <v>0</v>
      </c>
      <c r="P5" s="170">
        <v>1</v>
      </c>
      <c r="Q5" s="170">
        <v>0</v>
      </c>
      <c r="R5" s="170">
        <v>0</v>
      </c>
      <c r="S5" s="197">
        <v>250</v>
      </c>
      <c r="T5" s="197">
        <f t="array" ref="T5">SUMPRODUCT(L5:R5,TRANSPOSE($AF$11:$AF$17))*1000000/20000</f>
        <v>776</v>
      </c>
      <c r="U5" s="170">
        <f t="shared" si="2"/>
        <v>0.47528517110266161</v>
      </c>
      <c r="V5" s="246">
        <f>F21*1000/(3*10^8)</f>
        <v>0.04</v>
      </c>
      <c r="W5" s="170">
        <f>I37/2 + I41/2</f>
        <v>0.28400000000000003</v>
      </c>
      <c r="X5" s="170">
        <v>21</v>
      </c>
      <c r="Y5" s="170">
        <f t="array" ref="Y5">SUMPRODUCT(O5:R5, TRANSPOSE($AF$14:$AF$17))*(1000000/20000)/T5</f>
        <v>1</v>
      </c>
      <c r="Z5" s="170">
        <f>1/(T5-S5)+Y5*V5+(1-Y5)*W5</f>
        <v>4.190114068441065E-2</v>
      </c>
      <c r="AA5" s="170">
        <f t="shared" si="3"/>
        <v>0.32216494845360827</v>
      </c>
      <c r="AB5" s="170">
        <f t="shared" si="0"/>
        <v>0</v>
      </c>
      <c r="AC5" s="192">
        <f t="shared" si="1"/>
        <v>2.5773195876288658E-2</v>
      </c>
      <c r="AD5" s="119"/>
      <c r="AK5" s="119"/>
      <c r="AL5" s="119"/>
    </row>
    <row r="6" spans="1:38" x14ac:dyDescent="0.25">
      <c r="A6" s="97" t="s">
        <v>5</v>
      </c>
      <c r="B6" s="113" t="s">
        <v>40</v>
      </c>
      <c r="D6" s="119"/>
      <c r="J6" s="174" t="s">
        <v>38</v>
      </c>
      <c r="K6" s="175" t="s">
        <v>36</v>
      </c>
      <c r="L6" s="171">
        <v>0</v>
      </c>
      <c r="M6" s="169">
        <v>0</v>
      </c>
      <c r="N6" s="169">
        <v>0</v>
      </c>
      <c r="O6" s="169">
        <v>1</v>
      </c>
      <c r="P6" s="169">
        <v>0</v>
      </c>
      <c r="Q6" s="169">
        <v>0</v>
      </c>
      <c r="R6" s="169">
        <v>0</v>
      </c>
      <c r="S6" s="197">
        <v>250</v>
      </c>
      <c r="T6" s="197">
        <f t="array" ref="T6">SUMPRODUCT(L6:R6,TRANSPOSE($AF$11:$AF$17))*1000000/20000</f>
        <v>776</v>
      </c>
      <c r="U6" s="169">
        <f t="shared" si="2"/>
        <v>0.47528517110266161</v>
      </c>
      <c r="V6" s="245">
        <f>B22*1000/(3*10^8)</f>
        <v>1.7999999999999999E-2</v>
      </c>
      <c r="W6" s="169">
        <f>G38/2 + G37/2</f>
        <v>0.2555</v>
      </c>
      <c r="X6" s="169">
        <v>100</v>
      </c>
      <c r="Y6" s="169">
        <f t="array" ref="Y6">SUMPRODUCT(O6:R6, TRANSPOSE($AF$14:$AF$17))*(1000000/20000)/T6</f>
        <v>1</v>
      </c>
      <c r="Z6" s="169">
        <f t="shared" ref="Z6:Z11" si="4">1/(T6-S6)+Y6*V6+(1-Y6)*W6</f>
        <v>1.9901140684410644E-2</v>
      </c>
      <c r="AA6" s="169">
        <f t="shared" si="3"/>
        <v>0.32216494845360827</v>
      </c>
      <c r="AB6" s="169">
        <f t="shared" si="0"/>
        <v>0</v>
      </c>
      <c r="AC6" s="123">
        <f t="shared" si="1"/>
        <v>2.5773195876288658E-2</v>
      </c>
      <c r="AD6" s="119"/>
      <c r="AK6" s="119"/>
      <c r="AL6" s="119"/>
    </row>
    <row r="7" spans="1:38" ht="15.75" thickBot="1" x14ac:dyDescent="0.3">
      <c r="A7" s="98" t="s">
        <v>6</v>
      </c>
      <c r="B7" s="115" t="s">
        <v>37</v>
      </c>
      <c r="D7" s="119"/>
      <c r="J7" s="189" t="s">
        <v>38</v>
      </c>
      <c r="K7" s="190" t="s">
        <v>39</v>
      </c>
      <c r="L7" s="191">
        <v>0</v>
      </c>
      <c r="M7" s="170">
        <v>0</v>
      </c>
      <c r="N7" s="170">
        <v>0</v>
      </c>
      <c r="O7" s="170">
        <v>0</v>
      </c>
      <c r="P7" s="170">
        <v>1</v>
      </c>
      <c r="Q7" s="170">
        <v>0</v>
      </c>
      <c r="R7" s="170">
        <v>0</v>
      </c>
      <c r="S7" s="197">
        <v>500</v>
      </c>
      <c r="T7" s="197">
        <f t="array" ref="T7">SUMPRODUCT(L7:R7,TRANSPOSE($AF$11:$AF$17))*1000000/20000</f>
        <v>776</v>
      </c>
      <c r="U7" s="170">
        <f t="shared" si="2"/>
        <v>1.8115942028985508</v>
      </c>
      <c r="V7" s="246">
        <f>D22*1000/(3*10^8)</f>
        <v>4.1666666666666664E-2</v>
      </c>
      <c r="W7" s="170">
        <f>G38/2 + G39/2</f>
        <v>0.2535</v>
      </c>
      <c r="X7" s="170">
        <v>100</v>
      </c>
      <c r="Y7" s="170">
        <f t="array" ref="Y7">SUMPRODUCT(O7:R7, TRANSPOSE($AF$14:$AF$17))*(1000000/20000)/T7</f>
        <v>1</v>
      </c>
      <c r="Z7" s="170">
        <f t="shared" si="4"/>
        <v>4.5289855072463768E-2</v>
      </c>
      <c r="AA7" s="170">
        <f t="shared" si="3"/>
        <v>0.64432989690721654</v>
      </c>
      <c r="AB7" s="170">
        <f t="shared" si="0"/>
        <v>0</v>
      </c>
      <c r="AC7" s="192">
        <f t="shared" si="1"/>
        <v>5.1546391752577317E-2</v>
      </c>
      <c r="AD7" s="119"/>
      <c r="AK7" s="119"/>
      <c r="AL7" s="119"/>
    </row>
    <row r="8" spans="1:38" ht="15.75" thickBot="1" x14ac:dyDescent="0.3">
      <c r="D8" s="119"/>
      <c r="J8" s="174" t="s">
        <v>39</v>
      </c>
      <c r="K8" s="175" t="s">
        <v>40</v>
      </c>
      <c r="L8" s="171">
        <v>0</v>
      </c>
      <c r="M8" s="169">
        <v>0</v>
      </c>
      <c r="N8" s="169">
        <v>0</v>
      </c>
      <c r="O8" s="169">
        <v>1</v>
      </c>
      <c r="P8" s="169">
        <v>0</v>
      </c>
      <c r="Q8" s="169">
        <v>0</v>
      </c>
      <c r="R8" s="169">
        <v>0</v>
      </c>
      <c r="S8" s="197">
        <v>500</v>
      </c>
      <c r="T8" s="197">
        <f t="array" ref="T8">SUMPRODUCT(L8:R8,TRANSPOSE($AF$11:$AF$17))*1000000/20000</f>
        <v>776</v>
      </c>
      <c r="U8" s="169">
        <f t="shared" si="2"/>
        <v>1.8115942028985508</v>
      </c>
      <c r="V8" s="245">
        <f>E23*1000/(3*10^8)</f>
        <v>3.7333333333333336E-2</v>
      </c>
      <c r="W8" s="169">
        <f>G39/2 + G40/2</f>
        <v>0.255</v>
      </c>
      <c r="X8" s="169">
        <v>100</v>
      </c>
      <c r="Y8" s="169">
        <f t="array" ref="Y8">SUMPRODUCT(O8:R8, TRANSPOSE($AF$14:$AF$17))*(1000000/20000)/T8</f>
        <v>1</v>
      </c>
      <c r="Z8" s="169">
        <f t="shared" si="4"/>
        <v>4.095652173913044E-2</v>
      </c>
      <c r="AA8" s="169">
        <f t="shared" si="3"/>
        <v>0.64432989690721654</v>
      </c>
      <c r="AB8" s="169">
        <f t="shared" si="0"/>
        <v>0</v>
      </c>
      <c r="AC8" s="123">
        <f t="shared" si="1"/>
        <v>5.1546391752577317E-2</v>
      </c>
      <c r="AD8" s="119"/>
      <c r="AK8" s="119"/>
      <c r="AL8" s="119"/>
    </row>
    <row r="9" spans="1:38" ht="15.75" thickBot="1" x14ac:dyDescent="0.3">
      <c r="A9" s="158" t="s">
        <v>11</v>
      </c>
      <c r="B9" s="106" t="s">
        <v>22</v>
      </c>
      <c r="C9" s="107" t="s">
        <v>19</v>
      </c>
      <c r="D9" s="154" t="s">
        <v>20</v>
      </c>
      <c r="J9" s="189" t="s">
        <v>39</v>
      </c>
      <c r="K9" s="190" t="s">
        <v>37</v>
      </c>
      <c r="L9" s="191">
        <v>0</v>
      </c>
      <c r="M9" s="170">
        <v>0</v>
      </c>
      <c r="N9" s="170">
        <v>0</v>
      </c>
      <c r="O9" s="170">
        <v>0</v>
      </c>
      <c r="P9" s="170">
        <v>0</v>
      </c>
      <c r="Q9" s="170">
        <v>2</v>
      </c>
      <c r="R9" s="170">
        <v>0</v>
      </c>
      <c r="S9" s="197">
        <v>250</v>
      </c>
      <c r="T9" s="197">
        <f t="array" ref="T9">SUMPRODUCT(L9:R9,TRANSPOSE($AF$11:$AF$17))*1000000/20000</f>
        <v>447.36</v>
      </c>
      <c r="U9" s="170">
        <f t="shared" si="2"/>
        <v>1.2667207134171057</v>
      </c>
      <c r="V9" s="246">
        <f>F23*1000/(3*10^8)</f>
        <v>1.5333333333333332E-2</v>
      </c>
      <c r="W9" s="170">
        <f>I39/2 + I41/2</f>
        <v>0.253</v>
      </c>
      <c r="X9" s="170">
        <v>21</v>
      </c>
      <c r="Y9" s="170">
        <f t="array" ref="Y9">SUMPRODUCT(O9:R9, TRANSPOSE($AF$14:$AF$17))*(1000000/20000)/T9</f>
        <v>1</v>
      </c>
      <c r="Z9" s="170">
        <f t="shared" si="4"/>
        <v>2.0400216187001757E-2</v>
      </c>
      <c r="AA9" s="170">
        <f t="shared" si="3"/>
        <v>0.55883404864091557</v>
      </c>
      <c r="AB9" s="170">
        <f t="shared" si="0"/>
        <v>0</v>
      </c>
      <c r="AC9" s="192">
        <f t="shared" si="1"/>
        <v>2.5773195876288658E-2</v>
      </c>
      <c r="AD9" s="119"/>
      <c r="AE9" s="119"/>
      <c r="AF9" s="119"/>
      <c r="AG9" s="119"/>
      <c r="AH9" s="119"/>
      <c r="AI9" s="119"/>
      <c r="AJ9" s="119"/>
      <c r="AK9" s="119"/>
      <c r="AL9" s="119"/>
    </row>
    <row r="10" spans="1:38" x14ac:dyDescent="0.25">
      <c r="A10" s="159" t="s">
        <v>12</v>
      </c>
      <c r="B10" s="155">
        <v>20</v>
      </c>
      <c r="C10" s="121" t="s">
        <v>25</v>
      </c>
      <c r="D10" s="122" t="s">
        <v>30</v>
      </c>
      <c r="J10" s="174" t="s">
        <v>40</v>
      </c>
      <c r="K10" s="175" t="s">
        <v>38</v>
      </c>
      <c r="L10" s="171">
        <v>0</v>
      </c>
      <c r="M10" s="169">
        <v>0</v>
      </c>
      <c r="N10" s="169">
        <v>0</v>
      </c>
      <c r="O10" s="169">
        <v>1</v>
      </c>
      <c r="P10" s="169">
        <v>0</v>
      </c>
      <c r="Q10" s="169">
        <v>0</v>
      </c>
      <c r="R10" s="169">
        <v>0</v>
      </c>
      <c r="S10" s="197">
        <v>500</v>
      </c>
      <c r="T10" s="197">
        <f t="array" ref="T10">SUMPRODUCT(L10:R10,TRANSPOSE($AF$11:$AF$17))*1000000/20000</f>
        <v>776</v>
      </c>
      <c r="U10" s="169">
        <f t="shared" si="2"/>
        <v>1.8115942028985508</v>
      </c>
      <c r="V10" s="245">
        <f>C24*1000/(3*10^8)</f>
        <v>8.3333333333333332E-3</v>
      </c>
      <c r="W10" s="169">
        <f>G38/2 + G40/2</f>
        <v>0.2505</v>
      </c>
      <c r="X10" s="169">
        <v>100</v>
      </c>
      <c r="Y10" s="169">
        <f t="array" ref="Y10">SUMPRODUCT(O10:R10, TRANSPOSE($AF$14:$AF$17))*(1000000/20000)/T10</f>
        <v>1</v>
      </c>
      <c r="Z10" s="169">
        <f t="shared" si="4"/>
        <v>1.1956521739130435E-2</v>
      </c>
      <c r="AA10" s="169">
        <f t="shared" si="3"/>
        <v>0.64432989690721654</v>
      </c>
      <c r="AB10" s="169">
        <f t="shared" si="0"/>
        <v>0</v>
      </c>
      <c r="AC10" s="123">
        <f t="shared" si="1"/>
        <v>5.1546391752577317E-2</v>
      </c>
      <c r="AD10" s="119"/>
      <c r="AE10" s="119" t="s">
        <v>11</v>
      </c>
      <c r="AF10" s="119" t="s">
        <v>22</v>
      </c>
      <c r="AG10" s="119"/>
      <c r="AH10" s="119"/>
      <c r="AI10" s="119"/>
      <c r="AJ10" s="119"/>
      <c r="AK10" s="119"/>
      <c r="AL10" s="119"/>
    </row>
    <row r="11" spans="1:38" ht="15.75" thickBot="1" x14ac:dyDescent="0.3">
      <c r="A11" s="160" t="s">
        <v>13</v>
      </c>
      <c r="B11" s="156">
        <v>20</v>
      </c>
      <c r="C11" s="105" t="s">
        <v>26</v>
      </c>
      <c r="D11" s="123" t="s">
        <v>30</v>
      </c>
      <c r="J11" s="189" t="s">
        <v>37</v>
      </c>
      <c r="K11" s="201" t="s">
        <v>38</v>
      </c>
      <c r="L11" s="202">
        <v>0</v>
      </c>
      <c r="M11" s="203">
        <v>0</v>
      </c>
      <c r="N11" s="203">
        <v>0</v>
      </c>
      <c r="O11" s="203">
        <v>0</v>
      </c>
      <c r="P11" s="203">
        <v>0</v>
      </c>
      <c r="Q11" s="203">
        <v>0</v>
      </c>
      <c r="R11" s="203">
        <v>1</v>
      </c>
      <c r="S11" s="204">
        <v>200</v>
      </c>
      <c r="T11" s="204">
        <f t="array" ref="T11">SUMPRODUCT(L11:R11,TRANSPOSE($AF$11:$AF$17))*1000000/20000</f>
        <v>223.68</v>
      </c>
      <c r="U11" s="203">
        <f t="shared" si="2"/>
        <v>8.4459459459459438</v>
      </c>
      <c r="V11" s="247">
        <f>C25*1000/(3*10^8)</f>
        <v>2.7333333333333334E-2</v>
      </c>
      <c r="W11" s="203">
        <v>0</v>
      </c>
      <c r="X11" s="203" t="s">
        <v>111</v>
      </c>
      <c r="Y11" s="203">
        <f t="array" ref="Y11">SUMPRODUCT(O11:R11, TRANSPOSE($AF$14:$AF$17))*(1000000/20000)/T11</f>
        <v>1</v>
      </c>
      <c r="Z11" s="203">
        <f t="shared" si="4"/>
        <v>6.9563063063063049E-2</v>
      </c>
      <c r="AA11" s="203">
        <f t="shared" si="3"/>
        <v>0.89413447782546496</v>
      </c>
      <c r="AB11" s="203">
        <f t="shared" si="0"/>
        <v>0</v>
      </c>
      <c r="AC11" s="205">
        <f t="shared" si="1"/>
        <v>2.0618556701030927E-2</v>
      </c>
      <c r="AD11" s="119"/>
      <c r="AE11" s="119" t="s">
        <v>12</v>
      </c>
      <c r="AF11" s="137">
        <v>20</v>
      </c>
      <c r="AG11" s="119"/>
      <c r="AH11" s="119"/>
      <c r="AI11" s="119"/>
      <c r="AJ11" s="119"/>
      <c r="AK11" s="119"/>
      <c r="AL11" s="119"/>
    </row>
    <row r="12" spans="1:38" ht="15.75" thickBot="1" x14ac:dyDescent="0.3">
      <c r="A12" s="160" t="s">
        <v>14</v>
      </c>
      <c r="B12" s="156">
        <v>5</v>
      </c>
      <c r="C12" s="105" t="s">
        <v>27</v>
      </c>
      <c r="D12" s="123" t="s">
        <v>31</v>
      </c>
      <c r="J12" s="200" t="s">
        <v>37</v>
      </c>
      <c r="K12" s="207" t="s">
        <v>40</v>
      </c>
      <c r="L12" s="208">
        <v>2</v>
      </c>
      <c r="M12" s="209">
        <v>0</v>
      </c>
      <c r="N12" s="209">
        <v>0</v>
      </c>
      <c r="O12" s="209">
        <v>0</v>
      </c>
      <c r="P12" s="209">
        <v>0</v>
      </c>
      <c r="Q12" s="209">
        <v>0</v>
      </c>
      <c r="R12" s="209">
        <v>0</v>
      </c>
      <c r="S12" s="210">
        <v>1000</v>
      </c>
      <c r="T12" s="210">
        <f t="array" ref="T12">SUMPRODUCT(L12:R12,TRANSPOSE($AF$11:$AF$17))*1000000/20000</f>
        <v>2000</v>
      </c>
      <c r="U12" s="209">
        <f t="shared" si="2"/>
        <v>1</v>
      </c>
      <c r="V12" s="248">
        <f>E25*1000/(3*10^8)</f>
        <v>2.1999999999999999E-2</v>
      </c>
      <c r="W12" s="209">
        <f>I40/2 + I41/2</f>
        <v>0.26050000000000001</v>
      </c>
      <c r="X12" s="209">
        <v>21</v>
      </c>
      <c r="Y12" s="209">
        <f t="array" ref="Y12">SUMPRODUCT(O12:R12, TRANSPOSE($AF$14:$AF$17))*(1000000/20000)/T12</f>
        <v>0</v>
      </c>
      <c r="Z12" s="209">
        <f>2/(T12-S12)+Y12*V12+(1-Y12)*W12</f>
        <v>0.26250000000000001</v>
      </c>
      <c r="AA12" s="209">
        <f t="shared" si="3"/>
        <v>0.5</v>
      </c>
      <c r="AB12" s="209">
        <f t="shared" si="0"/>
        <v>0</v>
      </c>
      <c r="AC12" s="120">
        <f t="shared" si="1"/>
        <v>0.10309278350515463</v>
      </c>
      <c r="AD12" s="119"/>
      <c r="AE12" s="119" t="s">
        <v>13</v>
      </c>
      <c r="AF12" s="137">
        <v>20</v>
      </c>
      <c r="AG12" s="119"/>
      <c r="AH12" s="119"/>
      <c r="AI12" s="119"/>
      <c r="AJ12" s="119"/>
      <c r="AK12" s="119"/>
      <c r="AL12" s="119"/>
    </row>
    <row r="13" spans="1:38" ht="15.75" thickBot="1" x14ac:dyDescent="0.3">
      <c r="A13" s="160" t="s">
        <v>15</v>
      </c>
      <c r="B13" s="156">
        <v>15.52</v>
      </c>
      <c r="C13" s="105" t="s">
        <v>28</v>
      </c>
      <c r="D13" s="123" t="s">
        <v>32</v>
      </c>
      <c r="J13" s="136"/>
      <c r="K13" s="211" t="s">
        <v>121</v>
      </c>
      <c r="L13" s="167"/>
      <c r="M13" s="199"/>
      <c r="N13" s="199"/>
      <c r="O13" s="199"/>
      <c r="P13" s="199"/>
      <c r="Q13" s="199"/>
      <c r="R13" s="199"/>
      <c r="S13" s="198">
        <f>SUM(S3:S12)</f>
        <v>6950</v>
      </c>
      <c r="T13" s="198">
        <f>SUM(T3:T12)</f>
        <v>11102.720000000001</v>
      </c>
      <c r="U13" s="199"/>
      <c r="V13" s="199"/>
      <c r="W13" s="199"/>
      <c r="X13" s="199"/>
      <c r="Y13" s="199"/>
      <c r="Z13" s="199"/>
      <c r="AA13" s="199"/>
      <c r="AB13" s="199"/>
      <c r="AC13" s="215">
        <f>SUM(AC3:AC12)</f>
        <v>0.71649484536082475</v>
      </c>
      <c r="AD13" s="119"/>
      <c r="AE13" s="119" t="s">
        <v>14</v>
      </c>
      <c r="AF13" s="137">
        <v>5</v>
      </c>
      <c r="AG13" s="119"/>
      <c r="AH13" s="119"/>
      <c r="AI13" s="119"/>
      <c r="AJ13" s="119"/>
      <c r="AK13" s="119"/>
      <c r="AL13" s="119"/>
    </row>
    <row r="14" spans="1:38" ht="15.75" thickBot="1" x14ac:dyDescent="0.3">
      <c r="A14" s="160" t="s">
        <v>16</v>
      </c>
      <c r="B14" s="156">
        <v>15.52</v>
      </c>
      <c r="C14" s="105" t="s">
        <v>27</v>
      </c>
      <c r="D14" s="123" t="s">
        <v>33</v>
      </c>
      <c r="J14" s="119"/>
      <c r="K14" s="166" t="s">
        <v>67</v>
      </c>
      <c r="L14" s="206">
        <f t="shared" ref="L14:R14" si="5">SUM(L3:L12)</f>
        <v>4</v>
      </c>
      <c r="M14" s="206">
        <f t="shared" si="5"/>
        <v>0</v>
      </c>
      <c r="N14" s="206">
        <f t="shared" si="5"/>
        <v>0</v>
      </c>
      <c r="O14" s="206">
        <f t="shared" si="5"/>
        <v>6</v>
      </c>
      <c r="P14" s="206">
        <f t="shared" si="5"/>
        <v>2</v>
      </c>
      <c r="Q14" s="206">
        <f t="shared" si="5"/>
        <v>3</v>
      </c>
      <c r="R14" s="206">
        <f t="shared" si="5"/>
        <v>1</v>
      </c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 t="s">
        <v>15</v>
      </c>
      <c r="AF14" s="137">
        <v>15.52</v>
      </c>
      <c r="AG14" s="119"/>
      <c r="AH14" s="119"/>
      <c r="AI14" s="119"/>
      <c r="AJ14" s="119"/>
      <c r="AK14" s="119"/>
      <c r="AL14" s="119"/>
    </row>
    <row r="15" spans="1:38" ht="15.75" thickBot="1" x14ac:dyDescent="0.3">
      <c r="A15" s="160" t="s">
        <v>17</v>
      </c>
      <c r="B15" s="156">
        <v>4.4736000000000002</v>
      </c>
      <c r="C15" s="105" t="s">
        <v>29</v>
      </c>
      <c r="D15" s="123" t="s">
        <v>32</v>
      </c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 t="s">
        <v>16</v>
      </c>
      <c r="AF15" s="137">
        <v>15.52</v>
      </c>
      <c r="AG15" s="119"/>
      <c r="AH15" s="119"/>
      <c r="AI15" s="119"/>
      <c r="AJ15" s="119"/>
      <c r="AK15" s="119"/>
      <c r="AL15" s="119"/>
    </row>
    <row r="16" spans="1:38" ht="15.75" thickBot="1" x14ac:dyDescent="0.3">
      <c r="A16" s="161" t="s">
        <v>18</v>
      </c>
      <c r="B16" s="157">
        <v>4.4736000000000002</v>
      </c>
      <c r="C16" s="124" t="s">
        <v>27</v>
      </c>
      <c r="D16" s="125" t="s">
        <v>31</v>
      </c>
      <c r="R16" s="119"/>
      <c r="S16" s="119"/>
      <c r="T16" s="119"/>
      <c r="U16" s="119"/>
      <c r="V16" s="119"/>
      <c r="W16" s="119"/>
      <c r="X16" s="119"/>
      <c r="Y16" s="119"/>
      <c r="Z16" s="212" t="s">
        <v>68</v>
      </c>
      <c r="AA16" s="212">
        <f>SUMPRODUCT(AC3:AC12,Z3:Z12)+SUMPRODUCT(R18:R27,T18:T27)</f>
        <v>0.10089552559626092</v>
      </c>
      <c r="AB16" s="119"/>
      <c r="AC16" s="119"/>
      <c r="AD16" s="119"/>
      <c r="AE16" s="119" t="s">
        <v>17</v>
      </c>
      <c r="AF16" s="137">
        <v>4.4736000000000002</v>
      </c>
      <c r="AG16" s="119"/>
      <c r="AH16" s="119"/>
      <c r="AI16" s="119"/>
      <c r="AJ16" s="119"/>
      <c r="AK16" s="119"/>
      <c r="AL16" s="119"/>
    </row>
    <row r="17" spans="1:39" ht="15.75" thickBot="1" x14ac:dyDescent="0.3">
      <c r="D17" s="119"/>
      <c r="J17" s="172" t="s">
        <v>0</v>
      </c>
      <c r="K17" s="173" t="s">
        <v>1</v>
      </c>
      <c r="L17" s="182" t="s">
        <v>59</v>
      </c>
      <c r="M17" s="180" t="s">
        <v>60</v>
      </c>
      <c r="N17" s="180" t="s">
        <v>42</v>
      </c>
      <c r="O17" s="180" t="s">
        <v>104</v>
      </c>
      <c r="P17" s="180" t="s">
        <v>92</v>
      </c>
      <c r="Q17" s="180" t="s">
        <v>93</v>
      </c>
      <c r="R17" s="180" t="s">
        <v>105</v>
      </c>
      <c r="S17" s="180" t="s">
        <v>41</v>
      </c>
      <c r="T17" s="181" t="s">
        <v>65</v>
      </c>
      <c r="U17" s="119"/>
      <c r="V17" s="119"/>
      <c r="W17" s="119"/>
      <c r="X17" s="119"/>
      <c r="Y17" s="119"/>
      <c r="Z17" s="166" t="s">
        <v>69</v>
      </c>
      <c r="AA17" s="168">
        <f>AA16*1000</f>
        <v>100.89552559626091</v>
      </c>
      <c r="AB17" s="119"/>
      <c r="AC17" s="119"/>
      <c r="AD17" s="119"/>
      <c r="AE17" s="119" t="s">
        <v>18</v>
      </c>
      <c r="AF17" s="137">
        <v>4.4736000000000002</v>
      </c>
      <c r="AG17" s="119"/>
      <c r="AH17" s="119"/>
      <c r="AI17" s="119"/>
      <c r="AJ17" s="119"/>
      <c r="AK17" s="119"/>
      <c r="AL17" s="119"/>
    </row>
    <row r="18" spans="1:39" ht="15.75" thickBot="1" x14ac:dyDescent="0.3">
      <c r="D18" s="119"/>
      <c r="J18" s="189" t="s">
        <v>39</v>
      </c>
      <c r="K18" s="190" t="s">
        <v>36</v>
      </c>
      <c r="L18" s="193">
        <v>250</v>
      </c>
      <c r="M18" s="194">
        <f t="shared" ref="M18:M27" si="6">T3</f>
        <v>2551.6799999999998</v>
      </c>
      <c r="N18" s="194">
        <f>L18/(M18-L18)</f>
        <v>0.10861631503944945</v>
      </c>
      <c r="O18" s="249">
        <f t="shared" ref="O18:O27" si="7">V3</f>
        <v>4.6666666666666669E-2</v>
      </c>
      <c r="P18" s="194">
        <f t="shared" ref="P18:P27" si="8">W3</f>
        <v>0.26</v>
      </c>
      <c r="Q18" s="194">
        <f t="shared" ref="Q18:Q27" si="9">Y3</f>
        <v>1</v>
      </c>
      <c r="R18" s="194">
        <f>1/(M18-L18)+Q18*O18+(1-Q18)*P18</f>
        <v>4.7101131926824469E-2</v>
      </c>
      <c r="S18" s="194">
        <f>L18/M18</f>
        <v>9.7974667669927268E-2</v>
      </c>
      <c r="T18" s="195">
        <f>L18/($L$28+$S$13)</f>
        <v>2.5773195876288658E-2</v>
      </c>
      <c r="V18" s="119"/>
      <c r="AD18" s="119"/>
      <c r="AE18" s="119"/>
      <c r="AF18" s="119"/>
      <c r="AG18" s="119"/>
      <c r="AH18" s="119"/>
      <c r="AI18" s="119"/>
      <c r="AJ18" s="119"/>
      <c r="AK18" s="119"/>
      <c r="AL18" s="119"/>
    </row>
    <row r="19" spans="1:39" x14ac:dyDescent="0.25">
      <c r="A19" s="260" t="s">
        <v>0</v>
      </c>
      <c r="B19" s="262" t="s">
        <v>122</v>
      </c>
      <c r="C19" s="263"/>
      <c r="D19" s="263"/>
      <c r="E19" s="263"/>
      <c r="F19" s="264"/>
      <c r="G19" s="55"/>
      <c r="H19" s="55"/>
      <c r="I19" s="55"/>
      <c r="J19" s="174" t="s">
        <v>40</v>
      </c>
      <c r="K19" s="175" t="s">
        <v>36</v>
      </c>
      <c r="L19" s="156">
        <v>250</v>
      </c>
      <c r="M19" s="105">
        <f t="shared" si="6"/>
        <v>2000</v>
      </c>
      <c r="N19" s="105">
        <f t="shared" ref="N19:N27" si="10">L19/(M19-L19)</f>
        <v>0.14285714285714285</v>
      </c>
      <c r="O19" s="250">
        <f t="shared" si="7"/>
        <v>2.6333333333333334E-2</v>
      </c>
      <c r="P19" s="105">
        <f t="shared" si="8"/>
        <v>0.25700000000000001</v>
      </c>
      <c r="Q19" s="105">
        <f t="shared" si="9"/>
        <v>0</v>
      </c>
      <c r="R19" s="105">
        <f>2/(M19-L19)+Q19*O19+(1-Q19)*P19</f>
        <v>0.25814285714285717</v>
      </c>
      <c r="S19" s="105">
        <f t="shared" ref="S19:S27" si="11">L19/M19</f>
        <v>0.125</v>
      </c>
      <c r="T19" s="195">
        <f t="shared" ref="T19:T27" si="12">L19/($L$28+$S$13)</f>
        <v>2.5773195876288658E-2</v>
      </c>
      <c r="V19" s="119"/>
      <c r="AD19" s="119"/>
      <c r="AE19" s="119"/>
      <c r="AF19" s="119"/>
      <c r="AG19" s="119"/>
      <c r="AH19" s="119"/>
      <c r="AI19" s="119"/>
      <c r="AJ19" s="119"/>
      <c r="AK19" s="119"/>
      <c r="AL19" s="119"/>
    </row>
    <row r="20" spans="1:39" ht="15.75" thickBot="1" x14ac:dyDescent="0.3">
      <c r="A20" s="261"/>
      <c r="B20" s="98" t="s">
        <v>2</v>
      </c>
      <c r="C20" s="101" t="s">
        <v>3</v>
      </c>
      <c r="D20" s="101" t="s">
        <v>4</v>
      </c>
      <c r="E20" s="101" t="s">
        <v>5</v>
      </c>
      <c r="F20" s="102" t="s">
        <v>6</v>
      </c>
      <c r="G20" s="55"/>
      <c r="H20" s="55"/>
      <c r="I20" s="55"/>
      <c r="J20" s="189" t="s">
        <v>37</v>
      </c>
      <c r="K20" s="190" t="s">
        <v>36</v>
      </c>
      <c r="L20" s="193">
        <v>250</v>
      </c>
      <c r="M20" s="194">
        <f t="shared" si="6"/>
        <v>776</v>
      </c>
      <c r="N20" s="194">
        <f t="shared" si="10"/>
        <v>0.47528517110266161</v>
      </c>
      <c r="O20" s="249">
        <f t="shared" si="7"/>
        <v>0.04</v>
      </c>
      <c r="P20" s="194">
        <f t="shared" si="8"/>
        <v>0.28400000000000003</v>
      </c>
      <c r="Q20" s="194">
        <f t="shared" si="9"/>
        <v>1</v>
      </c>
      <c r="R20" s="194">
        <f t="shared" ref="R20:R26" si="13">1/(M20-L20)+Q20*O20+(1-Q20)*P20</f>
        <v>4.190114068441065E-2</v>
      </c>
      <c r="S20" s="194">
        <f t="shared" si="11"/>
        <v>0.32216494845360827</v>
      </c>
      <c r="T20" s="195">
        <f t="shared" si="12"/>
        <v>2.5773195876288658E-2</v>
      </c>
      <c r="V20" s="119"/>
      <c r="AD20" s="119"/>
      <c r="AE20" s="119"/>
      <c r="AF20" s="119"/>
      <c r="AG20" s="119"/>
      <c r="AH20" s="119"/>
      <c r="AI20" s="119"/>
      <c r="AJ20" s="119"/>
      <c r="AK20" s="119"/>
      <c r="AL20" s="119"/>
    </row>
    <row r="21" spans="1:39" x14ac:dyDescent="0.25">
      <c r="A21" s="162" t="s">
        <v>2</v>
      </c>
      <c r="B21" s="126">
        <v>0</v>
      </c>
      <c r="C21" s="110">
        <v>5400</v>
      </c>
      <c r="D21" s="110">
        <v>14000</v>
      </c>
      <c r="E21" s="110">
        <v>7900</v>
      </c>
      <c r="F21" s="111">
        <v>12000</v>
      </c>
      <c r="G21" s="127"/>
      <c r="H21" s="127"/>
      <c r="I21" s="127"/>
      <c r="J21" s="174" t="s">
        <v>36</v>
      </c>
      <c r="K21" s="175" t="s">
        <v>38</v>
      </c>
      <c r="L21" s="156">
        <v>200</v>
      </c>
      <c r="M21" s="105">
        <f t="shared" si="6"/>
        <v>776</v>
      </c>
      <c r="N21" s="105">
        <f t="shared" si="10"/>
        <v>0.34722222222222221</v>
      </c>
      <c r="O21" s="250">
        <f t="shared" si="7"/>
        <v>1.7999999999999999E-2</v>
      </c>
      <c r="P21" s="105">
        <f t="shared" si="8"/>
        <v>0.2555</v>
      </c>
      <c r="Q21" s="105">
        <f t="shared" si="9"/>
        <v>1</v>
      </c>
      <c r="R21" s="105">
        <f t="shared" si="13"/>
        <v>1.9736111111111111E-2</v>
      </c>
      <c r="S21" s="105">
        <f t="shared" si="11"/>
        <v>0.25773195876288657</v>
      </c>
      <c r="T21" s="195">
        <f t="shared" si="12"/>
        <v>2.0618556701030927E-2</v>
      </c>
      <c r="V21" s="119"/>
      <c r="Z21" s="270" t="s">
        <v>70</v>
      </c>
      <c r="AA21" s="271"/>
      <c r="AD21" s="119"/>
      <c r="AF21" s="119"/>
      <c r="AG21" s="119"/>
      <c r="AH21" s="119"/>
      <c r="AI21" s="119"/>
      <c r="AJ21" s="119"/>
      <c r="AK21" s="119"/>
      <c r="AL21" s="119"/>
    </row>
    <row r="22" spans="1:39" x14ac:dyDescent="0.25">
      <c r="A22" s="99" t="s">
        <v>3</v>
      </c>
      <c r="B22" s="128">
        <v>5400</v>
      </c>
      <c r="C22" s="112">
        <v>0</v>
      </c>
      <c r="D22" s="112">
        <v>12500</v>
      </c>
      <c r="E22" s="112">
        <v>2500</v>
      </c>
      <c r="F22" s="113">
        <v>8200</v>
      </c>
      <c r="G22" s="129"/>
      <c r="H22" s="129"/>
      <c r="I22" s="129"/>
      <c r="J22" s="189" t="s">
        <v>39</v>
      </c>
      <c r="K22" s="190" t="s">
        <v>38</v>
      </c>
      <c r="L22" s="193">
        <v>500</v>
      </c>
      <c r="M22" s="194">
        <f t="shared" si="6"/>
        <v>776</v>
      </c>
      <c r="N22" s="194">
        <f t="shared" si="10"/>
        <v>1.8115942028985508</v>
      </c>
      <c r="O22" s="249">
        <f t="shared" si="7"/>
        <v>4.1666666666666664E-2</v>
      </c>
      <c r="P22" s="194">
        <f t="shared" si="8"/>
        <v>0.2535</v>
      </c>
      <c r="Q22" s="194">
        <f t="shared" si="9"/>
        <v>1</v>
      </c>
      <c r="R22" s="194">
        <f t="shared" si="13"/>
        <v>4.5289855072463768E-2</v>
      </c>
      <c r="S22" s="194">
        <f t="shared" si="11"/>
        <v>0.64432989690721654</v>
      </c>
      <c r="T22" s="195">
        <f t="shared" si="12"/>
        <v>5.1546391752577317E-2</v>
      </c>
      <c r="V22" s="119"/>
      <c r="Z22" s="105" t="s">
        <v>71</v>
      </c>
      <c r="AA22" s="213">
        <f>O47/6000000</f>
        <v>150.78666666666666</v>
      </c>
      <c r="AD22" s="119"/>
      <c r="AF22" s="119"/>
      <c r="AG22" s="119"/>
      <c r="AH22" s="119"/>
      <c r="AI22" s="119"/>
      <c r="AJ22" s="119"/>
      <c r="AK22" s="119"/>
      <c r="AL22" s="119"/>
    </row>
    <row r="23" spans="1:39" x14ac:dyDescent="0.25">
      <c r="A23" s="99" t="s">
        <v>4</v>
      </c>
      <c r="B23" s="128">
        <v>14000</v>
      </c>
      <c r="C23" s="112">
        <v>12500</v>
      </c>
      <c r="D23" s="112">
        <v>0</v>
      </c>
      <c r="E23" s="112">
        <v>11200</v>
      </c>
      <c r="F23" s="113">
        <v>4600</v>
      </c>
      <c r="G23" s="129"/>
      <c r="H23" s="129"/>
      <c r="I23" s="129"/>
      <c r="J23" s="174" t="s">
        <v>40</v>
      </c>
      <c r="K23" s="175" t="s">
        <v>39</v>
      </c>
      <c r="L23" s="156">
        <v>500</v>
      </c>
      <c r="M23" s="105">
        <f t="shared" si="6"/>
        <v>776</v>
      </c>
      <c r="N23" s="105">
        <f t="shared" si="10"/>
        <v>1.8115942028985508</v>
      </c>
      <c r="O23" s="250">
        <f t="shared" si="7"/>
        <v>3.7333333333333336E-2</v>
      </c>
      <c r="P23" s="105">
        <f t="shared" si="8"/>
        <v>0.255</v>
      </c>
      <c r="Q23" s="105">
        <f t="shared" si="9"/>
        <v>1</v>
      </c>
      <c r="R23" s="105">
        <f t="shared" si="13"/>
        <v>4.095652173913044E-2</v>
      </c>
      <c r="S23" s="105">
        <f t="shared" si="11"/>
        <v>0.64432989690721654</v>
      </c>
      <c r="T23" s="195">
        <f t="shared" si="12"/>
        <v>5.1546391752577317E-2</v>
      </c>
      <c r="V23" s="119"/>
      <c r="Z23" s="105" t="s">
        <v>72</v>
      </c>
      <c r="AA23" s="105">
        <v>0</v>
      </c>
      <c r="AD23" s="119"/>
      <c r="AF23" s="119"/>
      <c r="AG23" s="119"/>
      <c r="AH23" s="119"/>
      <c r="AI23" s="119"/>
      <c r="AJ23" s="119"/>
      <c r="AK23" s="119"/>
      <c r="AL23" s="119"/>
    </row>
    <row r="24" spans="1:39" x14ac:dyDescent="0.25">
      <c r="A24" s="99" t="s">
        <v>5</v>
      </c>
      <c r="B24" s="128">
        <v>7900</v>
      </c>
      <c r="C24" s="112">
        <v>2500</v>
      </c>
      <c r="D24" s="112">
        <v>11200</v>
      </c>
      <c r="E24" s="112">
        <v>0</v>
      </c>
      <c r="F24" s="113">
        <v>6600</v>
      </c>
      <c r="G24" s="129"/>
      <c r="H24" s="129"/>
      <c r="I24" s="129"/>
      <c r="J24" s="189" t="s">
        <v>37</v>
      </c>
      <c r="K24" s="190" t="s">
        <v>39</v>
      </c>
      <c r="L24" s="193">
        <v>250</v>
      </c>
      <c r="M24" s="194">
        <f t="shared" si="6"/>
        <v>447.36</v>
      </c>
      <c r="N24" s="194">
        <f t="shared" si="10"/>
        <v>1.2667207134171057</v>
      </c>
      <c r="O24" s="249">
        <f t="shared" si="7"/>
        <v>1.5333333333333332E-2</v>
      </c>
      <c r="P24" s="194">
        <f>W9</f>
        <v>0.253</v>
      </c>
      <c r="Q24" s="194">
        <f t="shared" si="9"/>
        <v>1</v>
      </c>
      <c r="R24" s="194">
        <f t="shared" si="13"/>
        <v>2.0400216187001757E-2</v>
      </c>
      <c r="S24" s="194">
        <f t="shared" si="11"/>
        <v>0.55883404864091557</v>
      </c>
      <c r="T24" s="195">
        <f t="shared" si="12"/>
        <v>2.5773195876288658E-2</v>
      </c>
      <c r="V24" s="119"/>
      <c r="Z24" s="105" t="s">
        <v>106</v>
      </c>
      <c r="AA24" s="105">
        <f>AA17*0.1</f>
        <v>10.089552559626092</v>
      </c>
      <c r="AD24" s="119"/>
      <c r="AF24" s="119"/>
      <c r="AG24" s="119"/>
      <c r="AH24" s="119"/>
      <c r="AI24" s="119"/>
      <c r="AJ24" s="119"/>
      <c r="AK24" s="119"/>
      <c r="AL24" s="119"/>
    </row>
    <row r="25" spans="1:39" ht="15.75" thickBot="1" x14ac:dyDescent="0.3">
      <c r="A25" s="100" t="s">
        <v>6</v>
      </c>
      <c r="B25" s="130">
        <v>12000</v>
      </c>
      <c r="C25" s="114">
        <v>8200</v>
      </c>
      <c r="D25" s="114">
        <v>4600</v>
      </c>
      <c r="E25" s="114">
        <v>6600</v>
      </c>
      <c r="F25" s="115">
        <v>0</v>
      </c>
      <c r="G25" s="127"/>
      <c r="H25" s="127"/>
      <c r="I25" s="127"/>
      <c r="J25" s="174" t="s">
        <v>38</v>
      </c>
      <c r="K25" s="175" t="s">
        <v>40</v>
      </c>
      <c r="L25" s="156">
        <v>250</v>
      </c>
      <c r="M25" s="105">
        <f t="shared" si="6"/>
        <v>776</v>
      </c>
      <c r="N25" s="105">
        <f t="shared" si="10"/>
        <v>0.47528517110266161</v>
      </c>
      <c r="O25" s="250">
        <f t="shared" si="7"/>
        <v>8.3333333333333332E-3</v>
      </c>
      <c r="P25" s="105">
        <f t="shared" si="8"/>
        <v>0.2505</v>
      </c>
      <c r="Q25" s="105">
        <f t="shared" si="9"/>
        <v>1</v>
      </c>
      <c r="R25" s="105">
        <f t="shared" si="13"/>
        <v>1.023447401774398E-2</v>
      </c>
      <c r="S25" s="105">
        <f t="shared" si="11"/>
        <v>0.32216494845360827</v>
      </c>
      <c r="T25" s="195">
        <f t="shared" si="12"/>
        <v>2.5773195876288658E-2</v>
      </c>
      <c r="V25" s="119"/>
      <c r="Z25" s="105" t="s">
        <v>73</v>
      </c>
      <c r="AA25" s="214">
        <f>SUM(AA22:AA24)</f>
        <v>160.87621922629276</v>
      </c>
      <c r="AD25" s="119"/>
      <c r="AF25" s="119"/>
      <c r="AG25" s="119"/>
      <c r="AH25" s="119"/>
      <c r="AI25" s="119"/>
      <c r="AJ25" s="119"/>
      <c r="AK25" s="119"/>
      <c r="AL25" s="119"/>
    </row>
    <row r="26" spans="1:39" x14ac:dyDescent="0.25">
      <c r="D26" s="119"/>
      <c r="E26" s="119"/>
      <c r="F26" s="119"/>
      <c r="G26" s="119"/>
      <c r="H26" s="119"/>
      <c r="I26" s="119"/>
      <c r="J26" s="189" t="s">
        <v>38</v>
      </c>
      <c r="K26" s="190" t="s">
        <v>37</v>
      </c>
      <c r="L26" s="193">
        <v>50</v>
      </c>
      <c r="M26" s="194">
        <f t="shared" si="6"/>
        <v>223.68</v>
      </c>
      <c r="N26" s="194">
        <f t="shared" si="10"/>
        <v>0.28788576692768308</v>
      </c>
      <c r="O26" s="249">
        <f t="shared" si="7"/>
        <v>2.7333333333333334E-2</v>
      </c>
      <c r="P26" s="194">
        <f t="shared" si="8"/>
        <v>0</v>
      </c>
      <c r="Q26" s="194">
        <f t="shared" si="9"/>
        <v>1</v>
      </c>
      <c r="R26" s="194">
        <f t="shared" si="13"/>
        <v>3.3091048671886995E-2</v>
      </c>
      <c r="S26" s="194">
        <f t="shared" si="11"/>
        <v>0.22353361945636624</v>
      </c>
      <c r="T26" s="195">
        <f t="shared" si="12"/>
        <v>5.1546391752577319E-3</v>
      </c>
      <c r="V26" s="119"/>
      <c r="AE26" s="119"/>
      <c r="AF26" s="119"/>
      <c r="AG26" s="119"/>
      <c r="AH26" s="119"/>
      <c r="AI26" s="119"/>
      <c r="AJ26" s="119"/>
      <c r="AK26" s="119"/>
      <c r="AL26" s="119"/>
      <c r="AM26" s="119"/>
    </row>
    <row r="27" spans="1:39" ht="15.75" thickBot="1" x14ac:dyDescent="0.3">
      <c r="I27" s="119"/>
      <c r="J27" s="139" t="s">
        <v>40</v>
      </c>
      <c r="K27" s="104" t="s">
        <v>37</v>
      </c>
      <c r="L27" s="157">
        <v>250</v>
      </c>
      <c r="M27" s="124">
        <f t="shared" si="6"/>
        <v>2000</v>
      </c>
      <c r="N27" s="124">
        <f t="shared" si="10"/>
        <v>0.14285714285714285</v>
      </c>
      <c r="O27" s="251">
        <f t="shared" si="7"/>
        <v>2.1999999999999999E-2</v>
      </c>
      <c r="P27" s="124">
        <f t="shared" si="8"/>
        <v>0.26050000000000001</v>
      </c>
      <c r="Q27" s="124">
        <f t="shared" si="9"/>
        <v>0</v>
      </c>
      <c r="R27" s="124">
        <f>2/(M27-L27)+Q27*O27+(1-Q27)*P27</f>
        <v>0.26164285714285718</v>
      </c>
      <c r="S27" s="124">
        <f t="shared" si="11"/>
        <v>0.125</v>
      </c>
      <c r="T27" s="195">
        <f t="shared" si="12"/>
        <v>2.5773195876288658E-2</v>
      </c>
      <c r="V27" s="119"/>
      <c r="AE27" s="119"/>
      <c r="AF27" s="119"/>
      <c r="AG27" s="119"/>
      <c r="AH27" s="119"/>
      <c r="AI27" s="119"/>
      <c r="AJ27" s="119"/>
      <c r="AK27" s="119"/>
      <c r="AL27" s="119"/>
      <c r="AM27" s="119"/>
    </row>
    <row r="28" spans="1:39" ht="15.75" thickBot="1" x14ac:dyDescent="0.3">
      <c r="A28" s="268" t="s">
        <v>0</v>
      </c>
      <c r="B28" s="265" t="s">
        <v>123</v>
      </c>
      <c r="C28" s="266"/>
      <c r="D28" s="266"/>
      <c r="E28" s="266"/>
      <c r="F28" s="267"/>
      <c r="K28" s="143" t="s">
        <v>121</v>
      </c>
      <c r="L28" s="183">
        <f>SUM(L18:L27)</f>
        <v>2750</v>
      </c>
      <c r="M28" s="184">
        <f>SUM(M18:M27)</f>
        <v>11102.720000000001</v>
      </c>
      <c r="N28" s="184"/>
      <c r="O28" s="184"/>
      <c r="P28" s="184"/>
      <c r="Q28" s="184"/>
      <c r="R28" s="184"/>
      <c r="S28" s="184"/>
      <c r="T28" s="216">
        <f>SUM(T18:T27)</f>
        <v>0.28350515463917525</v>
      </c>
      <c r="AG28" s="119"/>
      <c r="AH28" s="119"/>
    </row>
    <row r="29" spans="1:39" ht="15.75" thickBot="1" x14ac:dyDescent="0.3">
      <c r="A29" s="269"/>
      <c r="B29" s="139" t="s">
        <v>2</v>
      </c>
      <c r="C29" s="103" t="s">
        <v>3</v>
      </c>
      <c r="D29" s="103" t="s">
        <v>4</v>
      </c>
      <c r="E29" s="103" t="s">
        <v>5</v>
      </c>
      <c r="F29" s="104" t="s">
        <v>6</v>
      </c>
      <c r="AE29" s="119"/>
      <c r="AF29" s="119"/>
    </row>
    <row r="30" spans="1:39" x14ac:dyDescent="0.25">
      <c r="A30" s="163" t="s">
        <v>2</v>
      </c>
      <c r="B30" s="126">
        <v>0</v>
      </c>
      <c r="C30" s="110">
        <v>200</v>
      </c>
      <c r="D30" s="110">
        <v>2500</v>
      </c>
      <c r="E30" s="110">
        <v>1000</v>
      </c>
      <c r="F30" s="111">
        <v>250</v>
      </c>
      <c r="AF30" s="119"/>
      <c r="AG30" s="119"/>
    </row>
    <row r="31" spans="1:39" x14ac:dyDescent="0.25">
      <c r="A31" s="140" t="s">
        <v>3</v>
      </c>
      <c r="B31" s="128">
        <v>250</v>
      </c>
      <c r="C31" s="112">
        <v>0</v>
      </c>
      <c r="D31" s="112">
        <v>500</v>
      </c>
      <c r="E31" s="112">
        <v>250</v>
      </c>
      <c r="F31" s="113">
        <v>50</v>
      </c>
      <c r="K31" s="259" t="s">
        <v>62</v>
      </c>
      <c r="L31" s="259"/>
      <c r="M31" s="259"/>
      <c r="N31" s="259"/>
      <c r="O31" s="259"/>
      <c r="P31" s="119"/>
      <c r="Q31" s="119"/>
      <c r="AF31" s="119"/>
      <c r="AG31" s="119"/>
    </row>
    <row r="32" spans="1:39" x14ac:dyDescent="0.25">
      <c r="A32" s="140" t="s">
        <v>4</v>
      </c>
      <c r="B32" s="128">
        <v>250</v>
      </c>
      <c r="C32" s="112">
        <v>500</v>
      </c>
      <c r="D32" s="112">
        <v>0</v>
      </c>
      <c r="E32" s="112">
        <v>500</v>
      </c>
      <c r="F32" s="113">
        <v>250</v>
      </c>
      <c r="K32" s="119" t="s">
        <v>58</v>
      </c>
      <c r="L32" s="69">
        <f>SUM(L3:L12)*60000000*0+SUM(M3:M12)*40000000</f>
        <v>0</v>
      </c>
      <c r="M32" s="69" t="s">
        <v>66</v>
      </c>
      <c r="N32" s="69">
        <f>L14*8000+M14*8000+N14*500000+O14*5000+P14*700000+Q14*5000+R14*500000</f>
        <v>1977000</v>
      </c>
      <c r="P32" s="119"/>
      <c r="Q32" s="119"/>
      <c r="AF32" s="119"/>
      <c r="AG32" s="119"/>
    </row>
    <row r="33" spans="1:20" x14ac:dyDescent="0.25">
      <c r="A33" s="140" t="s">
        <v>5</v>
      </c>
      <c r="B33" s="128">
        <v>250</v>
      </c>
      <c r="C33" s="112">
        <v>500</v>
      </c>
      <c r="D33" s="112">
        <v>500</v>
      </c>
      <c r="E33" s="112">
        <v>0</v>
      </c>
      <c r="F33" s="113">
        <v>250</v>
      </c>
      <c r="K33" s="119" t="s">
        <v>113</v>
      </c>
      <c r="L33" s="69">
        <f>3*8000+N14*500000</f>
        <v>24000</v>
      </c>
      <c r="O33" s="119"/>
    </row>
    <row r="34" spans="1:20" ht="15.75" thickBot="1" x14ac:dyDescent="0.3">
      <c r="A34" s="141" t="s">
        <v>6</v>
      </c>
      <c r="B34" s="130">
        <v>250</v>
      </c>
      <c r="C34" s="114">
        <v>200</v>
      </c>
      <c r="D34" s="114">
        <v>250</v>
      </c>
      <c r="E34" s="114">
        <v>1000</v>
      </c>
      <c r="F34" s="115">
        <v>0</v>
      </c>
      <c r="L34" s="69"/>
      <c r="M34" s="118" t="s">
        <v>61</v>
      </c>
      <c r="N34" s="70">
        <f>SUM(L3:R12)*20000</f>
        <v>320000</v>
      </c>
    </row>
    <row r="35" spans="1:20" ht="15.75" thickBot="1" x14ac:dyDescent="0.3">
      <c r="A35" s="142"/>
      <c r="B35" s="127"/>
      <c r="C35" s="127"/>
      <c r="D35" s="127"/>
      <c r="E35" s="127"/>
      <c r="F35" s="127"/>
      <c r="K35" s="119"/>
      <c r="L35" s="69"/>
    </row>
    <row r="36" spans="1:20" ht="50.1" customHeight="1" thickBot="1" x14ac:dyDescent="0.3">
      <c r="A36" s="143" t="s">
        <v>115</v>
      </c>
      <c r="B36" s="106" t="s">
        <v>116</v>
      </c>
      <c r="C36" s="107" t="s">
        <v>117</v>
      </c>
      <c r="D36" s="107" t="s">
        <v>118</v>
      </c>
      <c r="E36" s="107" t="s">
        <v>119</v>
      </c>
      <c r="F36" s="108" t="s">
        <v>109</v>
      </c>
      <c r="G36" s="107" t="s">
        <v>110</v>
      </c>
      <c r="H36" s="108" t="s">
        <v>120</v>
      </c>
      <c r="I36" s="109" t="s">
        <v>110</v>
      </c>
      <c r="K36" s="118" t="s">
        <v>74</v>
      </c>
      <c r="L36" s="118" t="s">
        <v>103</v>
      </c>
      <c r="M36" s="217" t="s">
        <v>125</v>
      </c>
      <c r="N36" s="118" t="s">
        <v>126</v>
      </c>
      <c r="O36" s="218" t="s">
        <v>100</v>
      </c>
      <c r="P36" s="70">
        <f>P14*700000+R14*500000</f>
        <v>1900000</v>
      </c>
    </row>
    <row r="37" spans="1:20" ht="18.75" customHeight="1" x14ac:dyDescent="0.25">
      <c r="A37" s="144" t="s">
        <v>2</v>
      </c>
      <c r="B37" s="145" t="s">
        <v>81</v>
      </c>
      <c r="C37" s="146" t="s">
        <v>82</v>
      </c>
      <c r="D37" s="121">
        <v>21.33</v>
      </c>
      <c r="E37" s="121">
        <v>157.91999999999999</v>
      </c>
      <c r="F37" s="121">
        <v>39400</v>
      </c>
      <c r="G37" s="121">
        <v>0.26200000000000001</v>
      </c>
      <c r="H37" s="121">
        <v>46738</v>
      </c>
      <c r="I37" s="131">
        <v>0.312</v>
      </c>
      <c r="K37" s="119" t="s">
        <v>75</v>
      </c>
      <c r="L37" s="119">
        <f t="shared" ref="L37:L46" si="14">IF(NOT((O3+Q3)=0), 1, 0)</f>
        <v>1</v>
      </c>
      <c r="M37" s="153">
        <f>10000*$D$21*L37</f>
        <v>140000000</v>
      </c>
      <c r="N37" s="153">
        <f>((O3*4000+Q3*2000)*$D$21)</f>
        <v>196000000</v>
      </c>
      <c r="O37" s="219" t="s">
        <v>101</v>
      </c>
      <c r="P37" s="70">
        <f>O14*5000+Q14*5000</f>
        <v>45000</v>
      </c>
      <c r="T37" s="281"/>
    </row>
    <row r="38" spans="1:20" x14ac:dyDescent="0.25">
      <c r="A38" s="147" t="s">
        <v>3</v>
      </c>
      <c r="B38" s="148" t="s">
        <v>83</v>
      </c>
      <c r="C38" s="138" t="s">
        <v>84</v>
      </c>
      <c r="D38" s="105">
        <v>38.82</v>
      </c>
      <c r="E38" s="105">
        <v>104.72</v>
      </c>
      <c r="F38" s="105">
        <v>37428</v>
      </c>
      <c r="G38" s="105">
        <v>0.249</v>
      </c>
      <c r="H38" s="105" t="s">
        <v>111</v>
      </c>
      <c r="I38" s="132" t="s">
        <v>111</v>
      </c>
      <c r="K38" s="119" t="s">
        <v>76</v>
      </c>
      <c r="L38" s="119">
        <f t="shared" si="14"/>
        <v>0</v>
      </c>
      <c r="M38" s="153">
        <f>L38*10000*$E$21</f>
        <v>0</v>
      </c>
      <c r="N38" s="153">
        <f>((O4*4000+Q4*2000)*E21)</f>
        <v>0</v>
      </c>
      <c r="O38" s="218" t="s">
        <v>61</v>
      </c>
      <c r="P38" s="70">
        <f>SUM(L14:R14)*2*20000</f>
        <v>640000</v>
      </c>
      <c r="Q38" s="118" t="s">
        <v>102</v>
      </c>
    </row>
    <row r="39" spans="1:20" x14ac:dyDescent="0.25">
      <c r="A39" s="147" t="s">
        <v>4</v>
      </c>
      <c r="B39" s="148" t="s">
        <v>85</v>
      </c>
      <c r="C39" s="138" t="s">
        <v>86</v>
      </c>
      <c r="D39" s="105">
        <v>25.3</v>
      </c>
      <c r="E39" s="105">
        <v>51.52</v>
      </c>
      <c r="F39" s="105">
        <v>38680</v>
      </c>
      <c r="G39" s="105">
        <v>0.25800000000000001</v>
      </c>
      <c r="H39" s="105">
        <v>37411</v>
      </c>
      <c r="I39" s="132">
        <v>0.25</v>
      </c>
      <c r="K39" s="119" t="s">
        <v>77</v>
      </c>
      <c r="L39" s="119">
        <f t="shared" si="14"/>
        <v>0</v>
      </c>
      <c r="M39" s="153">
        <f>L39*10000*$F$21</f>
        <v>0</v>
      </c>
      <c r="N39" s="153">
        <f>((O5*4000+Q5*2000)*F21)</f>
        <v>0</v>
      </c>
    </row>
    <row r="40" spans="1:20" x14ac:dyDescent="0.25">
      <c r="A40" s="147" t="s">
        <v>5</v>
      </c>
      <c r="B40" s="148" t="s">
        <v>87</v>
      </c>
      <c r="C40" s="138" t="s">
        <v>88</v>
      </c>
      <c r="D40" s="105">
        <v>36.9</v>
      </c>
      <c r="E40" s="105">
        <v>76.2</v>
      </c>
      <c r="F40" s="105">
        <v>37748</v>
      </c>
      <c r="G40" s="105">
        <v>0.252</v>
      </c>
      <c r="H40" s="105">
        <v>39661</v>
      </c>
      <c r="I40" s="132">
        <v>0.26500000000000001</v>
      </c>
      <c r="K40" s="119" t="s">
        <v>94</v>
      </c>
      <c r="L40" s="119">
        <f t="shared" si="14"/>
        <v>1</v>
      </c>
      <c r="M40" s="153">
        <f>L40*10000*$B$22</f>
        <v>54000000</v>
      </c>
      <c r="N40" s="153">
        <f>((O6*4000+Q6*2000)*$B$22)</f>
        <v>21600000</v>
      </c>
    </row>
    <row r="41" spans="1:20" ht="15.75" thickBot="1" x14ac:dyDescent="0.3">
      <c r="A41" s="149" t="s">
        <v>6</v>
      </c>
      <c r="B41" s="135" t="s">
        <v>89</v>
      </c>
      <c r="C41" s="150" t="s">
        <v>90</v>
      </c>
      <c r="D41" s="124">
        <v>49.57</v>
      </c>
      <c r="E41" s="124">
        <v>8.4700000000000006</v>
      </c>
      <c r="F41" s="151" t="s">
        <v>111</v>
      </c>
      <c r="G41" s="151" t="s">
        <v>111</v>
      </c>
      <c r="H41" s="124">
        <v>38444</v>
      </c>
      <c r="I41" s="133">
        <v>0.25600000000000001</v>
      </c>
      <c r="J41" s="119"/>
      <c r="K41" s="119" t="s">
        <v>78</v>
      </c>
      <c r="L41" s="119">
        <f t="shared" si="14"/>
        <v>0</v>
      </c>
      <c r="M41" s="153">
        <f>L41*10000*$D$22</f>
        <v>0</v>
      </c>
      <c r="N41" s="153">
        <f>(O7*4000+Q7*2000)*$D$22</f>
        <v>0</v>
      </c>
    </row>
    <row r="42" spans="1:20" x14ac:dyDescent="0.25">
      <c r="K42" s="119" t="s">
        <v>79</v>
      </c>
      <c r="L42" s="119">
        <f t="shared" si="14"/>
        <v>1</v>
      </c>
      <c r="M42" s="153">
        <f>L42*10000*$E$23</f>
        <v>112000000</v>
      </c>
      <c r="N42" s="153">
        <f>(O8*4000+Q8*2000)*$E$23</f>
        <v>44800000</v>
      </c>
    </row>
    <row r="43" spans="1:20" x14ac:dyDescent="0.25">
      <c r="A43" s="55"/>
      <c r="B43" s="55"/>
      <c r="C43" s="134"/>
      <c r="D43" s="134"/>
      <c r="G43" s="252"/>
      <c r="K43" s="119" t="s">
        <v>80</v>
      </c>
      <c r="L43" s="119">
        <f t="shared" si="14"/>
        <v>1</v>
      </c>
      <c r="M43" s="153">
        <f>L43*10000*$F$23</f>
        <v>46000000</v>
      </c>
      <c r="N43" s="153">
        <f>(O9*4000+Q9*2000)*$F$23</f>
        <v>18400000</v>
      </c>
    </row>
    <row r="44" spans="1:20" x14ac:dyDescent="0.25">
      <c r="A44" s="127"/>
      <c r="B44" s="127"/>
      <c r="C44" s="134"/>
      <c r="D44" s="134"/>
      <c r="K44" s="119" t="s">
        <v>95</v>
      </c>
      <c r="L44" s="119">
        <f t="shared" si="14"/>
        <v>1</v>
      </c>
      <c r="M44" s="153">
        <f>L44*10000*$C$24</f>
        <v>25000000</v>
      </c>
      <c r="N44" s="153">
        <f>(O10*4000+Q10*2000)*$C$24</f>
        <v>10000000</v>
      </c>
    </row>
    <row r="45" spans="1:20" x14ac:dyDescent="0.25">
      <c r="A45" s="127"/>
      <c r="B45" s="127"/>
      <c r="C45" s="134"/>
      <c r="D45" s="134"/>
      <c r="K45" s="119" t="s">
        <v>96</v>
      </c>
      <c r="L45" s="119">
        <f t="shared" si="14"/>
        <v>0</v>
      </c>
      <c r="M45" s="153">
        <f>L45*10000*$C$25</f>
        <v>0</v>
      </c>
      <c r="N45" s="153">
        <f>(O11*4000+Q11*2000)*$C$25</f>
        <v>0</v>
      </c>
    </row>
    <row r="46" spans="1:20" x14ac:dyDescent="0.25">
      <c r="A46" s="127"/>
      <c r="B46" s="127"/>
      <c r="C46" s="134"/>
      <c r="D46" s="134"/>
      <c r="K46" s="119" t="s">
        <v>97</v>
      </c>
      <c r="L46" s="119">
        <f t="shared" si="14"/>
        <v>0</v>
      </c>
      <c r="M46" s="153">
        <f>L46*10000*$E$25</f>
        <v>0</v>
      </c>
      <c r="N46" s="153">
        <f>(O12*4000+Q12*2000)*$E$25</f>
        <v>0</v>
      </c>
    </row>
    <row r="47" spans="1:20" x14ac:dyDescent="0.25">
      <c r="A47" s="127"/>
      <c r="B47" s="127"/>
      <c r="C47" s="134"/>
      <c r="D47" s="134"/>
      <c r="N47" s="68" t="s">
        <v>63</v>
      </c>
      <c r="O47" s="221">
        <f>L49+SUM(P36:P37)*120+P38+L33*120</f>
        <v>904720000</v>
      </c>
    </row>
    <row r="48" spans="1:20" x14ac:dyDescent="0.25">
      <c r="A48" s="127"/>
      <c r="B48" s="127"/>
      <c r="C48" s="134"/>
      <c r="D48" s="134"/>
      <c r="K48" s="119"/>
    </row>
    <row r="49" spans="1:12" x14ac:dyDescent="0.25">
      <c r="A49" s="134"/>
      <c r="B49" s="134"/>
      <c r="C49" s="134"/>
      <c r="D49" s="134"/>
      <c r="K49" s="220" t="s">
        <v>99</v>
      </c>
      <c r="L49" s="221">
        <f>SUM(M37:N46)+L32</f>
        <v>667800000</v>
      </c>
    </row>
    <row r="50" spans="1:12" x14ac:dyDescent="0.25">
      <c r="K50" s="119"/>
    </row>
    <row r="58" spans="1:12" x14ac:dyDescent="0.25">
      <c r="B58" s="44"/>
    </row>
    <row r="63" spans="1:12" x14ac:dyDescent="0.25">
      <c r="A63" s="152"/>
      <c r="B63" s="152"/>
      <c r="C63" s="152"/>
      <c r="D63" s="134"/>
      <c r="E63" s="134"/>
    </row>
    <row r="64" spans="1:12" x14ac:dyDescent="0.25">
      <c r="A64" s="134"/>
      <c r="B64" s="134"/>
      <c r="C64" s="134"/>
      <c r="D64" s="134"/>
      <c r="E64" s="134"/>
    </row>
    <row r="65" spans="1:17" x14ac:dyDescent="0.25">
      <c r="A65" s="134"/>
      <c r="B65" s="134"/>
      <c r="C65" s="134"/>
      <c r="D65" s="134"/>
      <c r="E65" s="134"/>
    </row>
    <row r="66" spans="1:17" x14ac:dyDescent="0.25">
      <c r="A66" s="134"/>
      <c r="B66" s="134"/>
      <c r="C66" s="134"/>
      <c r="D66" s="134"/>
      <c r="E66" s="134"/>
      <c r="J66" s="119"/>
      <c r="K66" s="119"/>
      <c r="L66" s="119"/>
      <c r="M66" s="119"/>
      <c r="N66" s="119"/>
      <c r="O66" s="119"/>
      <c r="P66" s="119"/>
      <c r="Q66" s="119"/>
    </row>
    <row r="67" spans="1:17" x14ac:dyDescent="0.25">
      <c r="A67" s="134"/>
      <c r="B67" s="134"/>
      <c r="C67" s="134"/>
      <c r="D67" s="134"/>
      <c r="E67" s="134"/>
      <c r="Q67" s="119"/>
    </row>
    <row r="68" spans="1:17" x14ac:dyDescent="0.25">
      <c r="A68" s="134"/>
      <c r="B68" s="134"/>
      <c r="C68" s="134"/>
      <c r="D68" s="134"/>
      <c r="E68" s="134"/>
      <c r="Q68" s="119"/>
    </row>
    <row r="69" spans="1:17" x14ac:dyDescent="0.25">
      <c r="A69" s="134"/>
      <c r="B69" s="134"/>
      <c r="C69" s="134"/>
      <c r="D69" s="134"/>
      <c r="E69" s="134"/>
    </row>
  </sheetData>
  <mergeCells count="7">
    <mergeCell ref="J1:AC1"/>
    <mergeCell ref="K31:O31"/>
    <mergeCell ref="A19:A20"/>
    <mergeCell ref="B19:F19"/>
    <mergeCell ref="B28:F28"/>
    <mergeCell ref="A28:A29"/>
    <mergeCell ref="Z21:AA21"/>
  </mergeCells>
  <conditionalFormatting sqref="AA3:AA13">
    <cfRule type="colorScale" priority="2">
      <colorScale>
        <cfvo type="num" val="0.7"/>
        <cfvo type="num" val="1"/>
        <color rgb="FF00B050"/>
        <color rgb="FFFF0000"/>
      </colorScale>
    </cfRule>
  </conditionalFormatting>
  <conditionalFormatting sqref="S18:S28">
    <cfRule type="colorScale" priority="1">
      <colorScale>
        <cfvo type="num" val="0.7"/>
        <cfvo type="num" val="1"/>
        <color rgb="FF00B050"/>
        <color rgb="FFFF0000"/>
      </colorScale>
    </cfRule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scale="2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FF1FD-2D58-4EC4-935B-23EC7B50B19C}">
  <dimension ref="A1:AM62"/>
  <sheetViews>
    <sheetView topLeftCell="F1" zoomScale="64" zoomScaleNormal="55" workbookViewId="0">
      <selection activeCell="AE37" sqref="AE37"/>
    </sheetView>
  </sheetViews>
  <sheetFormatPr defaultRowHeight="15" x14ac:dyDescent="0.25"/>
  <cols>
    <col min="1" max="1" width="38.7109375" customWidth="1"/>
    <col min="2" max="2" width="16" customWidth="1"/>
    <col min="3" max="3" width="16.5703125" customWidth="1"/>
    <col min="4" max="4" width="28.5703125" customWidth="1"/>
    <col min="5" max="5" width="17.140625" customWidth="1"/>
    <col min="6" max="6" width="9.28515625" customWidth="1"/>
    <col min="7" max="7" width="14.85546875" customWidth="1"/>
    <col min="10" max="10" width="21" customWidth="1"/>
    <col min="11" max="11" width="19.140625" bestFit="1" customWidth="1"/>
    <col min="12" max="12" width="19.7109375" customWidth="1"/>
    <col min="13" max="13" width="21.140625" bestFit="1" customWidth="1"/>
    <col min="14" max="14" width="19.28515625" bestFit="1" customWidth="1"/>
    <col min="15" max="15" width="16.85546875" bestFit="1" customWidth="1"/>
    <col min="16" max="16" width="20.140625" bestFit="1" customWidth="1"/>
    <col min="17" max="17" width="16" bestFit="1" customWidth="1"/>
    <col min="18" max="18" width="13.42578125" bestFit="1" customWidth="1"/>
    <col min="19" max="19" width="9.85546875" customWidth="1"/>
    <col min="20" max="20" width="10.42578125" customWidth="1"/>
    <col min="21" max="21" width="14.7109375" bestFit="1" customWidth="1"/>
    <col min="22" max="24" width="10.140625" customWidth="1"/>
    <col min="25" max="25" width="14.7109375" customWidth="1"/>
    <col min="26" max="26" width="21.5703125" bestFit="1" customWidth="1"/>
    <col min="27" max="27" width="12.85546875" customWidth="1"/>
    <col min="28" max="28" width="7.7109375" customWidth="1"/>
    <col min="29" max="29" width="8.85546875" customWidth="1"/>
    <col min="30" max="30" width="4" customWidth="1"/>
    <col min="31" max="31" width="34.42578125" bestFit="1" customWidth="1"/>
    <col min="32" max="32" width="18.42578125" bestFit="1" customWidth="1"/>
    <col min="33" max="33" width="10.7109375" bestFit="1" customWidth="1"/>
    <col min="34" max="34" width="6.5703125" bestFit="1" customWidth="1"/>
    <col min="35" max="35" width="8.5703125" bestFit="1" customWidth="1"/>
    <col min="36" max="36" width="10.5703125" bestFit="1" customWidth="1"/>
    <col min="37" max="38" width="4" customWidth="1"/>
  </cols>
  <sheetData>
    <row r="1" spans="1:38" s="53" customFormat="1" ht="39" thickTop="1" thickBot="1" x14ac:dyDescent="0.3">
      <c r="A1" s="51" t="s">
        <v>34</v>
      </c>
      <c r="B1" s="52" t="s">
        <v>35</v>
      </c>
      <c r="D1" s="31"/>
      <c r="J1" s="63" t="s">
        <v>0</v>
      </c>
      <c r="K1" s="64" t="s">
        <v>1</v>
      </c>
      <c r="L1" s="64" t="s">
        <v>52</v>
      </c>
      <c r="M1" s="64" t="s">
        <v>53</v>
      </c>
      <c r="N1" s="64" t="s">
        <v>54</v>
      </c>
      <c r="O1" s="64" t="s">
        <v>15</v>
      </c>
      <c r="P1" s="64" t="s">
        <v>16</v>
      </c>
      <c r="Q1" s="64" t="s">
        <v>55</v>
      </c>
      <c r="R1" s="64" t="s">
        <v>56</v>
      </c>
      <c r="S1" s="64" t="s">
        <v>59</v>
      </c>
      <c r="T1" s="64" t="s">
        <v>60</v>
      </c>
      <c r="U1" s="64" t="s">
        <v>42</v>
      </c>
      <c r="V1" s="64" t="s">
        <v>91</v>
      </c>
      <c r="W1" s="64" t="s">
        <v>92</v>
      </c>
      <c r="X1" s="92" t="s">
        <v>114</v>
      </c>
      <c r="Y1" s="64" t="s">
        <v>93</v>
      </c>
      <c r="Z1" s="64" t="s">
        <v>57</v>
      </c>
      <c r="AA1" s="65" t="s">
        <v>41</v>
      </c>
      <c r="AB1" s="31" t="s">
        <v>64</v>
      </c>
      <c r="AC1" s="31" t="s">
        <v>65</v>
      </c>
      <c r="AD1" s="31"/>
      <c r="AE1" s="31" t="s">
        <v>0</v>
      </c>
      <c r="AF1" s="31" t="s">
        <v>1</v>
      </c>
      <c r="AG1" s="31"/>
      <c r="AH1" s="31"/>
      <c r="AI1" s="31"/>
      <c r="AJ1" s="31"/>
      <c r="AK1" s="31"/>
      <c r="AL1" s="31"/>
    </row>
    <row r="2" spans="1:38" ht="19.5" thickBot="1" x14ac:dyDescent="0.3">
      <c r="A2" s="33" t="s">
        <v>2</v>
      </c>
      <c r="B2" s="16" t="s">
        <v>36</v>
      </c>
      <c r="D2" s="56"/>
      <c r="J2" s="84" t="s">
        <v>36</v>
      </c>
      <c r="K2" s="85" t="s">
        <v>39</v>
      </c>
      <c r="L2" s="93">
        <v>0</v>
      </c>
      <c r="M2" s="93">
        <v>0</v>
      </c>
      <c r="N2" s="93">
        <v>0</v>
      </c>
      <c r="O2" s="93">
        <v>3</v>
      </c>
      <c r="P2" s="93">
        <v>0</v>
      </c>
      <c r="Q2" s="93">
        <v>1</v>
      </c>
      <c r="R2" s="93">
        <v>0</v>
      </c>
      <c r="S2" s="66">
        <v>2500</v>
      </c>
      <c r="T2" s="66">
        <f t="array" ref="T2">SUMPRODUCT(L2:R2,TRANSPOSE($AF$10:$AF$16))*1000000/20000</f>
        <v>2551.6799999999998</v>
      </c>
      <c r="U2" s="57">
        <f>S2/(T2-S2)</f>
        <v>48.37461300309613</v>
      </c>
      <c r="V2" s="58">
        <f>D20*1000/(3*10^8)</f>
        <v>4.6666666666666669E-2</v>
      </c>
      <c r="W2" s="93">
        <f>F35/2 + F37/2</f>
        <v>0.26</v>
      </c>
      <c r="X2" s="93">
        <v>100</v>
      </c>
      <c r="Y2" s="58">
        <f t="array" ref="Y2">SUMPRODUCT(O2:R2, TRANSPOSE($AF$13:$AF$16))*(1000000/20000)/T2</f>
        <v>1</v>
      </c>
      <c r="Z2" s="58">
        <f>1/(T2-S2)+Y2*V2+(1-Y2)*W2</f>
        <v>6.6016511867905123E-2</v>
      </c>
      <c r="AA2" s="59">
        <f t="shared" ref="AA2:AA12" si="0">S2/T2</f>
        <v>0.97974667669927273</v>
      </c>
      <c r="AB2" s="56">
        <f t="shared" ref="AB2:AB12" si="1">IF(S2=T2,1,0)</f>
        <v>0</v>
      </c>
      <c r="AC2" s="56">
        <f>S2/($S$12+$L$51)</f>
        <v>0.22831050228310501</v>
      </c>
      <c r="AD2" s="56"/>
      <c r="AE2" s="56"/>
      <c r="AF2" s="56" t="s">
        <v>2</v>
      </c>
      <c r="AG2" s="56" t="s">
        <v>3</v>
      </c>
      <c r="AH2" s="56" t="s">
        <v>4</v>
      </c>
      <c r="AI2" s="56" t="s">
        <v>5</v>
      </c>
      <c r="AJ2" s="56" t="s">
        <v>6</v>
      </c>
      <c r="AK2" s="56"/>
      <c r="AL2" s="56"/>
    </row>
    <row r="3" spans="1:38" ht="19.5" thickTop="1" x14ac:dyDescent="0.25">
      <c r="A3" s="33" t="s">
        <v>3</v>
      </c>
      <c r="B3" s="16" t="s">
        <v>38</v>
      </c>
      <c r="D3" s="56"/>
      <c r="J3" s="84" t="s">
        <v>36</v>
      </c>
      <c r="K3" s="85" t="s">
        <v>40</v>
      </c>
      <c r="L3" s="93">
        <v>2</v>
      </c>
      <c r="M3" s="93">
        <v>0</v>
      </c>
      <c r="N3" s="93">
        <v>0</v>
      </c>
      <c r="O3" s="93">
        <v>0</v>
      </c>
      <c r="P3" s="93">
        <v>0</v>
      </c>
      <c r="Q3" s="93">
        <v>0</v>
      </c>
      <c r="R3" s="93">
        <v>0</v>
      </c>
      <c r="S3" s="66">
        <v>1000</v>
      </c>
      <c r="T3" s="66">
        <f t="array" ref="T3">SUMPRODUCT(L3:R3,TRANSPOSE($AF$10:$AF$16))*1000000/20000</f>
        <v>2000</v>
      </c>
      <c r="U3" s="57">
        <f t="shared" ref="U3:U12" si="2">S3/(T3-S3)</f>
        <v>1</v>
      </c>
      <c r="V3" s="58">
        <f>E20*1000/(3*10^8)</f>
        <v>2.6333333333333334E-2</v>
      </c>
      <c r="W3" s="93">
        <f>F35/2 + F38/2</f>
        <v>0.25700000000000001</v>
      </c>
      <c r="X3" s="93">
        <v>100</v>
      </c>
      <c r="Y3" s="58">
        <f t="array" ref="Y3">SUMPRODUCT(O3:R3, TRANSPOSE($AF$13:$AF$16))*(1000000/20000)/T3</f>
        <v>0</v>
      </c>
      <c r="Z3" s="58">
        <f>1/(T3-S3)+Y3*V3+(1-Y3)*W3</f>
        <v>0.25800000000000001</v>
      </c>
      <c r="AA3" s="59">
        <f t="shared" si="0"/>
        <v>0.5</v>
      </c>
      <c r="AB3" s="56">
        <f t="shared" si="1"/>
        <v>0</v>
      </c>
      <c r="AC3" s="56">
        <f t="shared" ref="AC3:AC11" si="3">S3/($S$12+$L$51)</f>
        <v>9.1324200913242004E-2</v>
      </c>
      <c r="AD3" s="56"/>
      <c r="AE3" s="56" t="s">
        <v>2</v>
      </c>
      <c r="AF3" s="7">
        <v>0</v>
      </c>
      <c r="AG3" s="8">
        <v>200</v>
      </c>
      <c r="AH3" s="8">
        <v>2500</v>
      </c>
      <c r="AI3" s="8">
        <v>1000</v>
      </c>
      <c r="AJ3" s="9">
        <v>250</v>
      </c>
      <c r="AK3" s="56"/>
      <c r="AL3" s="56"/>
    </row>
    <row r="4" spans="1:38" ht="18.75" x14ac:dyDescent="0.25">
      <c r="A4" s="33" t="s">
        <v>4</v>
      </c>
      <c r="B4" s="16" t="s">
        <v>39</v>
      </c>
      <c r="D4" s="56"/>
      <c r="J4" s="84" t="s">
        <v>36</v>
      </c>
      <c r="K4" s="85" t="s">
        <v>37</v>
      </c>
      <c r="L4" s="93">
        <v>0</v>
      </c>
      <c r="M4" s="93">
        <v>0</v>
      </c>
      <c r="N4" s="93">
        <v>0</v>
      </c>
      <c r="O4" s="93">
        <v>0</v>
      </c>
      <c r="P4" s="93">
        <v>1</v>
      </c>
      <c r="Q4" s="93">
        <v>0</v>
      </c>
      <c r="R4" s="93">
        <v>0</v>
      </c>
      <c r="S4" s="66">
        <v>250</v>
      </c>
      <c r="T4" s="66">
        <f t="array" ref="T4">SUMPRODUCT(L4:R4,TRANSPOSE($AF$10:$AF$16))*1000000/20000</f>
        <v>776</v>
      </c>
      <c r="U4" s="57">
        <f t="shared" si="2"/>
        <v>0.47528517110266161</v>
      </c>
      <c r="V4" s="58">
        <f>F20*1000/(3*10^8)</f>
        <v>0.04</v>
      </c>
      <c r="W4" s="93">
        <f>H35/2 + H39/2</f>
        <v>0.28400000000000003</v>
      </c>
      <c r="X4" s="93">
        <v>21</v>
      </c>
      <c r="Y4" s="58">
        <f t="array" ref="Y4">SUMPRODUCT(O4:R4, TRANSPOSE($AF$13:$AF$16))*(1000000/20000)/T4</f>
        <v>1</v>
      </c>
      <c r="Z4" s="58">
        <f t="shared" ref="Z4:Z11" si="4">1/(T4-S4)+Y4*V4+(1-Y4)*W4</f>
        <v>4.190114068441065E-2</v>
      </c>
      <c r="AA4" s="59">
        <f t="shared" si="0"/>
        <v>0.32216494845360827</v>
      </c>
      <c r="AB4" s="56">
        <f t="shared" si="1"/>
        <v>0</v>
      </c>
      <c r="AC4" s="56">
        <f t="shared" si="3"/>
        <v>2.2831050228310501E-2</v>
      </c>
      <c r="AD4" s="56"/>
      <c r="AE4" s="56" t="s">
        <v>3</v>
      </c>
      <c r="AF4" s="6">
        <v>250</v>
      </c>
      <c r="AG4" s="1">
        <v>0</v>
      </c>
      <c r="AH4" s="1">
        <v>500</v>
      </c>
      <c r="AI4" s="1">
        <v>250</v>
      </c>
      <c r="AJ4" s="1">
        <v>50</v>
      </c>
      <c r="AK4" s="56"/>
      <c r="AL4" s="56"/>
    </row>
    <row r="5" spans="1:38" ht="18.75" x14ac:dyDescent="0.25">
      <c r="A5" s="33" t="s">
        <v>5</v>
      </c>
      <c r="B5" s="16" t="s">
        <v>40</v>
      </c>
      <c r="D5" s="56"/>
      <c r="J5" s="84" t="s">
        <v>38</v>
      </c>
      <c r="K5" s="85" t="s">
        <v>36</v>
      </c>
      <c r="L5" s="93">
        <v>0</v>
      </c>
      <c r="M5" s="93">
        <v>0</v>
      </c>
      <c r="N5" s="93">
        <v>0</v>
      </c>
      <c r="O5" s="93">
        <v>1</v>
      </c>
      <c r="P5" s="93">
        <v>0</v>
      </c>
      <c r="Q5" s="93">
        <v>0</v>
      </c>
      <c r="R5" s="93">
        <v>0</v>
      </c>
      <c r="S5" s="66">
        <v>250</v>
      </c>
      <c r="T5" s="66">
        <f t="array" ref="T5">SUMPRODUCT(L5:R5,TRANSPOSE($AF$10:$AF$16))*1000000/20000</f>
        <v>776</v>
      </c>
      <c r="U5" s="57">
        <f t="shared" si="2"/>
        <v>0.47528517110266161</v>
      </c>
      <c r="V5" s="58">
        <f>B21*1000/(3*10^8)</f>
        <v>1.7999999999999999E-2</v>
      </c>
      <c r="W5" s="93">
        <f>F36/2 + F35/2</f>
        <v>0.2555</v>
      </c>
      <c r="X5" s="93">
        <v>100</v>
      </c>
      <c r="Y5" s="58">
        <f t="array" ref="Y5">SUMPRODUCT(O5:R5, TRANSPOSE($AF$13:$AF$16))*(1000000/20000)/T5</f>
        <v>1</v>
      </c>
      <c r="Z5" s="58">
        <f t="shared" si="4"/>
        <v>1.9901140684410644E-2</v>
      </c>
      <c r="AA5" s="59">
        <f t="shared" si="0"/>
        <v>0.32216494845360827</v>
      </c>
      <c r="AB5" s="56">
        <f t="shared" si="1"/>
        <v>0</v>
      </c>
      <c r="AC5" s="56">
        <f t="shared" si="3"/>
        <v>2.2831050228310501E-2</v>
      </c>
      <c r="AD5" s="56"/>
      <c r="AE5" s="56" t="s">
        <v>4</v>
      </c>
      <c r="AF5" s="1">
        <v>250</v>
      </c>
      <c r="AG5" s="1">
        <v>500</v>
      </c>
      <c r="AH5" s="1">
        <v>0</v>
      </c>
      <c r="AI5" s="1">
        <v>500</v>
      </c>
      <c r="AJ5" s="1">
        <v>250</v>
      </c>
      <c r="AK5" s="56"/>
      <c r="AL5" s="56"/>
    </row>
    <row r="6" spans="1:38" ht="19.5" thickBot="1" x14ac:dyDescent="0.3">
      <c r="A6" s="34" t="s">
        <v>6</v>
      </c>
      <c r="B6" s="17" t="s">
        <v>37</v>
      </c>
      <c r="D6" s="56"/>
      <c r="J6" s="84" t="s">
        <v>38</v>
      </c>
      <c r="K6" s="85" t="s">
        <v>39</v>
      </c>
      <c r="L6" s="93">
        <v>0</v>
      </c>
      <c r="M6" s="93">
        <v>0</v>
      </c>
      <c r="N6" s="93">
        <v>0</v>
      </c>
      <c r="O6" s="93">
        <v>0</v>
      </c>
      <c r="P6" s="93">
        <v>2</v>
      </c>
      <c r="Q6" s="93">
        <v>0</v>
      </c>
      <c r="R6" s="93">
        <v>0</v>
      </c>
      <c r="S6" s="66">
        <v>1000</v>
      </c>
      <c r="T6" s="66">
        <f t="array" ref="T6">SUMPRODUCT(L6:R6,TRANSPOSE($AF$10:$AF$16))*1000000/20000</f>
        <v>1552</v>
      </c>
      <c r="U6" s="57">
        <f t="shared" si="2"/>
        <v>1.8115942028985508</v>
      </c>
      <c r="V6" s="58">
        <f>D21*1000/(3*10^8)</f>
        <v>4.1666666666666664E-2</v>
      </c>
      <c r="W6" s="93">
        <f>F36/2 + F37/2</f>
        <v>0.2535</v>
      </c>
      <c r="X6" s="93">
        <v>100</v>
      </c>
      <c r="Y6" s="58">
        <f t="array" ref="Y6">SUMPRODUCT(O6:R6, TRANSPOSE($AF$13:$AF$16))*(1000000/20000)/T6</f>
        <v>1</v>
      </c>
      <c r="Z6" s="58">
        <f t="shared" si="4"/>
        <v>4.3478260869565216E-2</v>
      </c>
      <c r="AA6" s="59">
        <f t="shared" si="0"/>
        <v>0.64432989690721654</v>
      </c>
      <c r="AB6" s="56">
        <f t="shared" si="1"/>
        <v>0</v>
      </c>
      <c r="AC6" s="56">
        <f t="shared" si="3"/>
        <v>9.1324200913242004E-2</v>
      </c>
      <c r="AD6" s="56"/>
      <c r="AE6" s="56" t="s">
        <v>5</v>
      </c>
      <c r="AF6" s="1">
        <v>250</v>
      </c>
      <c r="AG6" s="1">
        <v>500</v>
      </c>
      <c r="AH6" s="1">
        <v>500</v>
      </c>
      <c r="AI6" s="1">
        <v>0</v>
      </c>
      <c r="AJ6" s="1">
        <v>250</v>
      </c>
      <c r="AK6" s="56"/>
      <c r="AL6" s="56"/>
    </row>
    <row r="7" spans="1:38" ht="20.25" thickTop="1" thickBot="1" x14ac:dyDescent="0.3">
      <c r="D7" s="56"/>
      <c r="J7" s="84" t="s">
        <v>39</v>
      </c>
      <c r="K7" s="85" t="s">
        <v>40</v>
      </c>
      <c r="L7" s="93">
        <v>0</v>
      </c>
      <c r="M7" s="93">
        <v>0</v>
      </c>
      <c r="N7" s="93">
        <v>0</v>
      </c>
      <c r="O7" s="93">
        <v>0</v>
      </c>
      <c r="P7" s="93">
        <v>0</v>
      </c>
      <c r="Q7" s="93">
        <v>0</v>
      </c>
      <c r="R7" s="93">
        <v>0</v>
      </c>
      <c r="S7" s="66">
        <v>0</v>
      </c>
      <c r="T7" s="66">
        <v>0</v>
      </c>
      <c r="U7" s="57">
        <v>0</v>
      </c>
      <c r="V7" s="58">
        <v>0</v>
      </c>
      <c r="W7" s="93">
        <f>F37/2 + F38/2</f>
        <v>0.255</v>
      </c>
      <c r="X7" s="93">
        <v>100</v>
      </c>
      <c r="Y7" s="58">
        <v>0</v>
      </c>
      <c r="Z7" s="58">
        <v>0</v>
      </c>
      <c r="AA7" s="59">
        <v>0</v>
      </c>
      <c r="AB7" s="56">
        <v>0</v>
      </c>
      <c r="AC7" s="56">
        <f t="shared" si="3"/>
        <v>0</v>
      </c>
      <c r="AD7" s="56"/>
      <c r="AE7" s="56" t="s">
        <v>6</v>
      </c>
      <c r="AF7" s="11">
        <v>250</v>
      </c>
      <c r="AG7" s="1">
        <v>200</v>
      </c>
      <c r="AH7" s="1">
        <v>250</v>
      </c>
      <c r="AI7" s="4">
        <v>1000</v>
      </c>
      <c r="AJ7" s="4">
        <v>0</v>
      </c>
      <c r="AK7" s="56"/>
      <c r="AL7" s="56"/>
    </row>
    <row r="8" spans="1:38" ht="19.5" thickTop="1" x14ac:dyDescent="0.25">
      <c r="A8" t="s">
        <v>11</v>
      </c>
      <c r="B8" t="s">
        <v>22</v>
      </c>
      <c r="C8" t="s">
        <v>19</v>
      </c>
      <c r="D8" s="56" t="s">
        <v>20</v>
      </c>
      <c r="J8" s="84" t="s">
        <v>39</v>
      </c>
      <c r="K8" s="85" t="s">
        <v>37</v>
      </c>
      <c r="L8" s="93">
        <v>0</v>
      </c>
      <c r="M8" s="93">
        <v>0</v>
      </c>
      <c r="N8" s="93">
        <v>0</v>
      </c>
      <c r="O8" s="93">
        <v>1</v>
      </c>
      <c r="P8" s="93">
        <v>0</v>
      </c>
      <c r="Q8" s="93">
        <v>0</v>
      </c>
      <c r="R8" s="93">
        <v>0</v>
      </c>
      <c r="S8" s="66">
        <v>250</v>
      </c>
      <c r="T8" s="66">
        <f t="array" ref="T8">SUMPRODUCT(L8:R8,TRANSPOSE($AF$10:$AF$16))*1000000/20000</f>
        <v>776</v>
      </c>
      <c r="U8" s="57">
        <f t="shared" si="2"/>
        <v>0.47528517110266161</v>
      </c>
      <c r="V8" s="58">
        <f>F22*1000/(3*10^8)</f>
        <v>1.5333333333333332E-2</v>
      </c>
      <c r="W8" s="93">
        <f>H37/2 + H39/2</f>
        <v>0.253</v>
      </c>
      <c r="X8" s="93">
        <v>21</v>
      </c>
      <c r="Y8" s="58">
        <f t="array" ref="Y8">SUMPRODUCT(O8:R8, TRANSPOSE($AF$13:$AF$16))*(1000000/20000)/T8</f>
        <v>1</v>
      </c>
      <c r="Z8" s="58">
        <f t="shared" si="4"/>
        <v>1.723447401774398E-2</v>
      </c>
      <c r="AA8" s="59">
        <f t="shared" si="0"/>
        <v>0.32216494845360827</v>
      </c>
      <c r="AB8" s="56">
        <f t="shared" si="1"/>
        <v>0</v>
      </c>
      <c r="AC8" s="56">
        <f t="shared" si="3"/>
        <v>2.2831050228310501E-2</v>
      </c>
      <c r="AD8" s="56"/>
      <c r="AE8" s="56"/>
      <c r="AF8" s="56"/>
      <c r="AG8" s="56"/>
      <c r="AH8" s="56"/>
      <c r="AI8" s="56"/>
      <c r="AJ8" s="56"/>
      <c r="AK8" s="56"/>
      <c r="AL8" s="56"/>
    </row>
    <row r="9" spans="1:38" ht="18.75" x14ac:dyDescent="0.25">
      <c r="A9" t="s">
        <v>12</v>
      </c>
      <c r="B9">
        <v>20</v>
      </c>
      <c r="C9" t="s">
        <v>25</v>
      </c>
      <c r="D9" s="56" t="s">
        <v>30</v>
      </c>
      <c r="J9" s="84" t="s">
        <v>40</v>
      </c>
      <c r="K9" s="85" t="s">
        <v>38</v>
      </c>
      <c r="L9" s="93">
        <v>0</v>
      </c>
      <c r="M9" s="93">
        <v>0</v>
      </c>
      <c r="N9" s="93">
        <v>0</v>
      </c>
      <c r="O9" s="93">
        <v>2</v>
      </c>
      <c r="P9" s="93">
        <v>0</v>
      </c>
      <c r="Q9" s="93">
        <v>0</v>
      </c>
      <c r="R9" s="93">
        <v>0</v>
      </c>
      <c r="S9" s="66">
        <v>1200</v>
      </c>
      <c r="T9" s="66">
        <f t="array" ref="T9">SUMPRODUCT(L9:R9,TRANSPOSE($AF$10:$AF$16))*1000000/20000</f>
        <v>1552</v>
      </c>
      <c r="U9" s="57">
        <f t="shared" si="2"/>
        <v>3.4090909090909092</v>
      </c>
      <c r="V9" s="58">
        <f>C23*1000/(3*10^8)</f>
        <v>8.3333333333333332E-3</v>
      </c>
      <c r="W9" s="93">
        <f>F36/2 + F38/2</f>
        <v>0.2505</v>
      </c>
      <c r="X9" s="93">
        <v>100</v>
      </c>
      <c r="Y9" s="58">
        <f t="array" ref="Y9">SUMPRODUCT(O9:R9, TRANSPOSE($AF$13:$AF$16))*(1000000/20000)/T9</f>
        <v>1</v>
      </c>
      <c r="Z9" s="58">
        <f t="shared" si="4"/>
        <v>1.1174242424242423E-2</v>
      </c>
      <c r="AA9" s="59">
        <f t="shared" si="0"/>
        <v>0.77319587628865982</v>
      </c>
      <c r="AB9" s="56">
        <f t="shared" si="1"/>
        <v>0</v>
      </c>
      <c r="AC9" s="56">
        <f t="shared" si="3"/>
        <v>0.1095890410958904</v>
      </c>
      <c r="AD9" s="56"/>
      <c r="AE9" s="56" t="s">
        <v>11</v>
      </c>
      <c r="AF9" s="56" t="s">
        <v>22</v>
      </c>
      <c r="AG9" s="56"/>
      <c r="AH9" s="56"/>
      <c r="AI9" s="56"/>
      <c r="AJ9" s="56"/>
      <c r="AK9" s="56"/>
      <c r="AL9" s="56"/>
    </row>
    <row r="10" spans="1:38" ht="18.75" x14ac:dyDescent="0.25">
      <c r="A10" t="s">
        <v>13</v>
      </c>
      <c r="B10">
        <v>20</v>
      </c>
      <c r="C10" t="s">
        <v>26</v>
      </c>
      <c r="D10" s="56" t="s">
        <v>30</v>
      </c>
      <c r="J10" s="84" t="s">
        <v>37</v>
      </c>
      <c r="K10" s="85" t="s">
        <v>38</v>
      </c>
      <c r="L10" s="93">
        <v>0</v>
      </c>
      <c r="M10" s="93">
        <v>0</v>
      </c>
      <c r="N10" s="93">
        <v>0</v>
      </c>
      <c r="O10" s="93">
        <v>0</v>
      </c>
      <c r="P10" s="93">
        <v>0</v>
      </c>
      <c r="Q10" s="93">
        <v>0</v>
      </c>
      <c r="R10" s="93">
        <v>0</v>
      </c>
      <c r="S10" s="66">
        <v>0</v>
      </c>
      <c r="T10" s="66">
        <f t="array" ref="T10">SUMPRODUCT(L10:R10,TRANSPOSE($AF$10:$AF$16))*1000000/20000</f>
        <v>0</v>
      </c>
      <c r="U10" s="57">
        <v>0</v>
      </c>
      <c r="V10" s="58">
        <v>0</v>
      </c>
      <c r="W10" s="93">
        <v>0</v>
      </c>
      <c r="X10" s="93" t="s">
        <v>111</v>
      </c>
      <c r="Y10" s="58">
        <v>0</v>
      </c>
      <c r="Z10" s="58">
        <v>0</v>
      </c>
      <c r="AA10" s="59">
        <v>0</v>
      </c>
      <c r="AB10" s="56">
        <f t="shared" si="1"/>
        <v>1</v>
      </c>
      <c r="AC10" s="56">
        <f t="shared" si="3"/>
        <v>0</v>
      </c>
      <c r="AD10" s="56"/>
      <c r="AE10" s="56" t="s">
        <v>12</v>
      </c>
      <c r="AF10" s="54">
        <v>20</v>
      </c>
      <c r="AG10" s="56"/>
      <c r="AH10" s="56"/>
      <c r="AI10" s="56"/>
      <c r="AJ10" s="56"/>
      <c r="AK10" s="56"/>
      <c r="AL10" s="56"/>
    </row>
    <row r="11" spans="1:38" ht="18.75" x14ac:dyDescent="0.25">
      <c r="A11" t="s">
        <v>14</v>
      </c>
      <c r="B11">
        <v>5</v>
      </c>
      <c r="C11" t="s">
        <v>27</v>
      </c>
      <c r="D11" s="56" t="s">
        <v>31</v>
      </c>
      <c r="J11" s="86" t="s">
        <v>37</v>
      </c>
      <c r="K11" s="87" t="s">
        <v>40</v>
      </c>
      <c r="L11" s="93">
        <v>2</v>
      </c>
      <c r="M11" s="93">
        <v>0</v>
      </c>
      <c r="N11" s="93">
        <v>0</v>
      </c>
      <c r="O11" s="93">
        <v>0</v>
      </c>
      <c r="P11" s="93">
        <v>0</v>
      </c>
      <c r="Q11" s="93">
        <v>0</v>
      </c>
      <c r="R11" s="93">
        <v>0</v>
      </c>
      <c r="S11" s="66">
        <v>1200</v>
      </c>
      <c r="T11" s="66">
        <f t="array" ref="T11">SUMPRODUCT(L11:R11,TRANSPOSE($AF$10:$AF$16))*1000000/20000</f>
        <v>2000</v>
      </c>
      <c r="U11" s="57">
        <f t="shared" si="2"/>
        <v>1.5</v>
      </c>
      <c r="V11" s="58">
        <f>E24*1000/(3*10^8)</f>
        <v>2.1999999999999999E-2</v>
      </c>
      <c r="W11" s="93">
        <f>H38/2 + H39/2</f>
        <v>0.26050000000000001</v>
      </c>
      <c r="X11" s="93">
        <v>21</v>
      </c>
      <c r="Y11" s="58">
        <f t="array" ref="Y11">SUMPRODUCT(O11:R11, TRANSPOSE($AF$13:$AF$16))*(1000000/20000)/T11</f>
        <v>0</v>
      </c>
      <c r="Z11" s="58">
        <f t="shared" si="4"/>
        <v>0.26174999999999998</v>
      </c>
      <c r="AA11" s="59">
        <f t="shared" si="0"/>
        <v>0.6</v>
      </c>
      <c r="AB11" s="56">
        <f t="shared" si="1"/>
        <v>0</v>
      </c>
      <c r="AC11" s="56">
        <f t="shared" si="3"/>
        <v>0.1095890410958904</v>
      </c>
      <c r="AD11" s="56"/>
      <c r="AE11" s="56" t="s">
        <v>13</v>
      </c>
      <c r="AF11" s="54">
        <v>20</v>
      </c>
      <c r="AG11" s="56"/>
      <c r="AH11" s="56"/>
      <c r="AI11" s="56"/>
      <c r="AJ11" s="56"/>
      <c r="AK11" s="56"/>
      <c r="AL11" s="56"/>
    </row>
    <row r="12" spans="1:38" ht="18.75" x14ac:dyDescent="0.25">
      <c r="A12" t="s">
        <v>15</v>
      </c>
      <c r="B12">
        <v>15.52</v>
      </c>
      <c r="C12" t="s">
        <v>28</v>
      </c>
      <c r="D12" s="56" t="s">
        <v>32</v>
      </c>
      <c r="J12" s="60"/>
      <c r="K12" s="61"/>
      <c r="L12" s="61"/>
      <c r="M12" s="61"/>
      <c r="N12" s="61"/>
      <c r="O12" s="61"/>
      <c r="P12" s="61"/>
      <c r="Q12" s="61"/>
      <c r="R12" s="61"/>
      <c r="S12" s="67">
        <f>SUM(S2:S11)</f>
        <v>7650</v>
      </c>
      <c r="T12" s="67">
        <f>SUM(T2:T11)</f>
        <v>11983.68</v>
      </c>
      <c r="U12" s="60">
        <f t="shared" si="2"/>
        <v>1.7652433959129423</v>
      </c>
      <c r="V12" s="58"/>
      <c r="W12" s="94"/>
      <c r="X12" s="93"/>
      <c r="Y12" s="58"/>
      <c r="Z12" s="61">
        <f>1/(T12-S12)</f>
        <v>2.3075077070757415E-4</v>
      </c>
      <c r="AA12" s="62">
        <f t="shared" si="0"/>
        <v>0.63836818072578705</v>
      </c>
      <c r="AB12" s="56">
        <f t="shared" si="1"/>
        <v>0</v>
      </c>
      <c r="AC12" s="56"/>
      <c r="AD12" s="56"/>
      <c r="AE12" s="56" t="s">
        <v>14</v>
      </c>
      <c r="AF12" s="54">
        <v>5</v>
      </c>
      <c r="AG12" s="56"/>
      <c r="AH12" s="56"/>
      <c r="AI12" s="56"/>
      <c r="AJ12" s="56"/>
      <c r="AK12" s="56"/>
      <c r="AL12" s="56"/>
    </row>
    <row r="13" spans="1:38" x14ac:dyDescent="0.25">
      <c r="A13" t="s">
        <v>16</v>
      </c>
      <c r="B13">
        <v>15.52</v>
      </c>
      <c r="C13" t="s">
        <v>27</v>
      </c>
      <c r="D13" s="56" t="s">
        <v>33</v>
      </c>
      <c r="J13" s="56"/>
      <c r="K13" s="56" t="s">
        <v>67</v>
      </c>
      <c r="L13" s="56">
        <f t="shared" ref="L13:R13" si="5">SUM(L2:L11)</f>
        <v>4</v>
      </c>
      <c r="M13" s="56">
        <f t="shared" si="5"/>
        <v>0</v>
      </c>
      <c r="N13" s="56">
        <f t="shared" si="5"/>
        <v>0</v>
      </c>
      <c r="O13" s="56">
        <f t="shared" si="5"/>
        <v>7</v>
      </c>
      <c r="P13" s="56">
        <f t="shared" si="5"/>
        <v>3</v>
      </c>
      <c r="Q13" s="56">
        <f t="shared" si="5"/>
        <v>1</v>
      </c>
      <c r="R13" s="56">
        <f t="shared" si="5"/>
        <v>0</v>
      </c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 t="s">
        <v>15</v>
      </c>
      <c r="AF13" s="54">
        <v>15.52</v>
      </c>
      <c r="AG13" s="56"/>
      <c r="AH13" s="56"/>
      <c r="AI13" s="56"/>
      <c r="AJ13" s="56"/>
      <c r="AK13" s="56"/>
      <c r="AL13" s="56"/>
    </row>
    <row r="14" spans="1:38" x14ac:dyDescent="0.25">
      <c r="A14" t="s">
        <v>17</v>
      </c>
      <c r="B14">
        <v>4.4736000000000002</v>
      </c>
      <c r="C14" t="s">
        <v>29</v>
      </c>
      <c r="D14" s="56" t="s">
        <v>32</v>
      </c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 t="s">
        <v>16</v>
      </c>
      <c r="AF14" s="54">
        <v>15.52</v>
      </c>
      <c r="AG14" s="56"/>
      <c r="AH14" s="56"/>
      <c r="AI14" s="56"/>
      <c r="AJ14" s="56"/>
      <c r="AK14" s="56"/>
      <c r="AL14" s="56"/>
    </row>
    <row r="15" spans="1:38" x14ac:dyDescent="0.25">
      <c r="A15" t="s">
        <v>18</v>
      </c>
      <c r="B15">
        <v>4.4736000000000002</v>
      </c>
      <c r="C15" t="s">
        <v>27</v>
      </c>
      <c r="D15" s="56" t="s">
        <v>31</v>
      </c>
      <c r="J15" s="259" t="s">
        <v>62</v>
      </c>
      <c r="K15" s="259"/>
      <c r="L15" s="259"/>
      <c r="M15" s="259"/>
      <c r="N15" s="259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 t="s">
        <v>68</v>
      </c>
      <c r="AA15" s="56">
        <f>SUMPRODUCT(AC2:AC11,Z2:Z11)+SUMPRODUCT(R41:R50,T41:T50)</f>
        <v>0.1036563647456924</v>
      </c>
      <c r="AB15" s="56"/>
      <c r="AC15" s="56"/>
      <c r="AD15" s="56"/>
      <c r="AE15" s="56" t="s">
        <v>17</v>
      </c>
      <c r="AF15" s="54">
        <v>4.4736000000000002</v>
      </c>
      <c r="AG15" s="56"/>
      <c r="AH15" s="56"/>
      <c r="AI15" s="56"/>
      <c r="AJ15" s="56"/>
      <c r="AK15" s="56"/>
      <c r="AL15" s="56"/>
    </row>
    <row r="16" spans="1:38" x14ac:dyDescent="0.25">
      <c r="D16" s="56"/>
      <c r="J16" s="56" t="s">
        <v>58</v>
      </c>
      <c r="K16" s="69">
        <f>SUM(L2:L11)*60000000*0+SUM(M2:M11)*40000000</f>
        <v>0</v>
      </c>
      <c r="L16" s="69" t="s">
        <v>66</v>
      </c>
      <c r="M16" s="69">
        <f>L13*8000+M13*8000+N13*500000+O13*5000+P13*700000+Q13*5000+R13*500000</f>
        <v>2172000</v>
      </c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 t="s">
        <v>69</v>
      </c>
      <c r="AA16" s="56">
        <f>AA15*1000</f>
        <v>103.6563647456924</v>
      </c>
      <c r="AB16" s="56"/>
      <c r="AC16" s="56"/>
      <c r="AD16" s="56"/>
      <c r="AE16" s="56" t="s">
        <v>18</v>
      </c>
      <c r="AF16" s="54">
        <v>4.4736000000000002</v>
      </c>
      <c r="AG16" s="56"/>
      <c r="AH16" s="56"/>
      <c r="AI16" s="56"/>
      <c r="AJ16" s="56"/>
      <c r="AK16" s="56"/>
      <c r="AL16" s="56"/>
    </row>
    <row r="17" spans="1:39" ht="15.75" thickBot="1" x14ac:dyDescent="0.3">
      <c r="D17" s="56"/>
      <c r="J17" s="56" t="s">
        <v>113</v>
      </c>
      <c r="K17" s="69">
        <f>3*8000+N13*500000</f>
        <v>24000</v>
      </c>
      <c r="N17" s="56"/>
      <c r="AD17" s="56"/>
      <c r="AE17" s="56"/>
      <c r="AF17" s="56"/>
      <c r="AG17" s="56"/>
      <c r="AH17" s="56"/>
      <c r="AI17" s="56"/>
      <c r="AJ17" s="56"/>
      <c r="AK17" s="56"/>
      <c r="AL17" s="56"/>
    </row>
    <row r="18" spans="1:39" ht="16.5" thickTop="1" thickBot="1" x14ac:dyDescent="0.3">
      <c r="A18" s="272" t="s">
        <v>0</v>
      </c>
      <c r="B18" s="274" t="s">
        <v>1</v>
      </c>
      <c r="C18" s="275"/>
      <c r="D18" s="275"/>
      <c r="E18" s="275"/>
      <c r="F18" s="276"/>
      <c r="G18" s="55"/>
      <c r="H18" s="55"/>
      <c r="I18" s="55"/>
      <c r="K18" s="69"/>
      <c r="L18" t="s">
        <v>61</v>
      </c>
      <c r="M18" s="70">
        <f>SUM(L2:R11)*20000</f>
        <v>300000</v>
      </c>
      <c r="AD18" s="56"/>
      <c r="AE18" s="56"/>
      <c r="AF18" s="56"/>
      <c r="AG18" s="56"/>
      <c r="AH18" s="56"/>
      <c r="AI18" s="56"/>
      <c r="AJ18" s="56"/>
      <c r="AK18" s="56"/>
      <c r="AL18" s="56"/>
    </row>
    <row r="19" spans="1:39" ht="16.5" thickTop="1" thickBot="1" x14ac:dyDescent="0.3">
      <c r="A19" s="273"/>
      <c r="B19" s="18" t="s">
        <v>2</v>
      </c>
      <c r="C19" s="2" t="s">
        <v>3</v>
      </c>
      <c r="D19" s="2" t="s">
        <v>4</v>
      </c>
      <c r="E19" s="2" t="s">
        <v>5</v>
      </c>
      <c r="F19" s="19" t="s">
        <v>6</v>
      </c>
      <c r="G19" s="55"/>
      <c r="H19" s="55"/>
      <c r="I19" s="55"/>
      <c r="J19" s="56"/>
      <c r="K19" s="69"/>
      <c r="AD19" s="56"/>
      <c r="AE19" s="56"/>
      <c r="AF19" s="56"/>
      <c r="AG19" s="56"/>
      <c r="AH19" s="56"/>
      <c r="AI19" s="56"/>
      <c r="AJ19" s="56"/>
      <c r="AK19" s="56"/>
      <c r="AL19" s="56"/>
    </row>
    <row r="20" spans="1:39" ht="15.75" thickTop="1" x14ac:dyDescent="0.25">
      <c r="A20" s="12" t="s">
        <v>2</v>
      </c>
      <c r="B20" s="7">
        <v>0</v>
      </c>
      <c r="C20" s="8">
        <v>5400</v>
      </c>
      <c r="D20" s="8">
        <v>14000</v>
      </c>
      <c r="E20" s="8">
        <v>7900</v>
      </c>
      <c r="F20" s="9">
        <v>12000</v>
      </c>
      <c r="G20" s="91"/>
      <c r="H20" s="91"/>
      <c r="I20" s="91"/>
      <c r="J20" s="56"/>
      <c r="K20" s="69"/>
      <c r="Z20" t="s">
        <v>70</v>
      </c>
      <c r="AC20" t="s">
        <v>112</v>
      </c>
      <c r="AD20" s="56"/>
      <c r="AE20" s="56"/>
      <c r="AF20" s="56"/>
      <c r="AG20" s="56"/>
      <c r="AH20" s="56"/>
      <c r="AI20" s="56"/>
      <c r="AJ20" s="56"/>
      <c r="AK20" s="56"/>
      <c r="AL20" s="56"/>
    </row>
    <row r="21" spans="1:39" x14ac:dyDescent="0.25">
      <c r="A21" s="3" t="s">
        <v>3</v>
      </c>
      <c r="B21" s="6">
        <v>5400</v>
      </c>
      <c r="C21" s="1">
        <v>0</v>
      </c>
      <c r="D21" s="1">
        <v>12500</v>
      </c>
      <c r="E21" s="1">
        <v>2500</v>
      </c>
      <c r="F21" s="1">
        <v>8200</v>
      </c>
      <c r="G21" s="1"/>
      <c r="H21" s="1"/>
      <c r="I21" s="1"/>
      <c r="J21" s="56"/>
      <c r="K21" s="69"/>
      <c r="M21" s="70"/>
      <c r="Z21" t="s">
        <v>71</v>
      </c>
      <c r="AA21" s="89">
        <f>N35/6000000</f>
        <v>130.21333333333334</v>
      </c>
      <c r="AC21">
        <v>197.59333333333333</v>
      </c>
      <c r="AD21" s="56"/>
      <c r="AE21" s="56"/>
      <c r="AF21" s="56"/>
      <c r="AG21" s="56"/>
      <c r="AH21" s="56"/>
      <c r="AI21" s="56"/>
      <c r="AJ21" s="56"/>
      <c r="AK21" s="56"/>
      <c r="AL21" s="56"/>
    </row>
    <row r="22" spans="1:39" x14ac:dyDescent="0.25">
      <c r="A22" s="10" t="s">
        <v>4</v>
      </c>
      <c r="B22" s="1">
        <v>14000</v>
      </c>
      <c r="C22" s="1">
        <v>12500</v>
      </c>
      <c r="D22" s="1">
        <v>0</v>
      </c>
      <c r="E22" s="1">
        <v>11200</v>
      </c>
      <c r="F22" s="1">
        <v>4600</v>
      </c>
      <c r="G22" s="1"/>
      <c r="H22" s="1"/>
      <c r="I22" s="1"/>
      <c r="Z22" t="s">
        <v>72</v>
      </c>
      <c r="AA22">
        <v>20</v>
      </c>
      <c r="AC22">
        <v>0</v>
      </c>
      <c r="AD22" s="56"/>
      <c r="AE22" s="56"/>
      <c r="AF22" s="56"/>
      <c r="AG22" s="56"/>
      <c r="AH22" s="56"/>
      <c r="AI22" s="56"/>
      <c r="AJ22" s="56"/>
      <c r="AK22" s="56"/>
      <c r="AL22" s="56"/>
    </row>
    <row r="23" spans="1:39" x14ac:dyDescent="0.25">
      <c r="A23" s="10" t="s">
        <v>5</v>
      </c>
      <c r="B23" s="1">
        <v>7900</v>
      </c>
      <c r="C23" s="1">
        <v>2500</v>
      </c>
      <c r="D23" s="1">
        <v>11200</v>
      </c>
      <c r="E23" s="1">
        <v>0</v>
      </c>
      <c r="F23" s="1">
        <v>6600</v>
      </c>
      <c r="G23" s="1"/>
      <c r="H23" s="1"/>
      <c r="I23" s="1"/>
      <c r="N23" s="88"/>
      <c r="Z23" t="s">
        <v>106</v>
      </c>
      <c r="AA23">
        <f>AA16*0.1</f>
        <v>10.365636474569241</v>
      </c>
      <c r="AC23">
        <v>26.992846461027423</v>
      </c>
      <c r="AD23" s="56"/>
      <c r="AE23" s="56"/>
      <c r="AF23" s="56"/>
      <c r="AG23" s="56"/>
      <c r="AH23" s="56"/>
      <c r="AI23" s="56"/>
      <c r="AJ23" s="56"/>
      <c r="AK23" s="56"/>
      <c r="AL23" s="56"/>
    </row>
    <row r="24" spans="1:39" ht="15.75" thickBot="1" x14ac:dyDescent="0.3">
      <c r="A24" s="3" t="s">
        <v>6</v>
      </c>
      <c r="B24" s="11">
        <v>12000</v>
      </c>
      <c r="C24" s="1">
        <v>8200</v>
      </c>
      <c r="D24" s="1">
        <v>4600</v>
      </c>
      <c r="E24" s="4">
        <v>6600</v>
      </c>
      <c r="F24" s="4">
        <v>0</v>
      </c>
      <c r="G24" s="91"/>
      <c r="H24" s="91"/>
      <c r="I24" s="91"/>
      <c r="J24" t="s">
        <v>74</v>
      </c>
      <c r="K24" t="s">
        <v>103</v>
      </c>
      <c r="M24" t="s">
        <v>98</v>
      </c>
      <c r="N24" t="s">
        <v>100</v>
      </c>
      <c r="O24" s="70">
        <f>P13*700000+R13*500000</f>
        <v>2100000</v>
      </c>
      <c r="Z24" t="s">
        <v>73</v>
      </c>
      <c r="AA24" s="71">
        <f>SUM(AA21:AA23)</f>
        <v>160.57896980790258</v>
      </c>
      <c r="AC24">
        <v>224.58617979436076</v>
      </c>
      <c r="AD24" s="56"/>
      <c r="AE24" s="56"/>
      <c r="AF24" s="56"/>
      <c r="AG24" s="56"/>
      <c r="AH24" s="56"/>
      <c r="AI24" s="56"/>
      <c r="AJ24" s="56"/>
      <c r="AK24" s="56"/>
      <c r="AL24" s="56"/>
    </row>
    <row r="25" spans="1:39" ht="15.75" thickTop="1" x14ac:dyDescent="0.25">
      <c r="D25" s="56"/>
      <c r="E25" s="56"/>
      <c r="F25" s="56"/>
      <c r="G25" s="56"/>
      <c r="H25" s="56"/>
      <c r="I25" s="56"/>
      <c r="J25" s="56" t="s">
        <v>75</v>
      </c>
      <c r="K25" s="56">
        <f>IF(NOT((O2+Q2)=0), 1, 0)</f>
        <v>1</v>
      </c>
      <c r="L25" s="72">
        <f>10000*$D$20*K25</f>
        <v>140000000</v>
      </c>
      <c r="M25" s="72">
        <f>((O2*4000+Q2*2000)*$D$20)</f>
        <v>196000000</v>
      </c>
      <c r="N25" s="70" t="s">
        <v>101</v>
      </c>
      <c r="O25" s="70">
        <f>O13*5000+Q13*5000</f>
        <v>40000</v>
      </c>
      <c r="AE25" s="56"/>
      <c r="AF25" s="56"/>
      <c r="AG25" s="56"/>
      <c r="AH25" s="56"/>
      <c r="AI25" s="56"/>
      <c r="AJ25" s="56"/>
      <c r="AK25" s="56"/>
      <c r="AL25" s="56"/>
      <c r="AM25" s="56"/>
    </row>
    <row r="26" spans="1:39" x14ac:dyDescent="0.25">
      <c r="D26" s="56"/>
      <c r="E26" s="56"/>
      <c r="F26" s="56"/>
      <c r="G26" s="56"/>
      <c r="H26" s="56"/>
      <c r="I26" s="56"/>
      <c r="J26" s="56" t="s">
        <v>76</v>
      </c>
      <c r="K26" s="56">
        <f t="shared" ref="K26:K34" si="6">IF(NOT((O3+Q3)=0), 1, 0)</f>
        <v>0</v>
      </c>
      <c r="L26" s="72">
        <f>K26*10000*$E$20</f>
        <v>0</v>
      </c>
      <c r="M26" s="72">
        <f>((O3*4000+Q3*2000)*E20)</f>
        <v>0</v>
      </c>
      <c r="N26" t="s">
        <v>61</v>
      </c>
      <c r="O26" s="70">
        <f>SUM(L13:R13)*2*20000</f>
        <v>600000</v>
      </c>
      <c r="P26" t="s">
        <v>102</v>
      </c>
      <c r="AE26" s="56"/>
      <c r="AF26" s="56"/>
      <c r="AG26" s="56"/>
      <c r="AH26" s="56"/>
      <c r="AI26" s="56"/>
      <c r="AJ26" s="56"/>
      <c r="AK26" s="56"/>
      <c r="AL26" s="56"/>
      <c r="AM26" s="56"/>
    </row>
    <row r="27" spans="1:39" ht="15.75" thickBot="1" x14ac:dyDescent="0.3">
      <c r="J27" s="56" t="s">
        <v>77</v>
      </c>
      <c r="K27" s="56">
        <f t="shared" si="6"/>
        <v>0</v>
      </c>
      <c r="L27" s="72">
        <f>K27*10000*$F$20</f>
        <v>0</v>
      </c>
      <c r="M27" s="72">
        <f>((O4*4000+Q4*2000)*F20)</f>
        <v>0</v>
      </c>
      <c r="AG27" s="56"/>
      <c r="AH27" s="56"/>
    </row>
    <row r="28" spans="1:39" ht="16.5" thickTop="1" thickBot="1" x14ac:dyDescent="0.3">
      <c r="A28" s="73" t="s">
        <v>2</v>
      </c>
      <c r="B28" s="74" t="s">
        <v>81</v>
      </c>
      <c r="C28" s="75" t="s">
        <v>82</v>
      </c>
      <c r="D28">
        <v>21.33</v>
      </c>
      <c r="E28">
        <v>157.91999999999999</v>
      </c>
      <c r="J28" s="56" t="s">
        <v>94</v>
      </c>
      <c r="K28" s="56">
        <f t="shared" si="6"/>
        <v>1</v>
      </c>
      <c r="L28" s="72">
        <f>K28*10000*$B$21</f>
        <v>54000000</v>
      </c>
      <c r="M28" s="72">
        <f>((O5*4000+Q5*2000)*$B$21)</f>
        <v>21600000</v>
      </c>
      <c r="AG28" s="56"/>
      <c r="AH28" s="56"/>
    </row>
    <row r="29" spans="1:39" ht="16.5" thickTop="1" thickBot="1" x14ac:dyDescent="0.3">
      <c r="A29" s="76" t="s">
        <v>3</v>
      </c>
      <c r="B29" s="77" t="s">
        <v>83</v>
      </c>
      <c r="C29" s="78" t="s">
        <v>84</v>
      </c>
      <c r="D29">
        <v>38.82</v>
      </c>
      <c r="E29">
        <v>104.72</v>
      </c>
      <c r="J29" s="56" t="s">
        <v>78</v>
      </c>
      <c r="K29" s="56">
        <f t="shared" si="6"/>
        <v>0</v>
      </c>
      <c r="L29" s="72">
        <f>K29*10000*$D$21</f>
        <v>0</v>
      </c>
      <c r="M29" s="72">
        <f>(O6*4000+Q6*2000)*$D$21</f>
        <v>0</v>
      </c>
      <c r="AG29" s="56"/>
      <c r="AH29" s="56"/>
    </row>
    <row r="30" spans="1:39" ht="16.5" thickTop="1" thickBot="1" x14ac:dyDescent="0.3">
      <c r="A30" s="76" t="s">
        <v>4</v>
      </c>
      <c r="B30" s="77" t="s">
        <v>85</v>
      </c>
      <c r="C30" s="78" t="s">
        <v>86</v>
      </c>
      <c r="D30">
        <v>25.3</v>
      </c>
      <c r="E30">
        <v>51.52</v>
      </c>
      <c r="J30" s="56" t="s">
        <v>79</v>
      </c>
      <c r="K30" s="56">
        <f t="shared" si="6"/>
        <v>0</v>
      </c>
      <c r="L30" s="72">
        <f>K30*10000*$E$22</f>
        <v>0</v>
      </c>
      <c r="M30" s="72">
        <f>(O7*4000+Q7*2000)*$E$22</f>
        <v>0</v>
      </c>
      <c r="AG30" s="56"/>
      <c r="AH30" s="56"/>
    </row>
    <row r="31" spans="1:39" ht="16.5" thickTop="1" thickBot="1" x14ac:dyDescent="0.3">
      <c r="A31" s="76" t="s">
        <v>5</v>
      </c>
      <c r="B31" s="77" t="s">
        <v>87</v>
      </c>
      <c r="C31" s="78" t="s">
        <v>88</v>
      </c>
      <c r="D31">
        <v>36.9</v>
      </c>
      <c r="E31">
        <v>76.2</v>
      </c>
      <c r="J31" s="56" t="s">
        <v>80</v>
      </c>
      <c r="K31" s="56">
        <f t="shared" si="6"/>
        <v>1</v>
      </c>
      <c r="L31" s="72">
        <f>K31*10000*$F$22</f>
        <v>46000000</v>
      </c>
      <c r="M31" s="72">
        <f>(O8*4000+Q8*2000)*$F$22</f>
        <v>18400000</v>
      </c>
      <c r="AG31" s="56"/>
      <c r="AH31" s="56"/>
    </row>
    <row r="32" spans="1:39" ht="16.5" thickTop="1" thickBot="1" x14ac:dyDescent="0.3">
      <c r="A32" s="79" t="s">
        <v>6</v>
      </c>
      <c r="B32" s="80" t="s">
        <v>89</v>
      </c>
      <c r="C32" s="81" t="s">
        <v>90</v>
      </c>
      <c r="D32">
        <v>49.57</v>
      </c>
      <c r="E32">
        <v>8.4700000000000006</v>
      </c>
      <c r="J32" s="56" t="s">
        <v>95</v>
      </c>
      <c r="K32" s="56">
        <f t="shared" si="6"/>
        <v>1</v>
      </c>
      <c r="L32" s="72">
        <f>K32*10000*$C$23</f>
        <v>25000000</v>
      </c>
      <c r="M32" s="72">
        <f>(O9*4000+Q9*2000)*$C$23</f>
        <v>20000000</v>
      </c>
    </row>
    <row r="33" spans="1:20" ht="16.5" thickTop="1" thickBot="1" x14ac:dyDescent="0.3">
      <c r="J33" s="56" t="s">
        <v>96</v>
      </c>
      <c r="K33" s="56">
        <f t="shared" si="6"/>
        <v>0</v>
      </c>
      <c r="L33" s="72">
        <f>K33*10000*$C$24</f>
        <v>0</v>
      </c>
      <c r="M33" s="72">
        <f>(O10*4000+Q10*2000)*$C$24</f>
        <v>0</v>
      </c>
    </row>
    <row r="34" spans="1:20" ht="50.1" customHeight="1" thickTop="1" thickBot="1" x14ac:dyDescent="0.3">
      <c r="A34" s="82" t="s">
        <v>34</v>
      </c>
      <c r="B34" s="83" t="s">
        <v>35</v>
      </c>
      <c r="E34" s="53" t="s">
        <v>109</v>
      </c>
      <c r="F34" t="s">
        <v>110</v>
      </c>
      <c r="G34" s="53" t="s">
        <v>108</v>
      </c>
      <c r="H34" t="s">
        <v>107</v>
      </c>
      <c r="J34" s="56" t="s">
        <v>97</v>
      </c>
      <c r="K34" s="56">
        <f t="shared" si="6"/>
        <v>0</v>
      </c>
      <c r="L34" s="72">
        <f>K34*10000*$E$24</f>
        <v>0</v>
      </c>
      <c r="M34" s="72">
        <f>(O11*4000+Q11*2000)*$E$24</f>
        <v>0</v>
      </c>
    </row>
    <row r="35" spans="1:20" x14ac:dyDescent="0.25">
      <c r="A35" s="33" t="s">
        <v>2</v>
      </c>
      <c r="B35" s="16" t="s">
        <v>36</v>
      </c>
      <c r="C35">
        <v>21.33</v>
      </c>
      <c r="D35">
        <v>157.91999999999999</v>
      </c>
      <c r="E35">
        <v>39400</v>
      </c>
      <c r="F35">
        <v>0.26200000000000001</v>
      </c>
      <c r="G35">
        <v>46738</v>
      </c>
      <c r="H35">
        <v>0.312</v>
      </c>
      <c r="M35" t="s">
        <v>63</v>
      </c>
      <c r="N35" s="72">
        <f>K37+SUM(O24:O25)*120+O26+K17*120</f>
        <v>781280000</v>
      </c>
    </row>
    <row r="36" spans="1:20" x14ac:dyDescent="0.25">
      <c r="A36" s="33" t="s">
        <v>3</v>
      </c>
      <c r="B36" s="16" t="s">
        <v>38</v>
      </c>
      <c r="C36">
        <v>38.82</v>
      </c>
      <c r="D36">
        <v>104.72</v>
      </c>
      <c r="E36">
        <v>37428</v>
      </c>
      <c r="F36">
        <v>0.249</v>
      </c>
      <c r="G36" t="s">
        <v>111</v>
      </c>
      <c r="H36" t="s">
        <v>111</v>
      </c>
      <c r="J36" s="56"/>
    </row>
    <row r="37" spans="1:20" x14ac:dyDescent="0.25">
      <c r="A37" s="33" t="s">
        <v>4</v>
      </c>
      <c r="B37" s="16" t="s">
        <v>39</v>
      </c>
      <c r="C37">
        <v>25.3</v>
      </c>
      <c r="D37">
        <v>51.52</v>
      </c>
      <c r="E37">
        <v>38680</v>
      </c>
      <c r="F37">
        <v>0.25800000000000001</v>
      </c>
      <c r="G37">
        <v>37411</v>
      </c>
      <c r="H37">
        <v>0.25</v>
      </c>
      <c r="J37" s="56" t="s">
        <v>99</v>
      </c>
      <c r="K37" s="72">
        <f>SUM(L25:M34)+K16</f>
        <v>521000000</v>
      </c>
    </row>
    <row r="38" spans="1:20" x14ac:dyDescent="0.25">
      <c r="A38" s="33" t="s">
        <v>5</v>
      </c>
      <c r="B38" s="16" t="s">
        <v>40</v>
      </c>
      <c r="C38">
        <v>36.9</v>
      </c>
      <c r="D38">
        <v>76.2</v>
      </c>
      <c r="E38">
        <v>37748</v>
      </c>
      <c r="F38">
        <v>0.252</v>
      </c>
      <c r="G38">
        <v>39661</v>
      </c>
      <c r="H38">
        <v>0.26500000000000001</v>
      </c>
      <c r="J38" s="56"/>
    </row>
    <row r="39" spans="1:20" ht="15.75" thickBot="1" x14ac:dyDescent="0.3">
      <c r="A39" s="34" t="s">
        <v>6</v>
      </c>
      <c r="B39" s="17" t="s">
        <v>37</v>
      </c>
      <c r="C39">
        <v>49.57</v>
      </c>
      <c r="D39">
        <v>8.4700000000000006</v>
      </c>
      <c r="E39" s="90" t="s">
        <v>111</v>
      </c>
      <c r="F39" s="90" t="s">
        <v>111</v>
      </c>
      <c r="G39">
        <v>38444</v>
      </c>
      <c r="H39">
        <v>0.25600000000000001</v>
      </c>
      <c r="J39" s="56"/>
    </row>
    <row r="40" spans="1:20" ht="16.5" thickTop="1" thickBot="1" x14ac:dyDescent="0.3">
      <c r="J40" s="63" t="s">
        <v>0</v>
      </c>
      <c r="K40" s="64" t="s">
        <v>1</v>
      </c>
      <c r="L40" t="s">
        <v>59</v>
      </c>
      <c r="M40" t="s">
        <v>60</v>
      </c>
      <c r="N40" t="s">
        <v>42</v>
      </c>
      <c r="O40" t="s">
        <v>104</v>
      </c>
      <c r="P40" t="s">
        <v>92</v>
      </c>
      <c r="Q40" t="s">
        <v>93</v>
      </c>
      <c r="R40" t="s">
        <v>105</v>
      </c>
      <c r="S40" t="s">
        <v>41</v>
      </c>
      <c r="T40" t="s">
        <v>65</v>
      </c>
    </row>
    <row r="41" spans="1:20" x14ac:dyDescent="0.25">
      <c r="B41" s="15"/>
      <c r="J41" s="84" t="s">
        <v>36</v>
      </c>
      <c r="K41" s="85" t="s">
        <v>39</v>
      </c>
      <c r="L41">
        <v>250</v>
      </c>
      <c r="M41">
        <f>T2</f>
        <v>2551.6799999999998</v>
      </c>
      <c r="N41">
        <f>L41/(M41-L41)</f>
        <v>0.10861631503944945</v>
      </c>
      <c r="O41">
        <f>V2</f>
        <v>4.6666666666666669E-2</v>
      </c>
      <c r="P41">
        <f t="shared" ref="P41:P51" si="7">W2</f>
        <v>0.26</v>
      </c>
      <c r="Q41">
        <f>Y2</f>
        <v>1</v>
      </c>
      <c r="R41">
        <f>1/(M41-L41)+Q41*O41+(1-Q41)*P41</f>
        <v>4.7101131926824469E-2</v>
      </c>
      <c r="S41">
        <f>L41/M41</f>
        <v>9.7974667669927268E-2</v>
      </c>
      <c r="T41">
        <f>L41/(L451+$S$12)</f>
        <v>3.2679738562091505E-2</v>
      </c>
    </row>
    <row r="42" spans="1:20" x14ac:dyDescent="0.25">
      <c r="J42" s="84" t="s">
        <v>36</v>
      </c>
      <c r="K42" s="85" t="s">
        <v>40</v>
      </c>
      <c r="L42">
        <v>250</v>
      </c>
      <c r="M42">
        <f t="shared" ref="M42:M50" si="8">T3</f>
        <v>2000</v>
      </c>
      <c r="N42">
        <f t="shared" ref="N42:N51" si="9">L42/(M42-L42)</f>
        <v>0.14285714285714285</v>
      </c>
      <c r="O42">
        <f t="shared" ref="O42:O51" si="10">V3</f>
        <v>2.6333333333333334E-2</v>
      </c>
      <c r="P42">
        <f t="shared" si="7"/>
        <v>0.25700000000000001</v>
      </c>
      <c r="Q42">
        <f>Y3</f>
        <v>0</v>
      </c>
      <c r="R42">
        <f t="shared" ref="R42:R51" si="11">1/(M42-L42)+Q42*O42+(1-Q42)*P42</f>
        <v>0.25757142857142856</v>
      </c>
      <c r="S42">
        <f t="shared" ref="S42:S51" si="12">L42/M42</f>
        <v>0.125</v>
      </c>
      <c r="T42">
        <f t="shared" ref="T42:T50" si="13">L42/(L452+$S$12)</f>
        <v>3.2679738562091505E-2</v>
      </c>
    </row>
    <row r="43" spans="1:20" x14ac:dyDescent="0.25">
      <c r="J43" s="84" t="s">
        <v>36</v>
      </c>
      <c r="K43" s="85" t="s">
        <v>37</v>
      </c>
      <c r="L43">
        <v>250</v>
      </c>
      <c r="M43">
        <f t="shared" si="8"/>
        <v>776</v>
      </c>
      <c r="N43">
        <f t="shared" si="9"/>
        <v>0.47528517110266161</v>
      </c>
      <c r="O43">
        <f t="shared" si="10"/>
        <v>0.04</v>
      </c>
      <c r="P43">
        <f t="shared" si="7"/>
        <v>0.28400000000000003</v>
      </c>
      <c r="Q43">
        <f>Y4</f>
        <v>1</v>
      </c>
      <c r="R43">
        <f t="shared" si="11"/>
        <v>4.190114068441065E-2</v>
      </c>
      <c r="S43">
        <f t="shared" si="12"/>
        <v>0.32216494845360827</v>
      </c>
      <c r="T43">
        <f t="shared" si="13"/>
        <v>3.2679738562091505E-2</v>
      </c>
    </row>
    <row r="44" spans="1:20" x14ac:dyDescent="0.25">
      <c r="J44" s="84" t="s">
        <v>38</v>
      </c>
      <c r="K44" s="85" t="s">
        <v>36</v>
      </c>
      <c r="L44">
        <v>200</v>
      </c>
      <c r="M44">
        <f t="shared" si="8"/>
        <v>776</v>
      </c>
      <c r="N44">
        <f t="shared" si="9"/>
        <v>0.34722222222222221</v>
      </c>
      <c r="O44">
        <f t="shared" si="10"/>
        <v>1.7999999999999999E-2</v>
      </c>
      <c r="P44">
        <f t="shared" si="7"/>
        <v>0.2555</v>
      </c>
      <c r="Q44">
        <f>Y5</f>
        <v>1</v>
      </c>
      <c r="R44">
        <f t="shared" si="11"/>
        <v>1.9736111111111111E-2</v>
      </c>
      <c r="S44">
        <f t="shared" si="12"/>
        <v>0.25773195876288657</v>
      </c>
      <c r="T44">
        <f t="shared" si="13"/>
        <v>2.6143790849673203E-2</v>
      </c>
    </row>
    <row r="45" spans="1:20" x14ac:dyDescent="0.25">
      <c r="J45" s="84" t="s">
        <v>38</v>
      </c>
      <c r="K45" s="85" t="s">
        <v>39</v>
      </c>
      <c r="L45">
        <v>1000</v>
      </c>
      <c r="M45">
        <f t="shared" si="8"/>
        <v>1552</v>
      </c>
      <c r="N45">
        <f t="shared" si="9"/>
        <v>1.8115942028985508</v>
      </c>
      <c r="O45">
        <f t="shared" si="10"/>
        <v>4.1666666666666664E-2</v>
      </c>
      <c r="P45">
        <f t="shared" si="7"/>
        <v>0.2535</v>
      </c>
      <c r="Q45">
        <f>Y6</f>
        <v>1</v>
      </c>
      <c r="R45">
        <f t="shared" si="11"/>
        <v>4.3478260869565216E-2</v>
      </c>
      <c r="S45">
        <f t="shared" si="12"/>
        <v>0.64432989690721654</v>
      </c>
      <c r="T45">
        <f t="shared" si="13"/>
        <v>0.13071895424836602</v>
      </c>
    </row>
    <row r="46" spans="1:20" x14ac:dyDescent="0.25">
      <c r="J46" s="84" t="s">
        <v>39</v>
      </c>
      <c r="K46" s="85" t="s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J47" s="84" t="s">
        <v>39</v>
      </c>
      <c r="K47" s="85" t="s">
        <v>37</v>
      </c>
      <c r="L47">
        <v>250</v>
      </c>
      <c r="M47">
        <f t="shared" si="8"/>
        <v>776</v>
      </c>
      <c r="N47">
        <f t="shared" si="9"/>
        <v>0.47528517110266161</v>
      </c>
      <c r="O47">
        <f t="shared" si="10"/>
        <v>1.5333333333333332E-2</v>
      </c>
      <c r="P47">
        <f t="shared" si="7"/>
        <v>0.253</v>
      </c>
      <c r="Q47">
        <f>Y8</f>
        <v>1</v>
      </c>
      <c r="R47">
        <f t="shared" si="11"/>
        <v>1.723447401774398E-2</v>
      </c>
      <c r="S47">
        <f t="shared" si="12"/>
        <v>0.32216494845360827</v>
      </c>
      <c r="T47">
        <f t="shared" si="13"/>
        <v>3.2679738562091505E-2</v>
      </c>
    </row>
    <row r="48" spans="1:20" x14ac:dyDescent="0.25">
      <c r="J48" s="84" t="s">
        <v>40</v>
      </c>
      <c r="K48" s="85" t="s">
        <v>38</v>
      </c>
      <c r="L48">
        <v>800</v>
      </c>
      <c r="M48">
        <f t="shared" si="8"/>
        <v>1552</v>
      </c>
      <c r="N48">
        <f t="shared" si="9"/>
        <v>1.0638297872340425</v>
      </c>
      <c r="O48">
        <f t="shared" si="10"/>
        <v>8.3333333333333332E-3</v>
      </c>
      <c r="P48">
        <f t="shared" si="7"/>
        <v>0.2505</v>
      </c>
      <c r="Q48">
        <f>Y9</f>
        <v>1</v>
      </c>
      <c r="R48">
        <f t="shared" si="11"/>
        <v>9.6631205673758866E-3</v>
      </c>
      <c r="S48">
        <f t="shared" si="12"/>
        <v>0.51546391752577314</v>
      </c>
      <c r="T48">
        <f t="shared" si="13"/>
        <v>0.10457516339869281</v>
      </c>
    </row>
    <row r="49" spans="1:20" x14ac:dyDescent="0.25">
      <c r="J49" s="84" t="s">
        <v>37</v>
      </c>
      <c r="K49" s="85" t="s">
        <v>38</v>
      </c>
      <c r="L49">
        <v>0</v>
      </c>
      <c r="M49">
        <f t="shared" si="8"/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J50" s="86" t="s">
        <v>37</v>
      </c>
      <c r="K50" s="87" t="s">
        <v>40</v>
      </c>
      <c r="L50">
        <v>300</v>
      </c>
      <c r="M50">
        <f t="shared" si="8"/>
        <v>2000</v>
      </c>
      <c r="N50">
        <f t="shared" si="9"/>
        <v>0.17647058823529413</v>
      </c>
      <c r="O50">
        <f t="shared" si="10"/>
        <v>2.1999999999999999E-2</v>
      </c>
      <c r="P50">
        <f t="shared" si="7"/>
        <v>0.26050000000000001</v>
      </c>
      <c r="Q50">
        <f>Y11</f>
        <v>0</v>
      </c>
      <c r="R50">
        <f t="shared" si="11"/>
        <v>0.26108823529411768</v>
      </c>
      <c r="S50">
        <f t="shared" si="12"/>
        <v>0.15</v>
      </c>
      <c r="T50">
        <f t="shared" si="13"/>
        <v>3.9215686274509803E-2</v>
      </c>
    </row>
    <row r="51" spans="1:20" x14ac:dyDescent="0.25">
      <c r="L51">
        <f>SUM(L41:L50)</f>
        <v>3300</v>
      </c>
      <c r="M51">
        <f>SUM(M41:M50)</f>
        <v>11983.68</v>
      </c>
      <c r="N51">
        <f t="shared" si="9"/>
        <v>0.38002321596373884</v>
      </c>
      <c r="O51">
        <f t="shared" si="10"/>
        <v>0</v>
      </c>
      <c r="P51">
        <f t="shared" si="7"/>
        <v>0</v>
      </c>
      <c r="Q51">
        <f>Y12</f>
        <v>0</v>
      </c>
      <c r="R51">
        <f t="shared" si="11"/>
        <v>1.1515855029204207E-4</v>
      </c>
      <c r="S51">
        <f t="shared" si="12"/>
        <v>0.27537450933269247</v>
      </c>
      <c r="T51">
        <f>SUM(T41:T50)</f>
        <v>0.43137254901960786</v>
      </c>
    </row>
    <row r="56" spans="1:20" ht="15.75" thickBot="1" x14ac:dyDescent="0.3"/>
    <row r="57" spans="1:20" ht="16.5" thickTop="1" thickBot="1" x14ac:dyDescent="0.3">
      <c r="A57" s="73"/>
      <c r="B57" s="74"/>
      <c r="C57" s="75"/>
    </row>
    <row r="58" spans="1:20" ht="16.5" thickTop="1" thickBot="1" x14ac:dyDescent="0.3">
      <c r="A58" s="76"/>
      <c r="B58" s="77"/>
      <c r="C58" s="78"/>
    </row>
    <row r="59" spans="1:20" ht="16.5" thickTop="1" thickBot="1" x14ac:dyDescent="0.3">
      <c r="A59" s="76"/>
      <c r="B59" s="77"/>
      <c r="C59" s="78"/>
    </row>
    <row r="60" spans="1:20" ht="16.5" thickTop="1" thickBot="1" x14ac:dyDescent="0.3">
      <c r="A60" s="76"/>
      <c r="B60" s="77"/>
      <c r="C60" s="78"/>
    </row>
    <row r="61" spans="1:20" ht="16.5" thickTop="1" thickBot="1" x14ac:dyDescent="0.3">
      <c r="A61" s="79"/>
      <c r="B61" s="80"/>
      <c r="C61" s="81"/>
    </row>
    <row r="62" spans="1:20" ht="15.75" thickTop="1" x14ac:dyDescent="0.25"/>
  </sheetData>
  <mergeCells count="3">
    <mergeCell ref="J15:N15"/>
    <mergeCell ref="A18:A19"/>
    <mergeCell ref="B18:F18"/>
  </mergeCells>
  <conditionalFormatting sqref="AA2:AA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8BFA3-7B04-4BCC-A14E-F4FC4BDCFA79}">
  <dimension ref="A1:Q27"/>
  <sheetViews>
    <sheetView workbookViewId="0">
      <selection activeCell="G3" sqref="G3:G13"/>
    </sheetView>
  </sheetViews>
  <sheetFormatPr defaultRowHeight="15" x14ac:dyDescent="0.25"/>
  <cols>
    <col min="1" max="1" width="19.28515625" customWidth="1"/>
    <col min="2" max="2" width="10.7109375" customWidth="1"/>
    <col min="3" max="3" width="13" customWidth="1"/>
    <col min="4" max="4" width="12.85546875" bestFit="1" customWidth="1"/>
    <col min="8" max="8" width="19.5703125" bestFit="1" customWidth="1"/>
    <col min="11" max="11" width="10" bestFit="1" customWidth="1"/>
  </cols>
  <sheetData>
    <row r="1" spans="1:17" ht="16.5" thickTop="1" thickBot="1" x14ac:dyDescent="0.3">
      <c r="A1" s="272" t="s">
        <v>0</v>
      </c>
      <c r="B1" s="274" t="s">
        <v>1</v>
      </c>
      <c r="C1" s="275"/>
      <c r="D1" s="275"/>
      <c r="E1" s="275"/>
      <c r="F1" s="276"/>
      <c r="H1" s="272" t="s">
        <v>0</v>
      </c>
      <c r="I1" s="274" t="s">
        <v>1</v>
      </c>
      <c r="J1" s="275"/>
      <c r="K1" s="275"/>
      <c r="L1" s="275"/>
      <c r="M1" s="276"/>
      <c r="O1" s="277" t="s">
        <v>46</v>
      </c>
      <c r="P1" s="277"/>
      <c r="Q1" s="277"/>
    </row>
    <row r="2" spans="1:17" ht="16.5" thickTop="1" thickBot="1" x14ac:dyDescent="0.3">
      <c r="A2" s="280"/>
      <c r="B2" s="1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/>
      <c r="H2" s="280"/>
      <c r="I2" s="2" t="s">
        <v>2</v>
      </c>
      <c r="J2" s="2" t="s">
        <v>3</v>
      </c>
      <c r="K2" s="2" t="s">
        <v>4</v>
      </c>
      <c r="L2" s="2" t="s">
        <v>5</v>
      </c>
      <c r="M2" s="2" t="s">
        <v>6</v>
      </c>
      <c r="O2" t="s">
        <v>48</v>
      </c>
    </row>
    <row r="3" spans="1:17" ht="15.75" thickTop="1" x14ac:dyDescent="0.25">
      <c r="A3" s="12" t="s">
        <v>2</v>
      </c>
      <c r="B3" s="7">
        <v>0</v>
      </c>
      <c r="C3" s="8">
        <v>200</v>
      </c>
      <c r="D3" s="8">
        <v>2500</v>
      </c>
      <c r="E3" s="8">
        <v>1000</v>
      </c>
      <c r="F3" s="9">
        <v>250</v>
      </c>
      <c r="G3" s="5"/>
      <c r="H3" s="41" t="s">
        <v>2</v>
      </c>
      <c r="I3" s="36">
        <f t="shared" ref="I3:M7" si="0">B3/$I$22</f>
        <v>0</v>
      </c>
      <c r="J3" s="36">
        <f t="shared" si="0"/>
        <v>2.0618556701030927E-2</v>
      </c>
      <c r="K3" s="36">
        <f t="shared" si="0"/>
        <v>0.25773195876288657</v>
      </c>
      <c r="L3" s="36">
        <f t="shared" si="0"/>
        <v>0.10309278350515463</v>
      </c>
      <c r="M3" s="37">
        <f t="shared" si="0"/>
        <v>2.5773195876288658E-2</v>
      </c>
      <c r="N3" s="223">
        <f>SUM(I3:M3)</f>
        <v>0.40721649484536082</v>
      </c>
      <c r="O3" t="s">
        <v>47</v>
      </c>
    </row>
    <row r="4" spans="1:17" x14ac:dyDescent="0.25">
      <c r="A4" s="3" t="s">
        <v>3</v>
      </c>
      <c r="B4" s="6">
        <v>250</v>
      </c>
      <c r="C4" s="1">
        <v>0</v>
      </c>
      <c r="D4" s="1">
        <v>500</v>
      </c>
      <c r="E4" s="1">
        <v>250</v>
      </c>
      <c r="F4" s="1">
        <v>50</v>
      </c>
      <c r="G4" s="5"/>
      <c r="H4" s="42" t="s">
        <v>3</v>
      </c>
      <c r="I4" s="35">
        <f t="shared" si="0"/>
        <v>2.5773195876288658E-2</v>
      </c>
      <c r="J4" s="35">
        <f t="shared" si="0"/>
        <v>0</v>
      </c>
      <c r="K4" s="35">
        <f t="shared" si="0"/>
        <v>5.1546391752577317E-2</v>
      </c>
      <c r="L4" s="35">
        <f t="shared" si="0"/>
        <v>2.5773195876288658E-2</v>
      </c>
      <c r="M4" s="38">
        <f t="shared" si="0"/>
        <v>5.1546391752577319E-3</v>
      </c>
      <c r="N4" s="223">
        <f t="shared" ref="N4:N7" si="1">SUM(I4:M4)</f>
        <v>0.10824742268041236</v>
      </c>
      <c r="O4" t="s">
        <v>49</v>
      </c>
    </row>
    <row r="5" spans="1:17" x14ac:dyDescent="0.25">
      <c r="A5" s="10" t="s">
        <v>4</v>
      </c>
      <c r="B5" s="1">
        <v>250</v>
      </c>
      <c r="C5" s="1">
        <v>500</v>
      </c>
      <c r="D5" s="1">
        <v>0</v>
      </c>
      <c r="E5" s="1">
        <v>500</v>
      </c>
      <c r="F5" s="1">
        <v>250</v>
      </c>
      <c r="G5" s="5"/>
      <c r="H5" s="42" t="s">
        <v>4</v>
      </c>
      <c r="I5" s="35">
        <f t="shared" si="0"/>
        <v>2.5773195876288658E-2</v>
      </c>
      <c r="J5" s="35">
        <f t="shared" si="0"/>
        <v>5.1546391752577317E-2</v>
      </c>
      <c r="K5" s="35">
        <f t="shared" si="0"/>
        <v>0</v>
      </c>
      <c r="L5" s="35">
        <f t="shared" si="0"/>
        <v>5.1546391752577317E-2</v>
      </c>
      <c r="M5" s="38">
        <f t="shared" si="0"/>
        <v>2.5773195876288658E-2</v>
      </c>
      <c r="N5" s="223">
        <f t="shared" si="1"/>
        <v>0.15463917525773194</v>
      </c>
      <c r="O5" t="s">
        <v>50</v>
      </c>
    </row>
    <row r="6" spans="1:17" x14ac:dyDescent="0.25">
      <c r="A6" s="10" t="s">
        <v>5</v>
      </c>
      <c r="B6" s="1">
        <v>250</v>
      </c>
      <c r="C6" s="1">
        <v>500</v>
      </c>
      <c r="D6" s="1">
        <v>500</v>
      </c>
      <c r="E6" s="1">
        <v>0</v>
      </c>
      <c r="F6" s="1">
        <v>250</v>
      </c>
      <c r="G6" s="5"/>
      <c r="H6" s="42" t="s">
        <v>5</v>
      </c>
      <c r="I6" s="35">
        <f t="shared" si="0"/>
        <v>2.5773195876288658E-2</v>
      </c>
      <c r="J6" s="35">
        <f t="shared" si="0"/>
        <v>5.1546391752577317E-2</v>
      </c>
      <c r="K6" s="35">
        <f t="shared" si="0"/>
        <v>5.1546391752577317E-2</v>
      </c>
      <c r="L6" s="35">
        <f t="shared" si="0"/>
        <v>0</v>
      </c>
      <c r="M6" s="38">
        <f t="shared" si="0"/>
        <v>2.5773195876288658E-2</v>
      </c>
      <c r="N6" s="223">
        <f t="shared" si="1"/>
        <v>0.15463917525773194</v>
      </c>
    </row>
    <row r="7" spans="1:17" ht="15.75" thickBot="1" x14ac:dyDescent="0.3">
      <c r="A7" s="3" t="s">
        <v>6</v>
      </c>
      <c r="B7" s="11">
        <v>250</v>
      </c>
      <c r="C7" s="1">
        <v>200</v>
      </c>
      <c r="D7" s="1">
        <v>250</v>
      </c>
      <c r="E7" s="4">
        <v>1000</v>
      </c>
      <c r="F7" s="4">
        <v>0</v>
      </c>
      <c r="G7" s="5"/>
      <c r="H7" s="43" t="s">
        <v>6</v>
      </c>
      <c r="I7" s="39">
        <f t="shared" si="0"/>
        <v>2.5773195876288658E-2</v>
      </c>
      <c r="J7" s="39">
        <f t="shared" si="0"/>
        <v>2.0618556701030927E-2</v>
      </c>
      <c r="K7" s="39">
        <f t="shared" si="0"/>
        <v>2.5773195876288658E-2</v>
      </c>
      <c r="L7" s="39">
        <f t="shared" si="0"/>
        <v>0.10309278350515463</v>
      </c>
      <c r="M7" s="40">
        <f t="shared" si="0"/>
        <v>0</v>
      </c>
      <c r="N7" s="223">
        <f t="shared" si="1"/>
        <v>0.17525773195876287</v>
      </c>
    </row>
    <row r="8" spans="1:17" ht="15.75" thickTop="1" x14ac:dyDescent="0.25">
      <c r="A8" s="278" t="s">
        <v>7</v>
      </c>
      <c r="B8" s="278"/>
      <c r="C8" s="278"/>
      <c r="D8" s="278"/>
      <c r="E8" s="278"/>
      <c r="F8" s="278"/>
      <c r="H8" s="278" t="s">
        <v>44</v>
      </c>
      <c r="I8" s="279"/>
      <c r="J8" s="279"/>
      <c r="K8" s="279"/>
      <c r="L8" s="279"/>
      <c r="M8" s="279"/>
    </row>
    <row r="9" spans="1:17" ht="15.75" thickBot="1" x14ac:dyDescent="0.3">
      <c r="G9" s="257"/>
      <c r="I9" s="223">
        <f>SUM(I3:I7)</f>
        <v>0.10309278350515463</v>
      </c>
      <c r="J9" s="223">
        <f t="shared" ref="J9:M9" si="2">SUM(J3:J7)</f>
        <v>0.14432989690721648</v>
      </c>
      <c r="K9" s="223">
        <f t="shared" si="2"/>
        <v>0.38659793814432986</v>
      </c>
      <c r="L9" s="223">
        <f t="shared" si="2"/>
        <v>0.28350515463917525</v>
      </c>
      <c r="M9" s="223">
        <f t="shared" si="2"/>
        <v>8.2474226804123696E-2</v>
      </c>
      <c r="N9" s="223"/>
    </row>
    <row r="10" spans="1:17" ht="16.5" thickTop="1" thickBot="1" x14ac:dyDescent="0.3">
      <c r="A10" s="272" t="s">
        <v>0</v>
      </c>
      <c r="B10" s="274" t="s">
        <v>1</v>
      </c>
      <c r="C10" s="275"/>
      <c r="D10" s="275"/>
      <c r="E10" s="275"/>
      <c r="F10" s="276"/>
      <c r="G10" s="257"/>
      <c r="I10" s="223"/>
      <c r="J10" s="223"/>
      <c r="K10" s="223"/>
      <c r="L10" s="223"/>
      <c r="M10" s="223"/>
    </row>
    <row r="11" spans="1:17" ht="16.5" thickTop="1" thickBot="1" x14ac:dyDescent="0.3">
      <c r="A11" s="273"/>
      <c r="B11" s="18" t="s">
        <v>2</v>
      </c>
      <c r="C11" s="2" t="s">
        <v>3</v>
      </c>
      <c r="D11" s="2" t="s">
        <v>4</v>
      </c>
      <c r="E11" s="2" t="s">
        <v>5</v>
      </c>
      <c r="F11" s="19" t="s">
        <v>6</v>
      </c>
      <c r="G11" s="257"/>
      <c r="I11" s="223"/>
      <c r="J11" s="223"/>
      <c r="K11" s="223"/>
      <c r="L11" s="223"/>
      <c r="M11" s="223"/>
    </row>
    <row r="12" spans="1:17" ht="16.5" thickTop="1" thickBot="1" x14ac:dyDescent="0.3">
      <c r="A12" s="12" t="s">
        <v>2</v>
      </c>
      <c r="B12" s="7">
        <v>0</v>
      </c>
      <c r="C12" s="8">
        <v>5400</v>
      </c>
      <c r="D12" s="8">
        <v>14000</v>
      </c>
      <c r="E12" s="8">
        <v>7900</v>
      </c>
      <c r="F12" s="9">
        <v>12000</v>
      </c>
      <c r="G12" s="257"/>
      <c r="H12" s="272" t="s">
        <v>0</v>
      </c>
      <c r="I12" s="274" t="s">
        <v>1</v>
      </c>
      <c r="J12" s="275"/>
      <c r="K12" s="275"/>
      <c r="L12" s="275"/>
      <c r="M12" s="276"/>
    </row>
    <row r="13" spans="1:17" ht="16.5" thickTop="1" thickBot="1" x14ac:dyDescent="0.3">
      <c r="A13" s="3" t="s">
        <v>3</v>
      </c>
      <c r="B13" s="6">
        <v>5400</v>
      </c>
      <c r="C13" s="1">
        <v>0</v>
      </c>
      <c r="D13" s="1">
        <v>12500</v>
      </c>
      <c r="E13" s="1">
        <v>2500</v>
      </c>
      <c r="F13" s="1">
        <v>8200</v>
      </c>
      <c r="G13" s="257"/>
      <c r="H13" s="280"/>
      <c r="I13" s="50" t="s">
        <v>2</v>
      </c>
      <c r="J13" s="13" t="s">
        <v>3</v>
      </c>
      <c r="K13" s="13" t="s">
        <v>4</v>
      </c>
      <c r="L13" s="13" t="s">
        <v>5</v>
      </c>
      <c r="M13" s="19" t="s">
        <v>6</v>
      </c>
    </row>
    <row r="14" spans="1:17" ht="15.75" thickTop="1" x14ac:dyDescent="0.25">
      <c r="A14" s="10" t="s">
        <v>4</v>
      </c>
      <c r="B14" s="1">
        <v>14000</v>
      </c>
      <c r="C14" s="1">
        <v>12500</v>
      </c>
      <c r="D14" s="1">
        <v>0</v>
      </c>
      <c r="E14" s="1">
        <v>11200</v>
      </c>
      <c r="F14" s="1">
        <v>4600</v>
      </c>
      <c r="G14" s="5"/>
      <c r="H14" s="10" t="s">
        <v>2</v>
      </c>
      <c r="I14" s="45">
        <f>B3*$I$21/(1000000)</f>
        <v>0</v>
      </c>
      <c r="J14" s="45">
        <f t="shared" ref="J14:M14" si="3">C3*$I$21/(1000000)</f>
        <v>4</v>
      </c>
      <c r="K14" s="45">
        <f t="shared" si="3"/>
        <v>50</v>
      </c>
      <c r="L14" s="45">
        <f t="shared" si="3"/>
        <v>20</v>
      </c>
      <c r="M14" s="16">
        <f t="shared" si="3"/>
        <v>5</v>
      </c>
    </row>
    <row r="15" spans="1:17" x14ac:dyDescent="0.25">
      <c r="A15" s="10" t="s">
        <v>5</v>
      </c>
      <c r="B15" s="1">
        <v>7900</v>
      </c>
      <c r="C15" s="1">
        <v>2500</v>
      </c>
      <c r="D15" s="1">
        <v>11200</v>
      </c>
      <c r="E15" s="1">
        <v>0</v>
      </c>
      <c r="F15" s="1">
        <v>6600</v>
      </c>
      <c r="G15" s="5"/>
      <c r="H15" s="10" t="s">
        <v>3</v>
      </c>
      <c r="I15" s="45">
        <f t="shared" ref="I15:I18" si="4">B4*$I$21/(1000000)</f>
        <v>5</v>
      </c>
      <c r="J15" s="45">
        <f t="shared" ref="J15:J18" si="5">C4*$I$21/(1000000)</f>
        <v>0</v>
      </c>
      <c r="K15" s="45">
        <f t="shared" ref="K15:K18" si="6">D4*$I$21/(1000000)</f>
        <v>10</v>
      </c>
      <c r="L15" s="45">
        <f t="shared" ref="L15:L18" si="7">E4*$I$21/(1000000)</f>
        <v>5</v>
      </c>
      <c r="M15" s="16">
        <f t="shared" ref="M15:M18" si="8">F4*$I$21/(1000000)</f>
        <v>1</v>
      </c>
    </row>
    <row r="16" spans="1:17" ht="15.75" thickBot="1" x14ac:dyDescent="0.3">
      <c r="A16" s="3" t="s">
        <v>6</v>
      </c>
      <c r="B16" s="11">
        <v>12000</v>
      </c>
      <c r="C16" s="1">
        <v>8200</v>
      </c>
      <c r="D16" s="1">
        <v>4600</v>
      </c>
      <c r="E16" s="4">
        <v>6600</v>
      </c>
      <c r="F16" s="4">
        <v>0</v>
      </c>
      <c r="G16" s="5"/>
      <c r="H16" s="10" t="s">
        <v>4</v>
      </c>
      <c r="I16" s="45">
        <f t="shared" si="4"/>
        <v>5</v>
      </c>
      <c r="J16" s="45">
        <f t="shared" si="5"/>
        <v>10</v>
      </c>
      <c r="K16" s="45">
        <f t="shared" si="6"/>
        <v>0</v>
      </c>
      <c r="L16" s="45">
        <f t="shared" si="7"/>
        <v>10</v>
      </c>
      <c r="M16" s="16">
        <f t="shared" si="8"/>
        <v>5</v>
      </c>
    </row>
    <row r="17" spans="1:13" ht="15.75" thickTop="1" x14ac:dyDescent="0.25">
      <c r="A17" s="278" t="s">
        <v>10</v>
      </c>
      <c r="B17" s="278"/>
      <c r="C17" s="278"/>
      <c r="D17" s="278"/>
      <c r="E17" s="278"/>
      <c r="F17" s="278"/>
      <c r="H17" s="10" t="s">
        <v>5</v>
      </c>
      <c r="I17" s="45">
        <f t="shared" si="4"/>
        <v>5</v>
      </c>
      <c r="J17" s="45">
        <f t="shared" si="5"/>
        <v>10</v>
      </c>
      <c r="K17" s="45">
        <f t="shared" si="6"/>
        <v>10</v>
      </c>
      <c r="L17" s="45">
        <f t="shared" si="7"/>
        <v>0</v>
      </c>
      <c r="M17" s="16">
        <f t="shared" si="8"/>
        <v>5</v>
      </c>
    </row>
    <row r="18" spans="1:13" ht="15.75" thickBot="1" x14ac:dyDescent="0.3">
      <c r="H18" s="10" t="s">
        <v>6</v>
      </c>
      <c r="I18" s="45">
        <f t="shared" si="4"/>
        <v>5</v>
      </c>
      <c r="J18" s="45">
        <f t="shared" si="5"/>
        <v>4</v>
      </c>
      <c r="K18" s="45">
        <f t="shared" si="6"/>
        <v>5</v>
      </c>
      <c r="L18" s="45">
        <f t="shared" si="7"/>
        <v>20</v>
      </c>
      <c r="M18" s="17">
        <f t="shared" si="8"/>
        <v>0</v>
      </c>
    </row>
    <row r="19" spans="1:13" ht="31.5" thickTop="1" thickBot="1" x14ac:dyDescent="0.3">
      <c r="A19" s="22" t="s">
        <v>11</v>
      </c>
      <c r="B19" s="25" t="s">
        <v>22</v>
      </c>
      <c r="C19" s="26" t="s">
        <v>19</v>
      </c>
      <c r="D19" s="27" t="s">
        <v>20</v>
      </c>
      <c r="E19" s="5"/>
      <c r="H19" s="278" t="s">
        <v>51</v>
      </c>
      <c r="I19" s="278"/>
      <c r="J19" s="278"/>
      <c r="K19" s="278"/>
      <c r="L19" s="278"/>
      <c r="M19" s="278"/>
    </row>
    <row r="20" spans="1:13" ht="52.5" customHeight="1" thickTop="1" x14ac:dyDescent="0.25">
      <c r="A20" s="21" t="s">
        <v>12</v>
      </c>
      <c r="B20" s="32">
        <v>20</v>
      </c>
      <c r="C20" s="29" t="s">
        <v>25</v>
      </c>
      <c r="D20" s="30" t="s">
        <v>30</v>
      </c>
      <c r="E20" s="47" t="s">
        <v>23</v>
      </c>
      <c r="H20" s="45"/>
      <c r="I20" s="45"/>
      <c r="J20" s="45"/>
      <c r="K20" s="45"/>
      <c r="L20" s="45"/>
      <c r="M20" s="45"/>
    </row>
    <row r="21" spans="1:13" ht="45" x14ac:dyDescent="0.25">
      <c r="A21" s="20" t="s">
        <v>13</v>
      </c>
      <c r="B21" s="28">
        <v>20</v>
      </c>
      <c r="C21" s="31" t="s">
        <v>26</v>
      </c>
      <c r="D21" s="30" t="s">
        <v>30</v>
      </c>
      <c r="E21" s="48" t="s">
        <v>24</v>
      </c>
      <c r="H21" s="14" t="s">
        <v>8</v>
      </c>
      <c r="I21" s="15">
        <v>20000</v>
      </c>
      <c r="J21" s="1" t="s">
        <v>9</v>
      </c>
      <c r="K21" s="45"/>
      <c r="L21" s="45"/>
      <c r="M21" s="45"/>
    </row>
    <row r="22" spans="1:13" ht="30" x14ac:dyDescent="0.25">
      <c r="A22" s="21" t="s">
        <v>14</v>
      </c>
      <c r="B22" s="29">
        <v>5</v>
      </c>
      <c r="C22" s="31" t="s">
        <v>27</v>
      </c>
      <c r="D22" s="30" t="s">
        <v>31</v>
      </c>
      <c r="E22" s="49" t="s">
        <v>24</v>
      </c>
      <c r="G22" s="23"/>
      <c r="H22" s="14" t="s">
        <v>43</v>
      </c>
      <c r="I22" s="1">
        <f>SUM(B3:F7)</f>
        <v>9700</v>
      </c>
      <c r="J22" s="44" t="s">
        <v>45</v>
      </c>
    </row>
    <row r="23" spans="1:13" x14ac:dyDescent="0.25">
      <c r="A23" s="21" t="s">
        <v>15</v>
      </c>
      <c r="B23" s="29">
        <v>15.52</v>
      </c>
      <c r="C23" s="31" t="s">
        <v>28</v>
      </c>
      <c r="D23" s="30" t="s">
        <v>32</v>
      </c>
    </row>
    <row r="24" spans="1:13" ht="30" x14ac:dyDescent="0.25">
      <c r="A24" s="21" t="s">
        <v>16</v>
      </c>
      <c r="B24" s="31">
        <v>15.52</v>
      </c>
      <c r="C24" s="31" t="s">
        <v>27</v>
      </c>
      <c r="D24" s="30" t="s">
        <v>33</v>
      </c>
      <c r="I24" s="46"/>
    </row>
    <row r="25" spans="1:13" x14ac:dyDescent="0.25">
      <c r="A25" s="21" t="s">
        <v>17</v>
      </c>
      <c r="B25" s="31">
        <v>4.4736000000000002</v>
      </c>
      <c r="C25" s="31" t="s">
        <v>29</v>
      </c>
      <c r="D25" s="30" t="s">
        <v>32</v>
      </c>
    </row>
    <row r="26" spans="1:13" ht="30.75" thickBot="1" x14ac:dyDescent="0.3">
      <c r="A26" s="20" t="s">
        <v>18</v>
      </c>
      <c r="B26" s="28">
        <v>4.4736000000000002</v>
      </c>
      <c r="C26" s="31" t="s">
        <v>27</v>
      </c>
      <c r="D26" s="30" t="s">
        <v>31</v>
      </c>
      <c r="E26" s="5"/>
    </row>
    <row r="27" spans="1:13" ht="15.75" thickTop="1" x14ac:dyDescent="0.25">
      <c r="A27" s="278" t="s">
        <v>21</v>
      </c>
      <c r="B27" s="278"/>
      <c r="C27" s="278"/>
      <c r="D27" s="278"/>
      <c r="E27" s="24"/>
      <c r="F27" s="24"/>
    </row>
  </sheetData>
  <mergeCells count="14">
    <mergeCell ref="O1:Q1"/>
    <mergeCell ref="I1:M1"/>
    <mergeCell ref="H8:M8"/>
    <mergeCell ref="A27:D27"/>
    <mergeCell ref="H1:H2"/>
    <mergeCell ref="B1:F1"/>
    <mergeCell ref="A1:A2"/>
    <mergeCell ref="A8:F8"/>
    <mergeCell ref="A10:A11"/>
    <mergeCell ref="B10:F10"/>
    <mergeCell ref="A17:F17"/>
    <mergeCell ref="H12:H13"/>
    <mergeCell ref="I12:M12"/>
    <mergeCell ref="H19:M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DBAA6-739A-4660-96E4-A6E1D48EB2A8}">
  <dimension ref="D2:Q36"/>
  <sheetViews>
    <sheetView workbookViewId="0">
      <selection activeCell="Q8" sqref="Q8"/>
    </sheetView>
  </sheetViews>
  <sheetFormatPr defaultRowHeight="15" x14ac:dyDescent="0.25"/>
  <cols>
    <col min="4" max="4" width="24" bestFit="1" customWidth="1"/>
    <col min="5" max="5" width="11.28515625" bestFit="1" customWidth="1"/>
    <col min="6" max="6" width="10" bestFit="1" customWidth="1"/>
    <col min="7" max="7" width="15.5703125" customWidth="1"/>
    <col min="11" max="11" width="20.42578125" bestFit="1" customWidth="1"/>
    <col min="15" max="15" width="20.140625" customWidth="1"/>
    <col min="16" max="16" width="14.28515625" bestFit="1" customWidth="1"/>
  </cols>
  <sheetData>
    <row r="2" spans="4:17" x14ac:dyDescent="0.25">
      <c r="D2" s="224" t="s">
        <v>0</v>
      </c>
      <c r="E2" s="224" t="s">
        <v>1</v>
      </c>
      <c r="F2" s="224"/>
      <c r="G2" s="224"/>
      <c r="H2" s="224"/>
      <c r="I2" s="224"/>
      <c r="J2" s="224"/>
    </row>
    <row r="3" spans="4:17" x14ac:dyDescent="0.25">
      <c r="D3" s="224"/>
      <c r="E3" s="224" t="s">
        <v>2</v>
      </c>
      <c r="F3" s="224" t="s">
        <v>3</v>
      </c>
      <c r="G3" s="224" t="s">
        <v>4</v>
      </c>
      <c r="H3" s="224" t="s">
        <v>5</v>
      </c>
      <c r="I3" s="224" t="s">
        <v>6</v>
      </c>
      <c r="J3" s="224"/>
      <c r="O3" s="224"/>
      <c r="P3" s="224"/>
    </row>
    <row r="4" spans="4:17" x14ac:dyDescent="0.25">
      <c r="D4" s="224" t="s">
        <v>2</v>
      </c>
      <c r="E4" s="226">
        <v>0</v>
      </c>
      <c r="F4" s="227">
        <v>2.0618556701030927E-2</v>
      </c>
      <c r="G4" s="227">
        <v>0.25773195876288657</v>
      </c>
      <c r="H4" s="227">
        <v>0.10309278350515463</v>
      </c>
      <c r="I4" s="228">
        <v>2.5773195876288658E-2</v>
      </c>
      <c r="J4" s="224">
        <v>0.40721649484536082</v>
      </c>
      <c r="O4" s="227"/>
      <c r="P4" s="254"/>
      <c r="Q4" s="243"/>
    </row>
    <row r="5" spans="4:17" x14ac:dyDescent="0.25">
      <c r="D5" s="224" t="s">
        <v>3</v>
      </c>
      <c r="E5" s="229">
        <v>2.5773195876288658E-2</v>
      </c>
      <c r="F5" s="35">
        <v>0</v>
      </c>
      <c r="G5" s="35">
        <v>5.1546391752577317E-2</v>
      </c>
      <c r="H5" s="35">
        <v>2.5773195876288658E-2</v>
      </c>
      <c r="I5" s="230">
        <v>5.1546391752577319E-3</v>
      </c>
      <c r="J5" s="224">
        <v>0.10824742268041236</v>
      </c>
      <c r="K5" s="243">
        <f>J4+J5</f>
        <v>0.51546391752577314</v>
      </c>
      <c r="O5" s="35"/>
      <c r="P5" s="255"/>
      <c r="Q5" s="243"/>
    </row>
    <row r="6" spans="4:17" x14ac:dyDescent="0.25">
      <c r="D6" s="224" t="s">
        <v>4</v>
      </c>
      <c r="E6" s="229">
        <v>2.5773195876288658E-2</v>
      </c>
      <c r="F6" s="35">
        <v>5.1546391752577317E-2</v>
      </c>
      <c r="G6" s="35">
        <v>0</v>
      </c>
      <c r="H6" s="35">
        <v>5.1546391752577317E-2</v>
      </c>
      <c r="I6" s="230">
        <v>2.5773195876288658E-2</v>
      </c>
      <c r="J6" s="224">
        <v>0.15463917525773194</v>
      </c>
      <c r="K6" s="223">
        <f>K5+J6</f>
        <v>0.67010309278350511</v>
      </c>
      <c r="O6" s="35"/>
      <c r="P6" s="255"/>
      <c r="Q6" s="243"/>
    </row>
    <row r="7" spans="4:17" x14ac:dyDescent="0.25">
      <c r="D7" s="224" t="s">
        <v>5</v>
      </c>
      <c r="E7" s="229">
        <v>2.5773195876288658E-2</v>
      </c>
      <c r="F7" s="35">
        <v>5.1546391752577317E-2</v>
      </c>
      <c r="G7" s="35">
        <v>5.1546391752577317E-2</v>
      </c>
      <c r="H7" s="35">
        <v>0</v>
      </c>
      <c r="I7" s="230">
        <v>2.5773195876288658E-2</v>
      </c>
      <c r="J7" s="224">
        <v>0.15463917525773194</v>
      </c>
      <c r="K7" s="223">
        <f t="shared" ref="K7:K8" si="0">K6+J7</f>
        <v>0.82474226804123707</v>
      </c>
      <c r="O7" s="35"/>
      <c r="P7" s="255"/>
      <c r="Q7" s="243"/>
    </row>
    <row r="8" spans="4:17" x14ac:dyDescent="0.25">
      <c r="D8" s="224" t="s">
        <v>6</v>
      </c>
      <c r="E8" s="231">
        <v>2.5773195876288658E-2</v>
      </c>
      <c r="F8" s="225">
        <v>2.0618556701030927E-2</v>
      </c>
      <c r="G8" s="225">
        <v>2.5773195876288658E-2</v>
      </c>
      <c r="H8" s="225">
        <v>0.10309278350515463</v>
      </c>
      <c r="I8" s="232">
        <v>0</v>
      </c>
      <c r="J8" s="224">
        <v>0.17525773195876287</v>
      </c>
      <c r="K8" s="223">
        <f t="shared" si="0"/>
        <v>1</v>
      </c>
      <c r="O8" s="225"/>
      <c r="P8" s="256"/>
    </row>
    <row r="9" spans="4:17" x14ac:dyDescent="0.25">
      <c r="D9" s="224"/>
      <c r="E9" s="224"/>
      <c r="F9" s="224"/>
      <c r="G9" s="224"/>
      <c r="H9" s="224"/>
      <c r="I9" s="224"/>
      <c r="J9" s="224"/>
    </row>
    <row r="10" spans="4:17" x14ac:dyDescent="0.25">
      <c r="D10" s="224"/>
      <c r="E10" s="224"/>
      <c r="F10" s="224"/>
      <c r="G10" s="224"/>
      <c r="H10" s="224"/>
      <c r="I10" s="224"/>
      <c r="J10" s="224"/>
    </row>
    <row r="11" spans="4:17" x14ac:dyDescent="0.25">
      <c r="D11" s="242" t="s">
        <v>128</v>
      </c>
    </row>
    <row r="12" spans="4:17" x14ac:dyDescent="0.25">
      <c r="D12" t="s">
        <v>0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 t="s">
        <v>127</v>
      </c>
    </row>
    <row r="13" spans="4:17" x14ac:dyDescent="0.25">
      <c r="D13" t="s">
        <v>2</v>
      </c>
      <c r="E13" s="233">
        <f>E4/$J4</f>
        <v>0</v>
      </c>
      <c r="F13" s="234">
        <f t="shared" ref="F13:I13" si="1">F4/$J4</f>
        <v>5.0632911392405063E-2</v>
      </c>
      <c r="G13" s="234">
        <f t="shared" si="1"/>
        <v>0.63291139240506322</v>
      </c>
      <c r="H13" s="234">
        <f t="shared" si="1"/>
        <v>0.25316455696202528</v>
      </c>
      <c r="I13" s="235">
        <f t="shared" si="1"/>
        <v>6.3291139240506319E-2</v>
      </c>
      <c r="J13" s="223">
        <f>SUM(E13:I13)</f>
        <v>0.99999999999999989</v>
      </c>
    </row>
    <row r="14" spans="4:17" x14ac:dyDescent="0.25">
      <c r="D14" t="s">
        <v>3</v>
      </c>
      <c r="E14" s="236">
        <f t="shared" ref="E14:I14" si="2">E5/$J5</f>
        <v>0.23809523809523811</v>
      </c>
      <c r="F14" s="237">
        <f t="shared" si="2"/>
        <v>0</v>
      </c>
      <c r="G14" s="237">
        <f t="shared" si="2"/>
        <v>0.47619047619047622</v>
      </c>
      <c r="H14" s="237">
        <f t="shared" si="2"/>
        <v>0.23809523809523811</v>
      </c>
      <c r="I14" s="238">
        <f t="shared" si="2"/>
        <v>4.7619047619047623E-2</v>
      </c>
      <c r="J14" s="223">
        <f t="shared" ref="J14:J17" si="3">SUM(E14:I14)</f>
        <v>1</v>
      </c>
    </row>
    <row r="15" spans="4:17" x14ac:dyDescent="0.25">
      <c r="D15" t="s">
        <v>4</v>
      </c>
      <c r="E15" s="236">
        <f t="shared" ref="E15:I15" si="4">E6/$J6</f>
        <v>0.16666666666666669</v>
      </c>
      <c r="F15" s="237">
        <f t="shared" si="4"/>
        <v>0.33333333333333337</v>
      </c>
      <c r="G15" s="237">
        <f t="shared" si="4"/>
        <v>0</v>
      </c>
      <c r="H15" s="237">
        <f t="shared" si="4"/>
        <v>0.33333333333333337</v>
      </c>
      <c r="I15" s="238">
        <f t="shared" si="4"/>
        <v>0.16666666666666669</v>
      </c>
      <c r="J15" s="223">
        <f t="shared" si="3"/>
        <v>1</v>
      </c>
    </row>
    <row r="16" spans="4:17" x14ac:dyDescent="0.25">
      <c r="D16" t="s">
        <v>5</v>
      </c>
      <c r="E16" s="236">
        <f t="shared" ref="E16:I16" si="5">E7/$J7</f>
        <v>0.16666666666666669</v>
      </c>
      <c r="F16" s="237">
        <f t="shared" si="5"/>
        <v>0.33333333333333337</v>
      </c>
      <c r="G16" s="237">
        <f t="shared" si="5"/>
        <v>0.33333333333333337</v>
      </c>
      <c r="H16" s="237">
        <f t="shared" si="5"/>
        <v>0</v>
      </c>
      <c r="I16" s="238">
        <f t="shared" si="5"/>
        <v>0.16666666666666669</v>
      </c>
      <c r="J16" s="223">
        <f t="shared" si="3"/>
        <v>1</v>
      </c>
    </row>
    <row r="17" spans="4:10" x14ac:dyDescent="0.25">
      <c r="D17" t="s">
        <v>6</v>
      </c>
      <c r="E17" s="239">
        <f t="shared" ref="E17:I17" si="6">E8/$J8</f>
        <v>0.14705882352941177</v>
      </c>
      <c r="F17" s="240">
        <f t="shared" si="6"/>
        <v>0.11764705882352942</v>
      </c>
      <c r="G17" s="240">
        <f t="shared" si="6"/>
        <v>0.14705882352941177</v>
      </c>
      <c r="H17" s="240">
        <f t="shared" si="6"/>
        <v>0.58823529411764708</v>
      </c>
      <c r="I17" s="241">
        <f t="shared" si="6"/>
        <v>0</v>
      </c>
      <c r="J17" s="223">
        <f t="shared" si="3"/>
        <v>1</v>
      </c>
    </row>
    <row r="19" spans="4:10" x14ac:dyDescent="0.25">
      <c r="D19" t="s">
        <v>129</v>
      </c>
      <c r="E19" s="223">
        <f>E13</f>
        <v>0</v>
      </c>
      <c r="F19" s="223">
        <f>$E13+$F13</f>
        <v>5.0632911392405063E-2</v>
      </c>
      <c r="G19" s="223">
        <f>G13+F19</f>
        <v>0.68354430379746833</v>
      </c>
      <c r="H19" s="223">
        <f t="shared" ref="H19:I19" si="7">H13+G19</f>
        <v>0.93670886075949356</v>
      </c>
      <c r="I19" s="223">
        <f t="shared" si="7"/>
        <v>0.99999999999999989</v>
      </c>
    </row>
    <row r="20" spans="4:10" x14ac:dyDescent="0.25">
      <c r="D20" t="s">
        <v>3</v>
      </c>
      <c r="E20" s="223">
        <f t="shared" ref="E20:E23" si="8">E14</f>
        <v>0.23809523809523811</v>
      </c>
      <c r="F20" s="223">
        <f>E20+F14</f>
        <v>0.23809523809523811</v>
      </c>
      <c r="G20" s="223">
        <f t="shared" ref="G20:I20" si="9">F20+G14</f>
        <v>0.7142857142857143</v>
      </c>
      <c r="H20" s="223">
        <f t="shared" si="9"/>
        <v>0.95238095238095244</v>
      </c>
      <c r="I20" s="223">
        <f t="shared" si="9"/>
        <v>1</v>
      </c>
    </row>
    <row r="21" spans="4:10" x14ac:dyDescent="0.25">
      <c r="D21" t="s">
        <v>4</v>
      </c>
      <c r="E21" s="223">
        <f>E15</f>
        <v>0.16666666666666669</v>
      </c>
      <c r="F21" s="223">
        <f t="shared" ref="F21:I21" si="10">E21+F15</f>
        <v>0.5</v>
      </c>
      <c r="G21" s="223">
        <f t="shared" si="10"/>
        <v>0.5</v>
      </c>
      <c r="H21" s="223">
        <f t="shared" si="10"/>
        <v>0.83333333333333337</v>
      </c>
      <c r="I21" s="223">
        <f t="shared" si="10"/>
        <v>1</v>
      </c>
    </row>
    <row r="22" spans="4:10" x14ac:dyDescent="0.25">
      <c r="D22" t="s">
        <v>5</v>
      </c>
      <c r="E22" s="223">
        <f t="shared" si="8"/>
        <v>0.16666666666666669</v>
      </c>
      <c r="F22" s="223">
        <f t="shared" ref="F22:I22" si="11">E22+F16</f>
        <v>0.5</v>
      </c>
      <c r="G22" s="223">
        <f t="shared" si="11"/>
        <v>0.83333333333333337</v>
      </c>
      <c r="H22" s="223">
        <f t="shared" si="11"/>
        <v>0.83333333333333337</v>
      </c>
      <c r="I22" s="223">
        <f t="shared" si="11"/>
        <v>1</v>
      </c>
    </row>
    <row r="23" spans="4:10" x14ac:dyDescent="0.25">
      <c r="D23" t="s">
        <v>6</v>
      </c>
      <c r="E23" s="223">
        <f t="shared" si="8"/>
        <v>0.14705882352941177</v>
      </c>
      <c r="F23" s="223">
        <f t="shared" ref="F23:I23" si="12">E23+F17</f>
        <v>0.26470588235294118</v>
      </c>
      <c r="G23" s="223">
        <f t="shared" si="12"/>
        <v>0.41176470588235292</v>
      </c>
      <c r="H23" s="223">
        <f t="shared" si="12"/>
        <v>1</v>
      </c>
      <c r="I23" s="223">
        <f t="shared" si="12"/>
        <v>1</v>
      </c>
    </row>
    <row r="25" spans="4:10" ht="15.75" thickBot="1" x14ac:dyDescent="0.3"/>
    <row r="26" spans="4:10" x14ac:dyDescent="0.25">
      <c r="D26" s="172" t="s">
        <v>0</v>
      </c>
      <c r="E26" s="222" t="s">
        <v>1</v>
      </c>
      <c r="F26" s="180" t="s">
        <v>60</v>
      </c>
      <c r="G26" s="217" t="s">
        <v>130</v>
      </c>
    </row>
    <row r="27" spans="4:10" x14ac:dyDescent="0.25">
      <c r="D27" s="189" t="s">
        <v>39</v>
      </c>
      <c r="E27" s="190" t="s">
        <v>36</v>
      </c>
      <c r="F27" s="194">
        <v>2551.6799999999998</v>
      </c>
      <c r="G27" s="253">
        <f>1/F27*1000</f>
        <v>0.39189867067970907</v>
      </c>
    </row>
    <row r="28" spans="4:10" x14ac:dyDescent="0.25">
      <c r="D28" s="174" t="s">
        <v>40</v>
      </c>
      <c r="E28" s="175" t="s">
        <v>36</v>
      </c>
      <c r="F28" s="105">
        <v>2000</v>
      </c>
      <c r="G28" s="253">
        <f t="shared" ref="G28:G36" si="13">1/F28*1000</f>
        <v>0.5</v>
      </c>
    </row>
    <row r="29" spans="4:10" x14ac:dyDescent="0.25">
      <c r="D29" s="189" t="s">
        <v>37</v>
      </c>
      <c r="E29" s="190" t="s">
        <v>36</v>
      </c>
      <c r="F29" s="194">
        <v>776</v>
      </c>
      <c r="G29" s="253">
        <f t="shared" si="13"/>
        <v>1.2886597938144331</v>
      </c>
    </row>
    <row r="30" spans="4:10" x14ac:dyDescent="0.25">
      <c r="D30" s="174" t="s">
        <v>36</v>
      </c>
      <c r="E30" s="175" t="s">
        <v>38</v>
      </c>
      <c r="F30" s="105">
        <v>776</v>
      </c>
      <c r="G30" s="253">
        <f t="shared" si="13"/>
        <v>1.2886597938144331</v>
      </c>
    </row>
    <row r="31" spans="4:10" x14ac:dyDescent="0.25">
      <c r="D31" s="189" t="s">
        <v>39</v>
      </c>
      <c r="E31" s="190" t="s">
        <v>38</v>
      </c>
      <c r="F31" s="194">
        <v>776</v>
      </c>
      <c r="G31" s="253">
        <f t="shared" si="13"/>
        <v>1.2886597938144331</v>
      </c>
    </row>
    <row r="32" spans="4:10" x14ac:dyDescent="0.25">
      <c r="D32" s="174" t="s">
        <v>40</v>
      </c>
      <c r="E32" s="175" t="s">
        <v>39</v>
      </c>
      <c r="F32" s="105">
        <v>776</v>
      </c>
      <c r="G32" s="253">
        <f t="shared" si="13"/>
        <v>1.2886597938144331</v>
      </c>
    </row>
    <row r="33" spans="4:7" x14ac:dyDescent="0.25">
      <c r="D33" s="189" t="s">
        <v>37</v>
      </c>
      <c r="E33" s="190" t="s">
        <v>39</v>
      </c>
      <c r="F33" s="194">
        <v>447.36</v>
      </c>
      <c r="G33" s="253">
        <f t="shared" si="13"/>
        <v>2.2353361945636623</v>
      </c>
    </row>
    <row r="34" spans="4:7" x14ac:dyDescent="0.25">
      <c r="D34" s="174" t="s">
        <v>38</v>
      </c>
      <c r="E34" s="175" t="s">
        <v>40</v>
      </c>
      <c r="F34" s="105">
        <v>776</v>
      </c>
      <c r="G34" s="253">
        <f t="shared" si="13"/>
        <v>1.2886597938144331</v>
      </c>
    </row>
    <row r="35" spans="4:7" x14ac:dyDescent="0.25">
      <c r="D35" s="189" t="s">
        <v>38</v>
      </c>
      <c r="E35" s="190" t="s">
        <v>37</v>
      </c>
      <c r="F35" s="194">
        <v>223.68</v>
      </c>
      <c r="G35" s="253">
        <f t="shared" si="13"/>
        <v>4.4706723891273246</v>
      </c>
    </row>
    <row r="36" spans="4:7" ht="15.75" thickBot="1" x14ac:dyDescent="0.3">
      <c r="D36" s="139" t="s">
        <v>40</v>
      </c>
      <c r="E36" s="104" t="s">
        <v>37</v>
      </c>
      <c r="F36" s="124">
        <v>2000</v>
      </c>
      <c r="G36" s="253">
        <f t="shared" si="13"/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Optimal</vt:lpstr>
      <vt:lpstr>3-Connected</vt:lpstr>
      <vt:lpstr>Data</vt:lpstr>
      <vt:lpstr>Probabilities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Hayden</dc:creator>
  <cp:lastModifiedBy>Micah Hayden</cp:lastModifiedBy>
  <cp:lastPrinted>2019-05-15T00:39:13Z</cp:lastPrinted>
  <dcterms:created xsi:type="dcterms:W3CDTF">2019-04-25T23:21:19Z</dcterms:created>
  <dcterms:modified xsi:type="dcterms:W3CDTF">2019-05-21T16:02:22Z</dcterms:modified>
</cp:coreProperties>
</file>