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icah Hayden\Documents\AFIT\SP2019\CSCE 654 - Communications\Assignments\Project4\"/>
    </mc:Choice>
  </mc:AlternateContent>
  <xr:revisionPtr revIDLastSave="0" documentId="13_ncr:1_{BF34F6C9-2942-4344-8246-7494FB4F7D8A}" xr6:coauthVersionLast="43" xr6:coauthVersionMax="43" xr10:uidLastSave="{00000000-0000-0000-0000-000000000000}"/>
  <bookViews>
    <workbookView xWindow="-120" yWindow="-120" windowWidth="20730" windowHeight="11760" activeTab="2" xr2:uid="{15CFF10E-7D14-4B5C-96C9-63173A46350A}"/>
  </bookViews>
  <sheets>
    <sheet name="Results" sheetId="2" r:id="rId1"/>
    <sheet name="Raw_Vector" sheetId="3" r:id="rId2"/>
    <sheet name="Raw_Scalar" sheetId="4" r:id="rId3"/>
    <sheet name="Figures" sheetId="5" r:id="rId4"/>
    <sheet name="Optimal" sheetId="1" r:id="rId5"/>
  </sheets>
  <definedNames>
    <definedName name="solver_adj" localSheetId="4" hidden="1">Optimal!$L$3:$R$12</definedName>
    <definedName name="solver_cvg" localSheetId="4" hidden="1">0.00001</definedName>
    <definedName name="solver_drv" localSheetId="4" hidden="1">2</definedName>
    <definedName name="solver_eng" localSheetId="4" hidden="1">1</definedName>
    <definedName name="solver_est" localSheetId="4" hidden="1">1</definedName>
    <definedName name="solver_itr" localSheetId="4" hidden="1">2147483647</definedName>
    <definedName name="solver_lhs1" localSheetId="4" hidden="1">Optimal!$AB$3:$AB$13</definedName>
    <definedName name="solver_lhs2" localSheetId="4" hidden="1">Optimal!$L$3:$R$12</definedName>
    <definedName name="solver_lhs3" localSheetId="4" hidden="1">Optimal!$T$3:$T$12</definedName>
    <definedName name="solver_lhs4" localSheetId="4" hidden="1">Optimal!$AA$3:$AA$12</definedName>
    <definedName name="solver_lhs5" localSheetId="4" hidden="1">Optimal!$AB$3:$AB$13</definedName>
    <definedName name="solver_lhs6" localSheetId="4" hidden="1">Optimal!$AB$3:$AB$13</definedName>
    <definedName name="solver_lhs7" localSheetId="4" hidden="1">Optimal!$AB$3:$AB$13</definedName>
    <definedName name="solver_lhs8" localSheetId="4" hidden="1">Optimal!$AB$3:$AB$13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4</definedName>
    <definedName name="solver_nwt" localSheetId="4" hidden="1">1</definedName>
    <definedName name="solver_opt" localSheetId="4" hidden="1">Optimal!$Z$44</definedName>
    <definedName name="solver_pre" localSheetId="4" hidden="1">0.00001</definedName>
    <definedName name="solver_rbv" localSheetId="4" hidden="1">2</definedName>
    <definedName name="solver_rel1" localSheetId="4" hidden="1">2</definedName>
    <definedName name="solver_rel2" localSheetId="4" hidden="1">4</definedName>
    <definedName name="solver_rel3" localSheetId="4" hidden="1">3</definedName>
    <definedName name="solver_rel4" localSheetId="4" hidden="1">1</definedName>
    <definedName name="solver_rel5" localSheetId="4" hidden="1">2</definedName>
    <definedName name="solver_rel6" localSheetId="4" hidden="1">2</definedName>
    <definedName name="solver_rel7" localSheetId="4" hidden="1">2</definedName>
    <definedName name="solver_rel8" localSheetId="4" hidden="1">2</definedName>
    <definedName name="solver_rhs1" localSheetId="4" hidden="1">0</definedName>
    <definedName name="solver_rhs2" localSheetId="4" hidden="1">integer</definedName>
    <definedName name="solver_rhs3" localSheetId="4" hidden="1">Optimal!$S$3:$S$12</definedName>
    <definedName name="solver_rhs4" localSheetId="4" hidden="1">0.8</definedName>
    <definedName name="solver_rhs5" localSheetId="4" hidden="1">0</definedName>
    <definedName name="solver_rhs6" localSheetId="4" hidden="1">0</definedName>
    <definedName name="solver_rhs7" localSheetId="4" hidden="1">0</definedName>
    <definedName name="solver_rhs8" localSheetId="4" hidden="1">0</definedName>
    <definedName name="solver_rlx" localSheetId="4" hidden="1">2</definedName>
    <definedName name="solver_rsd" localSheetId="4" hidden="1">0</definedName>
    <definedName name="solver_scl" localSheetId="4" hidden="1">2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</definedName>
    <definedName name="solver_typ" localSheetId="4" hidden="1">2</definedName>
    <definedName name="solver_val" localSheetId="4" hidden="1">415</definedName>
    <definedName name="solver_ver" localSheetId="4" hidden="1">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I5" i="4" l="1"/>
  <c r="AE3" i="4"/>
  <c r="AI3" i="4"/>
  <c r="AI4" i="4"/>
  <c r="AI2" i="4"/>
  <c r="AH5" i="4"/>
  <c r="T3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10" i="4"/>
  <c r="F2" i="4"/>
  <c r="F3" i="4" s="1"/>
  <c r="F4" i="4" s="1"/>
  <c r="N44" i="2"/>
  <c r="N43" i="2"/>
  <c r="N41" i="2"/>
  <c r="N37" i="2"/>
  <c r="N38" i="2"/>
  <c r="N39" i="2"/>
  <c r="N40" i="2"/>
  <c r="N36" i="2"/>
  <c r="L32" i="2" l="1"/>
  <c r="L28" i="2"/>
  <c r="L29" i="2"/>
  <c r="L30" i="2"/>
  <c r="L31" i="2"/>
  <c r="L27" i="2"/>
  <c r="H32" i="2"/>
  <c r="H28" i="2"/>
  <c r="H29" i="2"/>
  <c r="H30" i="2"/>
  <c r="H31" i="2"/>
  <c r="H27" i="2"/>
  <c r="G27" i="2"/>
  <c r="C27" i="2"/>
  <c r="N27" i="3" l="1"/>
  <c r="N32" i="3"/>
  <c r="N31" i="3"/>
  <c r="N30" i="3"/>
  <c r="N29" i="3"/>
  <c r="N28" i="3"/>
  <c r="Q5" i="2" l="1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4" i="2"/>
  <c r="U15" i="2" l="1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9" i="3"/>
  <c r="C37" i="2"/>
  <c r="C38" i="2"/>
  <c r="C39" i="2"/>
  <c r="C40" i="2"/>
  <c r="C36" i="2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9" i="3"/>
  <c r="D10" i="3"/>
  <c r="D11" i="3"/>
  <c r="D12" i="3"/>
  <c r="D13" i="3"/>
  <c r="D14" i="3"/>
  <c r="D15" i="3"/>
  <c r="D16" i="3"/>
  <c r="D17" i="3"/>
  <c r="D18" i="3"/>
  <c r="D19" i="3"/>
  <c r="D20" i="3"/>
  <c r="D21" i="3"/>
  <c r="O4" i="2" s="1"/>
  <c r="D22" i="3"/>
  <c r="D23" i="3"/>
  <c r="D24" i="3"/>
  <c r="D25" i="3"/>
  <c r="D26" i="3"/>
  <c r="D27" i="3"/>
  <c r="D28" i="3"/>
  <c r="D29" i="3"/>
  <c r="D30" i="3"/>
  <c r="D31" i="3"/>
  <c r="D32" i="3"/>
  <c r="D33" i="3"/>
  <c r="O16" i="2" s="1"/>
  <c r="D34" i="3"/>
  <c r="D35" i="3"/>
  <c r="D36" i="3"/>
  <c r="D37" i="3"/>
  <c r="D38" i="3"/>
  <c r="D39" i="3"/>
  <c r="D40" i="3"/>
  <c r="D41" i="3"/>
  <c r="D42" i="3"/>
  <c r="D43" i="3"/>
  <c r="D44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O20" i="2" s="1"/>
  <c r="D70" i="3"/>
  <c r="D71" i="3"/>
  <c r="D72" i="3"/>
  <c r="D73" i="3"/>
  <c r="D74" i="3"/>
  <c r="D75" i="3"/>
  <c r="D76" i="3"/>
  <c r="D77" i="3"/>
  <c r="D78" i="3"/>
  <c r="D79" i="3"/>
  <c r="D80" i="3"/>
  <c r="D9" i="3"/>
  <c r="AO41" i="4"/>
  <c r="AO51" i="4"/>
  <c r="AO19" i="4"/>
  <c r="AO81" i="4"/>
  <c r="AO77" i="4"/>
  <c r="AO60" i="4"/>
  <c r="AO56" i="4"/>
  <c r="AO50" i="4"/>
  <c r="AO39" i="4"/>
  <c r="AO75" i="4"/>
  <c r="AO27" i="4"/>
  <c r="AO20" i="4"/>
  <c r="AO45" i="4"/>
  <c r="AO34" i="4"/>
  <c r="AO62" i="4"/>
  <c r="AO23" i="4"/>
  <c r="AO12" i="4"/>
  <c r="AO46" i="4"/>
  <c r="AO22" i="4"/>
  <c r="AO11" i="4"/>
  <c r="AO78" i="4"/>
  <c r="AO49" i="4"/>
  <c r="AO70" i="4"/>
  <c r="AO59" i="4"/>
  <c r="AO37" i="4"/>
  <c r="AO54" i="4"/>
  <c r="AO24" i="4"/>
  <c r="AO48" i="4"/>
  <c r="AO43" i="4"/>
  <c r="AO58" i="4"/>
  <c r="AO47" i="4"/>
  <c r="AO10" i="4"/>
  <c r="AO71" i="4"/>
  <c r="AO38" i="4"/>
  <c r="AO35" i="4"/>
  <c r="AO29" i="4"/>
  <c r="AO64" i="4"/>
  <c r="AO67" i="4"/>
  <c r="AO18" i="4"/>
  <c r="AO31" i="4"/>
  <c r="AO74" i="4"/>
  <c r="AO63" i="4"/>
  <c r="AO17" i="4"/>
  <c r="AO65" i="4"/>
  <c r="AO61" i="4"/>
  <c r="AO32" i="4"/>
  <c r="AO80" i="4"/>
  <c r="AO40" i="4"/>
  <c r="AO33" i="4"/>
  <c r="AO42" i="4"/>
  <c r="AO14" i="4"/>
  <c r="AO16" i="4"/>
  <c r="AO53" i="4"/>
  <c r="AO79" i="4"/>
  <c r="AO15" i="4"/>
  <c r="AO26" i="4"/>
  <c r="AO55" i="4"/>
  <c r="AO72" i="4"/>
  <c r="AO68" i="4"/>
  <c r="AO21" i="4"/>
  <c r="AO30" i="4"/>
  <c r="AO25" i="4"/>
  <c r="AO66" i="4"/>
  <c r="AO36" i="4"/>
  <c r="AO52" i="4"/>
  <c r="AO44" i="4"/>
  <c r="AO73" i="4"/>
  <c r="AO28" i="4"/>
  <c r="AO57" i="4"/>
  <c r="AO13" i="4"/>
  <c r="AO69" i="4"/>
  <c r="AO76" i="4"/>
  <c r="AI55" i="4"/>
  <c r="AI17" i="4"/>
  <c r="AI61" i="4"/>
  <c r="AI75" i="4"/>
  <c r="AI68" i="4"/>
  <c r="AI21" i="4"/>
  <c r="AI44" i="4"/>
  <c r="AI23" i="4"/>
  <c r="AI20" i="4"/>
  <c r="AI52" i="4"/>
  <c r="AI33" i="4"/>
  <c r="AI16" i="4"/>
  <c r="AI57" i="4"/>
  <c r="AI79" i="4"/>
  <c r="AI73" i="4"/>
  <c r="AI34" i="4"/>
  <c r="AI70" i="4"/>
  <c r="AI27" i="4"/>
  <c r="AI49" i="4"/>
  <c r="AI40" i="4"/>
  <c r="AI38" i="4"/>
  <c r="AI71" i="4"/>
  <c r="AI43" i="4"/>
  <c r="AI39" i="4"/>
  <c r="AI67" i="4"/>
  <c r="AI28" i="4"/>
  <c r="AI36" i="4"/>
  <c r="AI25" i="4"/>
  <c r="AI60" i="4"/>
  <c r="AI65" i="4"/>
  <c r="AI26" i="4"/>
  <c r="AI69" i="4"/>
  <c r="AI48" i="4"/>
  <c r="AI46" i="4"/>
  <c r="AI56" i="4"/>
  <c r="AI80" i="4"/>
  <c r="AI18" i="4"/>
  <c r="AI63" i="4"/>
  <c r="AI81" i="4"/>
  <c r="AI53" i="4"/>
  <c r="AI12" i="4"/>
  <c r="AI13" i="4"/>
  <c r="AI10" i="4"/>
  <c r="AI66" i="4"/>
  <c r="AI74" i="4"/>
  <c r="AI62" i="4"/>
  <c r="AI11" i="4"/>
  <c r="AI29" i="4"/>
  <c r="AI58" i="4"/>
  <c r="AI41" i="4"/>
  <c r="AI51" i="4"/>
  <c r="AI35" i="4"/>
  <c r="AI59" i="4"/>
  <c r="AI45" i="4"/>
  <c r="AI50" i="4"/>
  <c r="AI64" i="4"/>
  <c r="AI76" i="4"/>
  <c r="AI37" i="4"/>
  <c r="AI42" i="4"/>
  <c r="AI32" i="4"/>
  <c r="AI77" i="4"/>
  <c r="AI47" i="4"/>
  <c r="AI72" i="4"/>
  <c r="AI22" i="4"/>
  <c r="AI24" i="4"/>
  <c r="AI31" i="4"/>
  <c r="AI19" i="4"/>
  <c r="AI54" i="4"/>
  <c r="AI15" i="4"/>
  <c r="AI14" i="4"/>
  <c r="AI30" i="4"/>
  <c r="AI78" i="4"/>
  <c r="AC71" i="4"/>
  <c r="AC12" i="4"/>
  <c r="AC10" i="4"/>
  <c r="AC39" i="4"/>
  <c r="AC11" i="4"/>
  <c r="AC61" i="4"/>
  <c r="AC78" i="4"/>
  <c r="AC41" i="4"/>
  <c r="AC42" i="4"/>
  <c r="AC73" i="4"/>
  <c r="AC59" i="4"/>
  <c r="AC76" i="4"/>
  <c r="AC16" i="4"/>
  <c r="AC74" i="4"/>
  <c r="AC15" i="4"/>
  <c r="AC52" i="4"/>
  <c r="AC13" i="4"/>
  <c r="AC53" i="4"/>
  <c r="AC49" i="4"/>
  <c r="AC37" i="4"/>
  <c r="AC40" i="4"/>
  <c r="AC14" i="4"/>
  <c r="AC38" i="4"/>
  <c r="AC21" i="4"/>
  <c r="AC22" i="4"/>
  <c r="AC47" i="4"/>
  <c r="AC19" i="4"/>
  <c r="AC81" i="4"/>
  <c r="AC18" i="4"/>
  <c r="AC17" i="4"/>
  <c r="AC57" i="4"/>
  <c r="AC58" i="4"/>
  <c r="AC55" i="4"/>
  <c r="AC23" i="4"/>
  <c r="AC66" i="4"/>
  <c r="AC62" i="4"/>
  <c r="AC63" i="4"/>
  <c r="AC69" i="4"/>
  <c r="AC32" i="4"/>
  <c r="AC65" i="4"/>
  <c r="AC35" i="4"/>
  <c r="AC45" i="4"/>
  <c r="AC64" i="4"/>
  <c r="AC79" i="4"/>
  <c r="AC44" i="4"/>
  <c r="AC56" i="4"/>
  <c r="AC51" i="4"/>
  <c r="AC80" i="4"/>
  <c r="AC60" i="4"/>
  <c r="AC46" i="4"/>
  <c r="AC29" i="4"/>
  <c r="AC50" i="4"/>
  <c r="AC70" i="4"/>
  <c r="AC34" i="4"/>
  <c r="AC68" i="4"/>
  <c r="AC43" i="4"/>
  <c r="AC26" i="4"/>
  <c r="AC20" i="4"/>
  <c r="AC28" i="4"/>
  <c r="AC54" i="4"/>
  <c r="AC72" i="4"/>
  <c r="AC48" i="4"/>
  <c r="AC36" i="4"/>
  <c r="AC25" i="4"/>
  <c r="AC67" i="4"/>
  <c r="AC27" i="4"/>
  <c r="AC30" i="4"/>
  <c r="AC75" i="4"/>
  <c r="AC33" i="4"/>
  <c r="AC24" i="4"/>
  <c r="AC77" i="4"/>
  <c r="AC31" i="4"/>
  <c r="W76" i="4"/>
  <c r="W64" i="4"/>
  <c r="W77" i="4"/>
  <c r="W66" i="4"/>
  <c r="W52" i="4"/>
  <c r="W58" i="4"/>
  <c r="W51" i="4"/>
  <c r="W15" i="4"/>
  <c r="W71" i="4"/>
  <c r="W70" i="4"/>
  <c r="W78" i="4"/>
  <c r="W79" i="4"/>
  <c r="W67" i="4"/>
  <c r="W38" i="4"/>
  <c r="W47" i="4"/>
  <c r="W17" i="4"/>
  <c r="W41" i="4"/>
  <c r="W29" i="4"/>
  <c r="W22" i="4"/>
  <c r="W18" i="4"/>
  <c r="W44" i="4"/>
  <c r="W27" i="4"/>
  <c r="W21" i="4"/>
  <c r="W65" i="4"/>
  <c r="W61" i="4"/>
  <c r="W54" i="4"/>
  <c r="W60" i="4"/>
  <c r="W55" i="4"/>
  <c r="W19" i="4"/>
  <c r="W33" i="4"/>
  <c r="W16" i="4"/>
  <c r="W23" i="4"/>
  <c r="W48" i="4"/>
  <c r="W49" i="4"/>
  <c r="W59" i="4"/>
  <c r="W53" i="4"/>
  <c r="W57" i="4"/>
  <c r="W35" i="4"/>
  <c r="W14" i="4"/>
  <c r="W62" i="4"/>
  <c r="W13" i="4"/>
  <c r="W10" i="4"/>
  <c r="W42" i="4"/>
  <c r="W12" i="4"/>
  <c r="W11" i="4"/>
  <c r="W36" i="4"/>
  <c r="W30" i="4"/>
  <c r="W63" i="4"/>
  <c r="W56" i="4"/>
  <c r="W45" i="4"/>
  <c r="W39" i="4"/>
  <c r="W72" i="4"/>
  <c r="W25" i="4"/>
  <c r="W74" i="4"/>
  <c r="W69" i="4"/>
  <c r="W80" i="4"/>
  <c r="W34" i="4"/>
  <c r="W28" i="4"/>
  <c r="W81" i="4"/>
  <c r="W73" i="4"/>
  <c r="W43" i="4"/>
  <c r="W75" i="4"/>
  <c r="W40" i="4"/>
  <c r="W26" i="4"/>
  <c r="W32" i="4"/>
  <c r="W68" i="4"/>
  <c r="W31" i="4"/>
  <c r="W37" i="4"/>
  <c r="W46" i="4"/>
  <c r="W20" i="4"/>
  <c r="W24" i="4"/>
  <c r="W50" i="4"/>
  <c r="P11" i="4"/>
  <c r="P19" i="4"/>
  <c r="P20" i="4"/>
  <c r="P21" i="4"/>
  <c r="P12" i="4"/>
  <c r="P17" i="4"/>
  <c r="P10" i="4"/>
  <c r="P18" i="4"/>
  <c r="P14" i="4"/>
  <c r="P24" i="4"/>
  <c r="P13" i="4"/>
  <c r="P22" i="4"/>
  <c r="P23" i="4"/>
  <c r="P15" i="4"/>
  <c r="P30" i="4"/>
  <c r="P29" i="4"/>
  <c r="P28" i="4"/>
  <c r="P32" i="4"/>
  <c r="P33" i="4"/>
  <c r="P35" i="4"/>
  <c r="P31" i="4"/>
  <c r="P41" i="4"/>
  <c r="P42" i="4"/>
  <c r="P40" i="4"/>
  <c r="P37" i="4"/>
  <c r="P38" i="4"/>
  <c r="P39" i="4"/>
  <c r="P36" i="4"/>
  <c r="P34" i="4"/>
  <c r="P16" i="4"/>
  <c r="O5" i="2" l="1"/>
  <c r="O12" i="2"/>
  <c r="O8" i="2"/>
  <c r="O23" i="2"/>
  <c r="O19" i="2"/>
  <c r="O15" i="2"/>
  <c r="O11" i="2"/>
  <c r="O7" i="2"/>
  <c r="O22" i="2"/>
  <c r="O18" i="2"/>
  <c r="O14" i="2"/>
  <c r="O10" i="2"/>
  <c r="O6" i="2"/>
  <c r="O21" i="2"/>
  <c r="O17" i="2"/>
  <c r="G39" i="2" s="1"/>
  <c r="O13" i="2"/>
  <c r="O9" i="2"/>
  <c r="C41" i="2"/>
  <c r="D40" i="2" s="1"/>
  <c r="C31" i="2"/>
  <c r="J21" i="2" s="1"/>
  <c r="C30" i="2"/>
  <c r="J17" i="2" s="1"/>
  <c r="C29" i="2"/>
  <c r="J13" i="2" s="1"/>
  <c r="C28" i="2"/>
  <c r="J9" i="2" s="1"/>
  <c r="J5" i="2"/>
  <c r="G12" i="2"/>
  <c r="G16" i="2"/>
  <c r="G20" i="2"/>
  <c r="G4" i="2"/>
  <c r="G13" i="2"/>
  <c r="G18" i="2"/>
  <c r="G22" i="2"/>
  <c r="G10" i="2"/>
  <c r="G11" i="2"/>
  <c r="G19" i="2"/>
  <c r="G6" i="2"/>
  <c r="G7" i="2"/>
  <c r="G8" i="2"/>
  <c r="G9" i="2"/>
  <c r="G14" i="2"/>
  <c r="G15" i="2"/>
  <c r="G17" i="2"/>
  <c r="G21" i="2"/>
  <c r="G23" i="2"/>
  <c r="G5" i="2"/>
  <c r="L28" i="1"/>
  <c r="P26" i="1"/>
  <c r="R14" i="1"/>
  <c r="Q14" i="1"/>
  <c r="P14" i="1"/>
  <c r="O14" i="1"/>
  <c r="N14" i="1"/>
  <c r="M14" i="1"/>
  <c r="L14" i="1"/>
  <c r="S13" i="1"/>
  <c r="T24" i="1" s="1"/>
  <c r="W12" i="1"/>
  <c r="P27" i="1" s="1"/>
  <c r="V12" i="1"/>
  <c r="O27" i="1" s="1"/>
  <c r="T12" i="1" a="1"/>
  <c r="T12" i="1" s="1"/>
  <c r="AC11" i="1"/>
  <c r="V11" i="1"/>
  <c r="O26" i="1" s="1"/>
  <c r="T11" i="1" a="1"/>
  <c r="T11" i="1" s="1"/>
  <c r="AC10" i="1"/>
  <c r="W10" i="1"/>
  <c r="P25" i="1" s="1"/>
  <c r="V10" i="1"/>
  <c r="O25" i="1" s="1"/>
  <c r="T10" i="1"/>
  <c r="AA10" i="1" s="1"/>
  <c r="T10" i="1" a="1"/>
  <c r="AC9" i="1"/>
  <c r="W9" i="1"/>
  <c r="P24" i="1" s="1"/>
  <c r="V9" i="1"/>
  <c r="O24" i="1" s="1"/>
  <c r="T9" i="1" a="1"/>
  <c r="T9" i="1" s="1"/>
  <c r="AC8" i="1"/>
  <c r="Y8" i="1" a="1"/>
  <c r="Y8" i="1" s="1"/>
  <c r="Q23" i="1" s="1"/>
  <c r="W8" i="1"/>
  <c r="P23" i="1" s="1"/>
  <c r="V8" i="1"/>
  <c r="O23" i="1" s="1"/>
  <c r="T8" i="1"/>
  <c r="U8" i="1" s="1"/>
  <c r="T8" i="1" a="1"/>
  <c r="AC7" i="1"/>
  <c r="W7" i="1"/>
  <c r="P22" i="1" s="1"/>
  <c r="V7" i="1"/>
  <c r="O22" i="1" s="1"/>
  <c r="T7" i="1" a="1"/>
  <c r="T7" i="1" s="1"/>
  <c r="AC6" i="1"/>
  <c r="Y6" i="1" a="1"/>
  <c r="Y6" i="1" s="1"/>
  <c r="W6" i="1"/>
  <c r="P21" i="1" s="1"/>
  <c r="V6" i="1"/>
  <c r="O21" i="1" s="1"/>
  <c r="T6" i="1"/>
  <c r="M21" i="1" s="1"/>
  <c r="T6" i="1" a="1"/>
  <c r="AC5" i="1"/>
  <c r="W5" i="1"/>
  <c r="P20" i="1" s="1"/>
  <c r="V5" i="1"/>
  <c r="O20" i="1" s="1"/>
  <c r="T5" i="1" a="1"/>
  <c r="T5" i="1" s="1"/>
  <c r="AC4" i="1"/>
  <c r="Y4" i="1" a="1"/>
  <c r="Y4" i="1" s="1"/>
  <c r="Q19" i="1" s="1"/>
  <c r="W4" i="1"/>
  <c r="P19" i="1" s="1"/>
  <c r="V4" i="1"/>
  <c r="O19" i="1" s="1"/>
  <c r="T4" i="1"/>
  <c r="M19" i="1" s="1"/>
  <c r="T4" i="1" a="1"/>
  <c r="AC3" i="1"/>
  <c r="W3" i="1"/>
  <c r="P18" i="1" s="1"/>
  <c r="V3" i="1"/>
  <c r="O18" i="1" s="1"/>
  <c r="T3" i="1" a="1"/>
  <c r="T3" i="1" s="1"/>
  <c r="G41" i="2" l="1"/>
  <c r="G40" i="2"/>
  <c r="G36" i="2"/>
  <c r="G37" i="2"/>
  <c r="G38" i="2"/>
  <c r="R15" i="2"/>
  <c r="R10" i="2"/>
  <c r="R23" i="2"/>
  <c r="R5" i="2"/>
  <c r="R7" i="2"/>
  <c r="R4" i="2"/>
  <c r="R14" i="2"/>
  <c r="R6" i="2"/>
  <c r="R22" i="2"/>
  <c r="R20" i="2"/>
  <c r="R21" i="2"/>
  <c r="R9" i="2"/>
  <c r="R19" i="2"/>
  <c r="R18" i="2"/>
  <c r="R16" i="2"/>
  <c r="R17" i="2"/>
  <c r="R8" i="2"/>
  <c r="R11" i="2"/>
  <c r="R13" i="2"/>
  <c r="R12" i="2"/>
  <c r="J15" i="2"/>
  <c r="J12" i="2"/>
  <c r="J8" i="2"/>
  <c r="J14" i="2"/>
  <c r="J4" i="2"/>
  <c r="J11" i="2"/>
  <c r="J20" i="2"/>
  <c r="D38" i="2"/>
  <c r="D39" i="2"/>
  <c r="D36" i="2"/>
  <c r="D37" i="2"/>
  <c r="J16" i="2"/>
  <c r="J7" i="2"/>
  <c r="J19" i="2"/>
  <c r="J23" i="2"/>
  <c r="C32" i="2"/>
  <c r="J6" i="2"/>
  <c r="J10" i="2"/>
  <c r="J18" i="2"/>
  <c r="J22" i="2"/>
  <c r="M20" i="1"/>
  <c r="AB5" i="1"/>
  <c r="Y5" i="1" a="1"/>
  <c r="Y5" i="1" s="1"/>
  <c r="Q20" i="1" s="1"/>
  <c r="AA5" i="1"/>
  <c r="U5" i="1"/>
  <c r="Q21" i="1"/>
  <c r="Z6" i="1"/>
  <c r="M27" i="1"/>
  <c r="U12" i="1"/>
  <c r="AB12" i="1"/>
  <c r="Y12" i="1" a="1"/>
  <c r="Y12" i="1" s="1"/>
  <c r="Q27" i="1" s="1"/>
  <c r="AA12" i="1"/>
  <c r="S21" i="1"/>
  <c r="R21" i="1"/>
  <c r="N21" i="1"/>
  <c r="M22" i="1"/>
  <c r="AB7" i="1"/>
  <c r="Y7" i="1" a="1"/>
  <c r="Y7" i="1" s="1"/>
  <c r="Q22" i="1" s="1"/>
  <c r="AA7" i="1"/>
  <c r="U7" i="1"/>
  <c r="U9" i="1"/>
  <c r="AB9" i="1"/>
  <c r="Y9" i="1" a="1"/>
  <c r="Y9" i="1" s="1"/>
  <c r="Q24" i="1" s="1"/>
  <c r="M24" i="1"/>
  <c r="AA9" i="1"/>
  <c r="M26" i="1"/>
  <c r="AB11" i="1"/>
  <c r="Y11" i="1" a="1"/>
  <c r="Y11" i="1" s="1"/>
  <c r="Q26" i="1" s="1"/>
  <c r="AA11" i="1"/>
  <c r="Z11" i="1"/>
  <c r="U11" i="1"/>
  <c r="M18" i="1"/>
  <c r="AB3" i="1"/>
  <c r="Y3" i="1" a="1"/>
  <c r="Y3" i="1" s="1"/>
  <c r="Q18" i="1" s="1"/>
  <c r="AA3" i="1"/>
  <c r="T13" i="1"/>
  <c r="U3" i="1"/>
  <c r="S19" i="1"/>
  <c r="R19" i="1"/>
  <c r="N19" i="1"/>
  <c r="Z4" i="1"/>
  <c r="Z8" i="1"/>
  <c r="Y10" i="1" a="1"/>
  <c r="Y10" i="1" s="1"/>
  <c r="AB10" i="1"/>
  <c r="M23" i="1"/>
  <c r="T25" i="1"/>
  <c r="AB4" i="1"/>
  <c r="AB6" i="1"/>
  <c r="AA4" i="1"/>
  <c r="U6" i="1"/>
  <c r="AA8" i="1"/>
  <c r="U10" i="1"/>
  <c r="M25" i="1"/>
  <c r="T26" i="1"/>
  <c r="T27" i="1"/>
  <c r="AC12" i="1"/>
  <c r="AC13" i="1" s="1"/>
  <c r="T18" i="1"/>
  <c r="T19" i="1"/>
  <c r="T20" i="1"/>
  <c r="T21" i="1"/>
  <c r="T22" i="1"/>
  <c r="AB8" i="1"/>
  <c r="U4" i="1"/>
  <c r="AA6" i="1"/>
  <c r="T23" i="1"/>
  <c r="H36" i="2" l="1"/>
  <c r="G29" i="2"/>
  <c r="H38" i="2" s="1"/>
  <c r="G28" i="2"/>
  <c r="H37" i="2" s="1"/>
  <c r="G31" i="2"/>
  <c r="H40" i="2" s="1"/>
  <c r="G30" i="2"/>
  <c r="H39" i="2" s="1"/>
  <c r="D30" i="2"/>
  <c r="C48" i="2" s="1"/>
  <c r="D28" i="2"/>
  <c r="C46" i="2" s="1"/>
  <c r="D29" i="2"/>
  <c r="C47" i="2" s="1"/>
  <c r="D31" i="2"/>
  <c r="C49" i="2" s="1"/>
  <c r="D27" i="2"/>
  <c r="C45" i="2" s="1"/>
  <c r="D41" i="2"/>
  <c r="I8" i="2"/>
  <c r="I12" i="2"/>
  <c r="I16" i="2"/>
  <c r="I20" i="2"/>
  <c r="I4" i="2"/>
  <c r="I5" i="2"/>
  <c r="K5" i="2" s="1"/>
  <c r="I9" i="2"/>
  <c r="I13" i="2"/>
  <c r="I17" i="2"/>
  <c r="I21" i="2"/>
  <c r="I6" i="2"/>
  <c r="I10" i="2"/>
  <c r="I14" i="2"/>
  <c r="I18" i="2"/>
  <c r="I22" i="2"/>
  <c r="I7" i="2"/>
  <c r="I15" i="2"/>
  <c r="I23" i="2"/>
  <c r="I11" i="2"/>
  <c r="I19" i="2"/>
  <c r="S23" i="1"/>
  <c r="R23" i="1"/>
  <c r="N23" i="1"/>
  <c r="Z7" i="1"/>
  <c r="S22" i="1"/>
  <c r="R22" i="1"/>
  <c r="N22" i="1"/>
  <c r="AA22" i="1"/>
  <c r="Z10" i="1"/>
  <c r="Q25" i="1"/>
  <c r="M28" i="1"/>
  <c r="S18" i="1"/>
  <c r="R18" i="1"/>
  <c r="N18" i="1"/>
  <c r="R27" i="1"/>
  <c r="N27" i="1"/>
  <c r="S27" i="1"/>
  <c r="Z5" i="1"/>
  <c r="S25" i="1"/>
  <c r="R25" i="1"/>
  <c r="N25" i="1"/>
  <c r="R26" i="1"/>
  <c r="N26" i="1"/>
  <c r="S26" i="1"/>
  <c r="T28" i="1"/>
  <c r="Z3" i="1"/>
  <c r="AA16" i="1" s="1"/>
  <c r="AA17" i="1" s="1"/>
  <c r="AA24" i="1" s="1"/>
  <c r="S24" i="1"/>
  <c r="R24" i="1"/>
  <c r="N24" i="1"/>
  <c r="Z9" i="1"/>
  <c r="Z12" i="1"/>
  <c r="S20" i="1"/>
  <c r="R20" i="1"/>
  <c r="N20" i="1"/>
  <c r="P4" i="2" l="1"/>
  <c r="K32" i="2"/>
  <c r="L41" i="2" s="1"/>
  <c r="K4" i="2"/>
  <c r="K28" i="2" s="1"/>
  <c r="L37" i="2" s="1"/>
  <c r="K19" i="2"/>
  <c r="P19" i="2"/>
  <c r="K7" i="2"/>
  <c r="P7" i="2"/>
  <c r="K10" i="2"/>
  <c r="P10" i="2"/>
  <c r="K13" i="2"/>
  <c r="P13" i="2"/>
  <c r="K20" i="2"/>
  <c r="P20" i="2"/>
  <c r="K14" i="2"/>
  <c r="P14" i="2"/>
  <c r="K17" i="2"/>
  <c r="P17" i="2"/>
  <c r="K8" i="2"/>
  <c r="P8" i="2"/>
  <c r="K22" i="2"/>
  <c r="P22" i="2"/>
  <c r="K15" i="2"/>
  <c r="P15" i="2"/>
  <c r="K11" i="2"/>
  <c r="P11" i="2"/>
  <c r="K6" i="2"/>
  <c r="K30" i="2" s="1"/>
  <c r="L39" i="2" s="1"/>
  <c r="P6" i="2"/>
  <c r="K9" i="2"/>
  <c r="K29" i="2" s="1"/>
  <c r="L38" i="2" s="1"/>
  <c r="P9" i="2"/>
  <c r="K16" i="2"/>
  <c r="P16" i="2"/>
  <c r="K23" i="2"/>
  <c r="P23" i="2"/>
  <c r="K18" i="2"/>
  <c r="P18" i="2"/>
  <c r="K21" i="2"/>
  <c r="P21" i="2"/>
  <c r="P5" i="2"/>
  <c r="K12" i="2"/>
  <c r="P12" i="2"/>
  <c r="D32" i="2"/>
  <c r="I24" i="2"/>
  <c r="G32" i="2"/>
  <c r="H41" i="2" s="1"/>
  <c r="AA25" i="1"/>
  <c r="K27" i="2" l="1"/>
  <c r="L36" i="2" s="1"/>
  <c r="K31" i="2"/>
  <c r="L40" i="2" s="1"/>
</calcChain>
</file>

<file path=xl/sharedStrings.xml><?xml version="1.0" encoding="utf-8"?>
<sst xmlns="http://schemas.openxmlformats.org/spreadsheetml/2006/main" count="2250" uniqueCount="175">
  <si>
    <t>Network Generation Table</t>
  </si>
  <si>
    <t>Base:</t>
  </si>
  <si>
    <t>Designator:</t>
  </si>
  <si>
    <t>Source</t>
  </si>
  <si>
    <t>Destination</t>
  </si>
  <si>
    <t>intel. Sat</t>
  </si>
  <si>
    <t>bent-pipe</t>
  </si>
  <si>
    <t>leased bp sat.</t>
  </si>
  <si>
    <t>STS-3</t>
  </si>
  <si>
    <t>Leased STS-3</t>
  </si>
  <si>
    <t>T3</t>
  </si>
  <si>
    <t>Leased T3</t>
  </si>
  <si>
    <t>Lambda</t>
  </si>
  <si>
    <t>Mu</t>
  </si>
  <si>
    <t>Num_Sys</t>
  </si>
  <si>
    <t>Dprop_gnd</t>
  </si>
  <si>
    <t>Dprop_sat</t>
  </si>
  <si>
    <t>Intel Sat</t>
  </si>
  <si>
    <t>Percent Ground</t>
  </si>
  <si>
    <t>Average Delay</t>
  </si>
  <si>
    <t>Utilization</t>
  </si>
  <si>
    <t>Equal</t>
  </si>
  <si>
    <t>Percent</t>
  </si>
  <si>
    <t>Hickam</t>
  </si>
  <si>
    <t>A</t>
  </si>
  <si>
    <t>C</t>
  </si>
  <si>
    <t>Cheyenne</t>
  </si>
  <si>
    <t>B</t>
  </si>
  <si>
    <t>D</t>
  </si>
  <si>
    <t>Qatar</t>
  </si>
  <si>
    <t>E</t>
  </si>
  <si>
    <t>Langley</t>
  </si>
  <si>
    <t>Ramstein</t>
  </si>
  <si>
    <t>Link Type</t>
  </si>
  <si>
    <t>Data Rate (Mbps)</t>
  </si>
  <si>
    <t>Installation Cost</t>
  </si>
  <si>
    <t>Monthly Cost</t>
  </si>
  <si>
    <t>Intelligent (4 xcvr) Geo satellite</t>
  </si>
  <si>
    <t>$60M</t>
  </si>
  <si>
    <t>$8K per earth station (Max 4)</t>
  </si>
  <si>
    <t>"Bent-pipe" Geo satellite</t>
  </si>
  <si>
    <t>$40M</t>
  </si>
  <si>
    <t>-</t>
  </si>
  <si>
    <t>Leased "bent-pipe" Geo satellite</t>
  </si>
  <si>
    <t>none</t>
  </si>
  <si>
    <t>$500K per link</t>
  </si>
  <si>
    <t>$4K per km</t>
  </si>
  <si>
    <t>$5K per link</t>
  </si>
  <si>
    <t>Total</t>
  </si>
  <si>
    <t>$700K per link</t>
  </si>
  <si>
    <t>Total Connections:</t>
  </si>
  <si>
    <t>T-3</t>
  </si>
  <si>
    <t>$2K per km</t>
  </si>
  <si>
    <t>Leased T-3</t>
  </si>
  <si>
    <t>Expected Delay (s):</t>
  </si>
  <si>
    <t>Dprop_ground</t>
  </si>
  <si>
    <t>Avg Delay</t>
  </si>
  <si>
    <t>Expected Delay (ms):</t>
  </si>
  <si>
    <t>Destination (km)</t>
  </si>
  <si>
    <t>Cost Function Parameters:</t>
  </si>
  <si>
    <t>10 Year Cost/$6M:</t>
  </si>
  <si>
    <t>K-Connectedness:</t>
  </si>
  <si>
    <t>Weighted Delay:</t>
  </si>
  <si>
    <t>Score:</t>
  </si>
  <si>
    <t>Destination (pkts/s)</t>
  </si>
  <si>
    <t>Base</t>
  </si>
  <si>
    <t>Latitude (DMS)</t>
  </si>
  <si>
    <t>Longitude (DMS)</t>
  </si>
  <si>
    <t>Latitude (dec degrees)</t>
  </si>
  <si>
    <t>Longitude (dec degrees)</t>
  </si>
  <si>
    <t>Distance to IntelSat @ 100 (km)</t>
  </si>
  <si>
    <t>RTT (s)</t>
  </si>
  <si>
    <t>Distance to IntelSat @ 21 (km)</t>
  </si>
  <si>
    <t>21° 20' N</t>
  </si>
  <si>
    <t>157° 55' W</t>
  </si>
  <si>
    <t>38° 49' N</t>
  </si>
  <si>
    <t>104° 43' W</t>
  </si>
  <si>
    <t>25° 18' N</t>
  </si>
  <si>
    <t>51° 31' E</t>
  </si>
  <si>
    <t>36° 54' N</t>
  </si>
  <si>
    <t>76° 12' W</t>
  </si>
  <si>
    <t>49° 34' N</t>
  </si>
  <si>
    <t>8° 28' E</t>
  </si>
  <si>
    <t>Nodetime (s)</t>
  </si>
  <si>
    <t>Lifetime (s)</t>
  </si>
  <si>
    <t>Predicted Values from Optimal</t>
  </si>
  <si>
    <t>% of Total</t>
  </si>
  <si>
    <t>% of Src</t>
  </si>
  <si>
    <t>Total:</t>
  </si>
  <si>
    <t>Expected Lifetime:</t>
  </si>
  <si>
    <t>Src</t>
  </si>
  <si>
    <t>Load:</t>
  </si>
  <si>
    <t>Traffic Load</t>
  </si>
  <si>
    <t>Expected Nodetime:</t>
  </si>
  <si>
    <t>Source:</t>
  </si>
  <si>
    <t>Time:</t>
  </si>
  <si>
    <t>Destination:</t>
  </si>
  <si>
    <t>Weighted Lifetime</t>
  </si>
  <si>
    <t>Percent:</t>
  </si>
  <si>
    <t>Module</t>
  </si>
  <si>
    <t>Count</t>
  </si>
  <si>
    <t>Mean</t>
  </si>
  <si>
    <t>StdDev</t>
  </si>
  <si>
    <t>#1</t>
  </si>
  <si>
    <t>Base_Network.Cheyenne[0]</t>
  </si>
  <si>
    <t>#2</t>
  </si>
  <si>
    <t>#0</t>
  </si>
  <si>
    <t>Base_Network.Cheyenne[2]</t>
  </si>
  <si>
    <t>Base_Network.Cheyenne[3]</t>
  </si>
  <si>
    <t>Base_Network.Cheyenne[4]</t>
  </si>
  <si>
    <t>Base_Network.Hickam[1]</t>
  </si>
  <si>
    <t>Base_Network.Hickam[2]</t>
  </si>
  <si>
    <t>Base_Network.Hickam[3]</t>
  </si>
  <si>
    <t>Base_Network.Hickam[4]</t>
  </si>
  <si>
    <t>Base_Network.Langley[0]</t>
  </si>
  <si>
    <t>Base_Network.Langley[1]</t>
  </si>
  <si>
    <t>Base_Network.Langley[2]</t>
  </si>
  <si>
    <t>Base_Network.Langley[4]</t>
  </si>
  <si>
    <t>Base_Network.milSat_21[0]</t>
  </si>
  <si>
    <t>Base_Network.milSat_21[1]</t>
  </si>
  <si>
    <t>Base_Network.milSat_100[0]</t>
  </si>
  <si>
    <t>Base_Network.milSat_100[1]</t>
  </si>
  <si>
    <t>Base_Network.Qatar[0]</t>
  </si>
  <si>
    <t>Base_Network.Qatar[1]</t>
  </si>
  <si>
    <t>Base_Network.Qatar[3]</t>
  </si>
  <si>
    <t>Base_Network.Qatar[4]</t>
  </si>
  <si>
    <t>Base_Network.Ramstein[0]</t>
  </si>
  <si>
    <t>Base_Network.Ramstein[1]</t>
  </si>
  <si>
    <t>Base_Network.Ramstein[2]</t>
  </si>
  <si>
    <t>Base_Network.Ramstein[3]</t>
  </si>
  <si>
    <t>Base_Network.sink[0]</t>
  </si>
  <si>
    <t>Base_Network.sink[1]</t>
  </si>
  <si>
    <t>Base_Network.sink[2]</t>
  </si>
  <si>
    <t>Base_Network.sink[3]</t>
  </si>
  <si>
    <t>Base_Network.sink[4]</t>
  </si>
  <si>
    <t>Base_Network.Langley[3]</t>
  </si>
  <si>
    <t>Base_Network.Qatar[2]</t>
  </si>
  <si>
    <t>Base_Network.Hickam[0]</t>
  </si>
  <si>
    <t>Base_Network.Cheyenne[1]</t>
  </si>
  <si>
    <t>Base_Network.Ramstein[4]</t>
  </si>
  <si>
    <t>Run</t>
  </si>
  <si>
    <t>milSat_100</t>
  </si>
  <si>
    <t>milSat_21</t>
  </si>
  <si>
    <t>Designator</t>
  </si>
  <si>
    <t>max nodeTime</t>
  </si>
  <si>
    <t>mean nodeTime</t>
  </si>
  <si>
    <t>Max Lifetime</t>
  </si>
  <si>
    <t>Mean Lifetime</t>
  </si>
  <si>
    <t>Max qLen</t>
  </si>
  <si>
    <t>mean qLen</t>
  </si>
  <si>
    <t>mean Queue Time</t>
  </si>
  <si>
    <t>Column1</t>
  </si>
  <si>
    <t>max Queue Time</t>
  </si>
  <si>
    <t>Lifetime</t>
  </si>
  <si>
    <t>Std.Dev</t>
  </si>
  <si>
    <t>nodeTime</t>
  </si>
  <si>
    <t>Observed Traffic Load:</t>
  </si>
  <si>
    <t>Load</t>
  </si>
  <si>
    <t>Load Difference</t>
  </si>
  <si>
    <t>% Difference</t>
  </si>
  <si>
    <t>Observed Nodetime:</t>
  </si>
  <si>
    <t>Total Observed Load</t>
  </si>
  <si>
    <t>HIckam</t>
  </si>
  <si>
    <t>Traffic through satellites (double counted in the load count)</t>
  </si>
  <si>
    <t>% of Total Load</t>
  </si>
  <si>
    <t>% Difference (Load)</t>
  </si>
  <si>
    <t>Nodetime - time for transmission from a given source</t>
  </si>
  <si>
    <t>Lifetime -time a packet took to arrive to its destination</t>
  </si>
  <si>
    <t>Nodetime</t>
  </si>
  <si>
    <t>Satellites:</t>
  </si>
  <si>
    <t>% Diff (nodeTime)</t>
  </si>
  <si>
    <t>% Difference:</t>
  </si>
  <si>
    <t>Aggregate Observed Lifetime:</t>
  </si>
  <si>
    <t>Time (ms)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</si>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</sst>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0.00000"/>
    <numFmt numFmtId="165" formatCode="&quot;$&quot;#,##0.00"/>
    <numFmt numFmtId="166" formatCode="0.000%"/>
    <numFmt numFmtId="169" formatCode="0.0000"/>
    <numFmt numFmtId="173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79998168889431442"/>
        <bgColor theme="6" tint="0.79998168889431442"/>
      </patternFill>
    </fill>
  </fills>
  <borders count="5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theme="4" tint="0.39997558519241921"/>
      </top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8">
    <xf numFmtId="0" fontId="0" fillId="0" borderId="0" xfId="0"/>
    <xf numFmtId="0" fontId="0" fillId="0" borderId="0" xfId="0" applyFont="1"/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164" fontId="0" fillId="2" borderId="9" xfId="0" applyNumberFormat="1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/>
    </xf>
    <xf numFmtId="164" fontId="0" fillId="0" borderId="13" xfId="0" applyNumberFormat="1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164" fontId="0" fillId="2" borderId="13" xfId="0" applyNumberFormat="1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2" fillId="0" borderId="16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3" xfId="0" applyFont="1" applyBorder="1" applyAlignment="1">
      <alignment horizontal="center" vertical="center"/>
    </xf>
    <xf numFmtId="0" fontId="2" fillId="0" borderId="1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7" xfId="0" applyFont="1" applyBorder="1" applyAlignment="1">
      <alignment horizontal="center" vertical="center"/>
    </xf>
    <xf numFmtId="0" fontId="2" fillId="0" borderId="18" xfId="0" applyFont="1" applyBorder="1"/>
    <xf numFmtId="0" fontId="0" fillId="0" borderId="12" xfId="0" applyFont="1" applyBorder="1"/>
    <xf numFmtId="0" fontId="0" fillId="0" borderId="13" xfId="0" applyFont="1" applyBorder="1"/>
    <xf numFmtId="0" fontId="2" fillId="2" borderId="19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horizontal="center" vertical="center"/>
    </xf>
    <xf numFmtId="0" fontId="0" fillId="2" borderId="21" xfId="0" applyFont="1" applyFill="1" applyBorder="1" applyAlignment="1">
      <alignment horizontal="center" vertical="center"/>
    </xf>
    <xf numFmtId="0" fontId="0" fillId="3" borderId="21" xfId="0" applyFont="1" applyFill="1" applyBorder="1" applyAlignment="1">
      <alignment horizontal="center" vertical="center"/>
    </xf>
    <xf numFmtId="164" fontId="0" fillId="2" borderId="21" xfId="0" applyNumberFormat="1" applyFont="1" applyFill="1" applyBorder="1" applyAlignment="1">
      <alignment horizontal="center" vertical="center"/>
    </xf>
    <xf numFmtId="0" fontId="0" fillId="2" borderId="19" xfId="0" applyFont="1" applyFill="1" applyBorder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164" fontId="0" fillId="0" borderId="5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3" borderId="25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2" fillId="0" borderId="28" xfId="0" applyFont="1" applyBorder="1"/>
    <xf numFmtId="0" fontId="0" fillId="0" borderId="29" xfId="0" applyFont="1" applyBorder="1"/>
    <xf numFmtId="0" fontId="0" fillId="0" borderId="30" xfId="0" applyFont="1" applyBorder="1"/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0" fontId="0" fillId="0" borderId="33" xfId="0" applyFont="1" applyBorder="1"/>
    <xf numFmtId="0" fontId="0" fillId="0" borderId="34" xfId="0" applyFont="1" applyBorder="1"/>
    <xf numFmtId="0" fontId="0" fillId="0" borderId="32" xfId="0" applyFont="1" applyBorder="1"/>
    <xf numFmtId="0" fontId="0" fillId="0" borderId="35" xfId="0" applyFont="1" applyBorder="1" applyAlignment="1">
      <alignment horizontal="center" vertical="center"/>
    </xf>
    <xf numFmtId="0" fontId="0" fillId="2" borderId="12" xfId="0" applyFont="1" applyFill="1" applyBorder="1"/>
    <xf numFmtId="0" fontId="0" fillId="2" borderId="13" xfId="0" applyFont="1" applyFill="1" applyBorder="1"/>
    <xf numFmtId="164" fontId="0" fillId="2" borderId="13" xfId="0" applyNumberFormat="1" applyFont="1" applyFill="1" applyBorder="1"/>
    <xf numFmtId="0" fontId="0" fillId="2" borderId="11" xfId="0" applyFont="1" applyFill="1" applyBorder="1"/>
    <xf numFmtId="0" fontId="2" fillId="0" borderId="0" xfId="0" applyFont="1" applyBorder="1" applyAlignment="1">
      <alignment horizontal="center"/>
    </xf>
    <xf numFmtId="164" fontId="0" fillId="0" borderId="13" xfId="0" applyNumberFormat="1" applyFont="1" applyBorder="1"/>
    <xf numFmtId="0" fontId="2" fillId="0" borderId="30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0" xfId="0" applyFont="1" applyAlignment="1">
      <alignment horizontal="center"/>
    </xf>
    <xf numFmtId="2" fontId="0" fillId="0" borderId="13" xfId="0" applyNumberFormat="1" applyFont="1" applyBorder="1"/>
    <xf numFmtId="0" fontId="2" fillId="0" borderId="28" xfId="0" applyFont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0" fillId="0" borderId="30" xfId="0" applyFont="1" applyBorder="1" applyAlignment="1">
      <alignment horizontal="center"/>
    </xf>
    <xf numFmtId="0" fontId="0" fillId="0" borderId="13" xfId="0" applyNumberFormat="1" applyFont="1" applyBorder="1"/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164" fontId="0" fillId="0" borderId="30" xfId="0" applyNumberFormat="1" applyFont="1" applyBorder="1"/>
    <xf numFmtId="0" fontId="2" fillId="0" borderId="16" xfId="0" applyFont="1" applyFill="1" applyBorder="1" applyAlignment="1">
      <alignment horizontal="center" vertical="center"/>
    </xf>
    <xf numFmtId="0" fontId="0" fillId="0" borderId="39" xfId="0" applyFont="1" applyBorder="1"/>
    <xf numFmtId="0" fontId="0" fillId="0" borderId="40" xfId="0" applyFont="1" applyBorder="1"/>
    <xf numFmtId="0" fontId="2" fillId="0" borderId="41" xfId="0" applyFont="1" applyBorder="1"/>
    <xf numFmtId="0" fontId="2" fillId="0" borderId="3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44" fontId="0" fillId="0" borderId="0" xfId="1" applyFont="1"/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wrapText="1"/>
    </xf>
    <xf numFmtId="0" fontId="2" fillId="0" borderId="3" xfId="0" applyFont="1" applyBorder="1"/>
    <xf numFmtId="0" fontId="0" fillId="0" borderId="0" xfId="0" applyFont="1" applyFill="1" applyBorder="1"/>
    <xf numFmtId="0" fontId="0" fillId="0" borderId="0" xfId="0" applyFont="1" applyAlignment="1">
      <alignment horizontal="right"/>
    </xf>
    <xf numFmtId="0" fontId="2" fillId="0" borderId="1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7" xfId="0" applyFont="1" applyBorder="1"/>
    <xf numFmtId="165" fontId="0" fillId="0" borderId="0" xfId="0" applyNumberFormat="1" applyFont="1"/>
    <xf numFmtId="44" fontId="0" fillId="0" borderId="0" xfId="1" applyFont="1" applyAlignment="1">
      <alignment horizontal="right"/>
    </xf>
    <xf numFmtId="0" fontId="2" fillId="0" borderId="18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1" xfId="0" applyFont="1" applyBorder="1"/>
    <xf numFmtId="0" fontId="2" fillId="0" borderId="28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30" xfId="0" applyFont="1" applyFill="1" applyBorder="1" applyAlignment="1">
      <alignment horizontal="center" vertical="center" wrapText="1"/>
    </xf>
    <xf numFmtId="0" fontId="0" fillId="0" borderId="15" xfId="0" applyFont="1" applyBorder="1"/>
    <xf numFmtId="0" fontId="0" fillId="0" borderId="0" xfId="0" applyFont="1" applyBorder="1"/>
    <xf numFmtId="2" fontId="0" fillId="0" borderId="0" xfId="0" applyNumberFormat="1" applyFont="1"/>
    <xf numFmtId="0" fontId="2" fillId="0" borderId="0" xfId="0" applyFont="1"/>
    <xf numFmtId="165" fontId="2" fillId="0" borderId="0" xfId="0" applyNumberFormat="1" applyFont="1"/>
    <xf numFmtId="0" fontId="2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27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0" fontId="0" fillId="0" borderId="43" xfId="2" applyNumberFormat="1" applyFont="1" applyBorder="1" applyAlignment="1">
      <alignment horizontal="center"/>
    </xf>
    <xf numFmtId="10" fontId="0" fillId="0" borderId="35" xfId="2" applyNumberFormat="1" applyFont="1" applyBorder="1" applyAlignment="1">
      <alignment horizontal="center"/>
    </xf>
    <xf numFmtId="0" fontId="0" fillId="0" borderId="42" xfId="0" applyFont="1" applyFill="1" applyBorder="1" applyAlignment="1">
      <alignment horizontal="center"/>
    </xf>
    <xf numFmtId="0" fontId="0" fillId="0" borderId="27" xfId="0" applyFont="1" applyFill="1" applyBorder="1" applyAlignment="1">
      <alignment horizontal="center"/>
    </xf>
    <xf numFmtId="0" fontId="2" fillId="5" borderId="37" xfId="0" applyFont="1" applyFill="1" applyBorder="1" applyAlignment="1">
      <alignment horizontal="center"/>
    </xf>
    <xf numFmtId="0" fontId="2" fillId="5" borderId="44" xfId="0" applyFont="1" applyFill="1" applyBorder="1" applyAlignment="1">
      <alignment horizontal="center"/>
    </xf>
    <xf numFmtId="0" fontId="2" fillId="5" borderId="38" xfId="0" applyFont="1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7" xfId="0" applyFont="1" applyFill="1" applyBorder="1" applyAlignment="1">
      <alignment horizontal="center"/>
    </xf>
    <xf numFmtId="0" fontId="0" fillId="0" borderId="38" xfId="0" applyFont="1" applyFill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Fill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4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1" fontId="0" fillId="0" borderId="0" xfId="0" applyNumberFormat="1"/>
    <xf numFmtId="0" fontId="0" fillId="0" borderId="0" xfId="0" applyBorder="1"/>
    <xf numFmtId="49" fontId="0" fillId="0" borderId="0" xfId="0" applyNumberFormat="1" applyAlignment="1">
      <alignment horizontal="center"/>
    </xf>
    <xf numFmtId="49" fontId="0" fillId="7" borderId="48" xfId="0" applyNumberFormat="1" applyFont="1" applyFill="1" applyBorder="1" applyAlignment="1">
      <alignment horizontal="center"/>
    </xf>
    <xf numFmtId="49" fontId="0" fillId="0" borderId="48" xfId="0" applyNumberFormat="1" applyFont="1" applyBorder="1" applyAlignment="1">
      <alignment horizontal="center"/>
    </xf>
    <xf numFmtId="49" fontId="0" fillId="7" borderId="46" xfId="0" applyNumberFormat="1" applyFont="1" applyFill="1" applyBorder="1" applyAlignment="1">
      <alignment horizontal="center"/>
    </xf>
    <xf numFmtId="49" fontId="4" fillId="6" borderId="45" xfId="0" applyNumberFormat="1" applyFont="1" applyFill="1" applyBorder="1" applyAlignment="1">
      <alignment horizontal="center"/>
    </xf>
    <xf numFmtId="49" fontId="4" fillId="6" borderId="20" xfId="0" applyNumberFormat="1" applyFont="1" applyFill="1" applyBorder="1" applyAlignment="1">
      <alignment horizontal="center"/>
    </xf>
    <xf numFmtId="0" fontId="0" fillId="0" borderId="0" xfId="0" applyNumberFormat="1"/>
    <xf numFmtId="0" fontId="0" fillId="7" borderId="49" xfId="0" applyNumberFormat="1" applyFont="1" applyFill="1" applyBorder="1" applyAlignment="1">
      <alignment horizontal="center"/>
    </xf>
    <xf numFmtId="0" fontId="0" fillId="0" borderId="49" xfId="0" applyNumberFormat="1" applyFont="1" applyBorder="1" applyAlignment="1">
      <alignment horizontal="center"/>
    </xf>
    <xf numFmtId="0" fontId="0" fillId="7" borderId="47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8" borderId="50" xfId="0" applyFont="1" applyFill="1" applyBorder="1"/>
    <xf numFmtId="0" fontId="0" fillId="0" borderId="50" xfId="0" applyFont="1" applyBorder="1"/>
    <xf numFmtId="9" fontId="0" fillId="0" borderId="0" xfId="2" applyFont="1"/>
    <xf numFmtId="0" fontId="0" fillId="0" borderId="44" xfId="0" applyBorder="1"/>
    <xf numFmtId="0" fontId="0" fillId="0" borderId="38" xfId="0" applyBorder="1"/>
    <xf numFmtId="0" fontId="0" fillId="0" borderId="1" xfId="0" applyBorder="1"/>
    <xf numFmtId="9" fontId="0" fillId="0" borderId="35" xfId="2" applyFont="1" applyBorder="1"/>
    <xf numFmtId="10" fontId="0" fillId="0" borderId="0" xfId="2" applyNumberFormat="1" applyFont="1"/>
    <xf numFmtId="10" fontId="0" fillId="0" borderId="43" xfId="2" applyNumberFormat="1" applyFont="1" applyBorder="1"/>
    <xf numFmtId="0" fontId="0" fillId="0" borderId="27" xfId="0" applyBorder="1"/>
    <xf numFmtId="0" fontId="0" fillId="0" borderId="35" xfId="0" applyBorder="1"/>
    <xf numFmtId="11" fontId="0" fillId="8" borderId="50" xfId="0" applyNumberFormat="1" applyFont="1" applyFill="1" applyBorder="1"/>
    <xf numFmtId="11" fontId="0" fillId="0" borderId="50" xfId="0" applyNumberFormat="1" applyFont="1" applyBorder="1"/>
    <xf numFmtId="0" fontId="0" fillId="0" borderId="0" xfId="2" applyNumberFormat="1" applyFont="1"/>
    <xf numFmtId="0" fontId="0" fillId="0" borderId="0" xfId="0" applyFill="1" applyBorder="1" applyAlignment="1">
      <alignment horizontal="left"/>
    </xf>
    <xf numFmtId="10" fontId="0" fillId="0" borderId="0" xfId="0" applyNumberFormat="1" applyFont="1"/>
    <xf numFmtId="0" fontId="0" fillId="0" borderId="42" xfId="0" applyBorder="1"/>
    <xf numFmtId="0" fontId="0" fillId="0" borderId="37" xfId="0" applyFill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2" xfId="0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27" xfId="0" applyFont="1" applyFill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10" fontId="2" fillId="0" borderId="35" xfId="2" applyNumberFormat="1" applyFont="1" applyBorder="1" applyAlignment="1">
      <alignment horizontal="center"/>
    </xf>
    <xf numFmtId="10" fontId="0" fillId="0" borderId="35" xfId="2" applyNumberFormat="1" applyFont="1" applyBorder="1"/>
    <xf numFmtId="166" fontId="0" fillId="0" borderId="0" xfId="2" applyNumberFormat="1" applyFont="1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36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0" fillId="0" borderId="37" xfId="0" applyFont="1" applyBorder="1" applyAlignment="1">
      <alignment horizontal="center"/>
    </xf>
    <xf numFmtId="0" fontId="0" fillId="0" borderId="38" xfId="0" applyFont="1" applyBorder="1" applyAlignment="1">
      <alignment horizontal="center"/>
    </xf>
    <xf numFmtId="0" fontId="2" fillId="0" borderId="36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169" fontId="0" fillId="0" borderId="0" xfId="0" applyNumberFormat="1" applyBorder="1" applyAlignment="1">
      <alignment horizontal="center"/>
    </xf>
    <xf numFmtId="169" fontId="0" fillId="0" borderId="43" xfId="0" applyNumberFormat="1" applyBorder="1" applyAlignment="1">
      <alignment horizontal="center"/>
    </xf>
    <xf numFmtId="169" fontId="0" fillId="0" borderId="0" xfId="0" applyNumberFormat="1"/>
    <xf numFmtId="173" fontId="0" fillId="0" borderId="0" xfId="0" applyNumberFormat="1" applyAlignment="1">
      <alignment horizontal="center"/>
    </xf>
    <xf numFmtId="10" fontId="0" fillId="0" borderId="0" xfId="2" applyNumberFormat="1" applyFont="1" applyAlignment="1">
      <alignment horizontal="center"/>
    </xf>
    <xf numFmtId="10" fontId="0" fillId="0" borderId="0" xfId="0" applyNumberFormat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72"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A6E-40E5-B26D-B9566184285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A6E-40E5-B26D-B9566184285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A6E-40E5-B26D-B9566184285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FA6E-40E5-B26D-B9566184285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FA6E-40E5-B26D-B95661842853}"/>
              </c:ext>
            </c:extLst>
          </c:dPt>
          <c:dLbls>
            <c:numFmt formatCode="0.00%" sourceLinked="0"/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Results!$B$27:$B$31</c:f>
              <c:strCache>
                <c:ptCount val="5"/>
                <c:pt idx="0">
                  <c:v>Hickam</c:v>
                </c:pt>
                <c:pt idx="1">
                  <c:v>Cheyenne</c:v>
                </c:pt>
                <c:pt idx="2">
                  <c:v>Qatar</c:v>
                </c:pt>
                <c:pt idx="3">
                  <c:v>Langley</c:v>
                </c:pt>
                <c:pt idx="4">
                  <c:v>Ramstein</c:v>
                </c:pt>
              </c:strCache>
            </c:strRef>
          </c:cat>
          <c:val>
            <c:numRef>
              <c:f>Results!$D$27:$D$31</c:f>
              <c:numCache>
                <c:formatCode>0.00%</c:formatCode>
                <c:ptCount val="5"/>
                <c:pt idx="0">
                  <c:v>0.40721649484536082</c:v>
                </c:pt>
                <c:pt idx="1">
                  <c:v>0.10824742268041238</c:v>
                </c:pt>
                <c:pt idx="2">
                  <c:v>0.15463917525773196</c:v>
                </c:pt>
                <c:pt idx="3">
                  <c:v>0.15463917525773196</c:v>
                </c:pt>
                <c:pt idx="4">
                  <c:v>0.17525773195876287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977-4DD5-A49C-07F9C820478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B-FA6E-40E5-B26D-B95661842853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D-FA6E-40E5-B26D-B95661842853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F-FA6E-40E5-B26D-B95661842853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1-FA6E-40E5-B26D-B95661842853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3-FA6E-40E5-B26D-B95661842853}"/>
                    </c:ext>
                  </c:extLst>
                </c:dPt>
                <c:dLbls>
                  <c:spPr>
                    <a:pattFill prst="pct75">
                      <a:fgClr>
                        <a:schemeClr val="dk1">
                          <a:lumMod val="75000"/>
                          <a:lumOff val="25000"/>
                        </a:schemeClr>
                      </a:fgClr>
                      <a:bgClr>
                        <a:schemeClr val="dk1">
                          <a:lumMod val="65000"/>
                          <a:lumOff val="35000"/>
                        </a:schemeClr>
                      </a:bgClr>
                    </a:pattFill>
                    <a:ln>
                      <a:noFill/>
                    </a:ln>
                    <a:effectLst>
                      <a:outerShdw blurRad="50800" dist="38100" dir="2700000" algn="tl" rotWithShape="0">
                        <a:prstClr val="black">
                          <a:alpha val="40000"/>
                        </a:prstClr>
                      </a:outerShdw>
                    </a:effectLst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dk1">
                            <a:lumMod val="50000"/>
                            <a:lumOff val="50000"/>
                          </a:schemeClr>
                        </a:solidFill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Results!$B$27:$B$31</c15:sqref>
                        </c15:formulaRef>
                      </c:ext>
                    </c:extLst>
                    <c:strCache>
                      <c:ptCount val="5"/>
                      <c:pt idx="0">
                        <c:v>Hickam</c:v>
                      </c:pt>
                      <c:pt idx="1">
                        <c:v>Cheyenne</c:v>
                      </c:pt>
                      <c:pt idx="2">
                        <c:v>Qatar</c:v>
                      </c:pt>
                      <c:pt idx="3">
                        <c:v>Langley</c:v>
                      </c:pt>
                      <c:pt idx="4">
                        <c:v>Ramstein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Results!$C$27:$C$31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3950</c:v>
                      </c:pt>
                      <c:pt idx="1">
                        <c:v>1050</c:v>
                      </c:pt>
                      <c:pt idx="2">
                        <c:v>1500</c:v>
                      </c:pt>
                      <c:pt idx="3">
                        <c:v>1500</c:v>
                      </c:pt>
                      <c:pt idx="4">
                        <c:v>1700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C977-4DD5-A49C-07F9C8204785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38C-4186-9C94-494389E91EF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38C-4186-9C94-494389E91EF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38C-4186-9C94-494389E91EF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38C-4186-9C94-494389E91EF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38C-4186-9C94-494389E91EF7}"/>
              </c:ext>
            </c:extLst>
          </c:dPt>
          <c:dLbls>
            <c:numFmt formatCode="0.00%" sourceLinked="0"/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Results!$B$36:$B$40</c:f>
              <c:strCache>
                <c:ptCount val="5"/>
                <c:pt idx="0">
                  <c:v>Hickam</c:v>
                </c:pt>
                <c:pt idx="1">
                  <c:v>Cheyenne</c:v>
                </c:pt>
                <c:pt idx="2">
                  <c:v>Qatar</c:v>
                </c:pt>
                <c:pt idx="3">
                  <c:v>Langley</c:v>
                </c:pt>
                <c:pt idx="4">
                  <c:v>Ramstein</c:v>
                </c:pt>
              </c:strCache>
            </c:strRef>
          </c:cat>
          <c:val>
            <c:numRef>
              <c:f>Results!$D$36:$D$40</c:f>
              <c:numCache>
                <c:formatCode>0.00%</c:formatCode>
                <c:ptCount val="5"/>
                <c:pt idx="0">
                  <c:v>0.40728568788728059</c:v>
                </c:pt>
                <c:pt idx="1">
                  <c:v>0.10821721878154182</c:v>
                </c:pt>
                <c:pt idx="2">
                  <c:v>0.15471326729437668</c:v>
                </c:pt>
                <c:pt idx="3">
                  <c:v>0.15446705372996797</c:v>
                </c:pt>
                <c:pt idx="4">
                  <c:v>0.17531677230683296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38C-4186-9C94-494389E91EF7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C-738C-4186-9C94-494389E91EF7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E-738C-4186-9C94-494389E91EF7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0-738C-4186-9C94-494389E91EF7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2-738C-4186-9C94-494389E91EF7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4-738C-4186-9C94-494389E91EF7}"/>
                    </c:ext>
                  </c:extLst>
                </c:dPt>
                <c:dLbls>
                  <c:spPr>
                    <a:pattFill prst="pct75">
                      <a:fgClr>
                        <a:schemeClr val="dk1">
                          <a:lumMod val="75000"/>
                          <a:lumOff val="25000"/>
                        </a:schemeClr>
                      </a:fgClr>
                      <a:bgClr>
                        <a:schemeClr val="dk1">
                          <a:lumMod val="65000"/>
                          <a:lumOff val="35000"/>
                        </a:schemeClr>
                      </a:bgClr>
                    </a:pattFill>
                    <a:ln>
                      <a:noFill/>
                    </a:ln>
                    <a:effectLst>
                      <a:outerShdw blurRad="50800" dist="38100" dir="2700000" algn="tl" rotWithShape="0">
                        <a:prstClr val="black">
                          <a:alpha val="40000"/>
                        </a:prstClr>
                      </a:outerShdw>
                    </a:effectLst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dk1">
                            <a:lumMod val="50000"/>
                            <a:lumOff val="50000"/>
                          </a:schemeClr>
                        </a:solidFill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Results!$B$36:$B$40</c15:sqref>
                        </c15:formulaRef>
                      </c:ext>
                    </c:extLst>
                    <c:strCache>
                      <c:ptCount val="5"/>
                      <c:pt idx="0">
                        <c:v>Hickam</c:v>
                      </c:pt>
                      <c:pt idx="1">
                        <c:v>Cheyenne</c:v>
                      </c:pt>
                      <c:pt idx="2">
                        <c:v>Qatar</c:v>
                      </c:pt>
                      <c:pt idx="3">
                        <c:v>Langley</c:v>
                      </c:pt>
                      <c:pt idx="4">
                        <c:v>Ramstein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Results!$C$36:$C$40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9481856</c:v>
                      </c:pt>
                      <c:pt idx="1">
                        <c:v>2519362</c:v>
                      </c:pt>
                      <c:pt idx="2">
                        <c:v>3601818</c:v>
                      </c:pt>
                      <c:pt idx="3">
                        <c:v>3596086</c:v>
                      </c:pt>
                      <c:pt idx="4">
                        <c:v>4081480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5-738C-4186-9C94-494389E91EF7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600074</xdr:colOff>
      <xdr:row>9</xdr:row>
      <xdr:rowOff>19049</xdr:rowOff>
    </xdr:from>
    <xdr:to>
      <xdr:col>12</xdr:col>
      <xdr:colOff>114299</xdr:colOff>
      <xdr:row>28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5FB2D08-1E17-4429-B736-BF30BC985C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590550</xdr:colOff>
      <xdr:row>30</xdr:row>
      <xdr:rowOff>9525</xdr:rowOff>
    </xdr:from>
    <xdr:to>
      <xdr:col>12</xdr:col>
      <xdr:colOff>104775</xdr:colOff>
      <xdr:row>49</xdr:row>
      <xdr:rowOff>171451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5AD90D6-7496-4E23-A69B-07390A6460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342900</xdr:colOff>
      <xdr:row>9</xdr:row>
      <xdr:rowOff>142875</xdr:rowOff>
    </xdr:from>
    <xdr:to>
      <xdr:col>9</xdr:col>
      <xdr:colOff>238126</xdr:colOff>
      <xdr:row>28</xdr:row>
      <xdr:rowOff>57150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5CF4E03A-0350-4AFA-B0B8-F59CB0D5EF87}"/>
            </a:ext>
          </a:extLst>
        </xdr:cNvPr>
        <xdr:cNvSpPr/>
      </xdr:nvSpPr>
      <xdr:spPr>
        <a:xfrm>
          <a:off x="2171700" y="1857375"/>
          <a:ext cx="3552826" cy="3533775"/>
        </a:xfrm>
        <a:prstGeom prst="rect">
          <a:avLst/>
        </a:prstGeom>
        <a:noFill/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333375</xdr:colOff>
      <xdr:row>30</xdr:row>
      <xdr:rowOff>133350</xdr:rowOff>
    </xdr:from>
    <xdr:to>
      <xdr:col>9</xdr:col>
      <xdr:colOff>228601</xdr:colOff>
      <xdr:row>49</xdr:row>
      <xdr:rowOff>104775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35CEEED0-E0BF-49E1-8129-C03334B3B1B3}"/>
            </a:ext>
          </a:extLst>
        </xdr:cNvPr>
        <xdr:cNvSpPr/>
      </xdr:nvSpPr>
      <xdr:spPr>
        <a:xfrm>
          <a:off x="2162175" y="5848350"/>
          <a:ext cx="3552826" cy="3590925"/>
        </a:xfrm>
        <a:prstGeom prst="rect">
          <a:avLst/>
        </a:prstGeom>
        <a:noFill/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FC3AAE0-4BE7-4E53-94DE-EC54E2698D0C}" name="Table14" displayName="Table14" ref="M3:R24" totalsRowCount="1" headerRowDxfId="71">
  <autoFilter ref="M3:R23" xr:uid="{81BE867B-F114-4D4C-A4BB-177FDE524532}"/>
  <tableColumns count="6">
    <tableColumn id="1" xr3:uid="{4074303E-CB20-4CDD-828D-C5D8DBC11B3A}" name="Source"/>
    <tableColumn id="2" xr3:uid="{BDE88FC3-97D2-49AF-B7FF-9279EF17404E}" name="Destination" dataDxfId="70" totalsRowDxfId="69"/>
    <tableColumn id="3" xr3:uid="{89CD024F-2284-4501-866B-35C2BCB50C4E}" name="% of Total Load" dataDxfId="68" totalsRowDxfId="67" dataCellStyle="Percent">
      <calculatedColumnFormula>SUMIFS(nodeTime[Count],nodeTime[Source],Results!M4,nodeTime[Destination],Results!N4)/(SUM(nodeTime[Count]) -$U$15)</calculatedColumnFormula>
    </tableColumn>
    <tableColumn id="4" xr3:uid="{D366582D-8B09-4DC6-A026-F75B6567D79A}" name="% Difference (Load)" dataDxfId="66" totalsRowDxfId="65" dataCellStyle="Percent">
      <calculatedColumnFormula>ABS(Table14[[#This Row],[% of Total Load]]-I4)/I4</calculatedColumnFormula>
    </tableColumn>
    <tableColumn id="6" xr3:uid="{15BE1CD0-D053-496D-94A0-76432F90C493}" name="Nodetime" dataDxfId="64" dataCellStyle="Percent">
      <calculatedColumnFormula>AVERAGEIFS(nodeTime[Mean], nodeTime[Source],Table14[[#This Row],[Source]], nodeTime[Destination],Table14[[#This Row],[Destination]])</calculatedColumnFormula>
    </tableColumn>
    <tableColumn id="7" xr3:uid="{259A930B-CAA2-4458-A02B-D855C5BA1E70}" name="% Diff (nodeTime)" dataDxfId="63" dataCellStyle="Percent">
      <calculatedColumnFormula>ABS(G4-Table14[[#This Row],[Nodetime]])/G4</calculatedColumnFormula>
    </tableColumn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3FCE223-C18E-426F-A563-7DC82394037C}" name="nodeTime" displayName="nodeTime" ref="B8:I81" totalsRowCount="1">
  <autoFilter ref="B8:I80" xr:uid="{74CAD309-BD01-4C6B-A562-2078AC99BE4A}"/>
  <tableColumns count="8">
    <tableColumn id="1" xr3:uid="{C60F914F-240F-4F3B-8F34-449EC07A1A1B}" name="Run"/>
    <tableColumn id="2" xr3:uid="{D5E95B1F-2A77-4AAC-9A43-64D6E49DDF69}" name="Source"/>
    <tableColumn id="3" xr3:uid="{9FFE6BDF-1F2C-4367-9C45-DE3F617D0EDE}" name="Destination">
      <calculatedColumnFormula>INDEX($T$3:$T$7,_xlfn.NUMBERVALUE(MID(E9, LEN(E9)-1, 1))+1)</calculatedColumnFormula>
    </tableColumn>
    <tableColumn id="4" xr3:uid="{F72FCD8F-A03A-4C24-829C-CECBCF0AE2D2}" name="Module"/>
    <tableColumn id="5" xr3:uid="{D5661DF2-B8BF-49D8-91B4-BFDBD9AEC141}" name="Count"/>
    <tableColumn id="6" xr3:uid="{813CE13C-5B38-4CFA-AE63-65C2C5AEA0EC}" name="Mean"/>
    <tableColumn id="7" xr3:uid="{22C24CF2-4093-4E0F-9A90-F983C90ACDB2}" name="StdDev"/>
    <tableColumn id="8" xr3:uid="{33F74843-78E2-417A-ADF1-F659721E7AEA}" name="Traffic Load" dataDxfId="62" totalsRowDxfId="61">
      <calculatedColumnFormula>nodeTime[[#This Row],[Count]]/SUM(nodeTime[Count])</calculatedColumnFormula>
    </tableColumn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50EC31D-F379-43A5-A134-63422AB43408}" name="Table11" displayName="Table11" ref="L8:R24" totalsRowCount="1">
  <autoFilter ref="L8:R23" xr:uid="{61E37AD5-1EE4-4FA1-B3EF-DC09EEF07F73}"/>
  <tableColumns count="7">
    <tableColumn id="1" xr3:uid="{F3556FC2-D36F-47D1-9E2D-8251DE0DC1EC}" name="Run"/>
    <tableColumn id="2" xr3:uid="{7A882D02-E764-400E-8D00-21F1A3F99A94}" name="Destination">
      <calculatedColumnFormula>INDEX($T$3:$T$7,_xlfn.NUMBERVALUE(MID(N9, LEN(N9)-1, 1))+1)</calculatedColumnFormula>
    </tableColumn>
    <tableColumn id="3" xr3:uid="{1FACDAC9-9D6F-45D0-8A21-21B5FE867F95}" name="Module"/>
    <tableColumn id="4" xr3:uid="{4A76C316-66FF-42E6-B8CC-0C9853C8164D}" name="Count"/>
    <tableColumn id="5" xr3:uid="{F6A37583-284C-40D3-8815-656BE9F6E4D8}" name="Mean"/>
    <tableColumn id="6" xr3:uid="{184740A6-CC34-47A0-A8C3-C4F2040D5682}" name="Std.Dev"/>
    <tableColumn id="7" xr3:uid="{751989D3-2A8F-449E-9C8C-E15FBA2806E8}" name="Traffic Load" dataDxfId="60" totalsRowDxfId="59">
      <calculatedColumnFormula>Table11[[#This Row],[Count]]/(SUM(Table11[Count]))</calculatedColumnFormula>
    </tableColumn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B4F150-41CC-40C4-ADD3-B243E12F3B03}" name="Table1" displayName="Table1" ref="L26:N32" totalsRowShown="0" headerRowDxfId="58" dataDxfId="57">
  <autoFilter ref="L26:N32" xr:uid="{BAC9D747-6E07-49F8-82DD-915ACC068DC4}"/>
  <tableColumns count="3">
    <tableColumn id="1" xr3:uid="{DF4379DE-F820-4EF2-B475-DB2F33D60134}" name="Destination" dataDxfId="56"/>
    <tableColumn id="2" xr3:uid="{D3362840-216A-4F6C-965C-A907C7F36A5C}" name="Column1" dataDxfId="55"/>
    <tableColumn id="3" xr3:uid="{8B9894CC-D53F-41DA-B409-9254F37E3212}" name="Lifetime" dataDxfId="54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17DFD5-5479-40C3-838C-A6D9C57B476F}" name="nodeTIme_max" displayName="nodeTIme_max" ref="C9:F81" totalsRowShown="0" headerRowDxfId="53" dataDxfId="52">
  <autoFilter ref="C9:F81" xr:uid="{C67040EA-B96D-4876-8CE2-3FDBCCDEC41F}"/>
  <sortState ref="C10:F81">
    <sortCondition descending="1" ref="F9:F81"/>
  </sortState>
  <tableColumns count="4">
    <tableColumn id="1" xr3:uid="{960E7CED-0614-48BE-A349-EDF199EE7FAF}" name="Run" dataDxfId="51"/>
    <tableColumn id="2" xr3:uid="{27FF7AE6-0BE0-4CDB-8717-E9DCB2C0BCA2}" name="Source" dataDxfId="50"/>
    <tableColumn id="3" xr3:uid="{B6808111-1E09-4DEE-9D27-9A4E54945FB2}" name="Destination" dataDxfId="49"/>
    <tableColumn id="4" xr3:uid="{6A8B807F-A079-431C-8E3C-8A0366F9AB59}" name="max nodeTime" dataDxfId="48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DA53B3-BE84-45E8-9617-9CBA946BBE4F}" name="nodeTime_mean" displayName="nodeTime_mean" ref="I9:M81" totalsRowShown="0" headerRowDxfId="47" dataDxfId="46">
  <autoFilter ref="I9:M81" xr:uid="{5DD84A8C-34E1-4AC5-ADDD-1294BF53CAAE}"/>
  <sortState ref="I10:M81">
    <sortCondition ref="J10:J81" customList="Hickam,Cheyenne,Qatar,Langley,Ramstein"/>
    <sortCondition ref="K10:K81" customList="Hickam,Cheyenne,Qatar,Langley,Ramstein"/>
    <sortCondition ref="I10:I81"/>
  </sortState>
  <tableColumns count="5">
    <tableColumn id="1" xr3:uid="{19132D78-9CB2-4090-B9DC-2614F67F1A8D}" name="Run" dataDxfId="45"/>
    <tableColumn id="2" xr3:uid="{7591ABED-5E41-44EB-9966-264B4590FD64}" name="Source" dataDxfId="44"/>
    <tableColumn id="3" xr3:uid="{3FC1EE4B-FCC5-412E-A9BE-1EBA7B6407DD}" name="Destination" dataDxfId="43"/>
    <tableColumn id="4" xr3:uid="{8A4E59ED-92A3-4089-919F-F8DBDA941181}" name="Module" dataDxfId="42"/>
    <tableColumn id="5" xr3:uid="{36F573F6-4361-4236-9D4B-A1E90C2BCBE7}" name="mean nodeTime" dataDxfId="41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CE110E7-42FB-461C-B180-28EEC2885C6D}" name="lifetime_max" displayName="lifetime_max" ref="O9:S24" totalsRowShown="0" headerRowDxfId="40" dataDxfId="39">
  <autoFilter ref="O9:S24" xr:uid="{49F5038A-0B32-432D-A7C5-1C7B7EA7E4A7}"/>
  <sortState ref="O10:R24">
    <sortCondition ref="P9:P24"/>
  </sortState>
  <tableColumns count="5">
    <tableColumn id="1" xr3:uid="{D442E4AC-C426-4A85-89DB-C8E9048B3D56}" name="Run" dataDxfId="38"/>
    <tableColumn id="2" xr3:uid="{8844E6AE-8199-45F1-8B2C-B12EA85042CA}" name="Destination" dataDxfId="37">
      <calculatedColumnFormula>INDEX($C$3:$C$7,MID(Q10, LEN(Q10)-1,1)+1)</calculatedColumnFormula>
    </tableColumn>
    <tableColumn id="3" xr3:uid="{39E11BCD-BFC6-4655-BBFA-A228E12C9A03}" name="Column1" dataDxfId="36"/>
    <tableColumn id="4" xr3:uid="{5E36B4FE-855D-4F96-8B11-6A8BF0891A56}" name="Max Lifetime" dataDxfId="35"/>
    <tableColumn id="5" xr3:uid="{99BAB82E-661E-4F3B-A39F-792ABB78B3E8}" name="Max" dataDxfId="7">
      <calculatedColumnFormula>lifetime_max[[#This Row],[Max Lifetime]]*1000</calculatedColumnFormula>
    </tableColumn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C422C57-4083-4E0D-AD31-3EDBBDA44BB9}" name="lifetime_mean" displayName="lifetime_mean" ref="O27:R42" totalsRowShown="0" headerRowDxfId="34" dataDxfId="33">
  <autoFilter ref="O27:R42" xr:uid="{5F555C64-3EEB-4510-811D-39D22E6AA4F6}"/>
  <sortState ref="O28:R42">
    <sortCondition ref="P28:P42" customList="Hickam,Cheyenne,Qatar,Langley,Ramstein"/>
    <sortCondition ref="O28:O42"/>
  </sortState>
  <tableColumns count="4">
    <tableColumn id="1" xr3:uid="{313A4356-581D-4528-9135-FA3EA84937C4}" name="Run" dataDxfId="32"/>
    <tableColumn id="2" xr3:uid="{D99D03E9-3ACD-44C1-BD68-E33A4138D870}" name="Destination" dataDxfId="31">
      <calculatedColumnFormula>INDEX($C$3:$C$7,MID(Q28, LEN(Q28)-1,1)+1)</calculatedColumnFormula>
    </tableColumn>
    <tableColumn id="3" xr3:uid="{BE2D8887-C720-4BA8-8BCD-70CB5A640D8F}" name="Column1" dataDxfId="30"/>
    <tableColumn id="4" xr3:uid="{43A2A936-C59A-4648-9C17-B7794AE059C1}" name="Mean Lifetime" dataDxfId="29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2CEC84C-D2B2-4A45-A1D8-981DB6FB7DDD}" name="qlen_max" displayName="qlen_max" ref="U9:Y81" totalsRowShown="0" headerRowDxfId="28" dataDxfId="27">
  <autoFilter ref="U9:Y81" xr:uid="{0B3F223D-CB34-4BA6-8D6D-32A8D64A6E1E}"/>
  <sortState ref="U10:Y81">
    <sortCondition descending="1" ref="Y9:Y81"/>
  </sortState>
  <tableColumns count="5">
    <tableColumn id="1" xr3:uid="{C93C6535-E1F1-4E6C-81A5-28003228E217}" name="Run" dataDxfId="26"/>
    <tableColumn id="2" xr3:uid="{294945B7-314B-45AD-90B8-98966E2CFCE3}" name="Source" dataDxfId="25"/>
    <tableColumn id="3" xr3:uid="{37067FED-484E-4982-BA6D-0CC9F510508B}" name="Destination" dataDxfId="24">
      <calculatedColumnFormula>INDEX($C$3:$C$7,MID(X10, LEN(X10)-1,1)+1)</calculatedColumnFormula>
    </tableColumn>
    <tableColumn id="4" xr3:uid="{4084C8B3-CF2B-4016-85FD-043450AE9656}" name="Module" dataDxfId="23"/>
    <tableColumn id="5" xr3:uid="{B9664274-E942-43EA-96DB-E8E0B6AD90D1}" name="Max qLen" dataDxfId="22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295B6A5-0B72-4105-80B1-07DEAF9E394A}" name="qlen_mean" displayName="qlen_mean" ref="AA9:AE81" totalsRowShown="0" headerRowDxfId="21" dataDxfId="20">
  <autoFilter ref="AA9:AE81" xr:uid="{2B7C465D-E6FD-4C7A-98E4-DE4610899933}"/>
  <sortState ref="AA10:AE81">
    <sortCondition descending="1" ref="AE9:AE81"/>
  </sortState>
  <tableColumns count="5">
    <tableColumn id="1" xr3:uid="{9BA6B383-A909-4F2D-BAD5-519B1A94B12C}" name="Run" dataDxfId="19"/>
    <tableColumn id="2" xr3:uid="{3DC10029-79CB-4C0B-A20D-412752C56CE5}" name="Source" dataDxfId="18"/>
    <tableColumn id="3" xr3:uid="{5D31766B-2AEC-429D-8BFD-40ADE8B8B53E}" name="Destination" dataDxfId="17">
      <calculatedColumnFormula>INDEX($C$3:$C$7,MID(AD10, LEN(AD10)-1,1)+1)</calculatedColumnFormula>
    </tableColumn>
    <tableColumn id="4" xr3:uid="{BDE4C249-FCE6-4C0B-AC37-0A3FA700879F}" name="Module" dataDxfId="16"/>
    <tableColumn id="5" xr3:uid="{B1D41B69-DAC7-460A-A544-388F513A8E89}" name="mean qLen" dataDxfId="15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91CF26E-8717-44A7-8B13-E702F2429DB7}" name="queueTime_max" displayName="queueTime_max" ref="AG9:AK81" totalsRowShown="0" headerRowDxfId="14" dataDxfId="13">
  <autoFilter ref="AG9:AK81" xr:uid="{C0C1A082-241A-417F-9ECB-AEAC3A7B804A}"/>
  <sortState ref="AG10:AK81">
    <sortCondition descending="1" ref="AK9:AK81"/>
  </sortState>
  <tableColumns count="5">
    <tableColumn id="1" xr3:uid="{CC61096C-C1BB-4529-98FE-329C9C288C76}" name="Run" dataDxfId="12"/>
    <tableColumn id="2" xr3:uid="{A61AC8CD-4F7A-452E-B6A4-1B3C9AD775CC}" name="Source" dataDxfId="11"/>
    <tableColumn id="3" xr3:uid="{860C40C6-921F-41B0-8CBB-ECBBF8894FD3}" name="Destination" dataDxfId="10">
      <calculatedColumnFormula>INDEX($C$3:$C$7,MID(AJ10, LEN(AJ10)-1,1)+1)</calculatedColumnFormula>
    </tableColumn>
    <tableColumn id="4" xr3:uid="{D555292C-9232-41D8-85DF-BE6A52FCEEBC}" name="Module" dataDxfId="9"/>
    <tableColumn id="5" xr3:uid="{81ADB2BD-23AA-486B-8782-C9EF9248D679}" name="max Queue Time" dataDxfId="8"/>
  </tableColumns>
  <tableStyleInfo name="TableStyleMedium4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B5F0FEB-E54B-4E61-9358-1AFE13A6DB20}" name="queueTime_mean" displayName="queueTime_mean" ref="AM9:AQ81" totalsRowShown="0" headerRowDxfId="6" dataDxfId="5">
  <autoFilter ref="AM9:AQ81" xr:uid="{FD0A9CF9-C109-432C-BE2F-6BD1F549C7C4}"/>
  <sortState ref="AM10:AQ81">
    <sortCondition ref="AN10:AN81" customList="Hickam,Cheyenne,Qatar,Langley,Ramstein"/>
    <sortCondition ref="AO10:AO81" customList="Hickam,Cheyenne,Qatar,Langley,Ramstein"/>
    <sortCondition ref="AM10:AM81"/>
  </sortState>
  <tableColumns count="5">
    <tableColumn id="1" xr3:uid="{BF4714CF-4742-4C95-809E-2FD7FC2B7677}" name="Run" dataDxfId="4"/>
    <tableColumn id="2" xr3:uid="{61AE04CE-FD31-46FF-9D5B-C748F50A33B0}" name="Source" dataDxfId="3"/>
    <tableColumn id="3" xr3:uid="{7CE7D5EF-1FC4-480B-9AAD-3335CAF8763B}" name="Destination" dataDxfId="2">
      <calculatedColumnFormula>INDEX($C$3:$C$7,MID(AP10, LEN(AP10)-1,1)+1)</calculatedColumnFormula>
    </tableColumn>
    <tableColumn id="4" xr3:uid="{5515CEB7-F2B3-4CDA-9274-90DA91E7068E}" name="Module" dataDxfId="1"/>
    <tableColumn id="5" xr3:uid="{3112384F-6F51-4780-BB4C-049A7966918A}" name="mean Queue Tim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.xml"/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Relationship Id="rId9" Type="http://schemas.openxmlformats.org/officeDocument/2006/relationships/table" Target="../tables/table1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4601-457C-40E1-BA95-B847C49CAA18}">
  <dimension ref="B2:Y50"/>
  <sheetViews>
    <sheetView zoomScale="80" zoomScaleNormal="80" workbookViewId="0">
      <selection activeCell="K46" sqref="K46"/>
    </sheetView>
  </sheetViews>
  <sheetFormatPr defaultRowHeight="15" x14ac:dyDescent="0.25"/>
  <cols>
    <col min="2" max="2" width="10.140625" bestFit="1" customWidth="1"/>
    <col min="3" max="3" width="14.28515625" customWidth="1"/>
    <col min="5" max="5" width="11.28515625" bestFit="1" customWidth="1"/>
    <col min="6" max="6" width="10.5703125" customWidth="1"/>
    <col min="7" max="7" width="22.5703125" bestFit="1" customWidth="1"/>
    <col min="8" max="8" width="13.85546875" customWidth="1"/>
    <col min="9" max="9" width="11.5703125" customWidth="1"/>
    <col min="10" max="10" width="11.85546875" bestFit="1" customWidth="1"/>
    <col min="11" max="11" width="21.5703125" bestFit="1" customWidth="1"/>
    <col min="12" max="12" width="12.42578125" bestFit="1" customWidth="1"/>
    <col min="13" max="13" width="19.28515625" bestFit="1" customWidth="1"/>
    <col min="14" max="14" width="13.42578125" customWidth="1"/>
    <col min="15" max="15" width="19" bestFit="1" customWidth="1"/>
    <col min="16" max="16" width="23.28515625" bestFit="1" customWidth="1"/>
    <col min="17" max="17" width="14.5703125" bestFit="1" customWidth="1"/>
    <col min="18" max="18" width="23.5703125" bestFit="1" customWidth="1"/>
    <col min="21" max="21" width="9.28515625" bestFit="1" customWidth="1"/>
    <col min="22" max="22" width="27" bestFit="1" customWidth="1"/>
    <col min="24" max="24" width="14.85546875" bestFit="1" customWidth="1"/>
  </cols>
  <sheetData>
    <row r="2" spans="2:25" ht="15.75" thickBot="1" x14ac:dyDescent="0.3">
      <c r="B2" s="142" t="s">
        <v>85</v>
      </c>
      <c r="C2" s="142"/>
      <c r="D2" s="142"/>
      <c r="E2" s="142"/>
      <c r="F2" s="142"/>
      <c r="G2" s="142"/>
      <c r="H2" s="142"/>
      <c r="I2" s="142"/>
      <c r="J2" s="142"/>
      <c r="K2" s="142"/>
      <c r="M2" t="s">
        <v>161</v>
      </c>
      <c r="S2" t="s">
        <v>163</v>
      </c>
    </row>
    <row r="3" spans="2:25" x14ac:dyDescent="0.25">
      <c r="B3" s="153" t="s">
        <v>3</v>
      </c>
      <c r="C3" s="154" t="s">
        <v>4</v>
      </c>
      <c r="D3" s="154" t="s">
        <v>12</v>
      </c>
      <c r="E3" s="154" t="s">
        <v>13</v>
      </c>
      <c r="F3" s="154" t="s">
        <v>14</v>
      </c>
      <c r="G3" s="154" t="s">
        <v>83</v>
      </c>
      <c r="H3" s="154" t="s">
        <v>84</v>
      </c>
      <c r="I3" s="154" t="s">
        <v>86</v>
      </c>
      <c r="J3" s="154" t="s">
        <v>87</v>
      </c>
      <c r="K3" s="155" t="s">
        <v>97</v>
      </c>
      <c r="M3" s="143" t="s">
        <v>3</v>
      </c>
      <c r="N3" s="143" t="s">
        <v>4</v>
      </c>
      <c r="O3" s="143" t="s">
        <v>164</v>
      </c>
      <c r="P3" s="143" t="s">
        <v>165</v>
      </c>
      <c r="Q3" s="143" t="s">
        <v>168</v>
      </c>
      <c r="R3" s="143" t="s">
        <v>170</v>
      </c>
      <c r="T3" t="s">
        <v>142</v>
      </c>
      <c r="U3" s="182">
        <v>199795</v>
      </c>
      <c r="V3" s="182" t="s">
        <v>32</v>
      </c>
      <c r="W3" s="182" t="s">
        <v>118</v>
      </c>
      <c r="X3" s="193">
        <v>5.7094525588815897E-4</v>
      </c>
    </row>
    <row r="4" spans="2:25" x14ac:dyDescent="0.25">
      <c r="B4" s="145" t="s">
        <v>23</v>
      </c>
      <c r="C4" s="143" t="s">
        <v>26</v>
      </c>
      <c r="D4" s="143">
        <v>200</v>
      </c>
      <c r="E4" s="143">
        <v>776</v>
      </c>
      <c r="F4" s="143">
        <v>0.34722222222222221</v>
      </c>
      <c r="G4" s="143">
        <f t="shared" ref="G4:G23" si="0">1/(E4-D4)</f>
        <v>1.736111111111111E-3</v>
      </c>
      <c r="H4" s="143">
        <v>1.9736111111111111E-2</v>
      </c>
      <c r="I4" s="148">
        <f>D4/$C$32</f>
        <v>2.0618556701030927E-2</v>
      </c>
      <c r="J4" s="148">
        <f>D4/$C$27</f>
        <v>5.0632911392405063E-2</v>
      </c>
      <c r="K4" s="156">
        <f>I4*H4</f>
        <v>4.0693012600229091E-4</v>
      </c>
      <c r="M4" t="s">
        <v>23</v>
      </c>
      <c r="N4" s="143" t="s">
        <v>26</v>
      </c>
      <c r="O4" s="189">
        <f>SUMIFS(nodeTime[Count],nodeTime[Source],Results!M4,nodeTime[Destination],Results!N4)/(SUM(nodeTime[Count]) -$U$15)</f>
        <v>2.0585979692449533E-2</v>
      </c>
      <c r="P4" s="189">
        <f>ABS(Table14[[#This Row],[% of Total Load]]-I4)/I4</f>
        <v>1.5799849161976538E-3</v>
      </c>
      <c r="Q4" s="195">
        <f>AVERAGEIFS(nodeTime[Mean], nodeTime[Source],Table14[[#This Row],[Source]], nodeTime[Destination],Table14[[#This Row],[Destination]])</f>
        <v>1.7269536304314601E-3</v>
      </c>
      <c r="R4" s="189">
        <f>ABS(G4-Table14[[#This Row],[Nodetime]])/G4</f>
        <v>5.2747088714789198E-3</v>
      </c>
      <c r="T4" t="s">
        <v>142</v>
      </c>
      <c r="U4" s="183">
        <v>200669</v>
      </c>
      <c r="V4" s="183" t="s">
        <v>32</v>
      </c>
      <c r="W4" s="183" t="s">
        <v>118</v>
      </c>
      <c r="X4" s="194">
        <v>5.7286159413411596E-4</v>
      </c>
    </row>
    <row r="5" spans="2:25" x14ac:dyDescent="0.25">
      <c r="B5" s="145" t="s">
        <v>23</v>
      </c>
      <c r="C5" s="143" t="s">
        <v>29</v>
      </c>
      <c r="D5" s="143">
        <v>2500</v>
      </c>
      <c r="E5" s="143">
        <v>2551.6799999999998</v>
      </c>
      <c r="F5" s="143">
        <v>48.37461300309613</v>
      </c>
      <c r="G5" s="143">
        <f t="shared" si="0"/>
        <v>1.934984520123845E-2</v>
      </c>
      <c r="H5" s="143">
        <v>6.6016511867905123E-2</v>
      </c>
      <c r="I5" s="148">
        <f t="shared" ref="I5:I23" si="1">D5/$C$32</f>
        <v>0.25773195876288657</v>
      </c>
      <c r="J5" s="148">
        <f>D5/$C$27</f>
        <v>0.63291139240506333</v>
      </c>
      <c r="K5" s="156">
        <f>I5*H5</f>
        <v>1.7014564914408534E-2</v>
      </c>
      <c r="M5" t="s">
        <v>23</v>
      </c>
      <c r="N5" s="143" t="s">
        <v>29</v>
      </c>
      <c r="O5" s="189">
        <f>SUMIFS(nodeTime[Count],nodeTime[Source],Results!M5,nodeTime[Destination],Results!N5)/(SUM(nodeTime[Count]) -$U$15)</f>
        <v>0.25768959926379909</v>
      </c>
      <c r="P5" s="189">
        <f>ABS(Table14[[#This Row],[% of Total Load]]-I5)/I5</f>
        <v>1.6435485645944326E-4</v>
      </c>
      <c r="Q5" s="195">
        <f>AVERAGEIFS(nodeTime[Mean], nodeTime[Source],Table14[[#This Row],[Source]], nodeTime[Destination],Table14[[#This Row],[Destination]])</f>
        <v>2.0268186983102301E-2</v>
      </c>
      <c r="R5" s="189">
        <f>ABS(G5-Table14[[#This Row],[Nodetime]])/G5</f>
        <v>4.7459903286723677E-2</v>
      </c>
      <c r="T5" t="s">
        <v>142</v>
      </c>
      <c r="U5" s="182">
        <v>200590</v>
      </c>
      <c r="V5" s="182" t="s">
        <v>32</v>
      </c>
      <c r="W5" s="182" t="s">
        <v>118</v>
      </c>
      <c r="X5" s="193">
        <v>5.7173853630715799E-4</v>
      </c>
    </row>
    <row r="6" spans="2:25" x14ac:dyDescent="0.25">
      <c r="B6" s="145" t="s">
        <v>23</v>
      </c>
      <c r="C6" s="143" t="s">
        <v>31</v>
      </c>
      <c r="D6" s="143">
        <v>1000</v>
      </c>
      <c r="E6" s="143">
        <v>2000</v>
      </c>
      <c r="F6" s="143">
        <v>1</v>
      </c>
      <c r="G6" s="143">
        <f t="shared" si="0"/>
        <v>1E-3</v>
      </c>
      <c r="H6" s="143">
        <v>0.25900000000000001</v>
      </c>
      <c r="I6" s="148">
        <f t="shared" si="1"/>
        <v>0.10309278350515463</v>
      </c>
      <c r="J6" s="148">
        <f>D6/$C$27</f>
        <v>0.25316455696202533</v>
      </c>
      <c r="K6" s="156">
        <f t="shared" ref="K6:K23" si="2">I6*H6</f>
        <v>2.6701030927835052E-2</v>
      </c>
      <c r="M6" t="s">
        <v>23</v>
      </c>
      <c r="N6" s="143" t="s">
        <v>31</v>
      </c>
      <c r="O6" s="189">
        <f>SUMIFS(nodeTime[Count],nodeTime[Source],Results!M6,nodeTime[Destination],Results!N6)/(SUM(nodeTime[Count]) -$U$15)</f>
        <v>0.10319264939970195</v>
      </c>
      <c r="P6" s="189">
        <f>ABS(Table14[[#This Row],[% of Total Load]]-I6)/I6</f>
        <v>9.6869917710896286E-4</v>
      </c>
      <c r="Q6" s="195">
        <f>AVERAGEIFS(nodeTime[Mean], nodeTime[Source],Table14[[#This Row],[Source]], nodeTime[Destination],Table14[[#This Row],[Destination]])</f>
        <v>1.0024262631787668E-3</v>
      </c>
      <c r="R6" s="189">
        <f>ABS(G6-Table14[[#This Row],[Nodetime]])/G6</f>
        <v>2.426263178766791E-3</v>
      </c>
      <c r="T6" t="s">
        <v>142</v>
      </c>
      <c r="U6" s="183">
        <v>801085</v>
      </c>
      <c r="V6" s="183" t="s">
        <v>31</v>
      </c>
      <c r="W6" s="183" t="s">
        <v>119</v>
      </c>
      <c r="X6" s="194">
        <v>9.9392345799107005E-4</v>
      </c>
    </row>
    <row r="7" spans="2:25" x14ac:dyDescent="0.25">
      <c r="B7" s="145" t="s">
        <v>23</v>
      </c>
      <c r="C7" s="143" t="s">
        <v>32</v>
      </c>
      <c r="D7" s="143">
        <v>250</v>
      </c>
      <c r="E7" s="143">
        <v>776</v>
      </c>
      <c r="F7" s="143">
        <v>0.47528517110266161</v>
      </c>
      <c r="G7" s="143">
        <f t="shared" si="0"/>
        <v>1.9011406844106464E-3</v>
      </c>
      <c r="H7" s="143">
        <v>4.190114068441065E-2</v>
      </c>
      <c r="I7" s="148">
        <f t="shared" si="1"/>
        <v>2.5773195876288658E-2</v>
      </c>
      <c r="J7" s="148">
        <f>D7/$C$27</f>
        <v>6.3291139240506333E-2</v>
      </c>
      <c r="K7" s="156">
        <f t="shared" si="2"/>
        <v>1.0799263062992435E-3</v>
      </c>
      <c r="M7" t="s">
        <v>23</v>
      </c>
      <c r="N7" s="143" t="s">
        <v>32</v>
      </c>
      <c r="O7" s="189">
        <f>SUMIFS(nodeTime[Count],nodeTime[Source],Results!M7,nodeTime[Destination],Results!N7)/(SUM(nodeTime[Count]) -$U$15)</f>
        <v>2.5817459531329988E-2</v>
      </c>
      <c r="P7" s="189">
        <f>ABS(Table14[[#This Row],[% of Total Load]]-I7)/I7</f>
        <v>1.7174298156035829E-3</v>
      </c>
      <c r="Q7" s="195">
        <f>AVERAGEIFS(nodeTime[Mean], nodeTime[Source],Table14[[#This Row],[Source]], nodeTime[Destination],Table14[[#This Row],[Destination]])</f>
        <v>1.9060908552316399E-3</v>
      </c>
      <c r="R7" s="189">
        <f>ABS(G7-Table14[[#This Row],[Nodetime]])/G7</f>
        <v>2.6037898518425869E-3</v>
      </c>
      <c r="T7" t="s">
        <v>142</v>
      </c>
      <c r="U7" s="182">
        <v>799359</v>
      </c>
      <c r="V7" s="182" t="s">
        <v>31</v>
      </c>
      <c r="W7" s="182" t="s">
        <v>119</v>
      </c>
      <c r="X7" s="193">
        <v>9.9742592128798505E-4</v>
      </c>
    </row>
    <row r="8" spans="2:25" x14ac:dyDescent="0.25">
      <c r="B8" s="198" t="s">
        <v>26</v>
      </c>
      <c r="C8" s="143" t="s">
        <v>23</v>
      </c>
      <c r="D8" s="143">
        <v>250</v>
      </c>
      <c r="E8" s="143">
        <v>776</v>
      </c>
      <c r="F8" s="143">
        <v>0.47528517110266161</v>
      </c>
      <c r="G8" s="143">
        <f t="shared" si="0"/>
        <v>1.9011406844106464E-3</v>
      </c>
      <c r="H8" s="143">
        <v>1.9901140684410644E-2</v>
      </c>
      <c r="I8" s="148">
        <f t="shared" si="1"/>
        <v>2.5773195876288658E-2</v>
      </c>
      <c r="J8" s="148">
        <f>D8/$C$28</f>
        <v>0.23809523809523808</v>
      </c>
      <c r="K8" s="156">
        <f t="shared" si="2"/>
        <v>5.1291599702089289E-4</v>
      </c>
      <c r="M8" t="s">
        <v>26</v>
      </c>
      <c r="N8" s="143" t="s">
        <v>23</v>
      </c>
      <c r="O8" s="189">
        <f>SUMIFS(nodeTime[Count],nodeTime[Source],Results!M8,nodeTime[Destination],Results!N8)/(SUM(nodeTime[Count]) -$U$15)</f>
        <v>2.577592280474534E-2</v>
      </c>
      <c r="P8" s="189">
        <f>ABS(Table14[[#This Row],[% of Total Load]]-I8)/I8</f>
        <v>1.0580482411922666E-4</v>
      </c>
      <c r="Q8" s="195">
        <f>AVERAGEIFS(nodeTime[Mean], nodeTime[Source],Table14[[#This Row],[Source]], nodeTime[Destination],Table14[[#This Row],[Destination]])</f>
        <v>1.8978206021394734E-3</v>
      </c>
      <c r="R8" s="189">
        <f>ABS(G8-Table14[[#This Row],[Nodetime]])/G8</f>
        <v>1.7463632746369784E-3</v>
      </c>
      <c r="T8" t="s">
        <v>142</v>
      </c>
      <c r="U8" s="183">
        <v>799045</v>
      </c>
      <c r="V8" s="183" t="s">
        <v>31</v>
      </c>
      <c r="W8" s="183" t="s">
        <v>119</v>
      </c>
      <c r="X8" s="183">
        <v>1.00141035336471E-3</v>
      </c>
    </row>
    <row r="9" spans="2:25" x14ac:dyDescent="0.25">
      <c r="B9" s="198" t="s">
        <v>26</v>
      </c>
      <c r="C9" s="143" t="s">
        <v>29</v>
      </c>
      <c r="D9" s="143">
        <v>500</v>
      </c>
      <c r="E9" s="143">
        <v>776</v>
      </c>
      <c r="F9" s="143">
        <v>1.8115942028985508</v>
      </c>
      <c r="G9" s="143">
        <f t="shared" si="0"/>
        <v>3.6231884057971015E-3</v>
      </c>
      <c r="H9" s="143">
        <v>4.5289855072463768E-2</v>
      </c>
      <c r="I9" s="148">
        <f t="shared" si="1"/>
        <v>5.1546391752577317E-2</v>
      </c>
      <c r="J9" s="148">
        <f>D9/$C$28</f>
        <v>0.47619047619047616</v>
      </c>
      <c r="K9" s="156">
        <f t="shared" si="2"/>
        <v>2.3345286119826683E-3</v>
      </c>
      <c r="M9" t="s">
        <v>26</v>
      </c>
      <c r="N9" s="143" t="s">
        <v>29</v>
      </c>
      <c r="O9" s="189">
        <f>SUMIFS(nodeTime[Count],nodeTime[Source],Results!M9,nodeTime[Destination],Results!N9)/(SUM(nodeTime[Count]) -$U$15)</f>
        <v>5.1523925369283838E-2</v>
      </c>
      <c r="P9" s="189">
        <f>ABS(Table14[[#This Row],[% of Total Load]]-I9)/I9</f>
        <v>4.3584783589349364E-4</v>
      </c>
      <c r="Q9" s="195">
        <f>AVERAGEIFS(nodeTime[Mean], nodeTime[Source],Table14[[#This Row],[Source]], nodeTime[Destination],Table14[[#This Row],[Destination]])</f>
        <v>3.6489492265955304E-3</v>
      </c>
      <c r="R9" s="189">
        <f>ABS(G9-Table14[[#This Row],[Nodetime]])/G9</f>
        <v>7.1099865403663753E-3</v>
      </c>
      <c r="T9" t="s">
        <v>141</v>
      </c>
      <c r="U9" s="182">
        <v>800492</v>
      </c>
      <c r="V9" s="182" t="s">
        <v>31</v>
      </c>
      <c r="W9" s="182" t="s">
        <v>120</v>
      </c>
      <c r="X9" s="182">
        <v>1.0055454309439199E-3</v>
      </c>
    </row>
    <row r="10" spans="2:25" x14ac:dyDescent="0.25">
      <c r="B10" s="198" t="s">
        <v>26</v>
      </c>
      <c r="C10" s="143" t="s">
        <v>31</v>
      </c>
      <c r="D10" s="143">
        <v>250</v>
      </c>
      <c r="E10" s="143">
        <v>776</v>
      </c>
      <c r="F10" s="143">
        <v>0.47528517110266161</v>
      </c>
      <c r="G10" s="143">
        <f t="shared" si="0"/>
        <v>1.9011406844106464E-3</v>
      </c>
      <c r="H10" s="143">
        <v>1.0234474017743999E-2</v>
      </c>
      <c r="I10" s="148">
        <f t="shared" si="1"/>
        <v>2.5773195876288658E-2</v>
      </c>
      <c r="J10" s="148">
        <f>D10/$C$28</f>
        <v>0.23809523809523808</v>
      </c>
      <c r="K10" s="156">
        <f t="shared" si="2"/>
        <v>2.6377510355010306E-4</v>
      </c>
      <c r="M10" t="s">
        <v>26</v>
      </c>
      <c r="N10" s="143" t="s">
        <v>31</v>
      </c>
      <c r="O10" s="189">
        <f>SUMIFS(nodeTime[Count],nodeTime[Source],Results!M10,nodeTime[Destination],Results!N10)/(SUM(nodeTime[Count]) -$U$15)</f>
        <v>2.5754961147482356E-2</v>
      </c>
      <c r="P10" s="189">
        <f>ABS(Table14[[#This Row],[% of Total Load]]-I10)/I10</f>
        <v>7.0750747768453387E-4</v>
      </c>
      <c r="Q10" s="195">
        <f>AVERAGEIFS(nodeTime[Mean], nodeTime[Source],Table14[[#This Row],[Source]], nodeTime[Destination],Table14[[#This Row],[Destination]])</f>
        <v>1.8980686931851568E-3</v>
      </c>
      <c r="R10" s="189">
        <f>ABS(G10-Table14[[#This Row],[Nodetime]])/G10</f>
        <v>1.615867384607529E-3</v>
      </c>
      <c r="T10" t="s">
        <v>141</v>
      </c>
      <c r="U10" s="183">
        <v>800975</v>
      </c>
      <c r="V10" s="183" t="s">
        <v>31</v>
      </c>
      <c r="W10" s="183" t="s">
        <v>120</v>
      </c>
      <c r="X10" s="183">
        <v>1.0023529975897801E-3</v>
      </c>
    </row>
    <row r="11" spans="2:25" x14ac:dyDescent="0.25">
      <c r="B11" s="198" t="s">
        <v>26</v>
      </c>
      <c r="C11" s="143" t="s">
        <v>32</v>
      </c>
      <c r="D11" s="143">
        <v>50</v>
      </c>
      <c r="E11" s="143">
        <v>223.68</v>
      </c>
      <c r="F11" s="143">
        <v>0.28788576692768308</v>
      </c>
      <c r="G11" s="143">
        <f t="shared" si="0"/>
        <v>5.7577153385536617E-3</v>
      </c>
      <c r="H11" s="143">
        <v>3.3091048671886995E-2</v>
      </c>
      <c r="I11" s="148">
        <f t="shared" si="1"/>
        <v>5.1546391752577319E-3</v>
      </c>
      <c r="J11" s="148">
        <f>D11/$C$28</f>
        <v>4.7619047619047616E-2</v>
      </c>
      <c r="K11" s="156">
        <f t="shared" si="2"/>
        <v>1.7057241583446904E-4</v>
      </c>
      <c r="M11" t="s">
        <v>26</v>
      </c>
      <c r="N11" s="143" t="s">
        <v>32</v>
      </c>
      <c r="O11" s="189">
        <f>SUMIFS(nodeTime[Count],nodeTime[Source],Results!M11,nodeTime[Destination],Results!N11)/(SUM(nodeTime[Count]) -$U$15)</f>
        <v>5.1624094600302862E-3</v>
      </c>
      <c r="P11" s="189">
        <f>ABS(Table14[[#This Row],[% of Total Load]]-I11)/I11</f>
        <v>1.5074352458755384E-3</v>
      </c>
      <c r="Q11" s="195">
        <f>AVERAGEIFS(nodeTime[Mean], nodeTime[Source],Table14[[#This Row],[Source]], nodeTime[Destination],Table14[[#This Row],[Destination]])</f>
        <v>5.7539708316369925E-3</v>
      </c>
      <c r="R11" s="189">
        <f>ABS(G11-Table14[[#This Row],[Nodetime]])/G11</f>
        <v>6.5034596128710675E-4</v>
      </c>
      <c r="T11" t="s">
        <v>141</v>
      </c>
      <c r="U11" s="182">
        <v>801310</v>
      </c>
      <c r="V11" s="182" t="s">
        <v>31</v>
      </c>
      <c r="W11" s="182" t="s">
        <v>120</v>
      </c>
      <c r="X11" s="182">
        <v>1.0035644286788699E-3</v>
      </c>
    </row>
    <row r="12" spans="2:25" x14ac:dyDescent="0.25">
      <c r="B12" s="198" t="s">
        <v>29</v>
      </c>
      <c r="C12" s="143" t="s">
        <v>162</v>
      </c>
      <c r="D12" s="143">
        <v>250</v>
      </c>
      <c r="E12" s="143">
        <v>2551.6799999999998</v>
      </c>
      <c r="F12" s="143">
        <v>0.10861631503944945</v>
      </c>
      <c r="G12" s="143">
        <f t="shared" si="0"/>
        <v>4.3446526015779779E-4</v>
      </c>
      <c r="H12" s="143">
        <v>4.7101131926824469E-2</v>
      </c>
      <c r="I12" s="148">
        <f t="shared" si="1"/>
        <v>2.5773195876288658E-2</v>
      </c>
      <c r="J12" s="148">
        <f>D12/$C$29</f>
        <v>0.16666666666666666</v>
      </c>
      <c r="K12" s="156">
        <f t="shared" si="2"/>
        <v>1.2139466991449605E-3</v>
      </c>
      <c r="M12" t="s">
        <v>29</v>
      </c>
      <c r="N12" s="143" t="s">
        <v>162</v>
      </c>
      <c r="O12" s="189">
        <f>SUMIFS(nodeTime[Count],nodeTime[Source],Results!M12,nodeTime[Destination],Results!N12)/(SUM(nodeTime[Count]) -$U$15)</f>
        <v>2.5765656747192361E-2</v>
      </c>
      <c r="P12" s="189">
        <f>ABS(Table14[[#This Row],[% of Total Load]]-I12)/I12</f>
        <v>2.9251820893632378E-4</v>
      </c>
      <c r="Q12" s="195">
        <f>AVERAGEIFS(nodeTime[Mean], nodeTime[Source],Table14[[#This Row],[Source]], nodeTime[Destination],Table14[[#This Row],[Destination]])</f>
        <v>4.3442897551819801E-4</v>
      </c>
      <c r="R12" s="189">
        <f>ABS(G12-Table14[[#This Row],[Nodetime]])/G12</f>
        <v>8.3515629274030537E-5</v>
      </c>
      <c r="T12" t="s">
        <v>141</v>
      </c>
      <c r="U12" s="183">
        <v>199913</v>
      </c>
      <c r="V12" s="183" t="s">
        <v>23</v>
      </c>
      <c r="W12" s="183" t="s">
        <v>121</v>
      </c>
      <c r="X12" s="194">
        <v>5.7254861366508303E-4</v>
      </c>
    </row>
    <row r="13" spans="2:25" x14ac:dyDescent="0.25">
      <c r="B13" s="198" t="s">
        <v>29</v>
      </c>
      <c r="C13" s="143" t="s">
        <v>26</v>
      </c>
      <c r="D13" s="143">
        <v>500</v>
      </c>
      <c r="E13" s="143">
        <v>776</v>
      </c>
      <c r="F13" s="143">
        <v>1.8115942028985508</v>
      </c>
      <c r="G13" s="143">
        <f t="shared" si="0"/>
        <v>3.6231884057971015E-3</v>
      </c>
      <c r="H13" s="143">
        <v>4.5289855072463768E-2</v>
      </c>
      <c r="I13" s="148">
        <f t="shared" si="1"/>
        <v>5.1546391752577317E-2</v>
      </c>
      <c r="J13" s="148">
        <f>D13/$C$29</f>
        <v>0.33333333333333331</v>
      </c>
      <c r="K13" s="156">
        <f t="shared" si="2"/>
        <v>2.3345286119826683E-3</v>
      </c>
      <c r="M13" t="s">
        <v>29</v>
      </c>
      <c r="N13" s="143" t="s">
        <v>26</v>
      </c>
      <c r="O13" s="189">
        <f>SUMIFS(nodeTime[Count],nodeTime[Source],Results!M13,nodeTime[Destination],Results!N13)/(SUM(nodeTime[Count]) -$U$15)</f>
        <v>5.1609017670591166E-2</v>
      </c>
      <c r="P13" s="189">
        <f>ABS(Table14[[#This Row],[% of Total Load]]-I13)/I13</f>
        <v>1.2149428094686734E-3</v>
      </c>
      <c r="Q13" s="195">
        <f>AVERAGEIFS(nodeTime[Mean], nodeTime[Source],Table14[[#This Row],[Source]], nodeTime[Destination],Table14[[#This Row],[Destination]])</f>
        <v>3.637524104177163E-3</v>
      </c>
      <c r="R13" s="189">
        <f>ABS(G13-Table14[[#This Row],[Nodetime]])/G13</f>
        <v>3.9566527528969875E-3</v>
      </c>
      <c r="T13" t="s">
        <v>141</v>
      </c>
      <c r="U13" s="182">
        <v>200183</v>
      </c>
      <c r="V13" s="182" t="s">
        <v>23</v>
      </c>
      <c r="W13" s="182" t="s">
        <v>121</v>
      </c>
      <c r="X13" s="193">
        <v>5.7297292269714703E-4</v>
      </c>
    </row>
    <row r="14" spans="2:25" x14ac:dyDescent="0.25">
      <c r="B14" s="198" t="s">
        <v>29</v>
      </c>
      <c r="C14" s="143" t="s">
        <v>31</v>
      </c>
      <c r="D14" s="143">
        <v>500</v>
      </c>
      <c r="E14" s="143">
        <v>776</v>
      </c>
      <c r="F14" s="143">
        <v>1.8115942028985508</v>
      </c>
      <c r="G14" s="143">
        <f t="shared" si="0"/>
        <v>3.6231884057971015E-3</v>
      </c>
      <c r="H14" s="143">
        <v>4.095652173913044E-2</v>
      </c>
      <c r="I14" s="148">
        <f t="shared" si="1"/>
        <v>5.1546391752577317E-2</v>
      </c>
      <c r="J14" s="148">
        <f>D14/$C$29</f>
        <v>0.33333333333333331</v>
      </c>
      <c r="K14" s="156">
        <f t="shared" si="2"/>
        <v>2.1111609143881667E-3</v>
      </c>
      <c r="M14" t="s">
        <v>29</v>
      </c>
      <c r="N14" s="143" t="s">
        <v>31</v>
      </c>
      <c r="O14" s="189">
        <f>SUMIFS(nodeTime[Count],nodeTime[Source],Results!M14,nodeTime[Destination],Results!N14)/(SUM(nodeTime[Count]) -$U$15)</f>
        <v>5.1564688919985835E-2</v>
      </c>
      <c r="P14" s="189">
        <f>ABS(Table14[[#This Row],[% of Total Load]]-I14)/I14</f>
        <v>3.5496504772525029E-4</v>
      </c>
      <c r="Q14" s="195">
        <f>AVERAGEIFS(nodeTime[Mean], nodeTime[Source],Table14[[#This Row],[Source]], nodeTime[Destination],Table14[[#This Row],[Destination]])</f>
        <v>3.6147630545315334E-3</v>
      </c>
      <c r="R14" s="189">
        <f>ABS(G14-Table14[[#This Row],[Nodetime]])/G14</f>
        <v>2.3253969492968013E-3</v>
      </c>
      <c r="T14" t="s">
        <v>141</v>
      </c>
      <c r="U14" s="183">
        <v>199205</v>
      </c>
      <c r="V14" s="183" t="s">
        <v>23</v>
      </c>
      <c r="W14" s="183" t="s">
        <v>121</v>
      </c>
      <c r="X14" s="194">
        <v>5.7119278024443697E-4</v>
      </c>
    </row>
    <row r="15" spans="2:25" x14ac:dyDescent="0.25">
      <c r="B15" s="198" t="s">
        <v>29</v>
      </c>
      <c r="C15" s="143" t="s">
        <v>32</v>
      </c>
      <c r="D15" s="143">
        <v>250</v>
      </c>
      <c r="E15" s="143">
        <v>447.36</v>
      </c>
      <c r="F15" s="143">
        <v>1.2667207134171057</v>
      </c>
      <c r="G15" s="143">
        <f t="shared" si="0"/>
        <v>5.0668828536684233E-3</v>
      </c>
      <c r="H15" s="143">
        <v>2.0400216187001757E-2</v>
      </c>
      <c r="I15" s="148">
        <f t="shared" si="1"/>
        <v>2.5773195876288658E-2</v>
      </c>
      <c r="J15" s="148">
        <f>D15/$C$29</f>
        <v>0.16666666666666666</v>
      </c>
      <c r="K15" s="156">
        <f t="shared" si="2"/>
        <v>5.257787677062308E-4</v>
      </c>
      <c r="M15" t="s">
        <v>29</v>
      </c>
      <c r="N15" s="143" t="s">
        <v>32</v>
      </c>
      <c r="O15" s="189">
        <f>SUMIFS(nodeTime[Count],nodeTime[Source],Results!M15,nodeTime[Destination],Results!N15)/(SUM(nodeTime[Count]) -$U$15)</f>
        <v>2.5773903956607308E-2</v>
      </c>
      <c r="P15" s="189">
        <f>ABS(Table14[[#This Row],[% of Total Load]]-I15)/I15</f>
        <v>2.7473516363604733E-5</v>
      </c>
      <c r="Q15" s="195">
        <f>AVERAGEIFS(nodeTime[Mean], nodeTime[Source],Table14[[#This Row],[Source]], nodeTime[Destination],Table14[[#This Row],[Destination]])</f>
        <v>5.0648851627840335E-3</v>
      </c>
      <c r="R15" s="189">
        <f>ABS(G15-Table14[[#This Row],[Nodetime]])/G15</f>
        <v>3.9426427294315876E-4</v>
      </c>
      <c r="U15">
        <f>SUM(U3:U14)</f>
        <v>6002621</v>
      </c>
      <c r="V15" s="182"/>
      <c r="W15" s="182"/>
      <c r="X15" s="182"/>
      <c r="Y15" s="193"/>
    </row>
    <row r="16" spans="2:25" x14ac:dyDescent="0.25">
      <c r="B16" s="198" t="s">
        <v>31</v>
      </c>
      <c r="C16" s="143" t="s">
        <v>23</v>
      </c>
      <c r="D16" s="143">
        <v>250</v>
      </c>
      <c r="E16" s="143">
        <v>2000</v>
      </c>
      <c r="F16" s="143">
        <v>0.14285714285714285</v>
      </c>
      <c r="G16" s="143">
        <f t="shared" si="0"/>
        <v>5.7142857142857147E-4</v>
      </c>
      <c r="H16" s="143">
        <v>0.25814285714285717</v>
      </c>
      <c r="I16" s="148">
        <f t="shared" si="1"/>
        <v>2.5773195876288658E-2</v>
      </c>
      <c r="J16" s="148">
        <f>D16/$C$30</f>
        <v>0.16666666666666666</v>
      </c>
      <c r="K16" s="156">
        <f t="shared" si="2"/>
        <v>6.6531664212076584E-3</v>
      </c>
      <c r="M16" t="s">
        <v>31</v>
      </c>
      <c r="N16" s="143" t="s">
        <v>23</v>
      </c>
      <c r="O16" s="189">
        <f>SUMIFS(nodeTime[Count],nodeTime[Source],Results!M16,nodeTime[Destination],Results!N16)/(SUM(nodeTime[Count]) -$U$15)</f>
        <v>2.5738509682868168E-2</v>
      </c>
      <c r="P16" s="189">
        <f>ABS(Table14[[#This Row],[% of Total Load]]-I16)/I16</f>
        <v>1.3458243047150308E-3</v>
      </c>
      <c r="Q16" s="195">
        <f>AVERAGEIFS(nodeTime[Mean], nodeTime[Source],Table14[[#This Row],[Source]], nodeTime[Destination],Table14[[#This Row],[Destination]])</f>
        <v>5.7048077090384765E-4</v>
      </c>
      <c r="R16" s="189">
        <f>ABS(G16-Table14[[#This Row],[Nodetime]])/G16</f>
        <v>1.6586509182666914E-3</v>
      </c>
    </row>
    <row r="17" spans="2:18" x14ac:dyDescent="0.25">
      <c r="B17" s="198" t="s">
        <v>31</v>
      </c>
      <c r="C17" s="143" t="s">
        <v>26</v>
      </c>
      <c r="D17" s="143">
        <v>500</v>
      </c>
      <c r="E17" s="143">
        <v>776</v>
      </c>
      <c r="F17" s="143">
        <v>1.8115942028985508</v>
      </c>
      <c r="G17" s="143">
        <f t="shared" si="0"/>
        <v>3.6231884057971015E-3</v>
      </c>
      <c r="H17" s="143">
        <v>1.1956521739130435E-2</v>
      </c>
      <c r="I17" s="148">
        <f t="shared" si="1"/>
        <v>5.1546391752577317E-2</v>
      </c>
      <c r="J17" s="148">
        <f>D17/$C$30</f>
        <v>0.33333333333333331</v>
      </c>
      <c r="K17" s="156">
        <f t="shared" si="2"/>
        <v>6.1631555356342447E-4</v>
      </c>
      <c r="M17" t="s">
        <v>31</v>
      </c>
      <c r="N17" s="143" t="s">
        <v>26</v>
      </c>
      <c r="O17" s="189">
        <f>SUMIFS(nodeTime[Count],nodeTime[Source],Results!M17,nodeTime[Destination],Results!N17)/(SUM(nodeTime[Count]) -$U$15)</f>
        <v>5.1481014107796694E-2</v>
      </c>
      <c r="P17" s="189">
        <f>ABS(Table14[[#This Row],[% of Total Load]]-I17)/I17</f>
        <v>1.2683263087440888E-3</v>
      </c>
      <c r="Q17" s="195">
        <f>AVERAGEIFS(nodeTime[Mean], nodeTime[Source],Table14[[#This Row],[Source]], nodeTime[Destination],Table14[[#This Row],[Destination]])</f>
        <v>3.6101048085557838E-3</v>
      </c>
      <c r="R17" s="189">
        <f>ABS(G17-Table14[[#This Row],[Nodetime]])/G17</f>
        <v>3.6110728386036864E-3</v>
      </c>
    </row>
    <row r="18" spans="2:18" x14ac:dyDescent="0.25">
      <c r="B18" s="198" t="s">
        <v>31</v>
      </c>
      <c r="C18" s="143" t="s">
        <v>29</v>
      </c>
      <c r="D18" s="143">
        <v>500</v>
      </c>
      <c r="E18" s="143">
        <v>776</v>
      </c>
      <c r="F18" s="143">
        <v>1.8115942028985508</v>
      </c>
      <c r="G18" s="143">
        <f t="shared" si="0"/>
        <v>3.6231884057971015E-3</v>
      </c>
      <c r="H18" s="143">
        <v>4.095652173913044E-2</v>
      </c>
      <c r="I18" s="148">
        <f t="shared" si="1"/>
        <v>5.1546391752577317E-2</v>
      </c>
      <c r="J18" s="148">
        <f>D18/$C$30</f>
        <v>0.33333333333333331</v>
      </c>
      <c r="K18" s="156">
        <f t="shared" si="2"/>
        <v>2.1111609143881667E-3</v>
      </c>
      <c r="M18" t="s">
        <v>31</v>
      </c>
      <c r="N18" s="143" t="s">
        <v>29</v>
      </c>
      <c r="O18" s="189">
        <f>SUMIFS(nodeTime[Count],nodeTime[Source],Results!M18,nodeTime[Destination],Results!N18)/(SUM(nodeTime[Count]) -$U$15)</f>
        <v>5.1434022195817788E-2</v>
      </c>
      <c r="P18" s="189">
        <f>ABS(Table14[[#This Row],[% of Total Load]]-I18)/I18</f>
        <v>2.1799694011348514E-3</v>
      </c>
      <c r="Q18" s="195">
        <f>AVERAGEIFS(nodeTime[Mean], nodeTime[Source],Table14[[#This Row],[Source]], nodeTime[Destination],Table14[[#This Row],[Destination]])</f>
        <v>3.5946954410743803E-3</v>
      </c>
      <c r="R18" s="189">
        <f>ABS(G18-Table14[[#This Row],[Nodetime]])/G18</f>
        <v>7.864058263471042E-3</v>
      </c>
    </row>
    <row r="19" spans="2:18" x14ac:dyDescent="0.25">
      <c r="B19" s="198" t="s">
        <v>31</v>
      </c>
      <c r="C19" s="143" t="s">
        <v>32</v>
      </c>
      <c r="D19" s="143">
        <v>250</v>
      </c>
      <c r="E19" s="143">
        <v>2000</v>
      </c>
      <c r="F19" s="143">
        <v>0.14285714285714285</v>
      </c>
      <c r="G19" s="143">
        <f t="shared" si="0"/>
        <v>5.7142857142857147E-4</v>
      </c>
      <c r="H19" s="143">
        <v>0.26164285714285718</v>
      </c>
      <c r="I19" s="148">
        <f t="shared" si="1"/>
        <v>2.5773195876288658E-2</v>
      </c>
      <c r="J19" s="148">
        <f>D19/$C$30</f>
        <v>0.16666666666666666</v>
      </c>
      <c r="K19" s="156">
        <f t="shared" si="2"/>
        <v>6.7433726067746688E-3</v>
      </c>
      <c r="M19" t="s">
        <v>31</v>
      </c>
      <c r="N19" s="143" t="s">
        <v>32</v>
      </c>
      <c r="O19" s="189">
        <f>SUMIFS(nodeTime[Count],nodeTime[Source],Results!M19,nodeTime[Destination],Results!N19)/(SUM(nodeTime[Count]) -$U$15)</f>
        <v>2.5813507743485328E-2</v>
      </c>
      <c r="P19" s="189">
        <f>ABS(Table14[[#This Row],[% of Total Load]]-I19)/I19</f>
        <v>1.5641004472307903E-3</v>
      </c>
      <c r="Q19" s="195">
        <f>AVERAGEIFS(nodeTime[Mean], nodeTime[Source],Table14[[#This Row],[Source]], nodeTime[Destination],Table14[[#This Row],[Destination]])</f>
        <v>5.7238263983633113E-4</v>
      </c>
      <c r="R19" s="189">
        <f>ABS(G19-Table14[[#This Row],[Nodetime]])/G19</f>
        <v>1.6696197135794033E-3</v>
      </c>
    </row>
    <row r="20" spans="2:18" x14ac:dyDescent="0.25">
      <c r="B20" s="198" t="s">
        <v>32</v>
      </c>
      <c r="C20" s="143" t="s">
        <v>23</v>
      </c>
      <c r="D20" s="143">
        <v>250</v>
      </c>
      <c r="E20" s="143">
        <v>776</v>
      </c>
      <c r="F20" s="143">
        <v>0.47528517110266161</v>
      </c>
      <c r="G20" s="143">
        <f t="shared" si="0"/>
        <v>1.9011406844106464E-3</v>
      </c>
      <c r="H20" s="143">
        <v>4.190114068441065E-2</v>
      </c>
      <c r="I20" s="148">
        <f t="shared" si="1"/>
        <v>2.5773195876288658E-2</v>
      </c>
      <c r="J20" s="148">
        <f>D20/$C$31</f>
        <v>0.14705882352941177</v>
      </c>
      <c r="K20" s="156">
        <f t="shared" si="2"/>
        <v>1.0799263062992435E-3</v>
      </c>
      <c r="M20" t="s">
        <v>32</v>
      </c>
      <c r="N20" s="143" t="s">
        <v>23</v>
      </c>
      <c r="O20" s="189">
        <f>SUMIFS(nodeTime[Count],nodeTime[Source],Results!M20,nodeTime[Destination],Results!N20)/(SUM(nodeTime[Count]) -$U$15)</f>
        <v>2.5784384785238802E-2</v>
      </c>
      <c r="P20" s="189">
        <f>ABS(Table14[[#This Row],[% of Total Load]]-I20)/I20</f>
        <v>4.3412966726555233E-4</v>
      </c>
      <c r="Q20" s="195">
        <f>AVERAGEIFS(nodeTime[Mean], nodeTime[Source],Table14[[#This Row],[Source]], nodeTime[Destination],Table14[[#This Row],[Destination]])</f>
        <v>1.9055838456705967E-3</v>
      </c>
      <c r="R20" s="189">
        <f>ABS(G20-Table14[[#This Row],[Nodetime]])/G20</f>
        <v>2.3371028227338561E-3</v>
      </c>
    </row>
    <row r="21" spans="2:18" x14ac:dyDescent="0.25">
      <c r="B21" s="198" t="s">
        <v>32</v>
      </c>
      <c r="C21" s="143" t="s">
        <v>26</v>
      </c>
      <c r="D21" s="143">
        <v>200</v>
      </c>
      <c r="E21" s="143">
        <v>223.68</v>
      </c>
      <c r="F21" s="143">
        <v>8.4459459459459438</v>
      </c>
      <c r="G21" s="143">
        <f t="shared" si="0"/>
        <v>4.2229729729729715E-2</v>
      </c>
      <c r="H21" s="143">
        <v>6.9563063063063049E-2</v>
      </c>
      <c r="I21" s="148">
        <f t="shared" si="1"/>
        <v>2.0618556701030927E-2</v>
      </c>
      <c r="J21" s="148">
        <f t="shared" ref="J21:J23" si="3">D21/$C$31</f>
        <v>0.11764705882352941</v>
      </c>
      <c r="K21" s="156">
        <f t="shared" si="2"/>
        <v>1.4342899600631555E-3</v>
      </c>
      <c r="M21" t="s">
        <v>32</v>
      </c>
      <c r="N21" s="143" t="s">
        <v>26</v>
      </c>
      <c r="O21" s="189">
        <f>SUMIFS(nodeTime[Count],nodeTime[Source],Results!M21,nodeTime[Destination],Results!N21)/(SUM(nodeTime[Count]) -$U$15)</f>
        <v>2.0652301001494722E-2</v>
      </c>
      <c r="P21" s="189">
        <f>ABS(Table14[[#This Row],[% of Total Load]]-I21)/I21</f>
        <v>1.6365985724940552E-3</v>
      </c>
      <c r="Q21" s="195">
        <f>AVERAGEIFS(nodeTime[Mean], nodeTime[Source],Table14[[#This Row],[Source]], nodeTime[Destination],Table14[[#This Row],[Destination]])</f>
        <v>4.4185664664943503E-2</v>
      </c>
      <c r="R21" s="189">
        <f>ABS(G21-Table14[[#This Row],[Nodetime]])/G21</f>
        <v>4.6316539265862509E-2</v>
      </c>
    </row>
    <row r="22" spans="2:18" x14ac:dyDescent="0.25">
      <c r="B22" s="198" t="s">
        <v>32</v>
      </c>
      <c r="C22" s="143" t="s">
        <v>29</v>
      </c>
      <c r="D22" s="143">
        <v>250</v>
      </c>
      <c r="E22" s="143">
        <v>447.36</v>
      </c>
      <c r="F22" s="143">
        <v>1.2667207134171057</v>
      </c>
      <c r="G22" s="143">
        <f t="shared" si="0"/>
        <v>5.0668828536684233E-3</v>
      </c>
      <c r="H22" s="143">
        <v>2.0400216187001757E-2</v>
      </c>
      <c r="I22" s="148">
        <f t="shared" si="1"/>
        <v>2.5773195876288658E-2</v>
      </c>
      <c r="J22" s="148">
        <f t="shared" si="3"/>
        <v>0.14705882352941177</v>
      </c>
      <c r="K22" s="156">
        <f t="shared" si="2"/>
        <v>5.257787677062308E-4</v>
      </c>
      <c r="M22" t="s">
        <v>32</v>
      </c>
      <c r="N22" s="143" t="s">
        <v>29</v>
      </c>
      <c r="O22" s="189">
        <f>SUMIFS(nodeTime[Count],nodeTime[Source],Results!M22,nodeTime[Destination],Results!N22)/(SUM(nodeTime[Count]) -$U$15)</f>
        <v>2.5829529665942486E-2</v>
      </c>
      <c r="P22" s="189">
        <f>ABS(Table14[[#This Row],[% of Total Load]]-I22)/I22</f>
        <v>2.1857510385684927E-3</v>
      </c>
      <c r="Q22" s="195">
        <f>AVERAGEIFS(nodeTime[Mean], nodeTime[Source],Table14[[#This Row],[Source]], nodeTime[Destination],Table14[[#This Row],[Destination]])</f>
        <v>5.0993141509965501E-3</v>
      </c>
      <c r="R22" s="189">
        <f>ABS(G22-Table14[[#This Row],[Nodetime]])/G22</f>
        <v>6.4006408406791105E-3</v>
      </c>
    </row>
    <row r="23" spans="2:18" ht="15.75" thickBot="1" x14ac:dyDescent="0.3">
      <c r="B23" s="191" t="s">
        <v>32</v>
      </c>
      <c r="C23" s="166" t="s">
        <v>31</v>
      </c>
      <c r="D23" s="166">
        <v>1000</v>
      </c>
      <c r="E23" s="166">
        <v>2000</v>
      </c>
      <c r="F23" s="166">
        <v>1</v>
      </c>
      <c r="G23" s="166">
        <f t="shared" si="0"/>
        <v>1E-3</v>
      </c>
      <c r="H23" s="166">
        <v>0.26250000000000001</v>
      </c>
      <c r="I23" s="147">
        <f t="shared" si="1"/>
        <v>0.10309278350515463</v>
      </c>
      <c r="J23" s="147">
        <f t="shared" si="3"/>
        <v>0.58823529411764708</v>
      </c>
      <c r="K23" s="157">
        <f t="shared" si="2"/>
        <v>2.7061855670103094E-2</v>
      </c>
      <c r="M23" t="s">
        <v>32</v>
      </c>
      <c r="N23" s="163" t="s">
        <v>31</v>
      </c>
      <c r="O23" s="189">
        <f>SUMIFS(nodeTime[Count],nodeTime[Source],Results!M23,nodeTime[Destination],Results!N23)/(SUM(nodeTime[Count]) -$U$15)</f>
        <v>0.10305055685415695</v>
      </c>
      <c r="P23" s="189">
        <f>ABS(Table14[[#This Row],[% of Total Load]]-I23)/I23</f>
        <v>4.095985146774839E-4</v>
      </c>
      <c r="Q23" s="195">
        <f>AVERAGEIFS(nodeTime[Mean], nodeTime[Source],Table14[[#This Row],[Source]], nodeTime[Destination],Table14[[#This Row],[Destination]])</f>
        <v>9.9983038902502069E-4</v>
      </c>
      <c r="R23" s="189">
        <f>ABS(G23-Table14[[#This Row],[Nodetime]])/G23</f>
        <v>1.6961097497932703E-4</v>
      </c>
    </row>
    <row r="24" spans="2:18" x14ac:dyDescent="0.25">
      <c r="B24" s="142"/>
      <c r="C24" s="144"/>
      <c r="D24" s="142"/>
      <c r="E24" s="142"/>
      <c r="F24" s="142"/>
      <c r="G24" s="142"/>
      <c r="H24" s="142"/>
      <c r="I24" s="144">
        <f>SUM(I4:I23)</f>
        <v>1.0000000000000002</v>
      </c>
      <c r="J24" s="142"/>
      <c r="K24" s="142"/>
      <c r="N24" s="142"/>
      <c r="O24" s="197"/>
      <c r="P24" s="197"/>
    </row>
    <row r="25" spans="2:18" ht="15.75" thickBot="1" x14ac:dyDescent="0.3">
      <c r="B25" s="216" t="s">
        <v>92</v>
      </c>
      <c r="C25" s="216"/>
      <c r="D25" s="216"/>
      <c r="E25" s="142"/>
      <c r="F25" s="215" t="s">
        <v>93</v>
      </c>
      <c r="G25" s="215"/>
      <c r="H25" s="143"/>
      <c r="I25" s="142"/>
      <c r="J25" s="215" t="s">
        <v>89</v>
      </c>
      <c r="K25" s="215"/>
      <c r="L25" s="142"/>
      <c r="M25" s="142"/>
      <c r="O25" s="210"/>
      <c r="P25" s="209"/>
      <c r="Q25" s="184"/>
      <c r="R25" s="209"/>
    </row>
    <row r="26" spans="2:18" x14ac:dyDescent="0.25">
      <c r="B26" s="158" t="s">
        <v>90</v>
      </c>
      <c r="C26" s="164" t="s">
        <v>91</v>
      </c>
      <c r="D26" s="159" t="s">
        <v>98</v>
      </c>
      <c r="E26" s="142"/>
      <c r="F26" s="160" t="s">
        <v>94</v>
      </c>
      <c r="G26" s="161" t="s">
        <v>95</v>
      </c>
      <c r="H26" s="144" t="s">
        <v>173</v>
      </c>
      <c r="I26" s="142"/>
      <c r="J26" s="160" t="s">
        <v>96</v>
      </c>
      <c r="K26" s="162" t="s">
        <v>95</v>
      </c>
      <c r="L26" s="142"/>
      <c r="M26" s="142"/>
    </row>
    <row r="27" spans="2:18" x14ac:dyDescent="0.25">
      <c r="B27" s="151" t="s">
        <v>23</v>
      </c>
      <c r="C27" s="92">
        <f>SUM(D4:D7)</f>
        <v>3950</v>
      </c>
      <c r="D27" s="149">
        <f>C27/$C$32</f>
        <v>0.40721649484536082</v>
      </c>
      <c r="E27" s="142"/>
      <c r="F27" s="151" t="s">
        <v>23</v>
      </c>
      <c r="G27" s="156">
        <f>SUMPRODUCT(G4:G7,J4:J7)</f>
        <v>1.270813174592937E-2</v>
      </c>
      <c r="H27" s="232">
        <f>G27*1000</f>
        <v>12.70813174592937</v>
      </c>
      <c r="I27" s="142"/>
      <c r="J27" s="151" t="s">
        <v>23</v>
      </c>
      <c r="K27" s="156">
        <f>SUMIF($C$4:$C$23,J27,$K$4:$K$23)/SUMIF($C$4:$C$23,J27,$I$4:$I$23)</f>
        <v>9.1761567609625713E-2</v>
      </c>
      <c r="L27" s="233">
        <f>K27*1000</f>
        <v>91.761567609625715</v>
      </c>
      <c r="M27" s="142"/>
    </row>
    <row r="28" spans="2:18" x14ac:dyDescent="0.25">
      <c r="B28" s="151" t="s">
        <v>26</v>
      </c>
      <c r="C28" s="92">
        <f>SUM(D8:D11)</f>
        <v>1050</v>
      </c>
      <c r="D28" s="149">
        <f t="shared" ref="D28:D31" si="4">C28/$C$32</f>
        <v>0.10824742268041238</v>
      </c>
      <c r="E28" s="142"/>
      <c r="F28" s="151" t="s">
        <v>26</v>
      </c>
      <c r="G28" s="156">
        <f>SUMPRODUCT(G8:G11,J8:J11)</f>
        <v>2.9048098209824352E-3</v>
      </c>
      <c r="H28" s="232">
        <f t="shared" ref="H28:H31" si="5">G28*1000</f>
        <v>2.9048098209824351</v>
      </c>
      <c r="I28" s="142"/>
      <c r="J28" s="151" t="s">
        <v>26</v>
      </c>
      <c r="K28" s="156">
        <f t="shared" ref="K28:K31" si="6">SUMIF($C$4:$C$23,J28,$K$4:$K$23)/SUMIF($C$4:$C$23,J28,$I$4:$I$23)</f>
        <v>3.3202159457594242E-2</v>
      </c>
      <c r="L28" s="233">
        <f t="shared" ref="L28:L31" si="7">K28*1000</f>
        <v>33.202159457594242</v>
      </c>
      <c r="M28" s="142"/>
    </row>
    <row r="29" spans="2:18" x14ac:dyDescent="0.25">
      <c r="B29" s="151" t="s">
        <v>29</v>
      </c>
      <c r="C29" s="92">
        <f>SUM(D12:D15)</f>
        <v>1500</v>
      </c>
      <c r="D29" s="149">
        <f t="shared" si="4"/>
        <v>0.15463917525773196</v>
      </c>
      <c r="E29" s="142"/>
      <c r="F29" s="151" t="s">
        <v>29</v>
      </c>
      <c r="G29" s="156">
        <f>SUMPRODUCT(G12:G15,J12:J15)</f>
        <v>3.3323502895024376E-3</v>
      </c>
      <c r="H29" s="232">
        <f t="shared" si="5"/>
        <v>3.3323502895024375</v>
      </c>
      <c r="I29" s="142"/>
      <c r="J29" s="151" t="s">
        <v>29</v>
      </c>
      <c r="K29" s="156">
        <f t="shared" si="6"/>
        <v>5.6870539232616091E-2</v>
      </c>
      <c r="L29" s="233">
        <f t="shared" si="7"/>
        <v>56.870539232616089</v>
      </c>
      <c r="M29" s="142"/>
    </row>
    <row r="30" spans="2:18" x14ac:dyDescent="0.25">
      <c r="B30" s="151" t="s">
        <v>31</v>
      </c>
      <c r="C30" s="92">
        <f>SUM(D16:D19)</f>
        <v>1500</v>
      </c>
      <c r="D30" s="149">
        <f t="shared" si="4"/>
        <v>0.15463917525773196</v>
      </c>
      <c r="E30" s="142"/>
      <c r="F30" s="151" t="s">
        <v>31</v>
      </c>
      <c r="G30" s="156">
        <f>SUMPRODUCT(G16:G19,J16:J19)</f>
        <v>2.6059351276742581E-3</v>
      </c>
      <c r="H30" s="232">
        <f t="shared" si="5"/>
        <v>2.6059351276742579</v>
      </c>
      <c r="I30" s="142"/>
      <c r="J30" s="151" t="s">
        <v>31</v>
      </c>
      <c r="K30" s="156">
        <f t="shared" si="6"/>
        <v>0.198013410681455</v>
      </c>
      <c r="L30" s="233">
        <f t="shared" si="7"/>
        <v>198.01341068145501</v>
      </c>
      <c r="M30" s="142"/>
    </row>
    <row r="31" spans="2:18" ht="15.75" thickBot="1" x14ac:dyDescent="0.3">
      <c r="B31" s="151" t="s">
        <v>32</v>
      </c>
      <c r="C31" s="92">
        <f>SUM(D20:D23)</f>
        <v>1700</v>
      </c>
      <c r="D31" s="149">
        <f t="shared" si="4"/>
        <v>0.17525773195876287</v>
      </c>
      <c r="E31" s="142"/>
      <c r="F31" s="151" t="s">
        <v>32</v>
      </c>
      <c r="G31" s="156">
        <f>SUMPRODUCT(G20:G23,J20:J23)</f>
        <v>6.5811481355680657E-3</v>
      </c>
      <c r="H31" s="232">
        <f t="shared" si="5"/>
        <v>6.5811481355680659</v>
      </c>
      <c r="I31" s="142"/>
      <c r="J31" s="152" t="s">
        <v>32</v>
      </c>
      <c r="K31" s="157">
        <f t="shared" si="6"/>
        <v>0.1033007574214522</v>
      </c>
      <c r="L31" s="233">
        <f t="shared" si="7"/>
        <v>103.3007574214522</v>
      </c>
      <c r="M31" s="142"/>
    </row>
    <row r="32" spans="2:18" ht="15.75" thickBot="1" x14ac:dyDescent="0.3">
      <c r="B32" s="152" t="s">
        <v>88</v>
      </c>
      <c r="C32" s="165">
        <f>SUM(C27:C31)</f>
        <v>9700</v>
      </c>
      <c r="D32" s="150">
        <f>SUM(D27:D31)</f>
        <v>1</v>
      </c>
      <c r="E32" s="142"/>
      <c r="F32" s="203" t="s">
        <v>88</v>
      </c>
      <c r="G32" s="204">
        <f>SUMPRODUCT(G4:G23,I4:I23)</f>
        <v>7.5610876973900296E-3</v>
      </c>
      <c r="H32" s="232">
        <f>G32*1000</f>
        <v>7.5610876973900298</v>
      </c>
      <c r="I32" s="142"/>
      <c r="J32" s="203" t="s">
        <v>88</v>
      </c>
      <c r="K32" s="204">
        <f>SUMPRODUCT(H4:H23,I4:I23)</f>
        <v>0.10089552559626093</v>
      </c>
      <c r="L32" s="156">
        <f>K32*1000</f>
        <v>100.89552559626092</v>
      </c>
      <c r="M32" s="142"/>
    </row>
    <row r="34" spans="2:14" ht="15.75" thickBot="1" x14ac:dyDescent="0.3">
      <c r="B34" s="217" t="s">
        <v>156</v>
      </c>
      <c r="C34" s="217"/>
      <c r="D34" s="217"/>
      <c r="F34" s="213" t="s">
        <v>160</v>
      </c>
      <c r="G34" s="213"/>
      <c r="H34" s="213"/>
      <c r="J34" s="214" t="s">
        <v>172</v>
      </c>
      <c r="K34" s="214"/>
      <c r="L34" s="214"/>
    </row>
    <row r="35" spans="2:14" x14ac:dyDescent="0.25">
      <c r="B35" s="158" t="s">
        <v>3</v>
      </c>
      <c r="C35" s="185" t="s">
        <v>157</v>
      </c>
      <c r="D35" s="186" t="s">
        <v>22</v>
      </c>
      <c r="F35" s="199" t="s">
        <v>3</v>
      </c>
      <c r="G35" s="200" t="s">
        <v>95</v>
      </c>
      <c r="H35" s="162" t="s">
        <v>171</v>
      </c>
      <c r="J35" s="160" t="s">
        <v>4</v>
      </c>
      <c r="K35" s="200" t="s">
        <v>153</v>
      </c>
      <c r="L35" s="161" t="s">
        <v>159</v>
      </c>
    </row>
    <row r="36" spans="2:14" x14ac:dyDescent="0.25">
      <c r="B36" s="151" t="s">
        <v>23</v>
      </c>
      <c r="C36" s="168">
        <f>SUMIF(nodeTime[Source],B36,nodeTime[Count])</f>
        <v>9481856</v>
      </c>
      <c r="D36" s="190">
        <f>C36/$C$41</f>
        <v>0.40728568788728059</v>
      </c>
      <c r="F36" s="201" t="s">
        <v>23</v>
      </c>
      <c r="G36" s="202">
        <f>SUMPRODUCT(O4:O7,Q4:Q7)/SUM(O4:O7)</f>
        <v>1.3285773647872577E-2</v>
      </c>
      <c r="H36" s="149">
        <f>ABS(G36-G27)/G27</f>
        <v>4.5454510032777742E-2</v>
      </c>
      <c r="J36" s="145" t="s">
        <v>23</v>
      </c>
      <c r="K36" s="143">
        <v>9.1702628354698085E-2</v>
      </c>
      <c r="L36" s="190">
        <f>(K36-K27)/K27</f>
        <v>-6.4230871881318916E-4</v>
      </c>
      <c r="N36" s="234">
        <f>K36*1000</f>
        <v>91.702628354698078</v>
      </c>
    </row>
    <row r="37" spans="2:14" x14ac:dyDescent="0.25">
      <c r="B37" s="151" t="s">
        <v>26</v>
      </c>
      <c r="C37" s="168">
        <f>SUMIF(nodeTime[Source],B37,nodeTime[Count])</f>
        <v>2519362</v>
      </c>
      <c r="D37" s="190">
        <f t="shared" ref="D37:D40" si="8">C37/$C$41</f>
        <v>0.10821721878154182</v>
      </c>
      <c r="F37" s="201" t="s">
        <v>26</v>
      </c>
      <c r="G37" s="202">
        <f>SUMPRODUCT(O8:O11,Q8:Q11)/SUM(O8:O11)</f>
        <v>2.9155739485835878E-3</v>
      </c>
      <c r="H37" s="149">
        <f t="shared" ref="H37:H39" si="9">ABS(G37-G28)/G28</f>
        <v>3.7056221455186739E-3</v>
      </c>
      <c r="J37" s="145" t="s">
        <v>26</v>
      </c>
      <c r="K37" s="143">
        <v>3.3508039035577017E-2</v>
      </c>
      <c r="L37" s="190">
        <f t="shared" ref="L37:L40" si="10">(K37-K28)/K28</f>
        <v>9.2126410745494956E-3</v>
      </c>
      <c r="N37" s="234">
        <f t="shared" ref="N37:N41" si="11">K37*1000</f>
        <v>33.508039035577013</v>
      </c>
    </row>
    <row r="38" spans="2:14" x14ac:dyDescent="0.25">
      <c r="B38" s="151" t="s">
        <v>29</v>
      </c>
      <c r="C38" s="168">
        <f>SUMIF(nodeTime[Source],B38,nodeTime[Count])</f>
        <v>3601818</v>
      </c>
      <c r="D38" s="190">
        <f t="shared" si="8"/>
        <v>0.15471326729437668</v>
      </c>
      <c r="F38" s="201" t="s">
        <v>29</v>
      </c>
      <c r="G38" s="202">
        <f>SUMPRODUCT(O12:O15,Q12:Q15)/SUM(O12:O15)</f>
        <v>3.3342867022231383E-3</v>
      </c>
      <c r="H38" s="149">
        <f t="shared" si="9"/>
        <v>5.810951888223473E-4</v>
      </c>
      <c r="J38" s="145" t="s">
        <v>29</v>
      </c>
      <c r="K38" s="143">
        <v>5.7485875895982058E-2</v>
      </c>
      <c r="L38" s="190">
        <f t="shared" si="10"/>
        <v>1.0819954789756288E-2</v>
      </c>
      <c r="N38" s="234">
        <f t="shared" si="11"/>
        <v>57.485875895982055</v>
      </c>
    </row>
    <row r="39" spans="2:14" x14ac:dyDescent="0.25">
      <c r="B39" s="151" t="s">
        <v>31</v>
      </c>
      <c r="C39" s="168">
        <f>SUMIF(nodeTime[Source],B39,nodeTime[Count])</f>
        <v>3596086</v>
      </c>
      <c r="D39" s="190">
        <f t="shared" si="8"/>
        <v>0.15446705372996797</v>
      </c>
      <c r="F39" s="201" t="s">
        <v>31</v>
      </c>
      <c r="G39" s="202">
        <f>SUMPRODUCT(O16:O19,Q16:Q19)/SUM(O16:O19)</f>
        <v>2.5908439409634302E-3</v>
      </c>
      <c r="H39" s="149">
        <f t="shared" si="9"/>
        <v>5.7910830360141836E-3</v>
      </c>
      <c r="J39" s="145" t="s">
        <v>31</v>
      </c>
      <c r="K39" s="143">
        <v>0.19802589905134224</v>
      </c>
      <c r="L39" s="190">
        <f t="shared" si="10"/>
        <v>6.306830352681005E-5</v>
      </c>
      <c r="N39" s="234">
        <f t="shared" si="11"/>
        <v>198.02589905134224</v>
      </c>
    </row>
    <row r="40" spans="2:14" x14ac:dyDescent="0.25">
      <c r="B40" s="151" t="s">
        <v>32</v>
      </c>
      <c r="C40" s="168">
        <f>SUMIF(nodeTime[Source],B40,nodeTime[Count])</f>
        <v>4081480</v>
      </c>
      <c r="D40" s="190">
        <f t="shared" si="8"/>
        <v>0.17531677230683296</v>
      </c>
      <c r="F40" s="201" t="s">
        <v>32</v>
      </c>
      <c r="G40" s="202">
        <f>SUMPRODUCT(O20:O23,Q20:Q23)/SUM(O20:O23)</f>
        <v>6.8243095197005332E-3</v>
      </c>
      <c r="H40" s="149">
        <f>ABS(G40-G31)/G31</f>
        <v>3.6948170611491422E-2</v>
      </c>
      <c r="J40" s="145" t="s">
        <v>32</v>
      </c>
      <c r="K40" s="143">
        <v>0.10333782086079905</v>
      </c>
      <c r="L40" s="190">
        <f t="shared" si="10"/>
        <v>3.5879155460245967E-4</v>
      </c>
      <c r="N40" s="234">
        <f t="shared" si="11"/>
        <v>103.33782086079906</v>
      </c>
    </row>
    <row r="41" spans="2:14" ht="15.75" thickBot="1" x14ac:dyDescent="0.3">
      <c r="B41" s="152" t="s">
        <v>48</v>
      </c>
      <c r="C41" s="187">
        <f>SUM(C36:C40)</f>
        <v>23280602</v>
      </c>
      <c r="D41" s="188">
        <f>SUM(D36:D40)</f>
        <v>1</v>
      </c>
      <c r="F41" s="205" t="s">
        <v>48</v>
      </c>
      <c r="G41" s="206">
        <f>SUMPRODUCT(Table14[% of Total Load], Table14[Nodetime])</f>
        <v>7.8390951014047066E-3</v>
      </c>
      <c r="H41" s="207">
        <f>ABS(G41-G32)/G32</f>
        <v>3.6768176106546265E-2</v>
      </c>
      <c r="J41" s="146" t="s">
        <v>88</v>
      </c>
      <c r="K41" s="166">
        <v>0.10118954343562811</v>
      </c>
      <c r="L41" s="208">
        <f>(K41-K32)/K32</f>
        <v>2.9140820430799803E-3</v>
      </c>
      <c r="N41" s="234">
        <f t="shared" si="11"/>
        <v>101.18954343562811</v>
      </c>
    </row>
    <row r="43" spans="2:14" ht="15.75" thickBot="1" x14ac:dyDescent="0.3">
      <c r="B43" s="212" t="s">
        <v>158</v>
      </c>
      <c r="C43" s="212"/>
      <c r="F43" s="144"/>
      <c r="N43" s="234">
        <f>N41*0.1</f>
        <v>10.118954343562812</v>
      </c>
    </row>
    <row r="44" spans="2:14" x14ac:dyDescent="0.25">
      <c r="B44" s="158" t="s">
        <v>3</v>
      </c>
      <c r="C44" s="186" t="s">
        <v>159</v>
      </c>
      <c r="F44" s="144"/>
      <c r="N44" s="234">
        <f>N43+150.79</f>
        <v>160.90895434356281</v>
      </c>
    </row>
    <row r="45" spans="2:14" x14ac:dyDescent="0.25">
      <c r="B45" s="151" t="s">
        <v>23</v>
      </c>
      <c r="C45" s="190">
        <f>(D36-D27)/D27</f>
        <v>1.6991709028398819E-4</v>
      </c>
      <c r="F45" s="196" t="s">
        <v>166</v>
      </c>
    </row>
    <row r="46" spans="2:14" x14ac:dyDescent="0.25">
      <c r="B46" s="151" t="s">
        <v>26</v>
      </c>
      <c r="C46" s="190">
        <f t="shared" ref="C46:C49" si="12">(D37-D28)/D28</f>
        <v>-2.7902649432797372E-4</v>
      </c>
      <c r="F46" s="196" t="s">
        <v>167</v>
      </c>
    </row>
    <row r="47" spans="2:14" x14ac:dyDescent="0.25">
      <c r="B47" s="151" t="s">
        <v>29</v>
      </c>
      <c r="C47" s="190">
        <f t="shared" si="12"/>
        <v>4.7912850363580987E-4</v>
      </c>
    </row>
    <row r="48" spans="2:14" x14ac:dyDescent="0.25">
      <c r="B48" s="151" t="s">
        <v>31</v>
      </c>
      <c r="C48" s="190">
        <f t="shared" si="12"/>
        <v>-1.1130525462071772E-3</v>
      </c>
    </row>
    <row r="49" spans="2:3" x14ac:dyDescent="0.25">
      <c r="B49" s="151" t="s">
        <v>32</v>
      </c>
      <c r="C49" s="190">
        <f t="shared" si="12"/>
        <v>3.3687728016459104E-4</v>
      </c>
    </row>
    <row r="50" spans="2:3" ht="15.75" thickBot="1" x14ac:dyDescent="0.3">
      <c r="B50" s="191"/>
      <c r="C50" s="192"/>
    </row>
  </sheetData>
  <sortState ref="B4:I23">
    <sortCondition ref="B4:B23"/>
    <sortCondition ref="C4:C23"/>
  </sortState>
  <mergeCells count="7">
    <mergeCell ref="B43:C43"/>
    <mergeCell ref="F34:H34"/>
    <mergeCell ref="J34:L34"/>
    <mergeCell ref="J25:K25"/>
    <mergeCell ref="F25:G25"/>
    <mergeCell ref="B25:D25"/>
    <mergeCell ref="B34:D34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D90A3-1D0C-4ADE-9518-5EC7D0FD2819}">
  <dimension ref="A2:T81"/>
  <sheetViews>
    <sheetView workbookViewId="0">
      <selection activeCell="E5" sqref="E5"/>
    </sheetView>
  </sheetViews>
  <sheetFormatPr defaultRowHeight="15" x14ac:dyDescent="0.25"/>
  <cols>
    <col min="2" max="2" width="11" bestFit="1" customWidth="1"/>
    <col min="3" max="3" width="11" customWidth="1"/>
    <col min="4" max="4" width="13.5703125" bestFit="1" customWidth="1"/>
    <col min="5" max="5" width="27" bestFit="1" customWidth="1"/>
    <col min="6" max="6" width="8.42578125" customWidth="1"/>
    <col min="7" max="8" width="12" bestFit="1" customWidth="1"/>
    <col min="11" max="11" width="11.5703125" bestFit="1" customWidth="1"/>
    <col min="12" max="12" width="13.42578125" customWidth="1"/>
    <col min="13" max="13" width="20.7109375" hidden="1" customWidth="1"/>
    <col min="14" max="14" width="20.7109375" bestFit="1" customWidth="1"/>
    <col min="16" max="16" width="10" customWidth="1"/>
  </cols>
  <sheetData>
    <row r="2" spans="2:20" x14ac:dyDescent="0.25">
      <c r="R2" s="137"/>
      <c r="S2" s="173" t="s">
        <v>143</v>
      </c>
      <c r="T2" s="174" t="s">
        <v>65</v>
      </c>
    </row>
    <row r="3" spans="2:20" x14ac:dyDescent="0.25">
      <c r="S3" s="170">
        <v>0</v>
      </c>
      <c r="T3" s="176" t="s">
        <v>23</v>
      </c>
    </row>
    <row r="4" spans="2:20" x14ac:dyDescent="0.25">
      <c r="S4" s="171">
        <v>1</v>
      </c>
      <c r="T4" s="177" t="s">
        <v>26</v>
      </c>
    </row>
    <row r="5" spans="2:20" x14ac:dyDescent="0.25">
      <c r="S5" s="170">
        <v>2</v>
      </c>
      <c r="T5" s="176" t="s">
        <v>29</v>
      </c>
    </row>
    <row r="6" spans="2:20" x14ac:dyDescent="0.25">
      <c r="S6" s="171">
        <v>3</v>
      </c>
      <c r="T6" s="177" t="s">
        <v>31</v>
      </c>
    </row>
    <row r="7" spans="2:20" x14ac:dyDescent="0.25">
      <c r="B7" t="s">
        <v>155</v>
      </c>
      <c r="K7" t="s">
        <v>153</v>
      </c>
      <c r="S7" s="172">
        <v>4</v>
      </c>
      <c r="T7" s="178" t="s">
        <v>32</v>
      </c>
    </row>
    <row r="8" spans="2:20" x14ac:dyDescent="0.25">
      <c r="B8" t="s">
        <v>140</v>
      </c>
      <c r="C8" t="s">
        <v>3</v>
      </c>
      <c r="D8" t="s">
        <v>4</v>
      </c>
      <c r="E8" t="s">
        <v>99</v>
      </c>
      <c r="F8" t="s">
        <v>100</v>
      </c>
      <c r="G8" t="s">
        <v>101</v>
      </c>
      <c r="H8" t="s">
        <v>102</v>
      </c>
      <c r="I8" t="s">
        <v>92</v>
      </c>
      <c r="L8" t="s">
        <v>140</v>
      </c>
      <c r="M8" t="s">
        <v>4</v>
      </c>
      <c r="N8" t="s">
        <v>99</v>
      </c>
      <c r="O8" t="s">
        <v>100</v>
      </c>
      <c r="P8" t="s">
        <v>101</v>
      </c>
      <c r="Q8" t="s">
        <v>154</v>
      </c>
      <c r="R8" t="s">
        <v>92</v>
      </c>
    </row>
    <row r="9" spans="2:20" x14ac:dyDescent="0.25">
      <c r="B9" t="s">
        <v>103</v>
      </c>
      <c r="C9" t="s">
        <v>26</v>
      </c>
      <c r="D9" t="str">
        <f>INDEX($T$3:$T$7,_xlfn.NUMBERVALUE(MID(E9, LEN(E9)-1, 1))+1)</f>
        <v>Hickam</v>
      </c>
      <c r="E9" t="s">
        <v>104</v>
      </c>
      <c r="F9">
        <v>199990</v>
      </c>
      <c r="G9">
        <v>1.90565733460519E-3</v>
      </c>
      <c r="H9">
        <v>1.89232674741384E-3</v>
      </c>
      <c r="I9" s="184">
        <f>nodeTime[[#This Row],[Count]]/SUM(nodeTime[Count])</f>
        <v>6.8295078038370302E-3</v>
      </c>
      <c r="L9" t="s">
        <v>105</v>
      </c>
      <c r="M9" t="str">
        <f>INDEX($T$3:$T$7,_xlfn.NUMBERVALUE(MID(N9, LEN(N9)-1, 1))+1)</f>
        <v>Hickam</v>
      </c>
      <c r="N9" t="s">
        <v>130</v>
      </c>
      <c r="O9">
        <v>799240</v>
      </c>
      <c r="P9">
        <v>9.15873809207082E-2</v>
      </c>
      <c r="Q9">
        <v>9.6510082585054405E-2</v>
      </c>
      <c r="R9" s="184">
        <f>Table11[[#This Row],[Count]]/(SUM(Table11[Count]))</f>
        <v>3.4330774547186776E-2</v>
      </c>
    </row>
    <row r="10" spans="2:20" x14ac:dyDescent="0.25">
      <c r="B10" t="s">
        <v>105</v>
      </c>
      <c r="C10" t="s">
        <v>26</v>
      </c>
      <c r="D10" t="str">
        <f t="shared" ref="D10:D73" si="0">INDEX($T$3:$T$7,_xlfn.NUMBERVALUE(MID(E10, LEN(E10)-1, 1))+1)</f>
        <v>Hickam</v>
      </c>
      <c r="E10" t="s">
        <v>104</v>
      </c>
      <c r="F10">
        <v>199963</v>
      </c>
      <c r="G10">
        <v>1.8876822789628499E-3</v>
      </c>
      <c r="H10">
        <v>1.8816042609254801E-3</v>
      </c>
      <c r="I10" s="184">
        <f>nodeTime[[#This Row],[Count]]/SUM(nodeTime[Count])</f>
        <v>6.8285857741820291E-3</v>
      </c>
      <c r="L10" t="s">
        <v>106</v>
      </c>
      <c r="M10" t="str">
        <f t="shared" ref="M10:M23" si="1">INDEX($T$3:$T$7,_xlfn.NUMBERVALUE(MID(N10, LEN(N10)-1, 1))+1)</f>
        <v>Hickam</v>
      </c>
      <c r="N10" t="s">
        <v>130</v>
      </c>
      <c r="O10">
        <v>799509</v>
      </c>
      <c r="P10">
        <v>9.1753371345937404E-2</v>
      </c>
      <c r="Q10">
        <v>9.6617106375059505E-2</v>
      </c>
      <c r="R10" s="184">
        <f>Table11[[#This Row],[Count]]/(SUM(Table11[Count]))</f>
        <v>3.4342329247093177E-2</v>
      </c>
    </row>
    <row r="11" spans="2:20" x14ac:dyDescent="0.25">
      <c r="B11" t="s">
        <v>106</v>
      </c>
      <c r="C11" t="s">
        <v>26</v>
      </c>
      <c r="D11" t="str">
        <f t="shared" si="0"/>
        <v>Hickam</v>
      </c>
      <c r="E11" t="s">
        <v>104</v>
      </c>
      <c r="F11">
        <v>200126</v>
      </c>
      <c r="G11">
        <v>1.9001221928503799E-3</v>
      </c>
      <c r="H11">
        <v>1.89756916379E-3</v>
      </c>
      <c r="I11" s="184">
        <f>nodeTime[[#This Row],[Count]]/SUM(nodeTime[Count])</f>
        <v>6.8341521013585149E-3</v>
      </c>
      <c r="L11" t="s">
        <v>103</v>
      </c>
      <c r="M11" t="str">
        <f t="shared" si="1"/>
        <v>Hickam</v>
      </c>
      <c r="N11" t="s">
        <v>130</v>
      </c>
      <c r="O11">
        <v>800649</v>
      </c>
      <c r="P11">
        <v>9.1767002232588796E-2</v>
      </c>
      <c r="Q11">
        <v>9.6606074482232504E-2</v>
      </c>
      <c r="R11" s="184">
        <f>Table11[[#This Row],[Count]]/(SUM(Table11[Count]))</f>
        <v>3.4391297120302464E-2</v>
      </c>
    </row>
    <row r="12" spans="2:20" x14ac:dyDescent="0.25">
      <c r="B12" t="s">
        <v>103</v>
      </c>
      <c r="C12" t="s">
        <v>26</v>
      </c>
      <c r="D12" t="str">
        <f t="shared" si="0"/>
        <v>Qatar</v>
      </c>
      <c r="E12" t="s">
        <v>107</v>
      </c>
      <c r="F12">
        <v>399878</v>
      </c>
      <c r="G12">
        <v>3.6462625051103298E-3</v>
      </c>
      <c r="H12">
        <v>3.7031127604003002E-3</v>
      </c>
      <c r="I12" s="184">
        <f>nodeTime[[#This Row],[Count]]/SUM(nodeTime[Count])</f>
        <v>1.3655532384532945E-2</v>
      </c>
      <c r="L12" t="s">
        <v>105</v>
      </c>
      <c r="M12" t="str">
        <f t="shared" si="1"/>
        <v>Cheyenne</v>
      </c>
      <c r="N12" t="s">
        <v>131</v>
      </c>
      <c r="O12">
        <v>1119976</v>
      </c>
      <c r="P12">
        <v>3.42186515060066E-2</v>
      </c>
      <c r="Q12">
        <v>2.9711261076792801E-2</v>
      </c>
      <c r="R12" s="184">
        <f>Table11[[#This Row],[Count]]/(SUM(Table11[Count]))</f>
        <v>4.8107756811796278E-2</v>
      </c>
    </row>
    <row r="13" spans="2:20" x14ac:dyDescent="0.25">
      <c r="B13" t="s">
        <v>106</v>
      </c>
      <c r="C13" t="s">
        <v>26</v>
      </c>
      <c r="D13" t="str">
        <f t="shared" si="0"/>
        <v>Qatar</v>
      </c>
      <c r="E13" t="s">
        <v>107</v>
      </c>
      <c r="F13">
        <v>400221</v>
      </c>
      <c r="G13">
        <v>3.6406943281448402E-3</v>
      </c>
      <c r="H13">
        <v>3.6832062142834101E-3</v>
      </c>
      <c r="I13" s="184">
        <f>nodeTime[[#This Row],[Count]]/SUM(nodeTime[Count])</f>
        <v>1.3667245576076103E-2</v>
      </c>
      <c r="L13" t="s">
        <v>106</v>
      </c>
      <c r="M13" t="str">
        <f t="shared" si="1"/>
        <v>Cheyenne</v>
      </c>
      <c r="N13" t="s">
        <v>131</v>
      </c>
      <c r="O13">
        <v>1119975</v>
      </c>
      <c r="P13">
        <v>3.3261635830229397E-2</v>
      </c>
      <c r="Q13">
        <v>2.6835377569416501E-2</v>
      </c>
      <c r="R13" s="184">
        <f>Table11[[#This Row],[Count]]/(SUM(Table11[Count]))</f>
        <v>4.8107713857521529E-2</v>
      </c>
    </row>
    <row r="14" spans="2:20" x14ac:dyDescent="0.25">
      <c r="B14" t="s">
        <v>105</v>
      </c>
      <c r="C14" t="s">
        <v>26</v>
      </c>
      <c r="D14" t="str">
        <f t="shared" si="0"/>
        <v>Qatar</v>
      </c>
      <c r="E14" t="s">
        <v>107</v>
      </c>
      <c r="F14">
        <v>399409</v>
      </c>
      <c r="G14">
        <v>3.6598908465314199E-3</v>
      </c>
      <c r="H14">
        <v>3.6734336408768302E-3</v>
      </c>
      <c r="I14" s="184">
        <f>nodeTime[[#This Row],[Count]]/SUM(nodeTime[Count])</f>
        <v>1.3639516387933117E-2</v>
      </c>
      <c r="L14" t="s">
        <v>103</v>
      </c>
      <c r="M14" t="str">
        <f t="shared" si="1"/>
        <v>Cheyenne</v>
      </c>
      <c r="N14" t="s">
        <v>131</v>
      </c>
      <c r="O14">
        <v>1120094</v>
      </c>
      <c r="P14">
        <v>3.3043878454168098E-2</v>
      </c>
      <c r="Q14">
        <v>2.5287966402103401E-2</v>
      </c>
      <c r="R14" s="184">
        <f>Table11[[#This Row],[Count]]/(SUM(Table11[Count]))</f>
        <v>4.8112825416216184E-2</v>
      </c>
    </row>
    <row r="15" spans="2:20" x14ac:dyDescent="0.25">
      <c r="B15" t="s">
        <v>103</v>
      </c>
      <c r="C15" t="s">
        <v>26</v>
      </c>
      <c r="D15" t="str">
        <f t="shared" si="0"/>
        <v>Langley</v>
      </c>
      <c r="E15" t="s">
        <v>108</v>
      </c>
      <c r="F15">
        <v>200577</v>
      </c>
      <c r="G15">
        <v>1.8980705298675799E-3</v>
      </c>
      <c r="H15">
        <v>1.8983562553424201E-3</v>
      </c>
      <c r="I15" s="184">
        <f>nodeTime[[#This Row],[Count]]/SUM(nodeTime[Count])</f>
        <v>6.8495534115216757E-3</v>
      </c>
      <c r="L15" t="s">
        <v>105</v>
      </c>
      <c r="M15" t="str">
        <f t="shared" si="1"/>
        <v>Qatar</v>
      </c>
      <c r="N15" t="s">
        <v>132</v>
      </c>
      <c r="O15">
        <v>2998579</v>
      </c>
      <c r="P15">
        <v>5.6187622128266099E-2</v>
      </c>
      <c r="Q15">
        <v>1.9514669346739202E-2</v>
      </c>
      <c r="R15" s="184">
        <f>Table11[[#This Row],[Count]]/(SUM(Table11[Count]))</f>
        <v>0.12880178621056099</v>
      </c>
    </row>
    <row r="16" spans="2:20" x14ac:dyDescent="0.25">
      <c r="B16" t="s">
        <v>105</v>
      </c>
      <c r="C16" t="s">
        <v>26</v>
      </c>
      <c r="D16" t="str">
        <f t="shared" si="0"/>
        <v>Langley</v>
      </c>
      <c r="E16" t="s">
        <v>108</v>
      </c>
      <c r="F16">
        <v>199793</v>
      </c>
      <c r="G16">
        <v>1.8920133835691401E-3</v>
      </c>
      <c r="H16">
        <v>1.8762528467840399E-3</v>
      </c>
      <c r="I16" s="184">
        <f>nodeTime[[#This Row],[Count]]/SUM(nodeTime[Count])</f>
        <v>6.8227804022801724E-3</v>
      </c>
      <c r="L16" t="s">
        <v>106</v>
      </c>
      <c r="M16" t="str">
        <f t="shared" si="1"/>
        <v>Qatar</v>
      </c>
      <c r="N16" t="s">
        <v>132</v>
      </c>
      <c r="O16">
        <v>3002844</v>
      </c>
      <c r="P16">
        <v>5.8230827174763203E-2</v>
      </c>
      <c r="Q16">
        <v>2.3048936788075201E-2</v>
      </c>
      <c r="R16" s="184">
        <f>Table11[[#This Row],[Count]]/(SUM(Table11[Count]))</f>
        <v>0.12898498619234838</v>
      </c>
    </row>
    <row r="17" spans="2:18" x14ac:dyDescent="0.25">
      <c r="B17" t="s">
        <v>106</v>
      </c>
      <c r="C17" t="s">
        <v>26</v>
      </c>
      <c r="D17" t="str">
        <f t="shared" si="0"/>
        <v>Langley</v>
      </c>
      <c r="E17" t="s">
        <v>108</v>
      </c>
      <c r="F17">
        <v>199221</v>
      </c>
      <c r="G17">
        <v>1.9041221661187499E-3</v>
      </c>
      <c r="H17">
        <v>1.89811501996741E-3</v>
      </c>
      <c r="I17" s="184">
        <f>nodeTime[[#This Row],[Count]]/SUM(nodeTime[Count])</f>
        <v>6.8032470332927489E-3</v>
      </c>
      <c r="L17" t="s">
        <v>103</v>
      </c>
      <c r="M17" t="str">
        <f t="shared" si="1"/>
        <v>Qatar</v>
      </c>
      <c r="N17" t="s">
        <v>132</v>
      </c>
      <c r="O17">
        <v>2995985</v>
      </c>
      <c r="P17">
        <v>5.8038596956589403E-2</v>
      </c>
      <c r="Q17">
        <v>2.45126672507716E-2</v>
      </c>
      <c r="R17" s="184">
        <f>Table11[[#This Row],[Count]]/(SUM(Table11[Count]))</f>
        <v>0.12869036282187249</v>
      </c>
    </row>
    <row r="18" spans="2:18" x14ac:dyDescent="0.25">
      <c r="B18" t="s">
        <v>103</v>
      </c>
      <c r="C18" t="s">
        <v>26</v>
      </c>
      <c r="D18" t="str">
        <f t="shared" si="0"/>
        <v>Ramstein</v>
      </c>
      <c r="E18" t="s">
        <v>109</v>
      </c>
      <c r="F18">
        <v>40045</v>
      </c>
      <c r="G18">
        <v>5.7508840667675797E-3</v>
      </c>
      <c r="H18">
        <v>5.77629067191283E-3</v>
      </c>
      <c r="I18" s="184">
        <f>nodeTime[[#This Row],[Count]]/SUM(nodeTime[Count])</f>
        <v>1.367506575352037E-3</v>
      </c>
      <c r="L18" t="s">
        <v>105</v>
      </c>
      <c r="M18" t="str">
        <f t="shared" si="1"/>
        <v>Langley</v>
      </c>
      <c r="N18" t="s">
        <v>133</v>
      </c>
      <c r="O18">
        <v>2199861</v>
      </c>
      <c r="P18">
        <v>0.19795564864742801</v>
      </c>
      <c r="Q18">
        <v>0.10278604632557301</v>
      </c>
      <c r="R18" s="184">
        <f>Table11[[#This Row],[Count]]/(SUM(Table11[Count]))</f>
        <v>9.449343379479111E-2</v>
      </c>
    </row>
    <row r="19" spans="2:18" x14ac:dyDescent="0.25">
      <c r="B19" t="s">
        <v>105</v>
      </c>
      <c r="C19" t="s">
        <v>26</v>
      </c>
      <c r="D19" t="str">
        <f t="shared" si="0"/>
        <v>Ramstein</v>
      </c>
      <c r="E19" t="s">
        <v>109</v>
      </c>
      <c r="F19">
        <v>39844</v>
      </c>
      <c r="G19">
        <v>5.7122351031883498E-3</v>
      </c>
      <c r="H19">
        <v>5.6240784248845002E-3</v>
      </c>
      <c r="I19" s="184">
        <f>nodeTime[[#This Row],[Count]]/SUM(nodeTime[Count])</f>
        <v>1.3606425768092536E-3</v>
      </c>
      <c r="L19" t="s">
        <v>103</v>
      </c>
      <c r="M19" t="str">
        <f t="shared" si="1"/>
        <v>Langley</v>
      </c>
      <c r="N19" t="s">
        <v>133</v>
      </c>
      <c r="O19">
        <v>2200822</v>
      </c>
      <c r="P19">
        <v>0.19797429845501499</v>
      </c>
      <c r="Q19">
        <v>0.102795545020058</v>
      </c>
      <c r="R19" s="184">
        <f>Table11[[#This Row],[Count]]/(SUM(Table11[Count]))</f>
        <v>9.4534712852821043E-2</v>
      </c>
    </row>
    <row r="20" spans="2:18" x14ac:dyDescent="0.25">
      <c r="B20" t="s">
        <v>106</v>
      </c>
      <c r="C20" t="s">
        <v>26</v>
      </c>
      <c r="D20" t="str">
        <f t="shared" si="0"/>
        <v>Ramstein</v>
      </c>
      <c r="E20" t="s">
        <v>109</v>
      </c>
      <c r="F20">
        <v>40295</v>
      </c>
      <c r="G20">
        <v>5.7987933249550499E-3</v>
      </c>
      <c r="H20">
        <v>5.8397136473214801E-3</v>
      </c>
      <c r="I20" s="184">
        <f>nodeTime[[#This Row],[Count]]/SUM(nodeTime[Count])</f>
        <v>1.3760438869724141E-3</v>
      </c>
      <c r="L20" t="s">
        <v>106</v>
      </c>
      <c r="M20" t="str">
        <f t="shared" si="1"/>
        <v>Langley</v>
      </c>
      <c r="N20" t="s">
        <v>133</v>
      </c>
      <c r="O20">
        <v>2200826</v>
      </c>
      <c r="P20">
        <v>0.198147719154983</v>
      </c>
      <c r="Q20">
        <v>0.10267729289784901</v>
      </c>
      <c r="R20" s="184">
        <f>Table11[[#This Row],[Count]]/(SUM(Table11[Count]))</f>
        <v>9.4534884669920022E-2</v>
      </c>
    </row>
    <row r="21" spans="2:18" x14ac:dyDescent="0.25">
      <c r="B21" t="s">
        <v>106</v>
      </c>
      <c r="C21" t="s">
        <v>23</v>
      </c>
      <c r="D21" t="str">
        <f t="shared" si="0"/>
        <v>Cheyenne</v>
      </c>
      <c r="E21" t="s">
        <v>110</v>
      </c>
      <c r="F21">
        <v>159532</v>
      </c>
      <c r="G21">
        <v>1.71541261853863E-3</v>
      </c>
      <c r="H21">
        <v>1.70933526886908E-3</v>
      </c>
      <c r="I21" s="184">
        <f>nodeTime[[#This Row],[Count]]/SUM(nodeTime[Count])</f>
        <v>5.4478975896881292E-3</v>
      </c>
      <c r="L21" t="s">
        <v>105</v>
      </c>
      <c r="M21" t="str">
        <f t="shared" si="1"/>
        <v>Ramstein</v>
      </c>
      <c r="N21" t="s">
        <v>134</v>
      </c>
      <c r="O21">
        <v>640590</v>
      </c>
      <c r="P21">
        <v>0.103420342461037</v>
      </c>
      <c r="Q21">
        <v>0.10720838611450401</v>
      </c>
      <c r="R21" s="184">
        <f>Table11[[#This Row],[Count]]/(SUM(Table11[Count]))</f>
        <v>2.7516078858893917E-2</v>
      </c>
    </row>
    <row r="22" spans="2:18" x14ac:dyDescent="0.25">
      <c r="B22" t="s">
        <v>103</v>
      </c>
      <c r="C22" t="s">
        <v>23</v>
      </c>
      <c r="D22" t="str">
        <f t="shared" si="0"/>
        <v>Cheyenne</v>
      </c>
      <c r="E22" t="s">
        <v>110</v>
      </c>
      <c r="F22">
        <v>159902</v>
      </c>
      <c r="G22">
        <v>1.73362985843481E-3</v>
      </c>
      <c r="H22">
        <v>1.7345800730419799E-3</v>
      </c>
      <c r="I22" s="184">
        <f>nodeTime[[#This Row],[Count]]/SUM(nodeTime[Count])</f>
        <v>5.4605328108862884E-3</v>
      </c>
      <c r="L22" t="s">
        <v>106</v>
      </c>
      <c r="M22" t="str">
        <f t="shared" si="1"/>
        <v>Ramstein</v>
      </c>
      <c r="N22" t="s">
        <v>134</v>
      </c>
      <c r="O22">
        <v>640871</v>
      </c>
      <c r="P22">
        <v>0.103146532243357</v>
      </c>
      <c r="Q22">
        <v>0.107053079470405</v>
      </c>
      <c r="R22" s="184">
        <f>Table11[[#This Row],[Count]]/(SUM(Table11[Count]))</f>
        <v>2.7528149010097262E-2</v>
      </c>
    </row>
    <row r="23" spans="2:18" x14ac:dyDescent="0.25">
      <c r="B23" t="s">
        <v>105</v>
      </c>
      <c r="C23" t="s">
        <v>23</v>
      </c>
      <c r="D23" t="str">
        <f t="shared" si="0"/>
        <v>Cheyenne</v>
      </c>
      <c r="E23" t="s">
        <v>110</v>
      </c>
      <c r="F23">
        <v>159820</v>
      </c>
      <c r="G23">
        <v>1.73181841432094E-3</v>
      </c>
      <c r="H23">
        <v>1.73109557907771E-3</v>
      </c>
      <c r="I23" s="184">
        <f>nodeTime[[#This Row],[Count]]/SUM(nodeTime[Count])</f>
        <v>5.4577325726748041E-3</v>
      </c>
      <c r="L23" t="s">
        <v>103</v>
      </c>
      <c r="M23" t="str">
        <f t="shared" si="1"/>
        <v>Ramstein</v>
      </c>
      <c r="N23" t="s">
        <v>134</v>
      </c>
      <c r="O23">
        <v>640749</v>
      </c>
      <c r="P23">
        <v>0.10344664477726601</v>
      </c>
      <c r="Q23">
        <v>0.107206419236215</v>
      </c>
      <c r="R23" s="184">
        <f>Table11[[#This Row],[Count]]/(SUM(Table11[Count]))</f>
        <v>2.7522908588578372E-2</v>
      </c>
    </row>
    <row r="24" spans="2:18" x14ac:dyDescent="0.25">
      <c r="B24" t="s">
        <v>103</v>
      </c>
      <c r="C24" t="s">
        <v>23</v>
      </c>
      <c r="D24" t="str">
        <f t="shared" si="0"/>
        <v>Qatar</v>
      </c>
      <c r="E24" t="s">
        <v>111</v>
      </c>
      <c r="F24">
        <v>1997834</v>
      </c>
      <c r="G24">
        <v>2.1087948888422799E-2</v>
      </c>
      <c r="H24">
        <v>2.3801006983023301E-2</v>
      </c>
      <c r="I24" s="184">
        <f>nodeTime[[#This Row],[Count]]/SUM(nodeTime[Count])</f>
        <v>6.8224525695139496E-2</v>
      </c>
      <c r="R24" s="175"/>
    </row>
    <row r="25" spans="2:18" x14ac:dyDescent="0.25">
      <c r="B25" t="s">
        <v>106</v>
      </c>
      <c r="C25" t="s">
        <v>23</v>
      </c>
      <c r="D25" t="str">
        <f t="shared" si="0"/>
        <v>Qatar</v>
      </c>
      <c r="E25" t="s">
        <v>111</v>
      </c>
      <c r="F25">
        <v>2002050</v>
      </c>
      <c r="G25">
        <v>2.1400177266976701E-2</v>
      </c>
      <c r="H25">
        <v>2.1334447479038302E-2</v>
      </c>
      <c r="I25" s="184">
        <f>nodeTime[[#This Row],[Count]]/SUM(nodeTime[Count])</f>
        <v>6.8368498918305542E-2</v>
      </c>
      <c r="L25" s="214" t="s">
        <v>172</v>
      </c>
      <c r="M25" s="214"/>
      <c r="N25" s="214"/>
    </row>
    <row r="26" spans="2:18" x14ac:dyDescent="0.25">
      <c r="B26" t="s">
        <v>105</v>
      </c>
      <c r="C26" t="s">
        <v>23</v>
      </c>
      <c r="D26" t="str">
        <f t="shared" si="0"/>
        <v>Qatar</v>
      </c>
      <c r="E26" t="s">
        <v>111</v>
      </c>
      <c r="F26">
        <v>1999285</v>
      </c>
      <c r="G26">
        <v>1.8316434793907401E-2</v>
      </c>
      <c r="H26">
        <v>1.6962142763266401E-2</v>
      </c>
      <c r="I26" s="184">
        <f>nodeTime[[#This Row],[Count]]/SUM(nodeTime[Count])</f>
        <v>6.8274076251784166E-2</v>
      </c>
      <c r="L26" s="142" t="s">
        <v>4</v>
      </c>
      <c r="M26" s="142" t="s">
        <v>151</v>
      </c>
      <c r="N26" s="142" t="s">
        <v>153</v>
      </c>
    </row>
    <row r="27" spans="2:18" x14ac:dyDescent="0.25">
      <c r="B27" t="s">
        <v>105</v>
      </c>
      <c r="C27" t="s">
        <v>23</v>
      </c>
      <c r="D27" t="str">
        <f t="shared" si="0"/>
        <v>Langley</v>
      </c>
      <c r="E27" t="s">
        <v>112</v>
      </c>
      <c r="F27">
        <v>800362</v>
      </c>
      <c r="G27">
        <v>1.00203141032666E-3</v>
      </c>
      <c r="H27">
        <v>1.0007172829888599E-3</v>
      </c>
      <c r="I27" s="184">
        <f>nodeTime[[#This Row],[Count]]/SUM(nodeTime[Count])</f>
        <v>2.7331759212433686E-2</v>
      </c>
      <c r="L27" s="142" t="s">
        <v>23</v>
      </c>
      <c r="M27" s="142"/>
      <c r="N27" s="142">
        <f>SUMPRODUCT(O9:O11,P9:P11)/SUM(O9:O11)</f>
        <v>9.1702628354698085E-2</v>
      </c>
    </row>
    <row r="28" spans="2:18" x14ac:dyDescent="0.25">
      <c r="B28" t="s">
        <v>103</v>
      </c>
      <c r="C28" t="s">
        <v>23</v>
      </c>
      <c r="D28" t="str">
        <f t="shared" si="0"/>
        <v>Langley</v>
      </c>
      <c r="E28" t="s">
        <v>112</v>
      </c>
      <c r="F28">
        <v>801194</v>
      </c>
      <c r="G28">
        <v>1.00196810745739E-3</v>
      </c>
      <c r="H28">
        <v>1.00124075943679E-3</v>
      </c>
      <c r="I28" s="184">
        <f>nodeTime[[#This Row],[Count]]/SUM(nodeTime[Count])</f>
        <v>2.7360171385506303E-2</v>
      </c>
      <c r="L28" s="142" t="s">
        <v>26</v>
      </c>
      <c r="M28" s="142"/>
      <c r="N28" s="142">
        <f>SUMPRODUCT(O12:O14,P12:P14)/SUM(O12:O14)</f>
        <v>3.3508039035577017E-2</v>
      </c>
    </row>
    <row r="29" spans="2:18" x14ac:dyDescent="0.25">
      <c r="B29" t="s">
        <v>106</v>
      </c>
      <c r="C29" t="s">
        <v>23</v>
      </c>
      <c r="D29" t="str">
        <f t="shared" si="0"/>
        <v>Langley</v>
      </c>
      <c r="E29" t="s">
        <v>112</v>
      </c>
      <c r="F29">
        <v>800831</v>
      </c>
      <c r="G29">
        <v>1.00327927175225E-3</v>
      </c>
      <c r="H29">
        <v>1.00324320633906E-3</v>
      </c>
      <c r="I29" s="184">
        <f>nodeTime[[#This Row],[Count]]/SUM(nodeTime[Count])</f>
        <v>2.7347775209033514E-2</v>
      </c>
      <c r="L29" s="142" t="s">
        <v>29</v>
      </c>
      <c r="M29" s="142"/>
      <c r="N29" s="142">
        <f>SUMPRODUCT(O15:O17,P15:P17)/SUM(O15:O17)</f>
        <v>5.7485875895982058E-2</v>
      </c>
    </row>
    <row r="30" spans="2:18" x14ac:dyDescent="0.25">
      <c r="B30" t="s">
        <v>105</v>
      </c>
      <c r="C30" t="s">
        <v>23</v>
      </c>
      <c r="D30" t="str">
        <f t="shared" si="0"/>
        <v>Ramstein</v>
      </c>
      <c r="E30" t="s">
        <v>113</v>
      </c>
      <c r="F30">
        <v>200026</v>
      </c>
      <c r="G30">
        <v>1.91118633951405E-3</v>
      </c>
      <c r="H30">
        <v>1.9106012195570399E-3</v>
      </c>
      <c r="I30" s="184">
        <f>nodeTime[[#This Row],[Count]]/SUM(nodeTime[Count])</f>
        <v>6.8307371767103641E-3</v>
      </c>
      <c r="L30" s="142" t="s">
        <v>31</v>
      </c>
      <c r="M30" s="142"/>
      <c r="N30" s="142">
        <f>SUMPRODUCT(O18:O20,P18:P20)/SUM(O18:O20)</f>
        <v>0.19802589905134224</v>
      </c>
    </row>
    <row r="31" spans="2:18" x14ac:dyDescent="0.25">
      <c r="B31" t="s">
        <v>106</v>
      </c>
      <c r="C31" t="s">
        <v>23</v>
      </c>
      <c r="D31" t="str">
        <f t="shared" si="0"/>
        <v>Ramstein</v>
      </c>
      <c r="E31" t="s">
        <v>113</v>
      </c>
      <c r="F31">
        <v>201058</v>
      </c>
      <c r="G31">
        <v>1.90567247644311E-3</v>
      </c>
      <c r="H31">
        <v>1.90757114544691E-3</v>
      </c>
      <c r="I31" s="184">
        <f>nodeTime[[#This Row],[Count]]/SUM(nodeTime[Count])</f>
        <v>6.8659791990792821E-3</v>
      </c>
      <c r="L31" s="142" t="s">
        <v>32</v>
      </c>
      <c r="M31" s="142"/>
      <c r="N31" s="142">
        <f>SUMPRODUCT(O21:O23,P21:P23)/SUM(O21:O23)</f>
        <v>0.10333782086079905</v>
      </c>
    </row>
    <row r="32" spans="2:18" x14ac:dyDescent="0.25">
      <c r="B32" t="s">
        <v>103</v>
      </c>
      <c r="C32" t="s">
        <v>23</v>
      </c>
      <c r="D32" t="str">
        <f t="shared" si="0"/>
        <v>Ramstein</v>
      </c>
      <c r="E32" t="s">
        <v>113</v>
      </c>
      <c r="F32">
        <v>199962</v>
      </c>
      <c r="G32">
        <v>1.90141374973776E-3</v>
      </c>
      <c r="H32">
        <v>1.9098691264962E-3</v>
      </c>
      <c r="I32" s="184">
        <f>nodeTime[[#This Row],[Count]]/SUM(nodeTime[Count])</f>
        <v>6.8285516249355473E-3</v>
      </c>
      <c r="L32" s="142" t="s">
        <v>88</v>
      </c>
      <c r="M32" s="142"/>
      <c r="N32" s="142">
        <f>SUMPRODUCT(Table11[Count],Table11[Mean])/SUM(Table11[Count])</f>
        <v>0.10118954343562811</v>
      </c>
    </row>
    <row r="33" spans="1:9" x14ac:dyDescent="0.25">
      <c r="B33" t="s">
        <v>105</v>
      </c>
      <c r="C33" t="s">
        <v>31</v>
      </c>
      <c r="D33" t="str">
        <f t="shared" si="0"/>
        <v>Hickam</v>
      </c>
      <c r="E33" t="s">
        <v>114</v>
      </c>
      <c r="F33">
        <v>199176</v>
      </c>
      <c r="G33" s="167">
        <v>5.7083288069115798E-4</v>
      </c>
      <c r="H33" s="167">
        <v>5.7352202086044795E-4</v>
      </c>
      <c r="I33" s="184">
        <f>nodeTime[[#This Row],[Count]]/SUM(nodeTime[Count])</f>
        <v>6.8017103172010812E-3</v>
      </c>
    </row>
    <row r="34" spans="1:9" x14ac:dyDescent="0.25">
      <c r="B34" t="s">
        <v>103</v>
      </c>
      <c r="C34" t="s">
        <v>31</v>
      </c>
      <c r="D34" t="str">
        <f t="shared" si="0"/>
        <v>Hickam</v>
      </c>
      <c r="E34" t="s">
        <v>114</v>
      </c>
      <c r="F34">
        <v>200153</v>
      </c>
      <c r="G34" s="167">
        <v>5.70936449300065E-4</v>
      </c>
      <c r="H34" s="167">
        <v>5.7286607265331696E-4</v>
      </c>
      <c r="I34" s="184">
        <f>nodeTime[[#This Row],[Count]]/SUM(nodeTime[Count])</f>
        <v>6.835074131013516E-3</v>
      </c>
    </row>
    <row r="35" spans="1:9" x14ac:dyDescent="0.25">
      <c r="B35" t="s">
        <v>106</v>
      </c>
      <c r="C35" t="s">
        <v>31</v>
      </c>
      <c r="D35" t="str">
        <f t="shared" si="0"/>
        <v>Hickam</v>
      </c>
      <c r="E35" t="s">
        <v>114</v>
      </c>
      <c r="F35">
        <v>199879</v>
      </c>
      <c r="G35" s="167">
        <v>5.6967298272031996E-4</v>
      </c>
      <c r="H35" s="167">
        <v>5.6954795566632396E-4</v>
      </c>
      <c r="I35" s="184">
        <f>nodeTime[[#This Row],[Count]]/SUM(nodeTime[Count])</f>
        <v>6.8257172374775821E-3</v>
      </c>
    </row>
    <row r="36" spans="1:9" x14ac:dyDescent="0.25">
      <c r="B36" t="s">
        <v>105</v>
      </c>
      <c r="C36" t="s">
        <v>31</v>
      </c>
      <c r="D36" t="str">
        <f t="shared" si="0"/>
        <v>Cheyenne</v>
      </c>
      <c r="E36" t="s">
        <v>115</v>
      </c>
      <c r="F36">
        <v>399471</v>
      </c>
      <c r="G36">
        <v>3.6336878585854402E-3</v>
      </c>
      <c r="H36">
        <v>3.6299887653510202E-3</v>
      </c>
      <c r="I36" s="184">
        <f>nodeTime[[#This Row],[Count]]/SUM(nodeTime[Count])</f>
        <v>1.3641633641214972E-2</v>
      </c>
    </row>
    <row r="37" spans="1:9" x14ac:dyDescent="0.25">
      <c r="B37" t="s">
        <v>103</v>
      </c>
      <c r="C37" t="s">
        <v>31</v>
      </c>
      <c r="D37" t="str">
        <f t="shared" si="0"/>
        <v>Cheyenne</v>
      </c>
      <c r="E37" t="s">
        <v>115</v>
      </c>
      <c r="F37">
        <v>399158</v>
      </c>
      <c r="G37">
        <v>3.6002820779817402E-3</v>
      </c>
      <c r="H37">
        <v>3.6004231810902801E-3</v>
      </c>
      <c r="I37" s="184">
        <f>nodeTime[[#This Row],[Count]]/SUM(nodeTime[Count])</f>
        <v>1.363094492706626E-2</v>
      </c>
    </row>
    <row r="38" spans="1:9" x14ac:dyDescent="0.25">
      <c r="B38" t="s">
        <v>106</v>
      </c>
      <c r="C38" t="s">
        <v>31</v>
      </c>
      <c r="D38" t="str">
        <f t="shared" si="0"/>
        <v>Cheyenne</v>
      </c>
      <c r="E38" t="s">
        <v>115</v>
      </c>
      <c r="F38">
        <v>399880</v>
      </c>
      <c r="G38">
        <v>3.5963444891001701E-3</v>
      </c>
      <c r="H38">
        <v>3.6009182468431599E-3</v>
      </c>
      <c r="I38" s="184">
        <f>nodeTime[[#This Row],[Count]]/SUM(nodeTime[Count])</f>
        <v>1.3655600683025909E-2</v>
      </c>
    </row>
    <row r="39" spans="1:9" x14ac:dyDescent="0.25">
      <c r="B39" t="s">
        <v>103</v>
      </c>
      <c r="C39" t="s">
        <v>31</v>
      </c>
      <c r="D39" t="str">
        <f t="shared" si="0"/>
        <v>Qatar</v>
      </c>
      <c r="E39" t="s">
        <v>116</v>
      </c>
      <c r="F39">
        <v>398478</v>
      </c>
      <c r="G39">
        <v>3.59789983618843E-3</v>
      </c>
      <c r="H39">
        <v>3.5958212681372901E-3</v>
      </c>
      <c r="I39" s="184">
        <f>nodeTime[[#This Row],[Count]]/SUM(nodeTime[Count])</f>
        <v>1.3607723439458833E-2</v>
      </c>
    </row>
    <row r="40" spans="1:9" x14ac:dyDescent="0.25">
      <c r="B40" t="s">
        <v>106</v>
      </c>
      <c r="C40" t="s">
        <v>31</v>
      </c>
      <c r="D40" t="str">
        <f t="shared" si="0"/>
        <v>Qatar</v>
      </c>
      <c r="E40" t="s">
        <v>116</v>
      </c>
      <c r="F40">
        <v>399600</v>
      </c>
      <c r="G40">
        <v>3.56981930150942E-3</v>
      </c>
      <c r="H40">
        <v>3.5873743812856202E-3</v>
      </c>
      <c r="I40" s="184">
        <f>nodeTime[[#This Row],[Count]]/SUM(nodeTime[Count])</f>
        <v>1.3646038894011087E-2</v>
      </c>
    </row>
    <row r="41" spans="1:9" x14ac:dyDescent="0.25">
      <c r="B41" t="s">
        <v>105</v>
      </c>
      <c r="C41" t="s">
        <v>31</v>
      </c>
      <c r="D41" t="str">
        <f t="shared" si="0"/>
        <v>Qatar</v>
      </c>
      <c r="E41" t="s">
        <v>116</v>
      </c>
      <c r="F41">
        <v>399337</v>
      </c>
      <c r="G41">
        <v>3.6163671855252901E-3</v>
      </c>
      <c r="H41">
        <v>3.6195805270051698E-3</v>
      </c>
      <c r="I41" s="184">
        <f>nodeTime[[#This Row],[Count]]/SUM(nodeTime[Count])</f>
        <v>1.3637057642186449E-2</v>
      </c>
    </row>
    <row r="42" spans="1:9" x14ac:dyDescent="0.25">
      <c r="B42" t="s">
        <v>103</v>
      </c>
      <c r="C42" t="s">
        <v>31</v>
      </c>
      <c r="D42" t="str">
        <f t="shared" si="0"/>
        <v>Ramstein</v>
      </c>
      <c r="E42" t="s">
        <v>117</v>
      </c>
      <c r="F42">
        <v>200640</v>
      </c>
      <c r="G42" s="167">
        <v>5.7258842677432298E-4</v>
      </c>
      <c r="H42" s="167">
        <v>5.7137953544499596E-4</v>
      </c>
      <c r="I42" s="184">
        <f>nodeTime[[#This Row],[Count]]/SUM(nodeTime[Count])</f>
        <v>6.8517048140500107E-3</v>
      </c>
    </row>
    <row r="43" spans="1:9" x14ac:dyDescent="0.25">
      <c r="B43" t="s">
        <v>105</v>
      </c>
      <c r="C43" t="s">
        <v>31</v>
      </c>
      <c r="D43" t="str">
        <f t="shared" si="0"/>
        <v>Ramstein</v>
      </c>
      <c r="E43" t="s">
        <v>117</v>
      </c>
      <c r="F43">
        <v>200555</v>
      </c>
      <c r="G43" s="167">
        <v>5.7034732526869405E-4</v>
      </c>
      <c r="H43" s="167">
        <v>5.6832303515924197E-4</v>
      </c>
      <c r="I43" s="184">
        <f>nodeTime[[#This Row],[Count]]/SUM(nodeTime[Count])</f>
        <v>6.8488021280990827E-3</v>
      </c>
    </row>
    <row r="44" spans="1:9" x14ac:dyDescent="0.25">
      <c r="B44" t="s">
        <v>106</v>
      </c>
      <c r="C44" t="s">
        <v>31</v>
      </c>
      <c r="D44" t="str">
        <f t="shared" si="0"/>
        <v>Ramstein</v>
      </c>
      <c r="E44" t="s">
        <v>117</v>
      </c>
      <c r="F44">
        <v>199759</v>
      </c>
      <c r="G44" s="167">
        <v>5.7421216746597603E-4</v>
      </c>
      <c r="H44" s="167">
        <v>5.7742634031307603E-4</v>
      </c>
      <c r="I44" s="184">
        <f>nodeTime[[#This Row],[Count]]/SUM(nodeTime[Count])</f>
        <v>6.8216193278998012E-3</v>
      </c>
    </row>
    <row r="45" spans="1:9" x14ac:dyDescent="0.25">
      <c r="A45" t="s">
        <v>169</v>
      </c>
      <c r="B45" t="s">
        <v>106</v>
      </c>
      <c r="C45" t="s">
        <v>142</v>
      </c>
      <c r="D45" t="s">
        <v>32</v>
      </c>
      <c r="E45" t="s">
        <v>118</v>
      </c>
      <c r="F45">
        <v>199795</v>
      </c>
      <c r="G45" s="167">
        <v>5.7094525588815897E-4</v>
      </c>
      <c r="H45" s="167">
        <v>5.7065801153838498E-4</v>
      </c>
      <c r="I45" s="184">
        <f>nodeTime[[#This Row],[Count]]/SUM(nodeTime[Count])</f>
        <v>6.8228487007731351E-3</v>
      </c>
    </row>
    <row r="46" spans="1:9" x14ac:dyDescent="0.25">
      <c r="A46" t="s">
        <v>169</v>
      </c>
      <c r="B46" t="s">
        <v>103</v>
      </c>
      <c r="C46" t="s">
        <v>142</v>
      </c>
      <c r="D46" t="s">
        <v>32</v>
      </c>
      <c r="E46" t="s">
        <v>118</v>
      </c>
      <c r="F46">
        <v>200669</v>
      </c>
      <c r="G46" s="167">
        <v>5.7286159413411596E-4</v>
      </c>
      <c r="H46" s="167">
        <v>5.7678264809476597E-4</v>
      </c>
      <c r="I46" s="184">
        <f>nodeTime[[#This Row],[Count]]/SUM(nodeTime[Count])</f>
        <v>6.8526951421979745E-3</v>
      </c>
    </row>
    <row r="47" spans="1:9" x14ac:dyDescent="0.25">
      <c r="A47" t="s">
        <v>169</v>
      </c>
      <c r="B47" t="s">
        <v>105</v>
      </c>
      <c r="C47" t="s">
        <v>142</v>
      </c>
      <c r="D47" t="s">
        <v>32</v>
      </c>
      <c r="E47" t="s">
        <v>118</v>
      </c>
      <c r="F47">
        <v>200590</v>
      </c>
      <c r="G47" s="167">
        <v>5.7173853630715799E-4</v>
      </c>
      <c r="H47" s="167">
        <v>5.7332151129921402E-4</v>
      </c>
      <c r="I47" s="184">
        <f>nodeTime[[#This Row],[Count]]/SUM(nodeTime[Count])</f>
        <v>6.8499973517259357E-3</v>
      </c>
    </row>
    <row r="48" spans="1:9" x14ac:dyDescent="0.25">
      <c r="A48" t="s">
        <v>169</v>
      </c>
      <c r="B48" t="s">
        <v>106</v>
      </c>
      <c r="C48" t="s">
        <v>142</v>
      </c>
      <c r="D48" t="s">
        <v>31</v>
      </c>
      <c r="E48" t="s">
        <v>119</v>
      </c>
      <c r="F48">
        <v>801085</v>
      </c>
      <c r="G48" s="167">
        <v>9.9392345799107005E-4</v>
      </c>
      <c r="H48" s="167">
        <v>9.9046587124027399E-4</v>
      </c>
      <c r="I48" s="184">
        <f>nodeTime[[#This Row],[Count]]/SUM(nodeTime[Count])</f>
        <v>2.7356449117639816E-2</v>
      </c>
    </row>
    <row r="49" spans="1:9" x14ac:dyDescent="0.25">
      <c r="A49" t="s">
        <v>169</v>
      </c>
      <c r="B49" t="s">
        <v>103</v>
      </c>
      <c r="C49" t="s">
        <v>142</v>
      </c>
      <c r="D49" t="s">
        <v>31</v>
      </c>
      <c r="E49" t="s">
        <v>119</v>
      </c>
      <c r="F49">
        <v>799359</v>
      </c>
      <c r="G49" s="167">
        <v>9.9742592128798505E-4</v>
      </c>
      <c r="H49" s="167">
        <v>9.99409438401439E-4</v>
      </c>
      <c r="I49" s="184">
        <f>nodeTime[[#This Row],[Count]]/SUM(nodeTime[Count])</f>
        <v>2.7297507518212732E-2</v>
      </c>
    </row>
    <row r="50" spans="1:9" x14ac:dyDescent="0.25">
      <c r="A50" t="s">
        <v>169</v>
      </c>
      <c r="B50" t="s">
        <v>105</v>
      </c>
      <c r="C50" t="s">
        <v>142</v>
      </c>
      <c r="D50" t="s">
        <v>31</v>
      </c>
      <c r="E50" t="s">
        <v>119</v>
      </c>
      <c r="F50">
        <v>799045</v>
      </c>
      <c r="G50">
        <v>1.00141035336471E-3</v>
      </c>
      <c r="H50">
        <v>1.0025491900241799E-3</v>
      </c>
      <c r="I50" s="184">
        <f>nodeTime[[#This Row],[Count]]/SUM(nodeTime[Count])</f>
        <v>2.7286784654817538E-2</v>
      </c>
    </row>
    <row r="51" spans="1:9" x14ac:dyDescent="0.25">
      <c r="A51" t="s">
        <v>169</v>
      </c>
      <c r="B51" t="s">
        <v>105</v>
      </c>
      <c r="C51" t="s">
        <v>141</v>
      </c>
      <c r="D51" t="s">
        <v>31</v>
      </c>
      <c r="E51" t="s">
        <v>120</v>
      </c>
      <c r="F51">
        <v>800492</v>
      </c>
      <c r="G51">
        <v>1.0055454309439199E-3</v>
      </c>
      <c r="H51">
        <v>1.0089978650630999E-3</v>
      </c>
      <c r="I51" s="184">
        <f>nodeTime[[#This Row],[Count]]/SUM(nodeTime[Count])</f>
        <v>2.7336198614476281E-2</v>
      </c>
    </row>
    <row r="52" spans="1:9" x14ac:dyDescent="0.25">
      <c r="A52" t="s">
        <v>169</v>
      </c>
      <c r="B52" t="s">
        <v>106</v>
      </c>
      <c r="C52" t="s">
        <v>141</v>
      </c>
      <c r="D52" t="s">
        <v>31</v>
      </c>
      <c r="E52" t="s">
        <v>120</v>
      </c>
      <c r="F52">
        <v>800975</v>
      </c>
      <c r="G52">
        <v>1.0023529975897801E-3</v>
      </c>
      <c r="H52">
        <v>1.00062579204206E-3</v>
      </c>
      <c r="I52" s="184">
        <f>nodeTime[[#This Row],[Count]]/SUM(nodeTime[Count])</f>
        <v>2.735269270052685E-2</v>
      </c>
    </row>
    <row r="53" spans="1:9" x14ac:dyDescent="0.25">
      <c r="A53" t="s">
        <v>169</v>
      </c>
      <c r="B53" t="s">
        <v>103</v>
      </c>
      <c r="C53" t="s">
        <v>141</v>
      </c>
      <c r="D53" t="s">
        <v>31</v>
      </c>
      <c r="E53" t="s">
        <v>120</v>
      </c>
      <c r="F53">
        <v>801310</v>
      </c>
      <c r="G53">
        <v>1.0035644286788699E-3</v>
      </c>
      <c r="H53">
        <v>1.0029085740045499E-3</v>
      </c>
      <c r="I53" s="184">
        <f>nodeTime[[#This Row],[Count]]/SUM(nodeTime[Count])</f>
        <v>2.7364132698098155E-2</v>
      </c>
    </row>
    <row r="54" spans="1:9" x14ac:dyDescent="0.25">
      <c r="A54" t="s">
        <v>169</v>
      </c>
      <c r="B54" t="s">
        <v>106</v>
      </c>
      <c r="C54" t="s">
        <v>141</v>
      </c>
      <c r="D54" t="s">
        <v>23</v>
      </c>
      <c r="E54" t="s">
        <v>121</v>
      </c>
      <c r="F54">
        <v>199913</v>
      </c>
      <c r="G54" s="167">
        <v>5.7254861366508303E-4</v>
      </c>
      <c r="H54" s="167">
        <v>5.7340821504148795E-4</v>
      </c>
      <c r="I54" s="184">
        <f>nodeTime[[#This Row],[Count]]/SUM(nodeTime[Count])</f>
        <v>6.8268783118579533E-3</v>
      </c>
    </row>
    <row r="55" spans="1:9" x14ac:dyDescent="0.25">
      <c r="A55" t="s">
        <v>169</v>
      </c>
      <c r="B55" t="s">
        <v>103</v>
      </c>
      <c r="C55" t="s">
        <v>141</v>
      </c>
      <c r="D55" t="s">
        <v>23</v>
      </c>
      <c r="E55" t="s">
        <v>121</v>
      </c>
      <c r="F55">
        <v>200183</v>
      </c>
      <c r="G55" s="167">
        <v>5.7297292269714703E-4</v>
      </c>
      <c r="H55" s="167">
        <v>5.7124085399406404E-4</v>
      </c>
      <c r="I55" s="184">
        <f>nodeTime[[#This Row],[Count]]/SUM(nodeTime[Count])</f>
        <v>6.8360986084079608E-3</v>
      </c>
    </row>
    <row r="56" spans="1:9" x14ac:dyDescent="0.25">
      <c r="A56" t="s">
        <v>169</v>
      </c>
      <c r="B56" t="s">
        <v>105</v>
      </c>
      <c r="C56" t="s">
        <v>141</v>
      </c>
      <c r="D56" t="s">
        <v>23</v>
      </c>
      <c r="E56" t="s">
        <v>121</v>
      </c>
      <c r="F56">
        <v>199205</v>
      </c>
      <c r="G56" s="167">
        <v>5.7119278024443697E-4</v>
      </c>
      <c r="H56" s="167">
        <v>5.7146855685744102E-4</v>
      </c>
      <c r="I56" s="184">
        <f>nodeTime[[#This Row],[Count]]/SUM(nodeTime[Count])</f>
        <v>6.8027006453490451E-3</v>
      </c>
    </row>
    <row r="57" spans="1:9" x14ac:dyDescent="0.25">
      <c r="B57" t="s">
        <v>106</v>
      </c>
      <c r="C57" t="s">
        <v>29</v>
      </c>
      <c r="D57" t="str">
        <f t="shared" si="0"/>
        <v>Hickam</v>
      </c>
      <c r="E57" t="s">
        <v>122</v>
      </c>
      <c r="F57">
        <v>199358</v>
      </c>
      <c r="G57" s="167">
        <v>4.3398018380344901E-4</v>
      </c>
      <c r="H57" s="167">
        <v>4.3385243186278E-4</v>
      </c>
      <c r="I57" s="184">
        <f>nodeTime[[#This Row],[Count]]/SUM(nodeTime[Count])</f>
        <v>6.8079254800607163E-3</v>
      </c>
    </row>
    <row r="58" spans="1:9" x14ac:dyDescent="0.25">
      <c r="B58" t="s">
        <v>103</v>
      </c>
      <c r="C58" t="s">
        <v>29</v>
      </c>
      <c r="D58" t="str">
        <f t="shared" si="0"/>
        <v>Hickam</v>
      </c>
      <c r="E58" t="s">
        <v>122</v>
      </c>
      <c r="F58">
        <v>200785</v>
      </c>
      <c r="G58" s="167">
        <v>4.3449181065750901E-4</v>
      </c>
      <c r="H58" s="167">
        <v>4.3573238467778998E-4</v>
      </c>
      <c r="I58" s="184">
        <f>nodeTime[[#This Row],[Count]]/SUM(nodeTime[Count])</f>
        <v>6.85665645478983E-3</v>
      </c>
    </row>
    <row r="59" spans="1:9" x14ac:dyDescent="0.25">
      <c r="B59" t="s">
        <v>105</v>
      </c>
      <c r="C59" t="s">
        <v>29</v>
      </c>
      <c r="D59" t="str">
        <f t="shared" si="0"/>
        <v>Hickam</v>
      </c>
      <c r="E59" t="s">
        <v>122</v>
      </c>
      <c r="F59">
        <v>199697</v>
      </c>
      <c r="G59" s="167">
        <v>4.34814932093636E-4</v>
      </c>
      <c r="H59" s="167">
        <v>4.3434211918503602E-4</v>
      </c>
      <c r="I59" s="184">
        <f>nodeTime[[#This Row],[Count]]/SUM(nodeTime[Count])</f>
        <v>6.819502074617948E-3</v>
      </c>
    </row>
    <row r="60" spans="1:9" x14ac:dyDescent="0.25">
      <c r="B60" t="s">
        <v>106</v>
      </c>
      <c r="C60" t="s">
        <v>29</v>
      </c>
      <c r="D60" t="str">
        <f t="shared" si="0"/>
        <v>Cheyenne</v>
      </c>
      <c r="E60" t="s">
        <v>123</v>
      </c>
      <c r="F60">
        <v>400245</v>
      </c>
      <c r="G60">
        <v>3.6231377276539599E-3</v>
      </c>
      <c r="H60">
        <v>3.6325307093106902E-3</v>
      </c>
      <c r="I60" s="184">
        <f>nodeTime[[#This Row],[Count]]/SUM(nodeTime[Count])</f>
        <v>1.366806515799166E-2</v>
      </c>
    </row>
    <row r="61" spans="1:9" x14ac:dyDescent="0.25">
      <c r="B61" t="s">
        <v>103</v>
      </c>
      <c r="C61" t="s">
        <v>29</v>
      </c>
      <c r="D61" t="str">
        <f t="shared" si="0"/>
        <v>Cheyenne</v>
      </c>
      <c r="E61" t="s">
        <v>123</v>
      </c>
      <c r="F61">
        <v>401196</v>
      </c>
      <c r="G61">
        <v>3.63686252091457E-3</v>
      </c>
      <c r="H61">
        <v>3.6200732910783699E-3</v>
      </c>
      <c r="I61" s="184">
        <f>nodeTime[[#This Row],[Count]]/SUM(nodeTime[Count])</f>
        <v>1.3700541091395575E-2</v>
      </c>
    </row>
    <row r="62" spans="1:9" x14ac:dyDescent="0.25">
      <c r="B62" t="s">
        <v>105</v>
      </c>
      <c r="C62" t="s">
        <v>29</v>
      </c>
      <c r="D62" t="str">
        <f t="shared" si="0"/>
        <v>Cheyenne</v>
      </c>
      <c r="E62" t="s">
        <v>123</v>
      </c>
      <c r="F62">
        <v>400048</v>
      </c>
      <c r="G62">
        <v>3.6525720639629601E-3</v>
      </c>
      <c r="H62">
        <v>3.6667521118489898E-3</v>
      </c>
      <c r="I62" s="184">
        <f>nodeTime[[#This Row],[Count]]/SUM(nodeTime[Count])</f>
        <v>1.3661337756434803E-2</v>
      </c>
    </row>
    <row r="63" spans="1:9" x14ac:dyDescent="0.25">
      <c r="B63" t="s">
        <v>106</v>
      </c>
      <c r="C63" t="s">
        <v>29</v>
      </c>
      <c r="D63" t="str">
        <f t="shared" si="0"/>
        <v>Langley</v>
      </c>
      <c r="E63" t="s">
        <v>124</v>
      </c>
      <c r="F63">
        <v>399829</v>
      </c>
      <c r="G63">
        <v>3.6536620140689802E-3</v>
      </c>
      <c r="H63">
        <v>3.7061585839003098E-3</v>
      </c>
      <c r="I63" s="184">
        <f>nodeTime[[#This Row],[Count]]/SUM(nodeTime[Count])</f>
        <v>1.3653859071455351E-2</v>
      </c>
    </row>
    <row r="64" spans="1:9" x14ac:dyDescent="0.25">
      <c r="B64" t="s">
        <v>105</v>
      </c>
      <c r="C64" t="s">
        <v>29</v>
      </c>
      <c r="D64" t="str">
        <f t="shared" si="0"/>
        <v>Langley</v>
      </c>
      <c r="E64" t="s">
        <v>124</v>
      </c>
      <c r="F64">
        <v>400802</v>
      </c>
      <c r="G64">
        <v>3.6291180484988102E-3</v>
      </c>
      <c r="H64">
        <v>3.6299324220914302E-3</v>
      </c>
      <c r="I64" s="184">
        <f>nodeTime[[#This Row],[Count]]/SUM(nodeTime[Count])</f>
        <v>1.368708628828186E-2</v>
      </c>
    </row>
    <row r="65" spans="2:9" x14ac:dyDescent="0.25">
      <c r="B65" t="s">
        <v>103</v>
      </c>
      <c r="C65" t="s">
        <v>29</v>
      </c>
      <c r="D65" t="str">
        <f t="shared" si="0"/>
        <v>Langley</v>
      </c>
      <c r="E65" t="s">
        <v>124</v>
      </c>
      <c r="F65">
        <v>399826</v>
      </c>
      <c r="G65">
        <v>3.5615091010268102E-3</v>
      </c>
      <c r="H65">
        <v>3.51986817513109E-3</v>
      </c>
      <c r="I65" s="184">
        <f>nodeTime[[#This Row],[Count]]/SUM(nodeTime[Count])</f>
        <v>1.3653756623715907E-2</v>
      </c>
    </row>
    <row r="66" spans="2:9" x14ac:dyDescent="0.25">
      <c r="B66" t="s">
        <v>106</v>
      </c>
      <c r="C66" t="s">
        <v>29</v>
      </c>
      <c r="D66" t="str">
        <f t="shared" si="0"/>
        <v>Ramstein</v>
      </c>
      <c r="E66" t="s">
        <v>125</v>
      </c>
      <c r="F66">
        <v>199761</v>
      </c>
      <c r="G66">
        <v>5.0808743381564898E-3</v>
      </c>
      <c r="H66">
        <v>5.03491929501018E-3</v>
      </c>
      <c r="I66" s="184">
        <f>nodeTime[[#This Row],[Count]]/SUM(nodeTime[Count])</f>
        <v>6.8216876263927639E-3</v>
      </c>
    </row>
    <row r="67" spans="2:9" x14ac:dyDescent="0.25">
      <c r="B67" t="s">
        <v>103</v>
      </c>
      <c r="C67" t="s">
        <v>29</v>
      </c>
      <c r="D67" t="str">
        <f t="shared" si="0"/>
        <v>Ramstein</v>
      </c>
      <c r="E67" t="s">
        <v>125</v>
      </c>
      <c r="F67">
        <v>200103</v>
      </c>
      <c r="G67">
        <v>5.0766098061905103E-3</v>
      </c>
      <c r="H67">
        <v>5.0667037099227799E-3</v>
      </c>
      <c r="I67" s="184">
        <f>nodeTime[[#This Row],[Count]]/SUM(nodeTime[Count])</f>
        <v>6.8333666686894402E-3</v>
      </c>
    </row>
    <row r="68" spans="2:9" x14ac:dyDescent="0.25">
      <c r="B68" t="s">
        <v>105</v>
      </c>
      <c r="C68" t="s">
        <v>29</v>
      </c>
      <c r="D68" t="str">
        <f t="shared" si="0"/>
        <v>Ramstein</v>
      </c>
      <c r="E68" t="s">
        <v>125</v>
      </c>
      <c r="F68">
        <v>200168</v>
      </c>
      <c r="G68">
        <v>5.0371713440050996E-3</v>
      </c>
      <c r="H68">
        <v>5.0221201971553603E-3</v>
      </c>
      <c r="I68" s="184">
        <f>nodeTime[[#This Row],[Count]]/SUM(nodeTime[Count])</f>
        <v>6.8355863697107389E-3</v>
      </c>
    </row>
    <row r="69" spans="2:9" x14ac:dyDescent="0.25">
      <c r="B69" t="s">
        <v>103</v>
      </c>
      <c r="C69" t="s">
        <v>32</v>
      </c>
      <c r="D69" t="str">
        <f t="shared" si="0"/>
        <v>Hickam</v>
      </c>
      <c r="E69" t="s">
        <v>126</v>
      </c>
      <c r="F69">
        <v>199723</v>
      </c>
      <c r="G69">
        <v>1.8887168743780499E-3</v>
      </c>
      <c r="H69">
        <v>1.8904579976905299E-3</v>
      </c>
      <c r="I69" s="184">
        <f>nodeTime[[#This Row],[Count]]/SUM(nodeTime[Count])</f>
        <v>6.8203899550264672E-3</v>
      </c>
    </row>
    <row r="70" spans="2:9" x14ac:dyDescent="0.25">
      <c r="B70" t="s">
        <v>106</v>
      </c>
      <c r="C70" t="s">
        <v>32</v>
      </c>
      <c r="D70" t="str">
        <f t="shared" si="0"/>
        <v>Hickam</v>
      </c>
      <c r="E70" t="s">
        <v>126</v>
      </c>
      <c r="F70">
        <v>200146</v>
      </c>
      <c r="G70">
        <v>1.90618823124826E-3</v>
      </c>
      <c r="H70">
        <v>1.9222238439973E-3</v>
      </c>
      <c r="I70" s="184">
        <f>nodeTime[[#This Row],[Count]]/SUM(nodeTime[Count])</f>
        <v>6.8348350862881451E-3</v>
      </c>
    </row>
    <row r="71" spans="2:9" x14ac:dyDescent="0.25">
      <c r="B71" t="s">
        <v>105</v>
      </c>
      <c r="C71" t="s">
        <v>32</v>
      </c>
      <c r="D71" t="str">
        <f t="shared" si="0"/>
        <v>Hickam</v>
      </c>
      <c r="E71" t="s">
        <v>126</v>
      </c>
      <c r="F71">
        <v>200407</v>
      </c>
      <c r="G71">
        <v>1.9218464313854799E-3</v>
      </c>
      <c r="H71">
        <v>1.9220754339108099E-3</v>
      </c>
      <c r="I71" s="184">
        <f>nodeTime[[#This Row],[Count]]/SUM(nodeTime[Count])</f>
        <v>6.8437480396198189E-3</v>
      </c>
    </row>
    <row r="72" spans="2:9" x14ac:dyDescent="0.25">
      <c r="B72" t="s">
        <v>103</v>
      </c>
      <c r="C72" t="s">
        <v>32</v>
      </c>
      <c r="D72" t="str">
        <f t="shared" si="0"/>
        <v>Cheyenne</v>
      </c>
      <c r="E72" t="s">
        <v>127</v>
      </c>
      <c r="F72">
        <v>159840</v>
      </c>
      <c r="G72">
        <v>4.0974984226121398E-2</v>
      </c>
      <c r="H72">
        <v>3.8751840682525102E-2</v>
      </c>
      <c r="I72" s="184">
        <f>nodeTime[[#This Row],[Count]]/SUM(nodeTime[Count])</f>
        <v>5.4584155576044343E-3</v>
      </c>
    </row>
    <row r="73" spans="2:9" x14ac:dyDescent="0.25">
      <c r="B73" t="s">
        <v>105</v>
      </c>
      <c r="C73" t="s">
        <v>32</v>
      </c>
      <c r="D73" t="str">
        <f t="shared" si="0"/>
        <v>Cheyenne</v>
      </c>
      <c r="E73" t="s">
        <v>127</v>
      </c>
      <c r="F73">
        <v>160638</v>
      </c>
      <c r="G73">
        <v>4.8992078131931197E-2</v>
      </c>
      <c r="H73">
        <v>5.0647856291638101E-2</v>
      </c>
      <c r="I73" s="184">
        <f>nodeTime[[#This Row],[Count]]/SUM(nodeTime[Count])</f>
        <v>5.4856666562966786E-3</v>
      </c>
    </row>
    <row r="74" spans="2:9" x14ac:dyDescent="0.25">
      <c r="B74" t="s">
        <v>106</v>
      </c>
      <c r="C74" t="s">
        <v>32</v>
      </c>
      <c r="D74" t="str">
        <f t="shared" ref="D74:D80" si="2">INDEX($T$3:$T$7,_xlfn.NUMBERVALUE(MID(E74, LEN(E74)-1, 1))+1)</f>
        <v>Cheyenne</v>
      </c>
      <c r="E74" t="s">
        <v>127</v>
      </c>
      <c r="F74">
        <v>160320</v>
      </c>
      <c r="G74">
        <v>4.2589931636777899E-2</v>
      </c>
      <c r="H74">
        <v>4.4038768376690497E-2</v>
      </c>
      <c r="I74" s="184">
        <f>nodeTime[[#This Row],[Count]]/SUM(nodeTime[Count])</f>
        <v>5.4748071959155589E-3</v>
      </c>
    </row>
    <row r="75" spans="2:9" x14ac:dyDescent="0.25">
      <c r="B75" t="s">
        <v>106</v>
      </c>
      <c r="C75" t="s">
        <v>32</v>
      </c>
      <c r="D75" t="str">
        <f t="shared" si="2"/>
        <v>Qatar</v>
      </c>
      <c r="E75" t="s">
        <v>128</v>
      </c>
      <c r="F75">
        <v>200977</v>
      </c>
      <c r="G75">
        <v>5.0728737568733898E-3</v>
      </c>
      <c r="H75">
        <v>5.0885039959034303E-3</v>
      </c>
      <c r="I75" s="184">
        <f>nodeTime[[#This Row],[Count]]/SUM(nodeTime[Count])</f>
        <v>6.8632131101142796E-3</v>
      </c>
    </row>
    <row r="76" spans="2:9" x14ac:dyDescent="0.25">
      <c r="B76" t="s">
        <v>103</v>
      </c>
      <c r="C76" t="s">
        <v>32</v>
      </c>
      <c r="D76" t="str">
        <f t="shared" si="2"/>
        <v>Qatar</v>
      </c>
      <c r="E76" t="s">
        <v>128</v>
      </c>
      <c r="F76">
        <v>199799</v>
      </c>
      <c r="G76">
        <v>5.11046275126875E-3</v>
      </c>
      <c r="H76">
        <v>5.1319419350905901E-3</v>
      </c>
      <c r="I76" s="184">
        <f>nodeTime[[#This Row],[Count]]/SUM(nodeTime[Count])</f>
        <v>6.8229852977590615E-3</v>
      </c>
    </row>
    <row r="77" spans="2:9" x14ac:dyDescent="0.25">
      <c r="B77" t="s">
        <v>105</v>
      </c>
      <c r="C77" t="s">
        <v>32</v>
      </c>
      <c r="D77" t="str">
        <f t="shared" si="2"/>
        <v>Qatar</v>
      </c>
      <c r="E77" t="s">
        <v>128</v>
      </c>
      <c r="F77">
        <v>200551</v>
      </c>
      <c r="G77">
        <v>5.1146059448475096E-3</v>
      </c>
      <c r="H77">
        <v>5.1079276041112497E-3</v>
      </c>
      <c r="I77" s="184">
        <f>nodeTime[[#This Row],[Count]]/SUM(nodeTime[Count])</f>
        <v>6.8486655311131564E-3</v>
      </c>
    </row>
    <row r="78" spans="2:9" x14ac:dyDescent="0.25">
      <c r="B78" t="s">
        <v>103</v>
      </c>
      <c r="C78" t="s">
        <v>32</v>
      </c>
      <c r="D78" t="str">
        <f t="shared" si="2"/>
        <v>Langley</v>
      </c>
      <c r="E78" t="s">
        <v>129</v>
      </c>
      <c r="F78">
        <v>799226</v>
      </c>
      <c r="G78" s="167">
        <v>9.9620669823760198E-4</v>
      </c>
      <c r="H78" s="167">
        <v>9.878027978030739E-4</v>
      </c>
      <c r="I78" s="184">
        <f>nodeTime[[#This Row],[Count]]/SUM(nodeTime[Count])</f>
        <v>2.7292965668430692E-2</v>
      </c>
    </row>
    <row r="79" spans="2:9" x14ac:dyDescent="0.25">
      <c r="B79" t="s">
        <v>106</v>
      </c>
      <c r="C79" t="s">
        <v>32</v>
      </c>
      <c r="D79" t="str">
        <f t="shared" si="2"/>
        <v>Langley</v>
      </c>
      <c r="E79" t="s">
        <v>129</v>
      </c>
      <c r="F79">
        <v>800946</v>
      </c>
      <c r="G79">
        <v>1.00026439761527E-3</v>
      </c>
      <c r="H79" s="167">
        <v>9.9884354872789593E-4</v>
      </c>
      <c r="I79" s="184">
        <f>nodeTime[[#This Row],[Count]]/SUM(nodeTime[Count])</f>
        <v>2.7351702372378887E-2</v>
      </c>
    </row>
    <row r="80" spans="2:9" x14ac:dyDescent="0.25">
      <c r="B80" t="s">
        <v>105</v>
      </c>
      <c r="C80" t="s">
        <v>32</v>
      </c>
      <c r="D80" t="str">
        <f t="shared" si="2"/>
        <v>Langley</v>
      </c>
      <c r="E80" t="s">
        <v>129</v>
      </c>
      <c r="F80">
        <v>798907</v>
      </c>
      <c r="G80">
        <v>1.0030200712221899E-3</v>
      </c>
      <c r="H80">
        <v>1.00406710483937E-3</v>
      </c>
      <c r="I80" s="184">
        <f>nodeTime[[#This Row],[Count]]/SUM(nodeTime[Count])</f>
        <v>2.7282072058803088E-2</v>
      </c>
    </row>
    <row r="81" spans="9:9" x14ac:dyDescent="0.25">
      <c r="I81" s="175"/>
    </row>
  </sheetData>
  <mergeCells count="1">
    <mergeCell ref="L25:N25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895EB-CDD7-4FA2-A209-E414EC563E2F}">
  <dimension ref="B2:AQ96"/>
  <sheetViews>
    <sheetView tabSelected="1" topLeftCell="N1" workbookViewId="0">
      <selection activeCell="Y10" sqref="Y10"/>
    </sheetView>
  </sheetViews>
  <sheetFormatPr defaultRowHeight="15" x14ac:dyDescent="0.25"/>
  <cols>
    <col min="1" max="1" width="9.140625" style="142"/>
    <col min="2" max="2" width="10" style="142" bestFit="1" customWidth="1"/>
    <col min="3" max="5" width="15.85546875" style="142" customWidth="1"/>
    <col min="6" max="6" width="18.85546875" style="142" bestFit="1" customWidth="1"/>
    <col min="7" max="7" width="27" style="142" hidden="1" customWidth="1"/>
    <col min="8" max="8" width="3.140625" style="142" customWidth="1"/>
    <col min="9" max="9" width="9.140625" style="142"/>
    <col min="10" max="10" width="11.5703125" style="142" bestFit="1" customWidth="1"/>
    <col min="11" max="11" width="13.42578125" style="142" customWidth="1"/>
    <col min="12" max="12" width="27" style="142" hidden="1" customWidth="1"/>
    <col min="13" max="13" width="17.5703125" style="142" customWidth="1"/>
    <col min="14" max="14" width="15.7109375" style="142" customWidth="1"/>
    <col min="15" max="15" width="9" style="142" bestFit="1" customWidth="1"/>
    <col min="16" max="16" width="13.42578125" style="142" customWidth="1"/>
    <col min="17" max="17" width="20.7109375" style="142" hidden="1" customWidth="1"/>
    <col min="18" max="18" width="25.140625" style="142" bestFit="1" customWidth="1"/>
    <col min="19" max="19" width="25.140625" style="211" customWidth="1"/>
    <col min="20" max="20" width="13.85546875" style="142" bestFit="1" customWidth="1"/>
    <col min="21" max="22" width="9.140625" style="142"/>
    <col min="23" max="23" width="13.42578125" style="142" customWidth="1"/>
    <col min="24" max="24" width="27" style="142" hidden="1" customWidth="1"/>
    <col min="25" max="25" width="27" style="142" customWidth="1"/>
    <col min="26" max="27" width="9.140625" style="142"/>
    <col min="28" max="28" width="10.5703125" style="142" bestFit="1" customWidth="1"/>
    <col min="29" max="29" width="13.42578125" style="142" customWidth="1"/>
    <col min="30" max="30" width="27" style="142" hidden="1" customWidth="1"/>
    <col min="31" max="31" width="15.28515625" style="142" bestFit="1" customWidth="1"/>
    <col min="32" max="33" width="9.140625" style="142"/>
    <col min="34" max="34" width="10.5703125" style="142" bestFit="1" customWidth="1"/>
    <col min="35" max="35" width="13.42578125" style="142" customWidth="1"/>
    <col min="36" max="36" width="27" style="142" hidden="1" customWidth="1"/>
    <col min="37" max="37" width="27" style="142" bestFit="1" customWidth="1"/>
    <col min="38" max="39" width="9.140625" style="142"/>
    <col min="40" max="40" width="10.5703125" style="142" bestFit="1" customWidth="1"/>
    <col min="41" max="41" width="13.42578125" style="142" customWidth="1"/>
    <col min="42" max="42" width="27" style="142" hidden="1" customWidth="1"/>
    <col min="43" max="43" width="19.7109375" style="142" bestFit="1" customWidth="1"/>
    <col min="44" max="16384" width="9.140625" style="142"/>
  </cols>
  <sheetData>
    <row r="2" spans="2:43" x14ac:dyDescent="0.25">
      <c r="B2" s="173" t="s">
        <v>143</v>
      </c>
      <c r="C2" s="174" t="s">
        <v>65</v>
      </c>
      <c r="F2" s="142">
        <f>20000*412</f>
        <v>8240000</v>
      </c>
      <c r="AH2" s="142">
        <v>516.73</v>
      </c>
      <c r="AI2" s="236">
        <f>AH2/$AH$5</f>
        <v>0.93904810365820401</v>
      </c>
    </row>
    <row r="3" spans="2:43" x14ac:dyDescent="0.25">
      <c r="B3" s="170">
        <v>0</v>
      </c>
      <c r="C3" s="176" t="s">
        <v>23</v>
      </c>
      <c r="F3" s="142">
        <f>F2/8</f>
        <v>1030000</v>
      </c>
      <c r="T3" s="142">
        <f>522.9085/550.238*100</f>
        <v>95.033149291761006</v>
      </c>
      <c r="AE3" s="142">
        <f>AH2+AH3</f>
        <v>522.94000000000005</v>
      </c>
      <c r="AH3" s="142">
        <v>6.21</v>
      </c>
      <c r="AI3" s="236">
        <f t="shared" ref="AI3:AI4" si="0">AH3/$AH$5</f>
        <v>1.1285369000672394E-2</v>
      </c>
    </row>
    <row r="4" spans="2:43" x14ac:dyDescent="0.25">
      <c r="B4" s="171">
        <v>1</v>
      </c>
      <c r="C4" s="177" t="s">
        <v>26</v>
      </c>
      <c r="F4" s="142">
        <f>F3/1024^2</f>
        <v>0.9822845458984375</v>
      </c>
      <c r="AH4" s="142">
        <v>27.33</v>
      </c>
      <c r="AI4" s="236">
        <f t="shared" si="0"/>
        <v>4.9666527341123437E-2</v>
      </c>
    </row>
    <row r="5" spans="2:43" x14ac:dyDescent="0.25">
      <c r="B5" s="170">
        <v>2</v>
      </c>
      <c r="C5" s="176" t="s">
        <v>29</v>
      </c>
      <c r="AH5" s="142">
        <f>SUM(AH2:AH4)</f>
        <v>550.2700000000001</v>
      </c>
      <c r="AI5" s="237">
        <f>SUM(AI2:AI4)</f>
        <v>0.99999999999999978</v>
      </c>
    </row>
    <row r="6" spans="2:43" x14ac:dyDescent="0.25">
      <c r="B6" s="171">
        <v>3</v>
      </c>
      <c r="C6" s="177" t="s">
        <v>31</v>
      </c>
    </row>
    <row r="7" spans="2:43" x14ac:dyDescent="0.25">
      <c r="B7" s="172">
        <v>4</v>
      </c>
      <c r="C7" s="178" t="s">
        <v>32</v>
      </c>
    </row>
    <row r="9" spans="2:43" x14ac:dyDescent="0.25">
      <c r="C9" s="181" t="s">
        <v>140</v>
      </c>
      <c r="D9" s="181" t="s">
        <v>3</v>
      </c>
      <c r="E9" s="181" t="s">
        <v>4</v>
      </c>
      <c r="F9" s="181" t="s">
        <v>144</v>
      </c>
      <c r="G9" s="181" t="s">
        <v>99</v>
      </c>
      <c r="H9" s="181"/>
      <c r="I9" s="181" t="s">
        <v>140</v>
      </c>
      <c r="J9" s="181" t="s">
        <v>3</v>
      </c>
      <c r="K9" s="181" t="s">
        <v>4</v>
      </c>
      <c r="L9" s="181" t="s">
        <v>99</v>
      </c>
      <c r="M9" s="181" t="s">
        <v>145</v>
      </c>
      <c r="N9" s="181"/>
      <c r="O9" s="181" t="s">
        <v>140</v>
      </c>
      <c r="P9" s="181" t="s">
        <v>4</v>
      </c>
      <c r="Q9" s="181" t="s">
        <v>151</v>
      </c>
      <c r="R9" s="181" t="s">
        <v>146</v>
      </c>
      <c r="S9" s="181" t="s">
        <v>174</v>
      </c>
      <c r="T9" s="181"/>
      <c r="U9" s="181" t="s">
        <v>140</v>
      </c>
      <c r="V9" s="181" t="s">
        <v>3</v>
      </c>
      <c r="W9" s="181" t="s">
        <v>4</v>
      </c>
      <c r="X9" s="181" t="s">
        <v>99</v>
      </c>
      <c r="Y9" s="181" t="s">
        <v>148</v>
      </c>
      <c r="Z9" s="181"/>
      <c r="AA9" s="181" t="s">
        <v>140</v>
      </c>
      <c r="AB9" s="181" t="s">
        <v>3</v>
      </c>
      <c r="AC9" s="181" t="s">
        <v>4</v>
      </c>
      <c r="AD9" s="181" t="s">
        <v>99</v>
      </c>
      <c r="AE9" s="181" t="s">
        <v>149</v>
      </c>
      <c r="AF9" s="181"/>
      <c r="AG9" s="181" t="s">
        <v>140</v>
      </c>
      <c r="AH9" s="181" t="s">
        <v>3</v>
      </c>
      <c r="AI9" s="181" t="s">
        <v>4</v>
      </c>
      <c r="AJ9" s="181" t="s">
        <v>99</v>
      </c>
      <c r="AK9" s="181" t="s">
        <v>152</v>
      </c>
      <c r="AL9" s="181"/>
      <c r="AM9" s="181" t="s">
        <v>140</v>
      </c>
      <c r="AN9" s="181" t="s">
        <v>3</v>
      </c>
      <c r="AO9" s="181" t="s">
        <v>4</v>
      </c>
      <c r="AP9" s="181" t="s">
        <v>99</v>
      </c>
      <c r="AQ9" s="181" t="s">
        <v>150</v>
      </c>
    </row>
    <row r="10" spans="2:43" x14ac:dyDescent="0.25">
      <c r="C10" s="142" t="s">
        <v>105</v>
      </c>
      <c r="D10" s="142" t="s">
        <v>32</v>
      </c>
      <c r="E10" s="179" t="s">
        <v>26</v>
      </c>
      <c r="F10" s="142">
        <v>0.52290846954400005</v>
      </c>
      <c r="G10" s="169" t="s">
        <v>126</v>
      </c>
      <c r="I10" s="142" t="s">
        <v>106</v>
      </c>
      <c r="J10" s="142" t="s">
        <v>23</v>
      </c>
      <c r="K10" s="179" t="s">
        <v>26</v>
      </c>
      <c r="L10" s="169" t="s">
        <v>110</v>
      </c>
      <c r="M10" s="142">
        <v>1.7154126185386E-3</v>
      </c>
      <c r="N10" s="180"/>
      <c r="O10" s="142" t="s">
        <v>105</v>
      </c>
      <c r="P10" s="142" t="str">
        <f>INDEX($C$3:$C$7,MID(Q10, LEN(Q10)-1,1)+1)</f>
        <v>Cheyenne</v>
      </c>
      <c r="Q10" s="142" t="s">
        <v>131</v>
      </c>
      <c r="R10" s="142">
        <v>0.55023846954400002</v>
      </c>
      <c r="S10" s="235">
        <f>lifetime_max[[#This Row],[Max Lifetime]]*1000</f>
        <v>550.23846954400005</v>
      </c>
      <c r="U10" s="142" t="s">
        <v>103</v>
      </c>
      <c r="V10" s="142" t="s">
        <v>23</v>
      </c>
      <c r="W10" s="142" t="str">
        <f t="shared" ref="W10:W41" si="1">INDEX($C$3:$C$7,MID(X10, LEN(X10)-1,1)+1)</f>
        <v>Qatar</v>
      </c>
      <c r="X10" s="142" t="s">
        <v>111</v>
      </c>
      <c r="Y10" s="142">
        <v>412</v>
      </c>
      <c r="AA10" s="142" t="s">
        <v>106</v>
      </c>
      <c r="AB10" s="142" t="s">
        <v>23</v>
      </c>
      <c r="AC10" s="142" t="str">
        <f t="shared" ref="AC10:AC41" si="2">INDEX($C$3:$C$7,MID(AD10, LEN(AD10)-1,1)+1)</f>
        <v>Qatar</v>
      </c>
      <c r="AD10" s="142" t="s">
        <v>111</v>
      </c>
      <c r="AE10" s="142">
        <v>54.061963678989997</v>
      </c>
      <c r="AG10" s="142" t="s">
        <v>105</v>
      </c>
      <c r="AH10" s="142" t="s">
        <v>32</v>
      </c>
      <c r="AI10" s="142" t="str">
        <f>INDEX($C$3:$C$7,MID(AJ10, LEN(AJ10)-1,1)+1)</f>
        <v>Cheyenne</v>
      </c>
      <c r="AJ10" s="142" t="s">
        <v>127</v>
      </c>
      <c r="AK10" s="142">
        <v>0.51673491253899995</v>
      </c>
      <c r="AM10" s="142" t="s">
        <v>106</v>
      </c>
      <c r="AN10" s="142" t="s">
        <v>23</v>
      </c>
      <c r="AO10" s="142" t="str">
        <f t="shared" ref="AO10:AO41" si="3">INDEX($C$3:$C$7,MID(AP10, LEN(AP10)-1,1)+1)</f>
        <v>Cheyenne</v>
      </c>
      <c r="AP10" s="142" t="s">
        <v>110</v>
      </c>
      <c r="AQ10" s="180">
        <v>4.3265013093954997E-4</v>
      </c>
    </row>
    <row r="11" spans="2:43" x14ac:dyDescent="0.25">
      <c r="C11" s="142" t="s">
        <v>106</v>
      </c>
      <c r="D11" s="142" t="s">
        <v>32</v>
      </c>
      <c r="E11" s="179" t="s">
        <v>26</v>
      </c>
      <c r="F11" s="142">
        <v>0.44488865650100001</v>
      </c>
      <c r="G11" s="169" t="s">
        <v>125</v>
      </c>
      <c r="I11" s="142" t="s">
        <v>103</v>
      </c>
      <c r="J11" s="142" t="s">
        <v>23</v>
      </c>
      <c r="K11" s="179" t="s">
        <v>26</v>
      </c>
      <c r="L11" s="169" t="s">
        <v>110</v>
      </c>
      <c r="M11" s="142">
        <v>1.7336298584348E-3</v>
      </c>
      <c r="O11" s="142" t="s">
        <v>106</v>
      </c>
      <c r="P11" s="142" t="str">
        <f>INDEX($C$3:$C$7,MID(Q11, LEN(Q11)-1,1)+1)</f>
        <v>Cheyenne</v>
      </c>
      <c r="Q11" s="142" t="s">
        <v>131</v>
      </c>
      <c r="R11" s="142">
        <v>0.47221865650099998</v>
      </c>
      <c r="S11" s="235">
        <f>lifetime_max[[#This Row],[Max Lifetime]]*1000</f>
        <v>472.218656501</v>
      </c>
      <c r="U11" s="142" t="s">
        <v>106</v>
      </c>
      <c r="V11" s="142" t="s">
        <v>23</v>
      </c>
      <c r="W11" s="142" t="str">
        <f t="shared" si="1"/>
        <v>Qatar</v>
      </c>
      <c r="X11" s="142" t="s">
        <v>111</v>
      </c>
      <c r="Y11" s="142">
        <v>371</v>
      </c>
      <c r="AA11" s="142" t="s">
        <v>103</v>
      </c>
      <c r="AB11" s="142" t="s">
        <v>23</v>
      </c>
      <c r="AC11" s="142" t="str">
        <f t="shared" si="2"/>
        <v>Qatar</v>
      </c>
      <c r="AD11" s="142" t="s">
        <v>111</v>
      </c>
      <c r="AE11" s="142">
        <v>53.466156690993998</v>
      </c>
      <c r="AG11" s="142" t="s">
        <v>106</v>
      </c>
      <c r="AH11" s="142" t="s">
        <v>32</v>
      </c>
      <c r="AI11" s="142" t="str">
        <f>INDEX($C$3:$C$7,MID(AJ11, LEN(AJ11)-1,1)+1)</f>
        <v>Cheyenne</v>
      </c>
      <c r="AJ11" s="142" t="s">
        <v>127</v>
      </c>
      <c r="AK11" s="142">
        <v>0.44247852782399999</v>
      </c>
      <c r="AM11" s="142" t="s">
        <v>103</v>
      </c>
      <c r="AN11" s="142" t="s">
        <v>23</v>
      </c>
      <c r="AO11" s="142" t="str">
        <f t="shared" si="3"/>
        <v>Cheyenne</v>
      </c>
      <c r="AP11" s="142" t="s">
        <v>110</v>
      </c>
      <c r="AQ11" s="180">
        <v>4.441427540968E-4</v>
      </c>
    </row>
    <row r="12" spans="2:43" x14ac:dyDescent="0.25">
      <c r="C12" s="142" t="s">
        <v>103</v>
      </c>
      <c r="D12" s="142" t="s">
        <v>32</v>
      </c>
      <c r="E12" s="179" t="s">
        <v>26</v>
      </c>
      <c r="F12" s="142">
        <v>0.26575276146999999</v>
      </c>
      <c r="G12" s="169" t="s">
        <v>115</v>
      </c>
      <c r="I12" s="142" t="s">
        <v>105</v>
      </c>
      <c r="J12" s="142" t="s">
        <v>23</v>
      </c>
      <c r="K12" s="179" t="s">
        <v>26</v>
      </c>
      <c r="L12" s="169" t="s">
        <v>110</v>
      </c>
      <c r="M12" s="142">
        <v>1.731818414321E-3</v>
      </c>
      <c r="O12" s="142" t="s">
        <v>103</v>
      </c>
      <c r="P12" s="142" t="str">
        <f>INDEX($C$3:$C$7,MID(Q12, LEN(Q12)-1,1)+1)</f>
        <v>Cheyenne</v>
      </c>
      <c r="Q12" s="142" t="s">
        <v>131</v>
      </c>
      <c r="R12" s="142">
        <v>0.29308276147000001</v>
      </c>
      <c r="S12" s="235">
        <f>lifetime_max[[#This Row],[Max Lifetime]]*1000</f>
        <v>293.08276147000004</v>
      </c>
      <c r="U12" s="142" t="s">
        <v>105</v>
      </c>
      <c r="V12" s="142" t="s">
        <v>23</v>
      </c>
      <c r="W12" s="142" t="str">
        <f t="shared" si="1"/>
        <v>Qatar</v>
      </c>
      <c r="X12" s="142" t="s">
        <v>111</v>
      </c>
      <c r="Y12" s="142">
        <v>339</v>
      </c>
      <c r="AA12" s="142" t="s">
        <v>105</v>
      </c>
      <c r="AB12" s="142" t="s">
        <v>23</v>
      </c>
      <c r="AC12" s="142" t="str">
        <f t="shared" si="2"/>
        <v>Qatar</v>
      </c>
      <c r="AD12" s="142" t="s">
        <v>111</v>
      </c>
      <c r="AE12" s="142">
        <v>46.226758073458001</v>
      </c>
      <c r="AG12" s="142" t="s">
        <v>103</v>
      </c>
      <c r="AH12" s="142" t="s">
        <v>32</v>
      </c>
      <c r="AI12" s="142" t="str">
        <f>INDEX($C$3:$C$7,MID(AJ12, LEN(AJ12)-1,1)+1)</f>
        <v>Cheyenne</v>
      </c>
      <c r="AJ12" s="142" t="s">
        <v>127</v>
      </c>
      <c r="AK12" s="142">
        <v>0.26097607304100001</v>
      </c>
      <c r="AM12" s="142" t="s">
        <v>105</v>
      </c>
      <c r="AN12" s="142" t="s">
        <v>23</v>
      </c>
      <c r="AO12" s="142" t="str">
        <f t="shared" si="3"/>
        <v>Cheyenne</v>
      </c>
      <c r="AP12" s="142" t="s">
        <v>110</v>
      </c>
      <c r="AQ12" s="180">
        <v>4.4277018708095001E-4</v>
      </c>
    </row>
    <row r="13" spans="2:43" x14ac:dyDescent="0.25">
      <c r="C13" s="142" t="s">
        <v>103</v>
      </c>
      <c r="D13" s="142" t="s">
        <v>23</v>
      </c>
      <c r="E13" s="179" t="s">
        <v>29</v>
      </c>
      <c r="F13" s="142">
        <v>0.168981484598</v>
      </c>
      <c r="G13" s="169" t="s">
        <v>126</v>
      </c>
      <c r="I13" s="142" t="s">
        <v>106</v>
      </c>
      <c r="J13" s="142" t="s">
        <v>23</v>
      </c>
      <c r="K13" s="179" t="s">
        <v>29</v>
      </c>
      <c r="L13" s="169" t="s">
        <v>111</v>
      </c>
      <c r="M13" s="142">
        <v>2.1400177266976999E-2</v>
      </c>
      <c r="N13" s="180"/>
      <c r="O13" s="142" t="s">
        <v>105</v>
      </c>
      <c r="P13" s="142" t="str">
        <f>INDEX($C$3:$C$7,MID(Q13, LEN(Q13)-1,1)+1)</f>
        <v>Hickam</v>
      </c>
      <c r="Q13" s="142" t="s">
        <v>130</v>
      </c>
      <c r="R13" s="142">
        <v>0.26572485765600001</v>
      </c>
      <c r="S13" s="235">
        <f>lifetime_max[[#This Row],[Max Lifetime]]*1000</f>
        <v>265.72485765600004</v>
      </c>
      <c r="U13" s="142" t="s">
        <v>105</v>
      </c>
      <c r="V13" s="142" t="s">
        <v>32</v>
      </c>
      <c r="W13" s="142" t="str">
        <f t="shared" si="1"/>
        <v>Cheyenne</v>
      </c>
      <c r="X13" s="142" t="s">
        <v>127</v>
      </c>
      <c r="Y13" s="142">
        <v>113</v>
      </c>
      <c r="AA13" s="142" t="s">
        <v>105</v>
      </c>
      <c r="AB13" s="142" t="s">
        <v>32</v>
      </c>
      <c r="AC13" s="142" t="str">
        <f t="shared" si="2"/>
        <v>Cheyenne</v>
      </c>
      <c r="AD13" s="142" t="s">
        <v>127</v>
      </c>
      <c r="AE13" s="142">
        <v>10.346008388915999</v>
      </c>
      <c r="AG13" s="142" t="s">
        <v>103</v>
      </c>
      <c r="AH13" s="142" t="s">
        <v>23</v>
      </c>
      <c r="AI13" s="142" t="str">
        <f>INDEX($C$3:$C$7,MID(AJ13, LEN(AJ13)-1,1)+1)</f>
        <v>Qatar</v>
      </c>
      <c r="AJ13" s="142" t="s">
        <v>111</v>
      </c>
      <c r="AK13" s="142">
        <v>0.16851602784799999</v>
      </c>
      <c r="AM13" s="142" t="s">
        <v>106</v>
      </c>
      <c r="AN13" s="142" t="s">
        <v>23</v>
      </c>
      <c r="AO13" s="142" t="str">
        <f t="shared" si="3"/>
        <v>Qatar</v>
      </c>
      <c r="AP13" s="142" t="s">
        <v>111</v>
      </c>
      <c r="AQ13" s="142">
        <v>2.1007964445268999E-2</v>
      </c>
    </row>
    <row r="14" spans="2:43" x14ac:dyDescent="0.25">
      <c r="C14" s="142" t="s">
        <v>106</v>
      </c>
      <c r="D14" s="142" t="s">
        <v>23</v>
      </c>
      <c r="E14" s="179" t="s">
        <v>29</v>
      </c>
      <c r="F14" s="142">
        <v>0.151537424965</v>
      </c>
      <c r="G14" s="169" t="s">
        <v>126</v>
      </c>
      <c r="I14" s="142" t="s">
        <v>103</v>
      </c>
      <c r="J14" s="142" t="s">
        <v>23</v>
      </c>
      <c r="K14" s="179" t="s">
        <v>29</v>
      </c>
      <c r="L14" s="169" t="s">
        <v>111</v>
      </c>
      <c r="M14" s="142">
        <v>2.1087948888423001E-2</v>
      </c>
      <c r="N14" s="180"/>
      <c r="O14" s="142" t="s">
        <v>103</v>
      </c>
      <c r="P14" s="142" t="str">
        <f>INDEX($C$3:$C$7,MID(Q14, LEN(Q14)-1,1)+1)</f>
        <v>Hickam</v>
      </c>
      <c r="Q14" s="142" t="s">
        <v>130</v>
      </c>
      <c r="R14" s="142">
        <v>0.26558023937000003</v>
      </c>
      <c r="S14" s="235">
        <f>lifetime_max[[#This Row],[Max Lifetime]]*1000</f>
        <v>265.58023937000002</v>
      </c>
      <c r="U14" s="142" t="s">
        <v>106</v>
      </c>
      <c r="V14" s="142" t="s">
        <v>32</v>
      </c>
      <c r="W14" s="142" t="str">
        <f t="shared" si="1"/>
        <v>Cheyenne</v>
      </c>
      <c r="X14" s="142" t="s">
        <v>127</v>
      </c>
      <c r="Y14" s="142">
        <v>87</v>
      </c>
      <c r="AA14" s="142" t="s">
        <v>106</v>
      </c>
      <c r="AB14" s="142" t="s">
        <v>32</v>
      </c>
      <c r="AC14" s="142" t="str">
        <f t="shared" si="2"/>
        <v>Cheyenne</v>
      </c>
      <c r="AD14" s="142" t="s">
        <v>127</v>
      </c>
      <c r="AE14" s="142">
        <v>9.0297695964890998</v>
      </c>
      <c r="AG14" s="142" t="s">
        <v>106</v>
      </c>
      <c r="AH14" s="142" t="s">
        <v>23</v>
      </c>
      <c r="AI14" s="142" t="str">
        <f>INDEX($C$3:$C$7,MID(AJ14, LEN(AJ14)-1,1)+1)</f>
        <v>Qatar</v>
      </c>
      <c r="AJ14" s="142" t="s">
        <v>111</v>
      </c>
      <c r="AK14" s="142">
        <v>0.15087073066600001</v>
      </c>
      <c r="AM14" s="142" t="s">
        <v>103</v>
      </c>
      <c r="AN14" s="142" t="s">
        <v>23</v>
      </c>
      <c r="AO14" s="142" t="str">
        <f t="shared" si="3"/>
        <v>Qatar</v>
      </c>
      <c r="AP14" s="142" t="s">
        <v>111</v>
      </c>
      <c r="AQ14" s="142">
        <v>2.0696307114509999E-2</v>
      </c>
    </row>
    <row r="15" spans="2:43" x14ac:dyDescent="0.25">
      <c r="C15" s="142" t="s">
        <v>105</v>
      </c>
      <c r="D15" s="142" t="s">
        <v>23</v>
      </c>
      <c r="E15" s="179" t="s">
        <v>29</v>
      </c>
      <c r="F15" s="142">
        <v>0.13712954462900001</v>
      </c>
      <c r="G15" s="169" t="s">
        <v>115</v>
      </c>
      <c r="I15" s="142" t="s">
        <v>105</v>
      </c>
      <c r="J15" s="142" t="s">
        <v>23</v>
      </c>
      <c r="K15" s="179" t="s">
        <v>29</v>
      </c>
      <c r="L15" s="169" t="s">
        <v>111</v>
      </c>
      <c r="M15" s="142">
        <v>1.8316434793906999E-2</v>
      </c>
      <c r="N15" s="180"/>
      <c r="O15" s="142" t="s">
        <v>106</v>
      </c>
      <c r="P15" s="142" t="str">
        <f>INDEX($C$3:$C$7,MID(Q15, LEN(Q15)-1,1)+1)</f>
        <v>Hickam</v>
      </c>
      <c r="Q15" s="142" t="s">
        <v>130</v>
      </c>
      <c r="R15" s="142">
        <v>0.265291323134</v>
      </c>
      <c r="S15" s="235">
        <f>lifetime_max[[#This Row],[Max Lifetime]]*1000</f>
        <v>265.29132313399998</v>
      </c>
      <c r="U15" s="142" t="s">
        <v>103</v>
      </c>
      <c r="V15" s="142" t="s">
        <v>32</v>
      </c>
      <c r="W15" s="142" t="str">
        <f t="shared" si="1"/>
        <v>Cheyenne</v>
      </c>
      <c r="X15" s="142" t="s">
        <v>127</v>
      </c>
      <c r="Y15" s="142">
        <v>58</v>
      </c>
      <c r="AA15" s="142" t="s">
        <v>103</v>
      </c>
      <c r="AB15" s="142" t="s">
        <v>32</v>
      </c>
      <c r="AC15" s="142" t="str">
        <f t="shared" si="2"/>
        <v>Cheyenne</v>
      </c>
      <c r="AD15" s="142" t="s">
        <v>127</v>
      </c>
      <c r="AE15" s="142">
        <v>8.5852094295644008</v>
      </c>
      <c r="AG15" s="142" t="s">
        <v>105</v>
      </c>
      <c r="AH15" s="142" t="s">
        <v>23</v>
      </c>
      <c r="AI15" s="142" t="str">
        <f>INDEX($C$3:$C$7,MID(AJ15, LEN(AJ15)-1,1)+1)</f>
        <v>Qatar</v>
      </c>
      <c r="AJ15" s="142" t="s">
        <v>111</v>
      </c>
      <c r="AK15" s="142">
        <v>0.137054575437</v>
      </c>
      <c r="AM15" s="142" t="s">
        <v>105</v>
      </c>
      <c r="AN15" s="142" t="s">
        <v>23</v>
      </c>
      <c r="AO15" s="142" t="str">
        <f t="shared" si="3"/>
        <v>Qatar</v>
      </c>
      <c r="AP15" s="142" t="s">
        <v>111</v>
      </c>
      <c r="AQ15" s="142">
        <v>1.7924734928422E-2</v>
      </c>
    </row>
    <row r="16" spans="2:43" x14ac:dyDescent="0.25">
      <c r="C16" s="142" t="s">
        <v>103</v>
      </c>
      <c r="D16" s="142" t="s">
        <v>32</v>
      </c>
      <c r="E16" s="179" t="s">
        <v>29</v>
      </c>
      <c r="F16" s="142">
        <v>6.5452550607999996E-2</v>
      </c>
      <c r="G16" s="169" t="s">
        <v>116</v>
      </c>
      <c r="I16" s="142" t="s">
        <v>106</v>
      </c>
      <c r="J16" s="142" t="s">
        <v>23</v>
      </c>
      <c r="K16" s="179" t="s">
        <v>31</v>
      </c>
      <c r="L16" s="169" t="s">
        <v>112</v>
      </c>
      <c r="M16" s="142">
        <v>1.0032792717523001E-3</v>
      </c>
      <c r="O16" s="142" t="s">
        <v>106</v>
      </c>
      <c r="P16" s="142" t="str">
        <f>INDEX($C$3:$C$7,MID(Q16, LEN(Q16)-1,1)+1)</f>
        <v>Langley</v>
      </c>
      <c r="Q16" s="142" t="s">
        <v>133</v>
      </c>
      <c r="R16" s="142">
        <v>0.277646795379</v>
      </c>
      <c r="S16" s="235">
        <f>lifetime_max[[#This Row],[Max Lifetime]]*1000</f>
        <v>277.64679537900003</v>
      </c>
      <c r="U16" s="142" t="s">
        <v>106</v>
      </c>
      <c r="V16" s="142" t="s">
        <v>26</v>
      </c>
      <c r="W16" s="142" t="str">
        <f t="shared" si="1"/>
        <v>Qatar</v>
      </c>
      <c r="X16" s="142" t="s">
        <v>107</v>
      </c>
      <c r="Y16" s="142">
        <v>30</v>
      </c>
      <c r="AA16" s="142" t="s">
        <v>106</v>
      </c>
      <c r="AB16" s="142" t="s">
        <v>29</v>
      </c>
      <c r="AC16" s="142" t="str">
        <f t="shared" si="2"/>
        <v>Langley</v>
      </c>
      <c r="AD16" s="142" t="s">
        <v>124</v>
      </c>
      <c r="AE16" s="142">
        <v>2.3389675225355</v>
      </c>
      <c r="AG16" s="142" t="s">
        <v>103</v>
      </c>
      <c r="AH16" s="142" t="s">
        <v>32</v>
      </c>
      <c r="AI16" s="142" t="str">
        <f>INDEX($C$3:$C$7,MID(AJ16, LEN(AJ16)-1,1)+1)</f>
        <v>Qatar</v>
      </c>
      <c r="AJ16" s="142" t="s">
        <v>128</v>
      </c>
      <c r="AK16" s="142">
        <v>6.5182935142000006E-2</v>
      </c>
      <c r="AM16" s="142" t="s">
        <v>106</v>
      </c>
      <c r="AN16" s="142" t="s">
        <v>23</v>
      </c>
      <c r="AO16" s="142" t="str">
        <f t="shared" si="3"/>
        <v>Langley</v>
      </c>
      <c r="AP16" s="142" t="s">
        <v>112</v>
      </c>
      <c r="AQ16" s="180">
        <v>5.0313768642043998E-4</v>
      </c>
    </row>
    <row r="17" spans="3:43" x14ac:dyDescent="0.25">
      <c r="C17" s="142" t="s">
        <v>106</v>
      </c>
      <c r="D17" s="142" t="s">
        <v>26</v>
      </c>
      <c r="E17" s="179" t="s">
        <v>32</v>
      </c>
      <c r="F17" s="142">
        <v>6.3758781614999996E-2</v>
      </c>
      <c r="G17" s="169" t="s">
        <v>116</v>
      </c>
      <c r="I17" s="142" t="s">
        <v>103</v>
      </c>
      <c r="J17" s="142" t="s">
        <v>23</v>
      </c>
      <c r="K17" s="179" t="s">
        <v>31</v>
      </c>
      <c r="L17" s="169" t="s">
        <v>112</v>
      </c>
      <c r="M17" s="142">
        <v>1.0019681074574E-3</v>
      </c>
      <c r="O17" s="142" t="s">
        <v>105</v>
      </c>
      <c r="P17" s="142" t="str">
        <f>INDEX($C$3:$C$7,MID(Q17, LEN(Q17)-1,1)+1)</f>
        <v>Langley</v>
      </c>
      <c r="Q17" s="142" t="s">
        <v>133</v>
      </c>
      <c r="R17" s="142">
        <v>0.27616475373799998</v>
      </c>
      <c r="S17" s="235">
        <f>lifetime_max[[#This Row],[Max Lifetime]]*1000</f>
        <v>276.164753738</v>
      </c>
      <c r="U17" s="142" t="s">
        <v>106</v>
      </c>
      <c r="V17" s="142" t="s">
        <v>31</v>
      </c>
      <c r="W17" s="142" t="str">
        <f t="shared" si="1"/>
        <v>Cheyenne</v>
      </c>
      <c r="X17" s="142" t="s">
        <v>115</v>
      </c>
      <c r="Y17" s="142">
        <v>30</v>
      </c>
      <c r="AA17" s="142" t="s">
        <v>105</v>
      </c>
      <c r="AB17" s="142" t="s">
        <v>29</v>
      </c>
      <c r="AC17" s="142" t="str">
        <f t="shared" si="2"/>
        <v>Cheyenne</v>
      </c>
      <c r="AD17" s="142" t="s">
        <v>123</v>
      </c>
      <c r="AE17" s="142">
        <v>2.3386690372298</v>
      </c>
      <c r="AG17" s="142" t="s">
        <v>106</v>
      </c>
      <c r="AH17" s="142" t="s">
        <v>26</v>
      </c>
      <c r="AI17" s="142" t="str">
        <f>INDEX($C$3:$C$7,MID(AJ17, LEN(AJ17)-1,1)+1)</f>
        <v>Ramstein</v>
      </c>
      <c r="AJ17" s="142" t="s">
        <v>109</v>
      </c>
      <c r="AK17" s="142">
        <v>5.6676397226999999E-2</v>
      </c>
      <c r="AM17" s="142" t="s">
        <v>103</v>
      </c>
      <c r="AN17" s="142" t="s">
        <v>23</v>
      </c>
      <c r="AO17" s="142" t="str">
        <f t="shared" si="3"/>
        <v>Langley</v>
      </c>
      <c r="AP17" s="142" t="s">
        <v>112</v>
      </c>
      <c r="AQ17" s="180">
        <v>5.0266569259693999E-4</v>
      </c>
    </row>
    <row r="18" spans="3:43" x14ac:dyDescent="0.25">
      <c r="C18" s="142" t="s">
        <v>103</v>
      </c>
      <c r="D18" s="142" t="s">
        <v>29</v>
      </c>
      <c r="E18" s="179" t="s">
        <v>32</v>
      </c>
      <c r="F18" s="142">
        <v>5.7032523931000001E-2</v>
      </c>
      <c r="G18" s="169" t="s">
        <v>116</v>
      </c>
      <c r="I18" s="142" t="s">
        <v>105</v>
      </c>
      <c r="J18" s="142" t="s">
        <v>23</v>
      </c>
      <c r="K18" s="179" t="s">
        <v>31</v>
      </c>
      <c r="L18" s="169" t="s">
        <v>112</v>
      </c>
      <c r="M18" s="142">
        <v>1.0020314103266E-3</v>
      </c>
      <c r="O18" s="142" t="s">
        <v>103</v>
      </c>
      <c r="P18" s="142" t="str">
        <f>INDEX($C$3:$C$7,MID(Q18, LEN(Q18)-1,1)+1)</f>
        <v>Langley</v>
      </c>
      <c r="Q18" s="142" t="s">
        <v>133</v>
      </c>
      <c r="R18" s="142">
        <v>0.27552368302300001</v>
      </c>
      <c r="S18" s="235">
        <f>lifetime_max[[#This Row],[Max Lifetime]]*1000</f>
        <v>275.52368302299999</v>
      </c>
      <c r="U18" s="142" t="s">
        <v>103</v>
      </c>
      <c r="V18" s="142" t="s">
        <v>31</v>
      </c>
      <c r="W18" s="142" t="str">
        <f t="shared" si="1"/>
        <v>Qatar</v>
      </c>
      <c r="X18" s="142" t="s">
        <v>116</v>
      </c>
      <c r="Y18" s="142">
        <v>30</v>
      </c>
      <c r="AA18" s="142" t="s">
        <v>105</v>
      </c>
      <c r="AB18" s="142" t="s">
        <v>26</v>
      </c>
      <c r="AC18" s="142" t="str">
        <f t="shared" si="2"/>
        <v>Qatar</v>
      </c>
      <c r="AD18" s="142" t="s">
        <v>107</v>
      </c>
      <c r="AE18" s="142">
        <v>2.3361281094309998</v>
      </c>
      <c r="AG18" s="142" t="s">
        <v>103</v>
      </c>
      <c r="AH18" s="142" t="s">
        <v>29</v>
      </c>
      <c r="AI18" s="142" t="str">
        <f>INDEX($C$3:$C$7,MID(AJ18, LEN(AJ18)-1,1)+1)</f>
        <v>Ramstein</v>
      </c>
      <c r="AJ18" s="142" t="s">
        <v>125</v>
      </c>
      <c r="AK18" s="142">
        <v>5.4641633864999997E-2</v>
      </c>
      <c r="AM18" s="142" t="s">
        <v>105</v>
      </c>
      <c r="AN18" s="142" t="s">
        <v>23</v>
      </c>
      <c r="AO18" s="142" t="str">
        <f t="shared" si="3"/>
        <v>Langley</v>
      </c>
      <c r="AP18" s="142" t="s">
        <v>112</v>
      </c>
      <c r="AQ18" s="180">
        <v>5.0161260651018997E-4</v>
      </c>
    </row>
    <row r="19" spans="3:43" x14ac:dyDescent="0.25">
      <c r="C19" s="142" t="s">
        <v>103</v>
      </c>
      <c r="D19" s="142" t="s">
        <v>26</v>
      </c>
      <c r="E19" s="179" t="s">
        <v>32</v>
      </c>
      <c r="F19" s="142">
        <v>5.6701563123000003E-2</v>
      </c>
      <c r="G19" s="169" t="s">
        <v>135</v>
      </c>
      <c r="I19" s="142" t="s">
        <v>106</v>
      </c>
      <c r="J19" s="142" t="s">
        <v>23</v>
      </c>
      <c r="K19" s="179" t="s">
        <v>32</v>
      </c>
      <c r="L19" s="169" t="s">
        <v>113</v>
      </c>
      <c r="M19" s="142">
        <v>1.9056724764431E-3</v>
      </c>
      <c r="O19" s="142" t="s">
        <v>103</v>
      </c>
      <c r="P19" s="142" t="str">
        <f>INDEX($C$3:$C$7,MID(Q19, LEN(Q19)-1,1)+1)</f>
        <v>Qatar</v>
      </c>
      <c r="Q19" s="142" t="s">
        <v>132</v>
      </c>
      <c r="R19" s="142">
        <v>0.21565148459799999</v>
      </c>
      <c r="S19" s="235">
        <f>lifetime_max[[#This Row],[Max Lifetime]]*1000</f>
        <v>215.651484598</v>
      </c>
      <c r="U19" s="142" t="s">
        <v>103</v>
      </c>
      <c r="V19" s="142" t="s">
        <v>26</v>
      </c>
      <c r="W19" s="142" t="str">
        <f t="shared" si="1"/>
        <v>Qatar</v>
      </c>
      <c r="X19" s="142" t="s">
        <v>107</v>
      </c>
      <c r="Y19" s="142">
        <v>29</v>
      </c>
      <c r="AA19" s="142" t="s">
        <v>106</v>
      </c>
      <c r="AB19" s="142" t="s">
        <v>26</v>
      </c>
      <c r="AC19" s="142" t="str">
        <f t="shared" si="2"/>
        <v>Qatar</v>
      </c>
      <c r="AD19" s="142" t="s">
        <v>107</v>
      </c>
      <c r="AE19" s="142">
        <v>2.3250185479700001</v>
      </c>
      <c r="AG19" s="142" t="s">
        <v>106</v>
      </c>
      <c r="AH19" s="142" t="s">
        <v>29</v>
      </c>
      <c r="AI19" s="142" t="str">
        <f>INDEX($C$3:$C$7,MID(AJ19, LEN(AJ19)-1,1)+1)</f>
        <v>Ramstein</v>
      </c>
      <c r="AJ19" s="142" t="s">
        <v>125</v>
      </c>
      <c r="AK19" s="142">
        <v>5.0670721134E-2</v>
      </c>
      <c r="AM19" s="142" t="s">
        <v>106</v>
      </c>
      <c r="AN19" s="142" t="s">
        <v>23</v>
      </c>
      <c r="AO19" s="142" t="str">
        <f t="shared" si="3"/>
        <v>Ramstein</v>
      </c>
      <c r="AP19" s="142" t="s">
        <v>113</v>
      </c>
      <c r="AQ19" s="180">
        <v>6.1670617102582996E-4</v>
      </c>
    </row>
    <row r="20" spans="3:43" x14ac:dyDescent="0.25">
      <c r="C20" s="142" t="s">
        <v>106</v>
      </c>
      <c r="D20" s="142" t="s">
        <v>29</v>
      </c>
      <c r="E20" s="179" t="s">
        <v>32</v>
      </c>
      <c r="F20" s="142">
        <v>5.3442298462999999E-2</v>
      </c>
      <c r="G20" s="169" t="s">
        <v>135</v>
      </c>
      <c r="I20" s="142" t="s">
        <v>103</v>
      </c>
      <c r="J20" s="142" t="s">
        <v>23</v>
      </c>
      <c r="K20" s="179" t="s">
        <v>32</v>
      </c>
      <c r="L20" s="169" t="s">
        <v>113</v>
      </c>
      <c r="M20" s="142">
        <v>1.9014137497378001E-3</v>
      </c>
      <c r="O20" s="142" t="s">
        <v>106</v>
      </c>
      <c r="P20" s="142" t="str">
        <f>INDEX($C$3:$C$7,MID(Q20, LEN(Q20)-1,1)+1)</f>
        <v>Qatar</v>
      </c>
      <c r="Q20" s="142" t="s">
        <v>132</v>
      </c>
      <c r="R20" s="142">
        <v>0.19820742496499999</v>
      </c>
      <c r="S20" s="235">
        <f>lifetime_max[[#This Row],[Max Lifetime]]*1000</f>
        <v>198.207424965</v>
      </c>
      <c r="U20" s="142" t="s">
        <v>106</v>
      </c>
      <c r="V20" s="142" t="s">
        <v>29</v>
      </c>
      <c r="W20" s="142" t="str">
        <f t="shared" si="1"/>
        <v>Langley</v>
      </c>
      <c r="X20" s="142" t="s">
        <v>124</v>
      </c>
      <c r="Y20" s="142">
        <v>28</v>
      </c>
      <c r="AA20" s="142" t="s">
        <v>105</v>
      </c>
      <c r="AB20" s="142" t="s">
        <v>29</v>
      </c>
      <c r="AC20" s="142" t="str">
        <f t="shared" si="2"/>
        <v>Langley</v>
      </c>
      <c r="AD20" s="142" t="s">
        <v>124</v>
      </c>
      <c r="AE20" s="142">
        <v>2.3190507886875</v>
      </c>
      <c r="AG20" s="142" t="s">
        <v>106</v>
      </c>
      <c r="AH20" s="142" t="s">
        <v>32</v>
      </c>
      <c r="AI20" s="142" t="str">
        <f>INDEX($C$3:$C$7,MID(AJ20, LEN(AJ20)-1,1)+1)</f>
        <v>Qatar</v>
      </c>
      <c r="AJ20" s="142" t="s">
        <v>128</v>
      </c>
      <c r="AK20" s="142">
        <v>4.9774205019999997E-2</v>
      </c>
      <c r="AM20" s="142" t="s">
        <v>103</v>
      </c>
      <c r="AN20" s="142" t="s">
        <v>23</v>
      </c>
      <c r="AO20" s="142" t="str">
        <f t="shared" si="3"/>
        <v>Ramstein</v>
      </c>
      <c r="AP20" s="142" t="s">
        <v>113</v>
      </c>
      <c r="AQ20" s="180">
        <v>6.1395681928906999E-4</v>
      </c>
    </row>
    <row r="21" spans="3:43" x14ac:dyDescent="0.25">
      <c r="C21" s="142" t="s">
        <v>106</v>
      </c>
      <c r="D21" s="142" t="s">
        <v>32</v>
      </c>
      <c r="E21" s="179" t="s">
        <v>29</v>
      </c>
      <c r="F21" s="142">
        <v>5.1772239265999997E-2</v>
      </c>
      <c r="G21" s="169" t="s">
        <v>135</v>
      </c>
      <c r="I21" s="142" t="s">
        <v>105</v>
      </c>
      <c r="J21" s="142" t="s">
        <v>23</v>
      </c>
      <c r="K21" s="179" t="s">
        <v>32</v>
      </c>
      <c r="L21" s="169" t="s">
        <v>113</v>
      </c>
      <c r="M21" s="142">
        <v>1.9111863395140001E-3</v>
      </c>
      <c r="O21" s="142" t="s">
        <v>105</v>
      </c>
      <c r="P21" s="142" t="str">
        <f>INDEX($C$3:$C$7,MID(Q21, LEN(Q21)-1,1)+1)</f>
        <v>Qatar</v>
      </c>
      <c r="Q21" s="142" t="s">
        <v>132</v>
      </c>
      <c r="R21" s="142">
        <v>0.183799544629</v>
      </c>
      <c r="S21" s="235">
        <f>lifetime_max[[#This Row],[Max Lifetime]]*1000</f>
        <v>183.799544629</v>
      </c>
      <c r="U21" s="142" t="s">
        <v>103</v>
      </c>
      <c r="V21" s="142" t="s">
        <v>31</v>
      </c>
      <c r="W21" s="142" t="str">
        <f t="shared" si="1"/>
        <v>Cheyenne</v>
      </c>
      <c r="X21" s="142" t="s">
        <v>115</v>
      </c>
      <c r="Y21" s="142">
        <v>27</v>
      </c>
      <c r="AA21" s="142" t="s">
        <v>103</v>
      </c>
      <c r="AB21" s="142" t="s">
        <v>29</v>
      </c>
      <c r="AC21" s="142" t="str">
        <f t="shared" si="2"/>
        <v>Cheyenne</v>
      </c>
      <c r="AD21" s="142" t="s">
        <v>123</v>
      </c>
      <c r="AE21" s="142">
        <v>2.3143906650982999</v>
      </c>
      <c r="AG21" s="142" t="s">
        <v>103</v>
      </c>
      <c r="AH21" s="142" t="s">
        <v>26</v>
      </c>
      <c r="AI21" s="142" t="str">
        <f>INDEX($C$3:$C$7,MID(AJ21, LEN(AJ21)-1,1)+1)</f>
        <v>Ramstein</v>
      </c>
      <c r="AJ21" s="142" t="s">
        <v>109</v>
      </c>
      <c r="AK21" s="142">
        <v>4.9595598227999999E-2</v>
      </c>
      <c r="AM21" s="142" t="s">
        <v>105</v>
      </c>
      <c r="AN21" s="142" t="s">
        <v>23</v>
      </c>
      <c r="AO21" s="142" t="str">
        <f t="shared" si="3"/>
        <v>Ramstein</v>
      </c>
      <c r="AP21" s="142" t="s">
        <v>113</v>
      </c>
      <c r="AQ21" s="180">
        <v>6.2171957804639001E-4</v>
      </c>
    </row>
    <row r="22" spans="3:43" x14ac:dyDescent="0.25">
      <c r="C22" s="142" t="s">
        <v>105</v>
      </c>
      <c r="D22" s="142" t="s">
        <v>26</v>
      </c>
      <c r="E22" s="179" t="s">
        <v>32</v>
      </c>
      <c r="F22" s="142">
        <v>5.0959965099999997E-2</v>
      </c>
      <c r="G22" s="169" t="s">
        <v>117</v>
      </c>
      <c r="I22" s="142" t="s">
        <v>106</v>
      </c>
      <c r="J22" s="142" t="s">
        <v>26</v>
      </c>
      <c r="K22" s="179" t="s">
        <v>23</v>
      </c>
      <c r="L22" s="169" t="s">
        <v>104</v>
      </c>
      <c r="M22" s="142">
        <v>1.9001221928503999E-3</v>
      </c>
      <c r="N22" s="180"/>
      <c r="O22" s="142" t="s">
        <v>105</v>
      </c>
      <c r="P22" s="142" t="str">
        <f>INDEX($C$3:$C$7,MID(Q22, LEN(Q22)-1,1)+1)</f>
        <v>Ramstein</v>
      </c>
      <c r="Q22" s="142" t="s">
        <v>134</v>
      </c>
      <c r="R22" s="142">
        <v>0.27001777928499998</v>
      </c>
      <c r="S22" s="235">
        <f>lifetime_max[[#This Row],[Max Lifetime]]*1000</f>
        <v>270.01777928499996</v>
      </c>
      <c r="U22" s="142" t="s">
        <v>106</v>
      </c>
      <c r="V22" s="142" t="s">
        <v>31</v>
      </c>
      <c r="W22" s="142" t="str">
        <f t="shared" si="1"/>
        <v>Qatar</v>
      </c>
      <c r="X22" s="142" t="s">
        <v>116</v>
      </c>
      <c r="Y22" s="142">
        <v>26</v>
      </c>
      <c r="AA22" s="142" t="s">
        <v>103</v>
      </c>
      <c r="AB22" s="142" t="s">
        <v>26</v>
      </c>
      <c r="AC22" s="142" t="str">
        <f t="shared" si="2"/>
        <v>Qatar</v>
      </c>
      <c r="AD22" s="142" t="s">
        <v>107</v>
      </c>
      <c r="AE22" s="142">
        <v>2.3136650711405999</v>
      </c>
      <c r="AG22" s="142" t="s">
        <v>106</v>
      </c>
      <c r="AH22" s="142" t="s">
        <v>31</v>
      </c>
      <c r="AI22" s="142" t="str">
        <f>INDEX($C$3:$C$7,MID(AJ22, LEN(AJ22)-1,1)+1)</f>
        <v>Cheyenne</v>
      </c>
      <c r="AJ22" s="142" t="s">
        <v>115</v>
      </c>
      <c r="AK22" s="142">
        <v>4.9243541996E-2</v>
      </c>
      <c r="AM22" s="142" t="s">
        <v>106</v>
      </c>
      <c r="AN22" s="142" t="s">
        <v>26</v>
      </c>
      <c r="AO22" s="142" t="str">
        <f t="shared" si="3"/>
        <v>Hickam</v>
      </c>
      <c r="AP22" s="142" t="s">
        <v>104</v>
      </c>
      <c r="AQ22" s="180">
        <v>6.1375437363182003E-4</v>
      </c>
    </row>
    <row r="23" spans="3:43" x14ac:dyDescent="0.25">
      <c r="C23" s="142" t="s">
        <v>106</v>
      </c>
      <c r="D23" s="142" t="s">
        <v>31</v>
      </c>
      <c r="E23" s="179" t="s">
        <v>26</v>
      </c>
      <c r="F23" s="142">
        <v>4.9770786912999999E-2</v>
      </c>
      <c r="G23" s="169" t="s">
        <v>115</v>
      </c>
      <c r="I23" s="142" t="s">
        <v>103</v>
      </c>
      <c r="J23" s="142" t="s">
        <v>26</v>
      </c>
      <c r="K23" s="179" t="s">
        <v>23</v>
      </c>
      <c r="L23" s="169" t="s">
        <v>104</v>
      </c>
      <c r="M23" s="142">
        <v>1.9056573346051999E-3</v>
      </c>
      <c r="N23" s="180"/>
      <c r="O23" s="142" t="s">
        <v>103</v>
      </c>
      <c r="P23" s="142" t="str">
        <f>INDEX($C$3:$C$7,MID(Q23, LEN(Q23)-1,1)+1)</f>
        <v>Ramstein</v>
      </c>
      <c r="Q23" s="142" t="s">
        <v>134</v>
      </c>
      <c r="R23" s="142">
        <v>0.26976016818600002</v>
      </c>
      <c r="S23" s="235">
        <f>lifetime_max[[#This Row],[Max Lifetime]]*1000</f>
        <v>269.76016818599999</v>
      </c>
      <c r="U23" s="142" t="s">
        <v>105</v>
      </c>
      <c r="V23" s="142" t="s">
        <v>26</v>
      </c>
      <c r="W23" s="142" t="str">
        <f t="shared" si="1"/>
        <v>Qatar</v>
      </c>
      <c r="X23" s="142" t="s">
        <v>107</v>
      </c>
      <c r="Y23" s="142">
        <v>25</v>
      </c>
      <c r="AA23" s="142" t="s">
        <v>106</v>
      </c>
      <c r="AB23" s="142" t="s">
        <v>29</v>
      </c>
      <c r="AC23" s="142" t="str">
        <f t="shared" si="2"/>
        <v>Cheyenne</v>
      </c>
      <c r="AD23" s="142" t="s">
        <v>123</v>
      </c>
      <c r="AE23" s="142">
        <v>2.3118801127966999</v>
      </c>
      <c r="AG23" s="142" t="s">
        <v>105</v>
      </c>
      <c r="AH23" s="142" t="s">
        <v>26</v>
      </c>
      <c r="AI23" s="142" t="str">
        <f>INDEX($C$3:$C$7,MID(AJ23, LEN(AJ23)-1,1)+1)</f>
        <v>Ramstein</v>
      </c>
      <c r="AJ23" s="142" t="s">
        <v>109</v>
      </c>
      <c r="AK23" s="142">
        <v>4.8477880467000002E-2</v>
      </c>
      <c r="AM23" s="142" t="s">
        <v>103</v>
      </c>
      <c r="AN23" s="142" t="s">
        <v>26</v>
      </c>
      <c r="AO23" s="142" t="str">
        <f t="shared" si="3"/>
        <v>Hickam</v>
      </c>
      <c r="AP23" s="142" t="s">
        <v>104</v>
      </c>
      <c r="AQ23" s="180">
        <v>6.1125964913201004E-4</v>
      </c>
    </row>
    <row r="24" spans="3:43" x14ac:dyDescent="0.25">
      <c r="C24" s="142" t="s">
        <v>105</v>
      </c>
      <c r="D24" s="142" t="s">
        <v>32</v>
      </c>
      <c r="E24" s="179" t="s">
        <v>29</v>
      </c>
      <c r="F24" s="142">
        <v>4.9440771855000003E-2</v>
      </c>
      <c r="G24" s="169" t="s">
        <v>114</v>
      </c>
      <c r="I24" s="142" t="s">
        <v>105</v>
      </c>
      <c r="J24" s="142" t="s">
        <v>26</v>
      </c>
      <c r="K24" s="179" t="s">
        <v>23</v>
      </c>
      <c r="L24" s="169" t="s">
        <v>104</v>
      </c>
      <c r="M24" s="142">
        <v>1.8876822789629E-3</v>
      </c>
      <c r="N24" s="180"/>
      <c r="O24" s="142" t="s">
        <v>106</v>
      </c>
      <c r="P24" s="142" t="str">
        <f>INDEX($C$3:$C$7,MID(Q24, LEN(Q24)-1,1)+1)</f>
        <v>Ramstein</v>
      </c>
      <c r="Q24" s="142" t="s">
        <v>134</v>
      </c>
      <c r="R24" s="142">
        <v>0.26959072299800002</v>
      </c>
      <c r="S24" s="235">
        <f>lifetime_max[[#This Row],[Max Lifetime]]*1000</f>
        <v>269.59072299800005</v>
      </c>
      <c r="U24" s="142" t="s">
        <v>103</v>
      </c>
      <c r="V24" s="142" t="s">
        <v>29</v>
      </c>
      <c r="W24" s="142" t="str">
        <f t="shared" si="1"/>
        <v>Cheyenne</v>
      </c>
      <c r="X24" s="142" t="s">
        <v>123</v>
      </c>
      <c r="Y24" s="142">
        <v>25</v>
      </c>
      <c r="AA24" s="142" t="s">
        <v>105</v>
      </c>
      <c r="AB24" s="142" t="s">
        <v>31</v>
      </c>
      <c r="AC24" s="142" t="str">
        <f t="shared" si="2"/>
        <v>Cheyenne</v>
      </c>
      <c r="AD24" s="142" t="s">
        <v>115</v>
      </c>
      <c r="AE24" s="142">
        <v>2.3055999906929001</v>
      </c>
      <c r="AG24" s="142" t="s">
        <v>105</v>
      </c>
      <c r="AH24" s="142" t="s">
        <v>32</v>
      </c>
      <c r="AI24" s="142" t="str">
        <f>INDEX($C$3:$C$7,MID(AJ24, LEN(AJ24)-1,1)+1)</f>
        <v>Qatar</v>
      </c>
      <c r="AJ24" s="142" t="s">
        <v>128</v>
      </c>
      <c r="AK24" s="142">
        <v>4.7759985099E-2</v>
      </c>
      <c r="AM24" s="142" t="s">
        <v>105</v>
      </c>
      <c r="AN24" s="142" t="s">
        <v>26</v>
      </c>
      <c r="AO24" s="142" t="str">
        <f t="shared" si="3"/>
        <v>Hickam</v>
      </c>
      <c r="AP24" s="142" t="s">
        <v>104</v>
      </c>
      <c r="AQ24" s="180">
        <v>6.0199237485569995E-4</v>
      </c>
    </row>
    <row r="25" spans="3:43" x14ac:dyDescent="0.25">
      <c r="C25" s="142" t="s">
        <v>105</v>
      </c>
      <c r="D25" s="142" t="s">
        <v>29</v>
      </c>
      <c r="E25" s="179" t="s">
        <v>32</v>
      </c>
      <c r="F25" s="142">
        <v>4.9204655296000002E-2</v>
      </c>
      <c r="G25" s="169" t="s">
        <v>114</v>
      </c>
      <c r="I25" s="142" t="s">
        <v>106</v>
      </c>
      <c r="J25" s="142" t="s">
        <v>26</v>
      </c>
      <c r="K25" s="179" t="s">
        <v>29</v>
      </c>
      <c r="L25" s="169" t="s">
        <v>107</v>
      </c>
      <c r="M25" s="142">
        <v>3.6406943281447998E-3</v>
      </c>
      <c r="U25" s="142" t="s">
        <v>105</v>
      </c>
      <c r="V25" s="142" t="s">
        <v>29</v>
      </c>
      <c r="W25" s="142" t="str">
        <f t="shared" si="1"/>
        <v>Cheyenne</v>
      </c>
      <c r="X25" s="142" t="s">
        <v>123</v>
      </c>
      <c r="Y25" s="142">
        <v>25</v>
      </c>
      <c r="AA25" s="142" t="s">
        <v>105</v>
      </c>
      <c r="AB25" s="142" t="s">
        <v>31</v>
      </c>
      <c r="AC25" s="142" t="str">
        <f t="shared" si="2"/>
        <v>Qatar</v>
      </c>
      <c r="AD25" s="142" t="s">
        <v>116</v>
      </c>
      <c r="AE25" s="142">
        <v>2.3036668982683999</v>
      </c>
      <c r="AG25" s="142" t="s">
        <v>105</v>
      </c>
      <c r="AH25" s="142" t="s">
        <v>29</v>
      </c>
      <c r="AI25" s="142" t="str">
        <f>INDEX($C$3:$C$7,MID(AJ25, LEN(AJ25)-1,1)+1)</f>
        <v>Ramstein</v>
      </c>
      <c r="AJ25" s="142" t="s">
        <v>125</v>
      </c>
      <c r="AK25" s="142">
        <v>4.6775613920999999E-2</v>
      </c>
      <c r="AM25" s="142" t="s">
        <v>106</v>
      </c>
      <c r="AN25" s="142" t="s">
        <v>26</v>
      </c>
      <c r="AO25" s="142" t="str">
        <f t="shared" si="3"/>
        <v>Qatar</v>
      </c>
      <c r="AP25" s="142" t="s">
        <v>107</v>
      </c>
      <c r="AQ25" s="142">
        <v>2.3514991743255999E-3</v>
      </c>
    </row>
    <row r="26" spans="3:43" x14ac:dyDescent="0.25">
      <c r="C26" s="142" t="s">
        <v>103</v>
      </c>
      <c r="D26" s="142" t="s">
        <v>26</v>
      </c>
      <c r="E26" s="179" t="s">
        <v>29</v>
      </c>
      <c r="F26" s="142">
        <v>4.8534216706999998E-2</v>
      </c>
      <c r="G26" s="169" t="s">
        <v>114</v>
      </c>
      <c r="I26" s="142" t="s">
        <v>103</v>
      </c>
      <c r="J26" s="142" t="s">
        <v>26</v>
      </c>
      <c r="K26" s="179" t="s">
        <v>29</v>
      </c>
      <c r="L26" s="169" t="s">
        <v>107</v>
      </c>
      <c r="M26" s="142">
        <v>3.6462625051104001E-3</v>
      </c>
      <c r="N26" s="180"/>
      <c r="U26" s="142" t="s">
        <v>105</v>
      </c>
      <c r="V26" s="142" t="s">
        <v>29</v>
      </c>
      <c r="W26" s="142" t="str">
        <f t="shared" si="1"/>
        <v>Langley</v>
      </c>
      <c r="X26" s="142" t="s">
        <v>124</v>
      </c>
      <c r="Y26" s="142">
        <v>25</v>
      </c>
      <c r="AA26" s="142" t="s">
        <v>103</v>
      </c>
      <c r="AB26" s="142" t="s">
        <v>31</v>
      </c>
      <c r="AC26" s="142" t="str">
        <f t="shared" si="2"/>
        <v>Cheyenne</v>
      </c>
      <c r="AD26" s="142" t="s">
        <v>115</v>
      </c>
      <c r="AE26" s="142">
        <v>2.3016958344469001</v>
      </c>
      <c r="AG26" s="142" t="s">
        <v>103</v>
      </c>
      <c r="AH26" s="142" t="s">
        <v>26</v>
      </c>
      <c r="AI26" s="142" t="str">
        <f>INDEX($C$3:$C$7,MID(AJ26, LEN(AJ26)-1,1)+1)</f>
        <v>Qatar</v>
      </c>
      <c r="AJ26" s="142" t="s">
        <v>107</v>
      </c>
      <c r="AK26" s="142">
        <v>4.5117977626999997E-2</v>
      </c>
      <c r="AM26" s="142" t="s">
        <v>103</v>
      </c>
      <c r="AN26" s="142" t="s">
        <v>26</v>
      </c>
      <c r="AO26" s="142" t="str">
        <f t="shared" si="3"/>
        <v>Qatar</v>
      </c>
      <c r="AP26" s="142" t="s">
        <v>107</v>
      </c>
      <c r="AQ26" s="142">
        <v>2.3539190848868999E-3</v>
      </c>
    </row>
    <row r="27" spans="3:43" x14ac:dyDescent="0.25">
      <c r="C27" s="142" t="s">
        <v>106</v>
      </c>
      <c r="D27" s="142" t="s">
        <v>26</v>
      </c>
      <c r="E27" s="179" t="s">
        <v>29</v>
      </c>
      <c r="F27" s="142">
        <v>4.3967577560999997E-2</v>
      </c>
      <c r="G27" s="169" t="s">
        <v>113</v>
      </c>
      <c r="I27" s="142" t="s">
        <v>105</v>
      </c>
      <c r="J27" s="142" t="s">
        <v>26</v>
      </c>
      <c r="K27" s="179" t="s">
        <v>29</v>
      </c>
      <c r="L27" s="169" t="s">
        <v>107</v>
      </c>
      <c r="M27" s="142">
        <v>3.6598908465315001E-3</v>
      </c>
      <c r="O27" s="181" t="s">
        <v>140</v>
      </c>
      <c r="P27" s="181" t="s">
        <v>4</v>
      </c>
      <c r="Q27" s="181" t="s">
        <v>151</v>
      </c>
      <c r="R27" s="181" t="s">
        <v>147</v>
      </c>
      <c r="S27" s="181"/>
      <c r="U27" s="142" t="s">
        <v>105</v>
      </c>
      <c r="V27" s="142" t="s">
        <v>31</v>
      </c>
      <c r="W27" s="142" t="str">
        <f t="shared" si="1"/>
        <v>Cheyenne</v>
      </c>
      <c r="X27" s="142" t="s">
        <v>115</v>
      </c>
      <c r="Y27" s="142">
        <v>25</v>
      </c>
      <c r="AA27" s="142" t="s">
        <v>106</v>
      </c>
      <c r="AB27" s="142" t="s">
        <v>31</v>
      </c>
      <c r="AC27" s="142" t="str">
        <f t="shared" si="2"/>
        <v>Cheyenne</v>
      </c>
      <c r="AD27" s="142" t="s">
        <v>115</v>
      </c>
      <c r="AE27" s="142">
        <v>2.2942456456141</v>
      </c>
      <c r="AG27" s="142" t="s">
        <v>106</v>
      </c>
      <c r="AH27" s="142" t="s">
        <v>26</v>
      </c>
      <c r="AI27" s="142" t="str">
        <f>INDEX($C$3:$C$7,MID(AJ27, LEN(AJ27)-1,1)+1)</f>
        <v>Qatar</v>
      </c>
      <c r="AJ27" s="142" t="s">
        <v>107</v>
      </c>
      <c r="AK27" s="142">
        <v>4.3356885930999997E-2</v>
      </c>
      <c r="AM27" s="142" t="s">
        <v>105</v>
      </c>
      <c r="AN27" s="142" t="s">
        <v>26</v>
      </c>
      <c r="AO27" s="142" t="str">
        <f t="shared" si="3"/>
        <v>Qatar</v>
      </c>
      <c r="AP27" s="142" t="s">
        <v>107</v>
      </c>
      <c r="AQ27" s="142">
        <v>2.3692662018426E-3</v>
      </c>
    </row>
    <row r="28" spans="3:43" x14ac:dyDescent="0.25">
      <c r="C28" s="142" t="s">
        <v>103</v>
      </c>
      <c r="D28" s="142" t="s">
        <v>31</v>
      </c>
      <c r="E28" s="179" t="s">
        <v>29</v>
      </c>
      <c r="F28" s="142">
        <v>4.3548525289000002E-2</v>
      </c>
      <c r="G28" s="169" t="s">
        <v>113</v>
      </c>
      <c r="I28" s="142" t="s">
        <v>106</v>
      </c>
      <c r="J28" s="142" t="s">
        <v>26</v>
      </c>
      <c r="K28" s="179" t="s">
        <v>31</v>
      </c>
      <c r="L28" s="169" t="s">
        <v>108</v>
      </c>
      <c r="M28" s="142">
        <v>1.9041221661188E-3</v>
      </c>
      <c r="N28" s="180"/>
      <c r="O28" s="142" t="s">
        <v>106</v>
      </c>
      <c r="P28" s="142" t="str">
        <f t="shared" ref="P28:P42" si="4">INDEX($C$3:$C$7,MID(Q28, LEN(Q28)-1,1)+1)</f>
        <v>Hickam</v>
      </c>
      <c r="Q28" s="142" t="s">
        <v>130</v>
      </c>
      <c r="R28" s="142">
        <v>9.1753371345939E-2</v>
      </c>
      <c r="U28" s="142" t="s">
        <v>103</v>
      </c>
      <c r="V28" s="142" t="s">
        <v>29</v>
      </c>
      <c r="W28" s="142" t="str">
        <f t="shared" si="1"/>
        <v>Langley</v>
      </c>
      <c r="X28" s="142" t="s">
        <v>124</v>
      </c>
      <c r="Y28" s="142">
        <v>24</v>
      </c>
      <c r="AA28" s="142" t="s">
        <v>103</v>
      </c>
      <c r="AB28" s="142" t="s">
        <v>31</v>
      </c>
      <c r="AC28" s="142" t="str">
        <f t="shared" si="2"/>
        <v>Qatar</v>
      </c>
      <c r="AD28" s="142" t="s">
        <v>116</v>
      </c>
      <c r="AE28" s="142">
        <v>2.2853327293883998</v>
      </c>
      <c r="AG28" s="142" t="s">
        <v>105</v>
      </c>
      <c r="AH28" s="142" t="s">
        <v>29</v>
      </c>
      <c r="AI28" s="142" t="str">
        <f>INDEX($C$3:$C$7,MID(AJ28, LEN(AJ28)-1,1)+1)</f>
        <v>Cheyenne</v>
      </c>
      <c r="AJ28" s="142" t="s">
        <v>123</v>
      </c>
      <c r="AK28" s="142">
        <v>4.3134978212999997E-2</v>
      </c>
      <c r="AM28" s="142" t="s">
        <v>106</v>
      </c>
      <c r="AN28" s="142" t="s">
        <v>26</v>
      </c>
      <c r="AO28" s="142" t="str">
        <f t="shared" si="3"/>
        <v>Langley</v>
      </c>
      <c r="AP28" s="142" t="s">
        <v>108</v>
      </c>
      <c r="AQ28" s="180">
        <v>6.1420644715137003E-4</v>
      </c>
    </row>
    <row r="29" spans="3:43" x14ac:dyDescent="0.25">
      <c r="C29" s="142" t="s">
        <v>105</v>
      </c>
      <c r="D29" s="142" t="s">
        <v>29</v>
      </c>
      <c r="E29" s="179" t="s">
        <v>26</v>
      </c>
      <c r="F29" s="142">
        <v>4.3516586239000003E-2</v>
      </c>
      <c r="G29" s="169" t="s">
        <v>127</v>
      </c>
      <c r="I29" s="142" t="s">
        <v>103</v>
      </c>
      <c r="J29" s="142" t="s">
        <v>26</v>
      </c>
      <c r="K29" s="179" t="s">
        <v>31</v>
      </c>
      <c r="L29" s="169" t="s">
        <v>108</v>
      </c>
      <c r="M29" s="142">
        <v>1.8980705298676001E-3</v>
      </c>
      <c r="N29" s="180"/>
      <c r="O29" s="142" t="s">
        <v>103</v>
      </c>
      <c r="P29" s="142" t="str">
        <f t="shared" si="4"/>
        <v>Hickam</v>
      </c>
      <c r="Q29" s="142" t="s">
        <v>130</v>
      </c>
      <c r="R29" s="142">
        <v>9.1767002232591002E-2</v>
      </c>
      <c r="U29" s="142" t="s">
        <v>105</v>
      </c>
      <c r="V29" s="142" t="s">
        <v>31</v>
      </c>
      <c r="W29" s="142" t="str">
        <f t="shared" si="1"/>
        <v>Qatar</v>
      </c>
      <c r="X29" s="142" t="s">
        <v>116</v>
      </c>
      <c r="Y29" s="142">
        <v>24</v>
      </c>
      <c r="AA29" s="142" t="s">
        <v>106</v>
      </c>
      <c r="AB29" s="142" t="s">
        <v>31</v>
      </c>
      <c r="AC29" s="142" t="str">
        <f t="shared" si="2"/>
        <v>Qatar</v>
      </c>
      <c r="AD29" s="142" t="s">
        <v>116</v>
      </c>
      <c r="AE29" s="142">
        <v>2.2712312040525</v>
      </c>
      <c r="AG29" s="142" t="s">
        <v>106</v>
      </c>
      <c r="AH29" s="142" t="s">
        <v>31</v>
      </c>
      <c r="AI29" s="142" t="str">
        <f>INDEX($C$3:$C$7,MID(AJ29, LEN(AJ29)-1,1)+1)</f>
        <v>Qatar</v>
      </c>
      <c r="AJ29" s="142" t="s">
        <v>116</v>
      </c>
      <c r="AK29" s="142">
        <v>4.2828247070999997E-2</v>
      </c>
      <c r="AM29" s="142" t="s">
        <v>103</v>
      </c>
      <c r="AN29" s="142" t="s">
        <v>26</v>
      </c>
      <c r="AO29" s="142" t="str">
        <f t="shared" si="3"/>
        <v>Langley</v>
      </c>
      <c r="AP29" s="142" t="s">
        <v>108</v>
      </c>
      <c r="AQ29" s="180">
        <v>6.1142368877015998E-4</v>
      </c>
    </row>
    <row r="30" spans="3:43" x14ac:dyDescent="0.25">
      <c r="C30" s="142" t="s">
        <v>106</v>
      </c>
      <c r="D30" s="142" t="s">
        <v>31</v>
      </c>
      <c r="E30" s="179" t="s">
        <v>29</v>
      </c>
      <c r="F30" s="142">
        <v>4.3309967784000002E-2</v>
      </c>
      <c r="G30" s="169" t="s">
        <v>113</v>
      </c>
      <c r="I30" s="142" t="s">
        <v>105</v>
      </c>
      <c r="J30" s="142" t="s">
        <v>26</v>
      </c>
      <c r="K30" s="179" t="s">
        <v>31</v>
      </c>
      <c r="L30" s="169" t="s">
        <v>108</v>
      </c>
      <c r="M30" s="142">
        <v>1.8920133835692E-3</v>
      </c>
      <c r="O30" s="142" t="s">
        <v>105</v>
      </c>
      <c r="P30" s="142" t="str">
        <f t="shared" si="4"/>
        <v>Hickam</v>
      </c>
      <c r="Q30" s="142" t="s">
        <v>130</v>
      </c>
      <c r="R30" s="142">
        <v>9.1587380920708006E-2</v>
      </c>
      <c r="U30" s="142" t="s">
        <v>106</v>
      </c>
      <c r="V30" s="142" t="s">
        <v>23</v>
      </c>
      <c r="W30" s="142" t="str">
        <f t="shared" si="1"/>
        <v>Langley</v>
      </c>
      <c r="X30" s="142" t="s">
        <v>112</v>
      </c>
      <c r="Y30" s="142">
        <v>23</v>
      </c>
      <c r="AA30" s="142" t="s">
        <v>103</v>
      </c>
      <c r="AB30" s="142" t="s">
        <v>29</v>
      </c>
      <c r="AC30" s="142" t="str">
        <f t="shared" si="2"/>
        <v>Langley</v>
      </c>
      <c r="AD30" s="142" t="s">
        <v>124</v>
      </c>
      <c r="AE30" s="142">
        <v>2.2635903266818</v>
      </c>
      <c r="AG30" s="142" t="s">
        <v>103</v>
      </c>
      <c r="AH30" s="142" t="s">
        <v>31</v>
      </c>
      <c r="AI30" s="142" t="str">
        <f>INDEX($C$3:$C$7,MID(AJ30, LEN(AJ30)-1,1)+1)</f>
        <v>Qatar</v>
      </c>
      <c r="AJ30" s="142" t="s">
        <v>116</v>
      </c>
      <c r="AK30" s="142">
        <v>4.1511273725999998E-2</v>
      </c>
      <c r="AM30" s="142" t="s">
        <v>105</v>
      </c>
      <c r="AN30" s="142" t="s">
        <v>26</v>
      </c>
      <c r="AO30" s="142" t="str">
        <f t="shared" si="3"/>
        <v>Langley</v>
      </c>
      <c r="AP30" s="142" t="s">
        <v>108</v>
      </c>
      <c r="AQ30" s="180">
        <v>6.0365961652645997E-4</v>
      </c>
    </row>
    <row r="31" spans="3:43" x14ac:dyDescent="0.25">
      <c r="C31" s="142" t="s">
        <v>105</v>
      </c>
      <c r="D31" s="142" t="s">
        <v>31</v>
      </c>
      <c r="E31" s="179" t="s">
        <v>29</v>
      </c>
      <c r="F31" s="142">
        <v>4.1897073408000002E-2</v>
      </c>
      <c r="G31" s="169" t="s">
        <v>127</v>
      </c>
      <c r="I31" s="142" t="s">
        <v>106</v>
      </c>
      <c r="J31" s="142" t="s">
        <v>26</v>
      </c>
      <c r="K31" s="179" t="s">
        <v>32</v>
      </c>
      <c r="L31" s="169" t="s">
        <v>109</v>
      </c>
      <c r="M31" s="142">
        <v>5.7987933249551002E-3</v>
      </c>
      <c r="O31" s="142" t="s">
        <v>106</v>
      </c>
      <c r="P31" s="142" t="str">
        <f t="shared" si="4"/>
        <v>Cheyenne</v>
      </c>
      <c r="Q31" s="142" t="s">
        <v>131</v>
      </c>
      <c r="R31" s="142">
        <v>3.3261635830229001E-2</v>
      </c>
      <c r="U31" s="142" t="s">
        <v>106</v>
      </c>
      <c r="V31" s="142" t="s">
        <v>29</v>
      </c>
      <c r="W31" s="142" t="str">
        <f t="shared" si="1"/>
        <v>Cheyenne</v>
      </c>
      <c r="X31" s="142" t="s">
        <v>123</v>
      </c>
      <c r="Y31" s="142">
        <v>22</v>
      </c>
      <c r="AA31" s="142" t="s">
        <v>105</v>
      </c>
      <c r="AB31" s="142" t="s">
        <v>32</v>
      </c>
      <c r="AC31" s="142" t="str">
        <f t="shared" si="2"/>
        <v>Qatar</v>
      </c>
      <c r="AD31" s="142" t="s">
        <v>128</v>
      </c>
      <c r="AE31" s="142">
        <v>1.7802490274445</v>
      </c>
      <c r="AG31" s="142" t="s">
        <v>105</v>
      </c>
      <c r="AH31" s="142" t="s">
        <v>31</v>
      </c>
      <c r="AI31" s="142" t="str">
        <f>INDEX($C$3:$C$7,MID(AJ31, LEN(AJ31)-1,1)+1)</f>
        <v>Qatar</v>
      </c>
      <c r="AJ31" s="142" t="s">
        <v>116</v>
      </c>
      <c r="AK31" s="142">
        <v>4.1210039358000002E-2</v>
      </c>
      <c r="AM31" s="142" t="s">
        <v>106</v>
      </c>
      <c r="AN31" s="142" t="s">
        <v>26</v>
      </c>
      <c r="AO31" s="142" t="str">
        <f t="shared" si="3"/>
        <v>Ramstein</v>
      </c>
      <c r="AP31" s="142" t="s">
        <v>109</v>
      </c>
      <c r="AQ31" s="142">
        <v>1.3167187798988E-3</v>
      </c>
    </row>
    <row r="32" spans="3:43" x14ac:dyDescent="0.25">
      <c r="C32" s="142" t="s">
        <v>105</v>
      </c>
      <c r="D32" s="142" t="s">
        <v>31</v>
      </c>
      <c r="E32" s="179" t="s">
        <v>26</v>
      </c>
      <c r="F32" s="142">
        <v>4.0109601137000003E-2</v>
      </c>
      <c r="G32" s="169" t="s">
        <v>112</v>
      </c>
      <c r="I32" s="142" t="s">
        <v>103</v>
      </c>
      <c r="J32" s="142" t="s">
        <v>26</v>
      </c>
      <c r="K32" s="179" t="s">
        <v>32</v>
      </c>
      <c r="L32" s="169" t="s">
        <v>109</v>
      </c>
      <c r="M32" s="142">
        <v>5.7508840667675996E-3</v>
      </c>
      <c r="O32" s="142" t="s">
        <v>103</v>
      </c>
      <c r="P32" s="142" t="str">
        <f t="shared" si="4"/>
        <v>Cheyenne</v>
      </c>
      <c r="Q32" s="142" t="s">
        <v>131</v>
      </c>
      <c r="R32" s="142">
        <v>3.3043878454168001E-2</v>
      </c>
      <c r="U32" s="142" t="s">
        <v>103</v>
      </c>
      <c r="V32" s="142" t="s">
        <v>141</v>
      </c>
      <c r="W32" s="142" t="str">
        <f t="shared" si="1"/>
        <v>Hickam</v>
      </c>
      <c r="X32" s="142" t="s">
        <v>120</v>
      </c>
      <c r="Y32" s="142">
        <v>21</v>
      </c>
      <c r="AA32" s="142" t="s">
        <v>103</v>
      </c>
      <c r="AB32" s="142" t="s">
        <v>32</v>
      </c>
      <c r="AC32" s="142" t="str">
        <f t="shared" si="2"/>
        <v>Qatar</v>
      </c>
      <c r="AD32" s="142" t="s">
        <v>128</v>
      </c>
      <c r="AE32" s="142">
        <v>1.775768800951</v>
      </c>
      <c r="AG32" s="142" t="s">
        <v>105</v>
      </c>
      <c r="AH32" s="142" t="s">
        <v>31</v>
      </c>
      <c r="AI32" s="142" t="str">
        <f>INDEX($C$3:$C$7,MID(AJ32, LEN(AJ32)-1,1)+1)</f>
        <v>Cheyenne</v>
      </c>
      <c r="AJ32" s="142" t="s">
        <v>115</v>
      </c>
      <c r="AK32" s="142">
        <v>3.8576996925000002E-2</v>
      </c>
      <c r="AM32" s="142" t="s">
        <v>103</v>
      </c>
      <c r="AN32" s="142" t="s">
        <v>26</v>
      </c>
      <c r="AO32" s="142" t="str">
        <f t="shared" si="3"/>
        <v>Ramstein</v>
      </c>
      <c r="AP32" s="142" t="s">
        <v>109</v>
      </c>
      <c r="AQ32" s="142">
        <v>1.2809813188995999E-3</v>
      </c>
    </row>
    <row r="33" spans="3:43" x14ac:dyDescent="0.25">
      <c r="C33" s="142" t="s">
        <v>105</v>
      </c>
      <c r="D33" s="142" t="s">
        <v>26</v>
      </c>
      <c r="E33" s="179" t="s">
        <v>29</v>
      </c>
      <c r="F33" s="142">
        <v>3.9292306457999998E-2</v>
      </c>
      <c r="G33" s="169" t="s">
        <v>112</v>
      </c>
      <c r="I33" s="142" t="s">
        <v>105</v>
      </c>
      <c r="J33" s="142" t="s">
        <v>26</v>
      </c>
      <c r="K33" s="179" t="s">
        <v>32</v>
      </c>
      <c r="L33" s="169" t="s">
        <v>109</v>
      </c>
      <c r="M33" s="142">
        <v>5.7122351031883003E-3</v>
      </c>
      <c r="O33" s="142" t="s">
        <v>105</v>
      </c>
      <c r="P33" s="142" t="str">
        <f t="shared" si="4"/>
        <v>Cheyenne</v>
      </c>
      <c r="Q33" s="142" t="s">
        <v>131</v>
      </c>
      <c r="R33" s="142">
        <v>3.4218651506005997E-2</v>
      </c>
      <c r="U33" s="142" t="s">
        <v>103</v>
      </c>
      <c r="V33" s="142" t="s">
        <v>32</v>
      </c>
      <c r="W33" s="142" t="str">
        <f t="shared" si="1"/>
        <v>Langley</v>
      </c>
      <c r="X33" s="142" t="s">
        <v>129</v>
      </c>
      <c r="Y33" s="142">
        <v>20</v>
      </c>
      <c r="AA33" s="142" t="s">
        <v>106</v>
      </c>
      <c r="AB33" s="142" t="s">
        <v>29</v>
      </c>
      <c r="AC33" s="142" t="str">
        <f t="shared" si="2"/>
        <v>Ramstein</v>
      </c>
      <c r="AD33" s="142" t="s">
        <v>125</v>
      </c>
      <c r="AE33" s="142">
        <v>1.7725663122552</v>
      </c>
      <c r="AG33" s="142" t="s">
        <v>105</v>
      </c>
      <c r="AH33" s="142" t="s">
        <v>29</v>
      </c>
      <c r="AI33" s="142" t="str">
        <f>INDEX($C$3:$C$7,MID(AJ33, LEN(AJ33)-1,1)+1)</f>
        <v>Langley</v>
      </c>
      <c r="AJ33" s="142" t="s">
        <v>124</v>
      </c>
      <c r="AK33" s="142">
        <v>3.8151036396000003E-2</v>
      </c>
      <c r="AM33" s="142" t="s">
        <v>105</v>
      </c>
      <c r="AN33" s="142" t="s">
        <v>26</v>
      </c>
      <c r="AO33" s="142" t="str">
        <f t="shared" si="3"/>
        <v>Ramstein</v>
      </c>
      <c r="AP33" s="142" t="s">
        <v>109</v>
      </c>
      <c r="AQ33" s="142">
        <v>1.2692797181486999E-3</v>
      </c>
    </row>
    <row r="34" spans="3:43" x14ac:dyDescent="0.25">
      <c r="C34" s="142" t="s">
        <v>105</v>
      </c>
      <c r="D34" s="142" t="s">
        <v>29</v>
      </c>
      <c r="E34" s="179" t="s">
        <v>31</v>
      </c>
      <c r="F34" s="142">
        <v>3.9061202518999999E-2</v>
      </c>
      <c r="G34" s="169" t="s">
        <v>127</v>
      </c>
      <c r="I34" s="142" t="s">
        <v>106</v>
      </c>
      <c r="J34" s="142" t="s">
        <v>29</v>
      </c>
      <c r="K34" s="179" t="s">
        <v>23</v>
      </c>
      <c r="L34" s="169" t="s">
        <v>122</v>
      </c>
      <c r="M34" s="180">
        <v>4.3398018380344001E-4</v>
      </c>
      <c r="O34" s="142" t="s">
        <v>106</v>
      </c>
      <c r="P34" s="142" t="str">
        <f t="shared" si="4"/>
        <v>Qatar</v>
      </c>
      <c r="Q34" s="142" t="s">
        <v>132</v>
      </c>
      <c r="R34" s="142">
        <v>5.8230827174764001E-2</v>
      </c>
      <c r="U34" s="142" t="s">
        <v>105</v>
      </c>
      <c r="V34" s="142" t="s">
        <v>142</v>
      </c>
      <c r="W34" s="142" t="str">
        <f t="shared" si="1"/>
        <v>Cheyenne</v>
      </c>
      <c r="X34" s="142" t="s">
        <v>119</v>
      </c>
      <c r="Y34" s="142">
        <v>20</v>
      </c>
      <c r="AA34" s="142" t="s">
        <v>103</v>
      </c>
      <c r="AB34" s="142" t="s">
        <v>29</v>
      </c>
      <c r="AC34" s="142" t="str">
        <f t="shared" si="2"/>
        <v>Ramstein</v>
      </c>
      <c r="AD34" s="142" t="s">
        <v>125</v>
      </c>
      <c r="AE34" s="142">
        <v>1.7671649771639</v>
      </c>
      <c r="AG34" s="142" t="s">
        <v>103</v>
      </c>
      <c r="AH34" s="142" t="s">
        <v>29</v>
      </c>
      <c r="AI34" s="142" t="str">
        <f>INDEX($C$3:$C$7,MID(AJ34, LEN(AJ34)-1,1)+1)</f>
        <v>Cheyenne</v>
      </c>
      <c r="AJ34" s="142" t="s">
        <v>123</v>
      </c>
      <c r="AK34" s="142">
        <v>3.7701442198E-2</v>
      </c>
      <c r="AM34" s="142" t="s">
        <v>106</v>
      </c>
      <c r="AN34" s="142" t="s">
        <v>29</v>
      </c>
      <c r="AO34" s="142" t="str">
        <f t="shared" si="3"/>
        <v>Hickam</v>
      </c>
      <c r="AP34" s="142" t="s">
        <v>122</v>
      </c>
      <c r="AQ34" s="180">
        <v>4.2435848713104003E-5</v>
      </c>
    </row>
    <row r="35" spans="3:43" x14ac:dyDescent="0.25">
      <c r="C35" s="142" t="s">
        <v>106</v>
      </c>
      <c r="D35" s="142" t="s">
        <v>29</v>
      </c>
      <c r="E35" s="179" t="s">
        <v>31</v>
      </c>
      <c r="F35" s="142">
        <v>3.8279403612000003E-2</v>
      </c>
      <c r="G35" s="169" t="s">
        <v>123</v>
      </c>
      <c r="I35" s="142" t="s">
        <v>103</v>
      </c>
      <c r="J35" s="142" t="s">
        <v>29</v>
      </c>
      <c r="K35" s="179" t="s">
        <v>23</v>
      </c>
      <c r="L35" s="169" t="s">
        <v>122</v>
      </c>
      <c r="M35" s="180">
        <v>4.3449181065750999E-4</v>
      </c>
      <c r="O35" s="142" t="s">
        <v>103</v>
      </c>
      <c r="P35" s="142" t="str">
        <f t="shared" si="4"/>
        <v>Qatar</v>
      </c>
      <c r="Q35" s="142" t="s">
        <v>132</v>
      </c>
      <c r="R35" s="142">
        <v>5.803859695659E-2</v>
      </c>
      <c r="U35" s="142" t="s">
        <v>105</v>
      </c>
      <c r="V35" s="142" t="s">
        <v>23</v>
      </c>
      <c r="W35" s="142" t="str">
        <f t="shared" si="1"/>
        <v>Langley</v>
      </c>
      <c r="X35" s="142" t="s">
        <v>112</v>
      </c>
      <c r="Y35" s="142">
        <v>19</v>
      </c>
      <c r="AA35" s="142" t="s">
        <v>106</v>
      </c>
      <c r="AB35" s="142" t="s">
        <v>32</v>
      </c>
      <c r="AC35" s="142" t="str">
        <f t="shared" si="2"/>
        <v>Qatar</v>
      </c>
      <c r="AD35" s="142" t="s">
        <v>128</v>
      </c>
      <c r="AE35" s="142">
        <v>1.7653734892718</v>
      </c>
      <c r="AG35" s="142" t="s">
        <v>103</v>
      </c>
      <c r="AH35" s="142" t="s">
        <v>31</v>
      </c>
      <c r="AI35" s="142" t="str">
        <f>INDEX($C$3:$C$7,MID(AJ35, LEN(AJ35)-1,1)+1)</f>
        <v>Cheyenne</v>
      </c>
      <c r="AJ35" s="142" t="s">
        <v>115</v>
      </c>
      <c r="AK35" s="142">
        <v>3.7501371536E-2</v>
      </c>
      <c r="AM35" s="142" t="s">
        <v>103</v>
      </c>
      <c r="AN35" s="142" t="s">
        <v>29</v>
      </c>
      <c r="AO35" s="142" t="str">
        <f t="shared" si="3"/>
        <v>Hickam</v>
      </c>
      <c r="AP35" s="142" t="s">
        <v>122</v>
      </c>
      <c r="AQ35" s="180">
        <v>4.2698524263073001E-5</v>
      </c>
    </row>
    <row r="36" spans="3:43" x14ac:dyDescent="0.25">
      <c r="C36" s="142" t="s">
        <v>103</v>
      </c>
      <c r="D36" s="142" t="s">
        <v>29</v>
      </c>
      <c r="E36" s="179" t="s">
        <v>26</v>
      </c>
      <c r="F36" s="142">
        <v>3.7900148756E-2</v>
      </c>
      <c r="G36" s="169" t="s">
        <v>112</v>
      </c>
      <c r="I36" s="142" t="s">
        <v>105</v>
      </c>
      <c r="J36" s="142" t="s">
        <v>29</v>
      </c>
      <c r="K36" s="179" t="s">
        <v>23</v>
      </c>
      <c r="L36" s="169" t="s">
        <v>122</v>
      </c>
      <c r="M36" s="180">
        <v>4.3481493209364001E-4</v>
      </c>
      <c r="O36" s="142" t="s">
        <v>105</v>
      </c>
      <c r="P36" s="142" t="str">
        <f t="shared" si="4"/>
        <v>Qatar</v>
      </c>
      <c r="Q36" s="142" t="s">
        <v>132</v>
      </c>
      <c r="R36" s="142">
        <v>5.6187622128264003E-2</v>
      </c>
      <c r="U36" s="142" t="s">
        <v>105</v>
      </c>
      <c r="V36" s="142" t="s">
        <v>32</v>
      </c>
      <c r="W36" s="142" t="str">
        <f t="shared" si="1"/>
        <v>Qatar</v>
      </c>
      <c r="X36" s="142" t="s">
        <v>128</v>
      </c>
      <c r="Y36" s="142">
        <v>19</v>
      </c>
      <c r="AA36" s="142" t="s">
        <v>105</v>
      </c>
      <c r="AB36" s="142" t="s">
        <v>29</v>
      </c>
      <c r="AC36" s="142" t="str">
        <f t="shared" si="2"/>
        <v>Ramstein</v>
      </c>
      <c r="AD36" s="142" t="s">
        <v>125</v>
      </c>
      <c r="AE36" s="142">
        <v>1.7448307955272999</v>
      </c>
      <c r="AG36" s="142" t="s">
        <v>105</v>
      </c>
      <c r="AH36" s="142" t="s">
        <v>26</v>
      </c>
      <c r="AI36" s="142" t="str">
        <f>INDEX($C$3:$C$7,MID(AJ36, LEN(AJ36)-1,1)+1)</f>
        <v>Qatar</v>
      </c>
      <c r="AJ36" s="142" t="s">
        <v>107</v>
      </c>
      <c r="AK36" s="142">
        <v>3.6712234852000002E-2</v>
      </c>
      <c r="AM36" s="142" t="s">
        <v>105</v>
      </c>
      <c r="AN36" s="142" t="s">
        <v>29</v>
      </c>
      <c r="AO36" s="142" t="str">
        <f t="shared" si="3"/>
        <v>Hickam</v>
      </c>
      <c r="AP36" s="142" t="s">
        <v>122</v>
      </c>
      <c r="AQ36" s="180">
        <v>4.2849945212192E-5</v>
      </c>
    </row>
    <row r="37" spans="3:43" x14ac:dyDescent="0.25">
      <c r="C37" s="142" t="s">
        <v>103</v>
      </c>
      <c r="D37" s="142" t="s">
        <v>31</v>
      </c>
      <c r="E37" s="179" t="s">
        <v>26</v>
      </c>
      <c r="F37" s="142">
        <v>3.7659585145999999E-2</v>
      </c>
      <c r="G37" s="169" t="s">
        <v>124</v>
      </c>
      <c r="I37" s="142" t="s">
        <v>106</v>
      </c>
      <c r="J37" s="142" t="s">
        <v>29</v>
      </c>
      <c r="K37" s="179" t="s">
        <v>26</v>
      </c>
      <c r="L37" s="169" t="s">
        <v>123</v>
      </c>
      <c r="M37" s="142">
        <v>3.6231377276541E-3</v>
      </c>
      <c r="O37" s="142" t="s">
        <v>106</v>
      </c>
      <c r="P37" s="142" t="str">
        <f t="shared" si="4"/>
        <v>Langley</v>
      </c>
      <c r="Q37" s="142" t="s">
        <v>133</v>
      </c>
      <c r="R37" s="142">
        <v>0.19814771915498</v>
      </c>
      <c r="U37" s="142" t="s">
        <v>106</v>
      </c>
      <c r="V37" s="142" t="s">
        <v>141</v>
      </c>
      <c r="W37" s="142" t="str">
        <f t="shared" si="1"/>
        <v>Hickam</v>
      </c>
      <c r="X37" s="142" t="s">
        <v>120</v>
      </c>
      <c r="Y37" s="142">
        <v>19</v>
      </c>
      <c r="AA37" s="142" t="s">
        <v>105</v>
      </c>
      <c r="AB37" s="142" t="s">
        <v>141</v>
      </c>
      <c r="AC37" s="142" t="str">
        <f t="shared" si="2"/>
        <v>Hickam</v>
      </c>
      <c r="AD37" s="142" t="s">
        <v>120</v>
      </c>
      <c r="AE37" s="142">
        <v>1.5117441708515</v>
      </c>
      <c r="AG37" s="142" t="s">
        <v>106</v>
      </c>
      <c r="AH37" s="142" t="s">
        <v>29</v>
      </c>
      <c r="AI37" s="142" t="str">
        <f>INDEX($C$3:$C$7,MID(AJ37, LEN(AJ37)-1,1)+1)</f>
        <v>Langley</v>
      </c>
      <c r="AJ37" s="142" t="s">
        <v>124</v>
      </c>
      <c r="AK37" s="142">
        <v>3.6664855123000002E-2</v>
      </c>
      <c r="AM37" s="142" t="s">
        <v>106</v>
      </c>
      <c r="AN37" s="142" t="s">
        <v>29</v>
      </c>
      <c r="AO37" s="142" t="str">
        <f t="shared" si="3"/>
        <v>Cheyenne</v>
      </c>
      <c r="AP37" s="142" t="s">
        <v>123</v>
      </c>
      <c r="AQ37" s="142">
        <v>2.3349279225582998E-3</v>
      </c>
    </row>
    <row r="38" spans="3:43" x14ac:dyDescent="0.25">
      <c r="C38" s="142" t="s">
        <v>103</v>
      </c>
      <c r="D38" s="142" t="s">
        <v>29</v>
      </c>
      <c r="E38" s="179" t="s">
        <v>31</v>
      </c>
      <c r="F38" s="142">
        <v>3.7123295107E-2</v>
      </c>
      <c r="G38" s="169" t="s">
        <v>123</v>
      </c>
      <c r="I38" s="142" t="s">
        <v>103</v>
      </c>
      <c r="J38" s="142" t="s">
        <v>29</v>
      </c>
      <c r="K38" s="179" t="s">
        <v>26</v>
      </c>
      <c r="L38" s="169" t="s">
        <v>123</v>
      </c>
      <c r="M38" s="142">
        <v>3.6368625209145999E-3</v>
      </c>
      <c r="O38" s="142" t="s">
        <v>103</v>
      </c>
      <c r="P38" s="142" t="str">
        <f t="shared" si="4"/>
        <v>Langley</v>
      </c>
      <c r="Q38" s="142" t="s">
        <v>133</v>
      </c>
      <c r="R38" s="142">
        <v>0.19797429845503001</v>
      </c>
      <c r="U38" s="142" t="s">
        <v>103</v>
      </c>
      <c r="V38" s="142" t="s">
        <v>29</v>
      </c>
      <c r="W38" s="142" t="str">
        <f t="shared" si="1"/>
        <v>Ramstein</v>
      </c>
      <c r="X38" s="142" t="s">
        <v>125</v>
      </c>
      <c r="Y38" s="142">
        <v>18</v>
      </c>
      <c r="AA38" s="142" t="s">
        <v>103</v>
      </c>
      <c r="AB38" s="142" t="s">
        <v>23</v>
      </c>
      <c r="AC38" s="142" t="str">
        <f t="shared" si="2"/>
        <v>Langley</v>
      </c>
      <c r="AD38" s="142" t="s">
        <v>112</v>
      </c>
      <c r="AE38" s="142">
        <v>1.5068970976714</v>
      </c>
      <c r="AG38" s="142" t="s">
        <v>106</v>
      </c>
      <c r="AH38" s="142" t="s">
        <v>29</v>
      </c>
      <c r="AI38" s="142" t="str">
        <f>INDEX($C$3:$C$7,MID(AJ38, LEN(AJ38)-1,1)+1)</f>
        <v>Cheyenne</v>
      </c>
      <c r="AJ38" s="142" t="s">
        <v>123</v>
      </c>
      <c r="AK38" s="142">
        <v>3.5052584877999997E-2</v>
      </c>
      <c r="AM38" s="142" t="s">
        <v>103</v>
      </c>
      <c r="AN38" s="142" t="s">
        <v>29</v>
      </c>
      <c r="AO38" s="142" t="str">
        <f t="shared" si="3"/>
        <v>Cheyenne</v>
      </c>
      <c r="AP38" s="142" t="s">
        <v>123</v>
      </c>
      <c r="AQ38" s="142">
        <v>2.3445139624442999E-3</v>
      </c>
    </row>
    <row r="39" spans="3:43" x14ac:dyDescent="0.25">
      <c r="C39" s="142" t="s">
        <v>106</v>
      </c>
      <c r="D39" s="142" t="s">
        <v>29</v>
      </c>
      <c r="E39" s="179" t="s">
        <v>26</v>
      </c>
      <c r="F39" s="142">
        <v>3.5549320783999999E-2</v>
      </c>
      <c r="G39" s="169" t="s">
        <v>123</v>
      </c>
      <c r="I39" s="142" t="s">
        <v>105</v>
      </c>
      <c r="J39" s="142" t="s">
        <v>29</v>
      </c>
      <c r="K39" s="179" t="s">
        <v>26</v>
      </c>
      <c r="L39" s="169" t="s">
        <v>123</v>
      </c>
      <c r="M39" s="142">
        <v>3.652572063963E-3</v>
      </c>
      <c r="N39" s="180"/>
      <c r="O39" s="142" t="s">
        <v>105</v>
      </c>
      <c r="P39" s="142" t="str">
        <f t="shared" si="4"/>
        <v>Langley</v>
      </c>
      <c r="Q39" s="142" t="s">
        <v>133</v>
      </c>
      <c r="R39" s="142">
        <v>0.19795564864743001</v>
      </c>
      <c r="U39" s="142" t="s">
        <v>106</v>
      </c>
      <c r="V39" s="142" t="s">
        <v>32</v>
      </c>
      <c r="W39" s="142" t="str">
        <f t="shared" si="1"/>
        <v>Langley</v>
      </c>
      <c r="X39" s="142" t="s">
        <v>129</v>
      </c>
      <c r="Y39" s="142">
        <v>18</v>
      </c>
      <c r="AA39" s="142" t="s">
        <v>106</v>
      </c>
      <c r="AB39" s="142" t="s">
        <v>23</v>
      </c>
      <c r="AC39" s="142" t="str">
        <f t="shared" si="2"/>
        <v>Langley</v>
      </c>
      <c r="AD39" s="142" t="s">
        <v>112</v>
      </c>
      <c r="AE39" s="142">
        <v>1.5068936288854</v>
      </c>
      <c r="AG39" s="142" t="s">
        <v>103</v>
      </c>
      <c r="AH39" s="142" t="s">
        <v>29</v>
      </c>
      <c r="AI39" s="142" t="str">
        <f>INDEX($C$3:$C$7,MID(AJ39, LEN(AJ39)-1,1)+1)</f>
        <v>Langley</v>
      </c>
      <c r="AJ39" s="142" t="s">
        <v>124</v>
      </c>
      <c r="AK39" s="142">
        <v>3.4389761444000001E-2</v>
      </c>
      <c r="AM39" s="142" t="s">
        <v>105</v>
      </c>
      <c r="AN39" s="142" t="s">
        <v>29</v>
      </c>
      <c r="AO39" s="142" t="str">
        <f t="shared" si="3"/>
        <v>Cheyenne</v>
      </c>
      <c r="AP39" s="142" t="s">
        <v>123</v>
      </c>
      <c r="AQ39" s="142">
        <v>2.3633223068416998E-3</v>
      </c>
    </row>
    <row r="40" spans="3:43" x14ac:dyDescent="0.25">
      <c r="C40" s="142" t="s">
        <v>106</v>
      </c>
      <c r="D40" s="142" t="s">
        <v>23</v>
      </c>
      <c r="E40" s="179" t="s">
        <v>26</v>
      </c>
      <c r="F40" s="142">
        <v>2.426333084E-2</v>
      </c>
      <c r="G40" s="169" t="s">
        <v>122</v>
      </c>
      <c r="I40" s="142" t="s">
        <v>106</v>
      </c>
      <c r="J40" s="142" t="s">
        <v>29</v>
      </c>
      <c r="K40" s="179" t="s">
        <v>31</v>
      </c>
      <c r="L40" s="169" t="s">
        <v>124</v>
      </c>
      <c r="M40" s="142">
        <v>3.6536620140688999E-3</v>
      </c>
      <c r="N40" s="180"/>
      <c r="O40" s="142" t="s">
        <v>106</v>
      </c>
      <c r="P40" s="142" t="str">
        <f t="shared" si="4"/>
        <v>Ramstein</v>
      </c>
      <c r="Q40" s="142" t="s">
        <v>134</v>
      </c>
      <c r="R40" s="142">
        <v>0.10314653224335001</v>
      </c>
      <c r="U40" s="142" t="s">
        <v>106</v>
      </c>
      <c r="V40" s="142" t="s">
        <v>142</v>
      </c>
      <c r="W40" s="142" t="str">
        <f t="shared" si="1"/>
        <v>Cheyenne</v>
      </c>
      <c r="X40" s="142" t="s">
        <v>119</v>
      </c>
      <c r="Y40" s="142">
        <v>18</v>
      </c>
      <c r="AA40" s="142" t="s">
        <v>105</v>
      </c>
      <c r="AB40" s="142" t="s">
        <v>23</v>
      </c>
      <c r="AC40" s="142" t="str">
        <f t="shared" si="2"/>
        <v>Langley</v>
      </c>
      <c r="AD40" s="142" t="s">
        <v>112</v>
      </c>
      <c r="AE40" s="142">
        <v>1.5051043275359</v>
      </c>
      <c r="AG40" s="142" t="s">
        <v>103</v>
      </c>
      <c r="AH40" s="142" t="s">
        <v>26</v>
      </c>
      <c r="AI40" s="142" t="str">
        <f>INDEX($C$3:$C$7,MID(AJ40, LEN(AJ40)-1,1)+1)</f>
        <v>Hickam</v>
      </c>
      <c r="AJ40" s="142" t="s">
        <v>104</v>
      </c>
      <c r="AK40" s="142">
        <v>2.0544768264999999E-2</v>
      </c>
      <c r="AM40" s="142" t="s">
        <v>106</v>
      </c>
      <c r="AN40" s="142" t="s">
        <v>29</v>
      </c>
      <c r="AO40" s="142" t="str">
        <f t="shared" si="3"/>
        <v>Langley</v>
      </c>
      <c r="AP40" s="142" t="s">
        <v>124</v>
      </c>
      <c r="AQ40" s="142">
        <v>2.3641621181468E-3</v>
      </c>
    </row>
    <row r="41" spans="3:43" x14ac:dyDescent="0.25">
      <c r="C41" s="142" t="s">
        <v>106</v>
      </c>
      <c r="D41" s="142" t="s">
        <v>26</v>
      </c>
      <c r="E41" s="179" t="s">
        <v>23</v>
      </c>
      <c r="F41" s="142">
        <v>2.3261730344E-2</v>
      </c>
      <c r="G41" s="169" t="s">
        <v>122</v>
      </c>
      <c r="I41" s="142" t="s">
        <v>103</v>
      </c>
      <c r="J41" s="142" t="s">
        <v>29</v>
      </c>
      <c r="K41" s="179" t="s">
        <v>31</v>
      </c>
      <c r="L41" s="169" t="s">
        <v>124</v>
      </c>
      <c r="M41" s="142">
        <v>3.5615091010267998E-3</v>
      </c>
      <c r="N41" s="180"/>
      <c r="O41" s="142" t="s">
        <v>103</v>
      </c>
      <c r="P41" s="142" t="str">
        <f t="shared" si="4"/>
        <v>Ramstein</v>
      </c>
      <c r="Q41" s="142" t="s">
        <v>134</v>
      </c>
      <c r="R41" s="142">
        <v>0.10344664477727</v>
      </c>
      <c r="U41" s="142" t="s">
        <v>106</v>
      </c>
      <c r="V41" s="142" t="s">
        <v>29</v>
      </c>
      <c r="W41" s="142" t="str">
        <f t="shared" si="1"/>
        <v>Ramstein</v>
      </c>
      <c r="X41" s="142" t="s">
        <v>125</v>
      </c>
      <c r="Y41" s="142">
        <v>17</v>
      </c>
      <c r="AA41" s="142" t="s">
        <v>103</v>
      </c>
      <c r="AB41" s="142" t="s">
        <v>141</v>
      </c>
      <c r="AC41" s="142" t="str">
        <f t="shared" si="2"/>
        <v>Hickam</v>
      </c>
      <c r="AD41" s="142" t="s">
        <v>120</v>
      </c>
      <c r="AE41" s="142">
        <v>1.5046749209439001</v>
      </c>
      <c r="AG41" s="142" t="s">
        <v>105</v>
      </c>
      <c r="AH41" s="142" t="s">
        <v>32</v>
      </c>
      <c r="AI41" s="142" t="str">
        <f>INDEX($C$3:$C$7,MID(AJ41, LEN(AJ41)-1,1)+1)</f>
        <v>Hickam</v>
      </c>
      <c r="AJ41" s="142" t="s">
        <v>126</v>
      </c>
      <c r="AK41" s="142">
        <v>2.0226987819000002E-2</v>
      </c>
      <c r="AM41" s="142" t="s">
        <v>103</v>
      </c>
      <c r="AN41" s="142" t="s">
        <v>29</v>
      </c>
      <c r="AO41" s="142" t="str">
        <f t="shared" si="3"/>
        <v>Langley</v>
      </c>
      <c r="AP41" s="142" t="s">
        <v>124</v>
      </c>
      <c r="AQ41" s="142">
        <v>2.2768074828811002E-3</v>
      </c>
    </row>
    <row r="42" spans="3:43" x14ac:dyDescent="0.25">
      <c r="C42" s="142" t="s">
        <v>106</v>
      </c>
      <c r="D42" s="142" t="s">
        <v>32</v>
      </c>
      <c r="E42" s="179" t="s">
        <v>23</v>
      </c>
      <c r="F42" s="142">
        <v>2.3107135910999999E-2</v>
      </c>
      <c r="G42" s="169" t="s">
        <v>136</v>
      </c>
      <c r="I42" s="142" t="s">
        <v>105</v>
      </c>
      <c r="J42" s="142" t="s">
        <v>29</v>
      </c>
      <c r="K42" s="179" t="s">
        <v>31</v>
      </c>
      <c r="L42" s="169" t="s">
        <v>124</v>
      </c>
      <c r="M42" s="142">
        <v>3.6291180484989E-3</v>
      </c>
      <c r="O42" s="142" t="s">
        <v>105</v>
      </c>
      <c r="P42" s="142" t="str">
        <f t="shared" si="4"/>
        <v>Ramstein</v>
      </c>
      <c r="Q42" s="142" t="s">
        <v>134</v>
      </c>
      <c r="R42" s="142">
        <v>0.10342034246104</v>
      </c>
      <c r="U42" s="142" t="s">
        <v>106</v>
      </c>
      <c r="V42" s="142" t="s">
        <v>32</v>
      </c>
      <c r="W42" s="142" t="str">
        <f t="shared" ref="W42:W73" si="5">INDEX($C$3:$C$7,MID(X42, LEN(X42)-1,1)+1)</f>
        <v>Qatar</v>
      </c>
      <c r="X42" s="142" t="s">
        <v>128</v>
      </c>
      <c r="Y42" s="142">
        <v>17</v>
      </c>
      <c r="AA42" s="142" t="s">
        <v>106</v>
      </c>
      <c r="AB42" s="142" t="s">
        <v>141</v>
      </c>
      <c r="AC42" s="142" t="str">
        <f t="shared" ref="AC42:AC73" si="6">INDEX($C$3:$C$7,MID(AD42, LEN(AD42)-1,1)+1)</f>
        <v>Hickam</v>
      </c>
      <c r="AD42" s="142" t="s">
        <v>120</v>
      </c>
      <c r="AE42" s="142">
        <v>1.5035196305541001</v>
      </c>
      <c r="AG42" s="142" t="s">
        <v>106</v>
      </c>
      <c r="AH42" s="142" t="s">
        <v>32</v>
      </c>
      <c r="AI42" s="142" t="str">
        <f>INDEX($C$3:$C$7,MID(AJ42, LEN(AJ42)-1,1)+1)</f>
        <v>Hickam</v>
      </c>
      <c r="AJ42" s="142" t="s">
        <v>126</v>
      </c>
      <c r="AK42" s="142">
        <v>2.004122736E-2</v>
      </c>
      <c r="AM42" s="142" t="s">
        <v>105</v>
      </c>
      <c r="AN42" s="142" t="s">
        <v>29</v>
      </c>
      <c r="AO42" s="142" t="str">
        <f t="shared" ref="AO42:AO73" si="7">INDEX($C$3:$C$7,MID(AP42, LEN(AP42)-1,1)+1)</f>
        <v>Langley</v>
      </c>
      <c r="AP42" s="142" t="s">
        <v>124</v>
      </c>
      <c r="AQ42" s="142">
        <v>2.3425597678718999E-3</v>
      </c>
    </row>
    <row r="43" spans="3:43" x14ac:dyDescent="0.25">
      <c r="C43" s="142" t="s">
        <v>103</v>
      </c>
      <c r="D43" s="142" t="s">
        <v>26</v>
      </c>
      <c r="E43" s="179" t="s">
        <v>31</v>
      </c>
      <c r="F43" s="142">
        <v>2.2373630006000001E-2</v>
      </c>
      <c r="G43" s="169" t="s">
        <v>122</v>
      </c>
      <c r="I43" s="142" t="s">
        <v>106</v>
      </c>
      <c r="J43" s="142" t="s">
        <v>29</v>
      </c>
      <c r="K43" s="179" t="s">
        <v>32</v>
      </c>
      <c r="L43" s="169" t="s">
        <v>125</v>
      </c>
      <c r="M43" s="142">
        <v>5.0808743381564004E-3</v>
      </c>
      <c r="U43" s="142" t="s">
        <v>105</v>
      </c>
      <c r="V43" s="142" t="s">
        <v>141</v>
      </c>
      <c r="W43" s="142" t="str">
        <f t="shared" si="5"/>
        <v>Hickam</v>
      </c>
      <c r="X43" s="142" t="s">
        <v>120</v>
      </c>
      <c r="Y43" s="142">
        <v>17</v>
      </c>
      <c r="AA43" s="142" t="s">
        <v>105</v>
      </c>
      <c r="AB43" s="142" t="s">
        <v>142</v>
      </c>
      <c r="AC43" s="142" t="str">
        <f t="shared" si="6"/>
        <v>Cheyenne</v>
      </c>
      <c r="AD43" s="142" t="s">
        <v>119</v>
      </c>
      <c r="AE43" s="142">
        <v>1.5027894744082</v>
      </c>
      <c r="AG43" s="142" t="s">
        <v>106</v>
      </c>
      <c r="AH43" s="142" t="s">
        <v>26</v>
      </c>
      <c r="AI43" s="142" t="str">
        <f>INDEX($C$3:$C$7,MID(AJ43, LEN(AJ43)-1,1)+1)</f>
        <v>Hickam</v>
      </c>
      <c r="AJ43" s="142" t="s">
        <v>104</v>
      </c>
      <c r="AK43" s="142">
        <v>2.0024718375E-2</v>
      </c>
      <c r="AM43" s="142" t="s">
        <v>106</v>
      </c>
      <c r="AN43" s="142" t="s">
        <v>29</v>
      </c>
      <c r="AO43" s="142" t="str">
        <f t="shared" si="7"/>
        <v>Ramstein</v>
      </c>
      <c r="AP43" s="142" t="s">
        <v>125</v>
      </c>
      <c r="AQ43" s="142">
        <v>2.8428076022279001E-3</v>
      </c>
    </row>
    <row r="44" spans="3:43" x14ac:dyDescent="0.25">
      <c r="C44" s="142" t="s">
        <v>105</v>
      </c>
      <c r="D44" s="142" t="s">
        <v>26</v>
      </c>
      <c r="E44" s="179" t="s">
        <v>23</v>
      </c>
      <c r="F44" s="142">
        <v>2.2003336195000001E-2</v>
      </c>
      <c r="G44" s="169" t="s">
        <v>121</v>
      </c>
      <c r="I44" s="142" t="s">
        <v>103</v>
      </c>
      <c r="J44" s="142" t="s">
        <v>29</v>
      </c>
      <c r="K44" s="179" t="s">
        <v>32</v>
      </c>
      <c r="L44" s="169" t="s">
        <v>125</v>
      </c>
      <c r="M44" s="142">
        <v>5.0766098061904999E-3</v>
      </c>
      <c r="U44" s="142" t="s">
        <v>103</v>
      </c>
      <c r="V44" s="142" t="s">
        <v>23</v>
      </c>
      <c r="W44" s="142" t="str">
        <f t="shared" si="5"/>
        <v>Langley</v>
      </c>
      <c r="X44" s="142" t="s">
        <v>112</v>
      </c>
      <c r="Y44" s="142">
        <v>16</v>
      </c>
      <c r="AA44" s="142" t="s">
        <v>105</v>
      </c>
      <c r="AB44" s="142" t="s">
        <v>32</v>
      </c>
      <c r="AC44" s="142" t="str">
        <f t="shared" si="6"/>
        <v>Langley</v>
      </c>
      <c r="AD44" s="142" t="s">
        <v>129</v>
      </c>
      <c r="AE44" s="142">
        <v>1.502080587766</v>
      </c>
      <c r="AG44" s="142" t="s">
        <v>103</v>
      </c>
      <c r="AH44" s="142" t="s">
        <v>23</v>
      </c>
      <c r="AI44" s="142" t="str">
        <f>INDEX($C$3:$C$7,MID(AJ44, LEN(AJ44)-1,1)+1)</f>
        <v>Cheyenne</v>
      </c>
      <c r="AJ44" s="142" t="s">
        <v>110</v>
      </c>
      <c r="AK44" s="142">
        <v>1.9954102963999999E-2</v>
      </c>
      <c r="AM44" s="142" t="s">
        <v>103</v>
      </c>
      <c r="AN44" s="142" t="s">
        <v>29</v>
      </c>
      <c r="AO44" s="142" t="str">
        <f t="shared" si="7"/>
        <v>Ramstein</v>
      </c>
      <c r="AP44" s="142" t="s">
        <v>125</v>
      </c>
      <c r="AQ44" s="142">
        <v>2.8396530528641E-3</v>
      </c>
    </row>
    <row r="45" spans="3:43" x14ac:dyDescent="0.25">
      <c r="C45" s="142" t="s">
        <v>105</v>
      </c>
      <c r="D45" s="142" t="s">
        <v>23</v>
      </c>
      <c r="E45" s="179" t="s">
        <v>32</v>
      </c>
      <c r="F45" s="142">
        <v>2.1820360093000001E-2</v>
      </c>
      <c r="G45" s="169" t="s">
        <v>121</v>
      </c>
      <c r="I45" s="142" t="s">
        <v>105</v>
      </c>
      <c r="J45" s="142" t="s">
        <v>29</v>
      </c>
      <c r="K45" s="179" t="s">
        <v>32</v>
      </c>
      <c r="L45" s="169" t="s">
        <v>125</v>
      </c>
      <c r="M45" s="142">
        <v>5.0371713440050996E-3</v>
      </c>
      <c r="U45" s="142" t="s">
        <v>103</v>
      </c>
      <c r="V45" s="142" t="s">
        <v>32</v>
      </c>
      <c r="W45" s="142" t="str">
        <f t="shared" si="5"/>
        <v>Qatar</v>
      </c>
      <c r="X45" s="142" t="s">
        <v>128</v>
      </c>
      <c r="Y45" s="142">
        <v>16</v>
      </c>
      <c r="AA45" s="142" t="s">
        <v>106</v>
      </c>
      <c r="AB45" s="142" t="s">
        <v>32</v>
      </c>
      <c r="AC45" s="142" t="str">
        <f t="shared" si="6"/>
        <v>Langley</v>
      </c>
      <c r="AD45" s="142" t="s">
        <v>129</v>
      </c>
      <c r="AE45" s="142">
        <v>1.495982071075</v>
      </c>
      <c r="AG45" s="142" t="s">
        <v>103</v>
      </c>
      <c r="AH45" s="142" t="s">
        <v>23</v>
      </c>
      <c r="AI45" s="142" t="str">
        <f>INDEX($C$3:$C$7,MID(AJ45, LEN(AJ45)-1,1)+1)</f>
        <v>Ramstein</v>
      </c>
      <c r="AJ45" s="142" t="s">
        <v>113</v>
      </c>
      <c r="AK45" s="142">
        <v>1.9021248017E-2</v>
      </c>
      <c r="AM45" s="142" t="s">
        <v>105</v>
      </c>
      <c r="AN45" s="142" t="s">
        <v>29</v>
      </c>
      <c r="AO45" s="142" t="str">
        <f t="shared" si="7"/>
        <v>Ramstein</v>
      </c>
      <c r="AP45" s="142" t="s">
        <v>125</v>
      </c>
      <c r="AQ45" s="142">
        <v>2.8016206628729999E-3</v>
      </c>
    </row>
    <row r="46" spans="3:43" x14ac:dyDescent="0.25">
      <c r="C46" s="142" t="s">
        <v>105</v>
      </c>
      <c r="D46" s="142" t="s">
        <v>32</v>
      </c>
      <c r="E46" s="179" t="s">
        <v>23</v>
      </c>
      <c r="F46" s="142">
        <v>2.1675271711000001E-2</v>
      </c>
      <c r="G46" s="169" t="s">
        <v>121</v>
      </c>
      <c r="I46" s="142" t="s">
        <v>106</v>
      </c>
      <c r="J46" s="142" t="s">
        <v>31</v>
      </c>
      <c r="K46" s="179" t="s">
        <v>23</v>
      </c>
      <c r="L46" s="169" t="s">
        <v>114</v>
      </c>
      <c r="M46" s="180">
        <v>5.6967298272030998E-4</v>
      </c>
      <c r="U46" s="142" t="s">
        <v>103</v>
      </c>
      <c r="V46" s="142" t="s">
        <v>142</v>
      </c>
      <c r="W46" s="142" t="str">
        <f t="shared" si="5"/>
        <v>Cheyenne</v>
      </c>
      <c r="X46" s="142" t="s">
        <v>119</v>
      </c>
      <c r="Y46" s="142">
        <v>16</v>
      </c>
      <c r="AA46" s="142" t="s">
        <v>103</v>
      </c>
      <c r="AB46" s="142" t="s">
        <v>142</v>
      </c>
      <c r="AC46" s="142" t="str">
        <f t="shared" si="6"/>
        <v>Cheyenne</v>
      </c>
      <c r="AD46" s="142" t="s">
        <v>119</v>
      </c>
      <c r="AE46" s="142">
        <v>1.4915632506005001</v>
      </c>
      <c r="AG46" s="142" t="s">
        <v>105</v>
      </c>
      <c r="AH46" s="142" t="s">
        <v>26</v>
      </c>
      <c r="AI46" s="142" t="str">
        <f>INDEX($C$3:$C$7,MID(AJ46, LEN(AJ46)-1,1)+1)</f>
        <v>Langley</v>
      </c>
      <c r="AJ46" s="142" t="s">
        <v>108</v>
      </c>
      <c r="AK46" s="142">
        <v>1.9020994209000001E-2</v>
      </c>
      <c r="AM46" s="142" t="s">
        <v>106</v>
      </c>
      <c r="AN46" s="142" t="s">
        <v>31</v>
      </c>
      <c r="AO46" s="142" t="str">
        <f t="shared" si="7"/>
        <v>Hickam</v>
      </c>
      <c r="AP46" s="142" t="s">
        <v>114</v>
      </c>
      <c r="AQ46" s="180">
        <v>7.0775129116941001E-5</v>
      </c>
    </row>
    <row r="47" spans="3:43" x14ac:dyDescent="0.25">
      <c r="C47" s="142" t="s">
        <v>103</v>
      </c>
      <c r="D47" s="142" t="s">
        <v>26</v>
      </c>
      <c r="E47" s="179" t="s">
        <v>23</v>
      </c>
      <c r="F47" s="142">
        <v>2.1356241605E-2</v>
      </c>
      <c r="G47" s="169" t="s">
        <v>136</v>
      </c>
      <c r="I47" s="142" t="s">
        <v>103</v>
      </c>
      <c r="J47" s="142" t="s">
        <v>31</v>
      </c>
      <c r="K47" s="179" t="s">
        <v>23</v>
      </c>
      <c r="L47" s="169" t="s">
        <v>114</v>
      </c>
      <c r="M47" s="180">
        <v>5.7093644930006002E-4</v>
      </c>
      <c r="U47" s="142" t="s">
        <v>105</v>
      </c>
      <c r="V47" s="142" t="s">
        <v>29</v>
      </c>
      <c r="W47" s="142" t="str">
        <f t="shared" si="5"/>
        <v>Ramstein</v>
      </c>
      <c r="X47" s="142" t="s">
        <v>125</v>
      </c>
      <c r="Y47" s="142">
        <v>15</v>
      </c>
      <c r="AA47" s="142" t="s">
        <v>103</v>
      </c>
      <c r="AB47" s="142" t="s">
        <v>32</v>
      </c>
      <c r="AC47" s="142" t="str">
        <f t="shared" si="6"/>
        <v>Langley</v>
      </c>
      <c r="AD47" s="142" t="s">
        <v>129</v>
      </c>
      <c r="AE47" s="142">
        <v>1.4893975816261</v>
      </c>
      <c r="AG47" s="142" t="s">
        <v>103</v>
      </c>
      <c r="AH47" s="142" t="s">
        <v>32</v>
      </c>
      <c r="AI47" s="142" t="str">
        <f>INDEX($C$3:$C$7,MID(AJ47, LEN(AJ47)-1,1)+1)</f>
        <v>Hickam</v>
      </c>
      <c r="AJ47" s="142" t="s">
        <v>126</v>
      </c>
      <c r="AK47" s="142">
        <v>1.8898865292000001E-2</v>
      </c>
      <c r="AM47" s="142" t="s">
        <v>103</v>
      </c>
      <c r="AN47" s="142" t="s">
        <v>31</v>
      </c>
      <c r="AO47" s="142" t="str">
        <f t="shared" si="7"/>
        <v>Hickam</v>
      </c>
      <c r="AP47" s="142" t="s">
        <v>114</v>
      </c>
      <c r="AQ47" s="180">
        <v>7.1696199709512002E-5</v>
      </c>
    </row>
    <row r="48" spans="3:43" x14ac:dyDescent="0.25">
      <c r="C48" s="142" t="s">
        <v>105</v>
      </c>
      <c r="D48" s="142" t="s">
        <v>26</v>
      </c>
      <c r="E48" s="179" t="s">
        <v>31</v>
      </c>
      <c r="F48" s="142">
        <v>2.1246218636E-2</v>
      </c>
      <c r="G48" s="169" t="s">
        <v>136</v>
      </c>
      <c r="I48" s="142" t="s">
        <v>105</v>
      </c>
      <c r="J48" s="142" t="s">
        <v>31</v>
      </c>
      <c r="K48" s="179" t="s">
        <v>23</v>
      </c>
      <c r="L48" s="169" t="s">
        <v>114</v>
      </c>
      <c r="M48" s="180">
        <v>5.7083288069116004E-4</v>
      </c>
      <c r="U48" s="142" t="s">
        <v>105</v>
      </c>
      <c r="V48" s="142" t="s">
        <v>32</v>
      </c>
      <c r="W48" s="142" t="str">
        <f t="shared" si="5"/>
        <v>Langley</v>
      </c>
      <c r="X48" s="142" t="s">
        <v>129</v>
      </c>
      <c r="Y48" s="142">
        <v>15</v>
      </c>
      <c r="AA48" s="142" t="s">
        <v>106</v>
      </c>
      <c r="AB48" s="142" t="s">
        <v>142</v>
      </c>
      <c r="AC48" s="142" t="str">
        <f t="shared" si="6"/>
        <v>Cheyenne</v>
      </c>
      <c r="AD48" s="142" t="s">
        <v>119</v>
      </c>
      <c r="AE48" s="142">
        <v>1.4862728587883001</v>
      </c>
      <c r="AG48" s="142" t="s">
        <v>106</v>
      </c>
      <c r="AH48" s="142" t="s">
        <v>26</v>
      </c>
      <c r="AI48" s="142" t="str">
        <f>INDEX($C$3:$C$7,MID(AJ48, LEN(AJ48)-1,1)+1)</f>
        <v>Langley</v>
      </c>
      <c r="AJ48" s="142" t="s">
        <v>108</v>
      </c>
      <c r="AK48" s="142">
        <v>1.8844394680000001E-2</v>
      </c>
      <c r="AM48" s="142" t="s">
        <v>105</v>
      </c>
      <c r="AN48" s="142" t="s">
        <v>31</v>
      </c>
      <c r="AO48" s="142" t="str">
        <f t="shared" si="7"/>
        <v>Hickam</v>
      </c>
      <c r="AP48" s="142" t="s">
        <v>114</v>
      </c>
      <c r="AQ48" s="180">
        <v>7.1636858871218994E-5</v>
      </c>
    </row>
    <row r="49" spans="3:43" x14ac:dyDescent="0.25">
      <c r="C49" s="142" t="s">
        <v>103</v>
      </c>
      <c r="D49" s="142" t="s">
        <v>23</v>
      </c>
      <c r="E49" s="179" t="s">
        <v>26</v>
      </c>
      <c r="F49" s="142">
        <v>2.1014064129999999E-2</v>
      </c>
      <c r="G49" s="169" t="s">
        <v>120</v>
      </c>
      <c r="I49" s="142" t="s">
        <v>106</v>
      </c>
      <c r="J49" s="142" t="s">
        <v>31</v>
      </c>
      <c r="K49" s="179" t="s">
        <v>26</v>
      </c>
      <c r="L49" s="169" t="s">
        <v>115</v>
      </c>
      <c r="M49" s="142">
        <v>3.5963444891002E-3</v>
      </c>
      <c r="U49" s="142" t="s">
        <v>105</v>
      </c>
      <c r="V49" s="142" t="s">
        <v>26</v>
      </c>
      <c r="W49" s="142" t="str">
        <f t="shared" si="5"/>
        <v>Hickam</v>
      </c>
      <c r="X49" s="142" t="s">
        <v>104</v>
      </c>
      <c r="Y49" s="142">
        <v>13</v>
      </c>
      <c r="AA49" s="142" t="s">
        <v>105</v>
      </c>
      <c r="AB49" s="142" t="s">
        <v>23</v>
      </c>
      <c r="AC49" s="142" t="str">
        <f t="shared" si="6"/>
        <v>Ramstein</v>
      </c>
      <c r="AD49" s="142" t="s">
        <v>113</v>
      </c>
      <c r="AE49" s="142">
        <v>0.98471151392358003</v>
      </c>
      <c r="AG49" s="142" t="s">
        <v>105</v>
      </c>
      <c r="AH49" s="142" t="s">
        <v>26</v>
      </c>
      <c r="AI49" s="142" t="str">
        <f>INDEX($C$3:$C$7,MID(AJ49, LEN(AJ49)-1,1)+1)</f>
        <v>Hickam</v>
      </c>
      <c r="AJ49" s="142" t="s">
        <v>104</v>
      </c>
      <c r="AK49" s="142">
        <v>1.8839184769000001E-2</v>
      </c>
      <c r="AM49" s="142" t="s">
        <v>106</v>
      </c>
      <c r="AN49" s="142" t="s">
        <v>31</v>
      </c>
      <c r="AO49" s="142" t="str">
        <f t="shared" si="7"/>
        <v>Cheyenne</v>
      </c>
      <c r="AP49" s="142" t="s">
        <v>115</v>
      </c>
      <c r="AQ49" s="142">
        <v>2.3093068072941002E-3</v>
      </c>
    </row>
    <row r="50" spans="3:43" x14ac:dyDescent="0.25">
      <c r="C50" s="142" t="s">
        <v>103</v>
      </c>
      <c r="D50" s="142" t="s">
        <v>32</v>
      </c>
      <c r="E50" s="179" t="s">
        <v>23</v>
      </c>
      <c r="F50" s="142">
        <v>2.0731872580000001E-2</v>
      </c>
      <c r="G50" s="169" t="s">
        <v>120</v>
      </c>
      <c r="I50" s="142" t="s">
        <v>103</v>
      </c>
      <c r="J50" s="142" t="s">
        <v>31</v>
      </c>
      <c r="K50" s="179" t="s">
        <v>26</v>
      </c>
      <c r="L50" s="169" t="s">
        <v>115</v>
      </c>
      <c r="M50" s="142">
        <v>3.6002820779816999E-3</v>
      </c>
      <c r="U50" s="142" t="s">
        <v>103</v>
      </c>
      <c r="V50" s="142" t="s">
        <v>32</v>
      </c>
      <c r="W50" s="142" t="str">
        <f t="shared" si="5"/>
        <v>Hickam</v>
      </c>
      <c r="X50" s="142" t="s">
        <v>126</v>
      </c>
      <c r="Y50" s="142">
        <v>11</v>
      </c>
      <c r="AA50" s="142" t="s">
        <v>105</v>
      </c>
      <c r="AB50" s="142" t="s">
        <v>32</v>
      </c>
      <c r="AC50" s="142" t="str">
        <f t="shared" si="6"/>
        <v>Hickam</v>
      </c>
      <c r="AD50" s="142" t="s">
        <v>126</v>
      </c>
      <c r="AE50" s="142">
        <v>0.98288046182940003</v>
      </c>
      <c r="AG50" s="142" t="s">
        <v>106</v>
      </c>
      <c r="AH50" s="142" t="s">
        <v>23</v>
      </c>
      <c r="AI50" s="142" t="str">
        <f>INDEX($C$3:$C$7,MID(AJ50, LEN(AJ50)-1,1)+1)</f>
        <v>Ramstein</v>
      </c>
      <c r="AJ50" s="142" t="s">
        <v>113</v>
      </c>
      <c r="AK50" s="142">
        <v>1.8702950079999999E-2</v>
      </c>
      <c r="AM50" s="142" t="s">
        <v>103</v>
      </c>
      <c r="AN50" s="142" t="s">
        <v>31</v>
      </c>
      <c r="AO50" s="142" t="str">
        <f t="shared" si="7"/>
        <v>Cheyenne</v>
      </c>
      <c r="AP50" s="142" t="s">
        <v>115</v>
      </c>
      <c r="AQ50" s="142">
        <v>2.3135510281533001E-3</v>
      </c>
    </row>
    <row r="51" spans="3:43" x14ac:dyDescent="0.25">
      <c r="C51" s="142" t="s">
        <v>106</v>
      </c>
      <c r="D51" s="142" t="s">
        <v>26</v>
      </c>
      <c r="E51" s="179" t="s">
        <v>31</v>
      </c>
      <c r="F51" s="142">
        <v>2.0339778576999999E-2</v>
      </c>
      <c r="G51" s="169" t="s">
        <v>117</v>
      </c>
      <c r="I51" s="142" t="s">
        <v>105</v>
      </c>
      <c r="J51" s="142" t="s">
        <v>31</v>
      </c>
      <c r="K51" s="179" t="s">
        <v>26</v>
      </c>
      <c r="L51" s="169" t="s">
        <v>115</v>
      </c>
      <c r="M51" s="142">
        <v>3.6336878585853001E-3</v>
      </c>
      <c r="U51" s="142" t="s">
        <v>103</v>
      </c>
      <c r="V51" s="142" t="s">
        <v>23</v>
      </c>
      <c r="W51" s="142" t="str">
        <f t="shared" si="5"/>
        <v>Ramstein</v>
      </c>
      <c r="X51" s="142" t="s">
        <v>113</v>
      </c>
      <c r="Y51" s="142">
        <v>10</v>
      </c>
      <c r="AA51" s="142" t="s">
        <v>106</v>
      </c>
      <c r="AB51" s="142" t="s">
        <v>26</v>
      </c>
      <c r="AC51" s="142" t="str">
        <f t="shared" si="6"/>
        <v>Langley</v>
      </c>
      <c r="AD51" s="142" t="s">
        <v>108</v>
      </c>
      <c r="AE51" s="142">
        <v>0.98181563091888002</v>
      </c>
      <c r="AG51" s="142" t="s">
        <v>105</v>
      </c>
      <c r="AH51" s="142" t="s">
        <v>23</v>
      </c>
      <c r="AI51" s="142" t="str">
        <f>INDEX($C$3:$C$7,MID(AJ51, LEN(AJ51)-1,1)+1)</f>
        <v>Ramstein</v>
      </c>
      <c r="AJ51" s="142" t="s">
        <v>113</v>
      </c>
      <c r="AK51" s="142">
        <v>1.8617366231999999E-2</v>
      </c>
      <c r="AM51" s="142" t="s">
        <v>105</v>
      </c>
      <c r="AN51" s="142" t="s">
        <v>31</v>
      </c>
      <c r="AO51" s="142" t="str">
        <f t="shared" si="7"/>
        <v>Cheyenne</v>
      </c>
      <c r="AP51" s="142" t="s">
        <v>115</v>
      </c>
      <c r="AQ51" s="142">
        <v>2.3421715521210001E-3</v>
      </c>
    </row>
    <row r="52" spans="3:43" x14ac:dyDescent="0.25">
      <c r="C52" s="142" t="s">
        <v>106</v>
      </c>
      <c r="D52" s="142" t="s">
        <v>23</v>
      </c>
      <c r="E52" s="179" t="s">
        <v>32</v>
      </c>
      <c r="F52" s="142">
        <v>2.031692178E-2</v>
      </c>
      <c r="G52" s="169" t="s">
        <v>120</v>
      </c>
      <c r="I52" s="142" t="s">
        <v>106</v>
      </c>
      <c r="J52" s="142" t="s">
        <v>31</v>
      </c>
      <c r="K52" s="179" t="s">
        <v>29</v>
      </c>
      <c r="L52" s="169" t="s">
        <v>116</v>
      </c>
      <c r="M52" s="142">
        <v>3.5698193015092998E-3</v>
      </c>
      <c r="U52" s="142" t="s">
        <v>105</v>
      </c>
      <c r="V52" s="142" t="s">
        <v>23</v>
      </c>
      <c r="W52" s="142" t="str">
        <f t="shared" si="5"/>
        <v>Ramstein</v>
      </c>
      <c r="X52" s="142" t="s">
        <v>113</v>
      </c>
      <c r="Y52" s="142">
        <v>10</v>
      </c>
      <c r="AA52" s="142" t="s">
        <v>106</v>
      </c>
      <c r="AB52" s="142" t="s">
        <v>23</v>
      </c>
      <c r="AC52" s="142" t="str">
        <f t="shared" si="6"/>
        <v>Ramstein</v>
      </c>
      <c r="AD52" s="142" t="s">
        <v>113</v>
      </c>
      <c r="AE52" s="142">
        <v>0.97961555930194</v>
      </c>
      <c r="AG52" s="142" t="s">
        <v>106</v>
      </c>
      <c r="AH52" s="142" t="s">
        <v>23</v>
      </c>
      <c r="AI52" s="142" t="str">
        <f>INDEX($C$3:$C$7,MID(AJ52, LEN(AJ52)-1,1)+1)</f>
        <v>Cheyenne</v>
      </c>
      <c r="AJ52" s="142" t="s">
        <v>110</v>
      </c>
      <c r="AK52" s="142">
        <v>1.8537373449E-2</v>
      </c>
      <c r="AM52" s="142" t="s">
        <v>106</v>
      </c>
      <c r="AN52" s="142" t="s">
        <v>31</v>
      </c>
      <c r="AO52" s="142" t="str">
        <f t="shared" si="7"/>
        <v>Qatar</v>
      </c>
      <c r="AP52" s="142" t="s">
        <v>116</v>
      </c>
      <c r="AQ52" s="142">
        <v>2.2849487511305E-3</v>
      </c>
    </row>
    <row r="53" spans="3:43" x14ac:dyDescent="0.25">
      <c r="C53" s="142" t="s">
        <v>103</v>
      </c>
      <c r="D53" s="142" t="s">
        <v>23</v>
      </c>
      <c r="E53" s="179" t="s">
        <v>32</v>
      </c>
      <c r="F53" s="142">
        <v>1.9639461375999999E-2</v>
      </c>
      <c r="G53" s="169" t="s">
        <v>119</v>
      </c>
      <c r="I53" s="142" t="s">
        <v>103</v>
      </c>
      <c r="J53" s="142" t="s">
        <v>31</v>
      </c>
      <c r="K53" s="179" t="s">
        <v>29</v>
      </c>
      <c r="L53" s="169" t="s">
        <v>116</v>
      </c>
      <c r="M53" s="142">
        <v>3.5978998361884998E-3</v>
      </c>
      <c r="U53" s="142" t="s">
        <v>106</v>
      </c>
      <c r="V53" s="142" t="s">
        <v>26</v>
      </c>
      <c r="W53" s="142" t="str">
        <f t="shared" si="5"/>
        <v>Hickam</v>
      </c>
      <c r="X53" s="142" t="s">
        <v>104</v>
      </c>
      <c r="Y53" s="142">
        <v>10</v>
      </c>
      <c r="AA53" s="142" t="s">
        <v>103</v>
      </c>
      <c r="AB53" s="142" t="s">
        <v>23</v>
      </c>
      <c r="AC53" s="142" t="str">
        <f t="shared" si="6"/>
        <v>Ramstein</v>
      </c>
      <c r="AD53" s="142" t="s">
        <v>113</v>
      </c>
      <c r="AE53" s="142">
        <v>0.97934858472275998</v>
      </c>
      <c r="AG53" s="142" t="s">
        <v>103</v>
      </c>
      <c r="AH53" s="142" t="s">
        <v>26</v>
      </c>
      <c r="AI53" s="142" t="str">
        <f>INDEX($C$3:$C$7,MID(AJ53, LEN(AJ53)-1,1)+1)</f>
        <v>Langley</v>
      </c>
      <c r="AJ53" s="142" t="s">
        <v>108</v>
      </c>
      <c r="AK53" s="142">
        <v>1.7149845808000001E-2</v>
      </c>
      <c r="AM53" s="142" t="s">
        <v>103</v>
      </c>
      <c r="AN53" s="142" t="s">
        <v>31</v>
      </c>
      <c r="AO53" s="142" t="str">
        <f t="shared" si="7"/>
        <v>Qatar</v>
      </c>
      <c r="AP53" s="142" t="s">
        <v>116</v>
      </c>
      <c r="AQ53" s="142">
        <v>2.3074452032827999E-3</v>
      </c>
    </row>
    <row r="54" spans="3:43" x14ac:dyDescent="0.25">
      <c r="C54" s="142" t="s">
        <v>105</v>
      </c>
      <c r="D54" s="142" t="s">
        <v>23</v>
      </c>
      <c r="E54" s="179" t="s">
        <v>26</v>
      </c>
      <c r="F54" s="142">
        <v>1.9579490679E-2</v>
      </c>
      <c r="G54" s="169" t="s">
        <v>124</v>
      </c>
      <c r="I54" s="142" t="s">
        <v>105</v>
      </c>
      <c r="J54" s="142" t="s">
        <v>31</v>
      </c>
      <c r="K54" s="179" t="s">
        <v>29</v>
      </c>
      <c r="L54" s="169" t="s">
        <v>116</v>
      </c>
      <c r="M54" s="142">
        <v>3.6163671855253998E-3</v>
      </c>
      <c r="U54" s="142" t="s">
        <v>106</v>
      </c>
      <c r="V54" s="142" t="s">
        <v>26</v>
      </c>
      <c r="W54" s="142" t="str">
        <f t="shared" si="5"/>
        <v>Langley</v>
      </c>
      <c r="X54" s="142" t="s">
        <v>108</v>
      </c>
      <c r="Y54" s="142">
        <v>10</v>
      </c>
      <c r="AA54" s="142" t="s">
        <v>106</v>
      </c>
      <c r="AB54" s="142" t="s">
        <v>32</v>
      </c>
      <c r="AC54" s="142" t="str">
        <f t="shared" si="6"/>
        <v>Hickam</v>
      </c>
      <c r="AD54" s="142" t="s">
        <v>126</v>
      </c>
      <c r="AE54" s="142">
        <v>0.97717240899498004</v>
      </c>
      <c r="AG54" s="142" t="s">
        <v>105</v>
      </c>
      <c r="AH54" s="142" t="s">
        <v>23</v>
      </c>
      <c r="AI54" s="142" t="str">
        <f>INDEX($C$3:$C$7,MID(AJ54, LEN(AJ54)-1,1)+1)</f>
        <v>Cheyenne</v>
      </c>
      <c r="AJ54" s="142" t="s">
        <v>110</v>
      </c>
      <c r="AK54" s="142">
        <v>1.6914369139000001E-2</v>
      </c>
      <c r="AM54" s="142" t="s">
        <v>105</v>
      </c>
      <c r="AN54" s="142" t="s">
        <v>31</v>
      </c>
      <c r="AO54" s="142" t="str">
        <f t="shared" si="7"/>
        <v>Qatar</v>
      </c>
      <c r="AP54" s="142" t="s">
        <v>116</v>
      </c>
      <c r="AQ54" s="142">
        <v>2.3275232271517E-3</v>
      </c>
    </row>
    <row r="55" spans="3:43" x14ac:dyDescent="0.25">
      <c r="C55" s="142" t="s">
        <v>106</v>
      </c>
      <c r="D55" s="142" t="s">
        <v>32</v>
      </c>
      <c r="E55" s="179" t="s">
        <v>31</v>
      </c>
      <c r="F55" s="142">
        <v>1.6387200720000002E-2</v>
      </c>
      <c r="G55" s="169" t="s">
        <v>119</v>
      </c>
      <c r="I55" s="142" t="s">
        <v>106</v>
      </c>
      <c r="J55" s="142" t="s">
        <v>31</v>
      </c>
      <c r="K55" s="179" t="s">
        <v>32</v>
      </c>
      <c r="L55" s="169" t="s">
        <v>117</v>
      </c>
      <c r="M55" s="180">
        <v>5.7421216746596996E-4</v>
      </c>
      <c r="N55" s="180"/>
      <c r="U55" s="142" t="s">
        <v>105</v>
      </c>
      <c r="V55" s="142" t="s">
        <v>26</v>
      </c>
      <c r="W55" s="142" t="str">
        <f t="shared" si="5"/>
        <v>Langley</v>
      </c>
      <c r="X55" s="142" t="s">
        <v>108</v>
      </c>
      <c r="Y55" s="142">
        <v>10</v>
      </c>
      <c r="AA55" s="142" t="s">
        <v>106</v>
      </c>
      <c r="AB55" s="142" t="s">
        <v>26</v>
      </c>
      <c r="AC55" s="142" t="str">
        <f t="shared" si="6"/>
        <v>Hickam</v>
      </c>
      <c r="AD55" s="142" t="s">
        <v>104</v>
      </c>
      <c r="AE55" s="142">
        <v>0.97519817485788995</v>
      </c>
      <c r="AG55" s="142" t="s">
        <v>106</v>
      </c>
      <c r="AH55" s="142" t="s">
        <v>32</v>
      </c>
      <c r="AI55" s="142" t="str">
        <f>INDEX($C$3:$C$7,MID(AJ55, LEN(AJ55)-1,1)+1)</f>
        <v>Langley</v>
      </c>
      <c r="AJ55" s="142" t="s">
        <v>129</v>
      </c>
      <c r="AK55" s="142">
        <v>1.6057367768999999E-2</v>
      </c>
      <c r="AM55" s="142" t="s">
        <v>106</v>
      </c>
      <c r="AN55" s="142" t="s">
        <v>31</v>
      </c>
      <c r="AO55" s="142" t="str">
        <f t="shared" si="7"/>
        <v>Ramstein</v>
      </c>
      <c r="AP55" s="142" t="s">
        <v>117</v>
      </c>
      <c r="AQ55" s="180">
        <v>7.2811104114607999E-5</v>
      </c>
    </row>
    <row r="56" spans="3:43" x14ac:dyDescent="0.25">
      <c r="C56" s="142" t="s">
        <v>105</v>
      </c>
      <c r="D56" s="142" t="s">
        <v>142</v>
      </c>
      <c r="E56" s="179" t="s">
        <v>26</v>
      </c>
      <c r="F56" s="142">
        <v>1.5009328116E-2</v>
      </c>
      <c r="G56" s="169" t="s">
        <v>119</v>
      </c>
      <c r="I56" s="142" t="s">
        <v>103</v>
      </c>
      <c r="J56" s="142" t="s">
        <v>31</v>
      </c>
      <c r="K56" s="179" t="s">
        <v>32</v>
      </c>
      <c r="L56" s="169" t="s">
        <v>117</v>
      </c>
      <c r="M56" s="180">
        <v>5.7258842677432005E-4</v>
      </c>
      <c r="U56" s="142" t="s">
        <v>103</v>
      </c>
      <c r="V56" s="142" t="s">
        <v>23</v>
      </c>
      <c r="W56" s="142" t="str">
        <f t="shared" si="5"/>
        <v>Cheyenne</v>
      </c>
      <c r="X56" s="142" t="s">
        <v>110</v>
      </c>
      <c r="Y56" s="142">
        <v>9</v>
      </c>
      <c r="AA56" s="142" t="s">
        <v>103</v>
      </c>
      <c r="AB56" s="142" t="s">
        <v>26</v>
      </c>
      <c r="AC56" s="142" t="str">
        <f t="shared" si="6"/>
        <v>Langley</v>
      </c>
      <c r="AD56" s="142" t="s">
        <v>108</v>
      </c>
      <c r="AE56" s="142">
        <v>0.97425722661839997</v>
      </c>
      <c r="AG56" s="142" t="s">
        <v>105</v>
      </c>
      <c r="AH56" s="142" t="s">
        <v>142</v>
      </c>
      <c r="AI56" s="142" t="str">
        <f>INDEX($C$3:$C$7,MID(AJ56, LEN(AJ56)-1,1)+1)</f>
        <v>Cheyenne</v>
      </c>
      <c r="AJ56" s="142" t="s">
        <v>119</v>
      </c>
      <c r="AK56" s="142">
        <v>1.4045614041E-2</v>
      </c>
      <c r="AM56" s="142" t="s">
        <v>103</v>
      </c>
      <c r="AN56" s="142" t="s">
        <v>31</v>
      </c>
      <c r="AO56" s="142" t="str">
        <f t="shared" si="7"/>
        <v>Ramstein</v>
      </c>
      <c r="AP56" s="142" t="s">
        <v>117</v>
      </c>
      <c r="AQ56" s="180">
        <v>7.1408123993121995E-5</v>
      </c>
    </row>
    <row r="57" spans="3:43" x14ac:dyDescent="0.25">
      <c r="C57" s="142" t="s">
        <v>106</v>
      </c>
      <c r="D57" s="142" t="s">
        <v>142</v>
      </c>
      <c r="E57" s="179" t="s">
        <v>26</v>
      </c>
      <c r="F57" s="142">
        <v>1.3970805245000001E-2</v>
      </c>
      <c r="G57" s="169" t="s">
        <v>118</v>
      </c>
      <c r="I57" s="142" t="s">
        <v>105</v>
      </c>
      <c r="J57" s="142" t="s">
        <v>31</v>
      </c>
      <c r="K57" s="179" t="s">
        <v>32</v>
      </c>
      <c r="L57" s="169" t="s">
        <v>117</v>
      </c>
      <c r="M57" s="180">
        <v>5.7034732526869004E-4</v>
      </c>
      <c r="N57" s="180"/>
      <c r="U57" s="142" t="s">
        <v>105</v>
      </c>
      <c r="V57" s="142" t="s">
        <v>23</v>
      </c>
      <c r="W57" s="142" t="str">
        <f t="shared" si="5"/>
        <v>Cheyenne</v>
      </c>
      <c r="X57" s="142" t="s">
        <v>110</v>
      </c>
      <c r="Y57" s="142">
        <v>9</v>
      </c>
      <c r="AA57" s="142" t="s">
        <v>105</v>
      </c>
      <c r="AB57" s="142" t="s">
        <v>26</v>
      </c>
      <c r="AC57" s="142" t="str">
        <f t="shared" si="6"/>
        <v>Hickam</v>
      </c>
      <c r="AD57" s="142" t="s">
        <v>104</v>
      </c>
      <c r="AE57" s="142">
        <v>0.97372921726499995</v>
      </c>
      <c r="AG57" s="142" t="s">
        <v>106</v>
      </c>
      <c r="AH57" s="142" t="s">
        <v>142</v>
      </c>
      <c r="AI57" s="142" t="str">
        <f>INDEX($C$3:$C$7,MID(AJ57, LEN(AJ57)-1,1)+1)</f>
        <v>Cheyenne</v>
      </c>
      <c r="AJ57" s="142" t="s">
        <v>119</v>
      </c>
      <c r="AK57" s="142">
        <v>1.3746447395E-2</v>
      </c>
      <c r="AM57" s="142" t="s">
        <v>105</v>
      </c>
      <c r="AN57" s="142" t="s">
        <v>31</v>
      </c>
      <c r="AO57" s="142" t="str">
        <f t="shared" si="7"/>
        <v>Ramstein</v>
      </c>
      <c r="AP57" s="142" t="s">
        <v>117</v>
      </c>
      <c r="AQ57" s="180">
        <v>7.0904489656080003E-5</v>
      </c>
    </row>
    <row r="58" spans="3:43" x14ac:dyDescent="0.25">
      <c r="C58" s="142" t="s">
        <v>105</v>
      </c>
      <c r="D58" s="142" t="s">
        <v>141</v>
      </c>
      <c r="E58" s="179" t="s">
        <v>23</v>
      </c>
      <c r="F58" s="142">
        <v>1.3744852015E-2</v>
      </c>
      <c r="G58" s="169" t="s">
        <v>118</v>
      </c>
      <c r="I58" s="142" t="s">
        <v>106</v>
      </c>
      <c r="J58" s="142" t="s">
        <v>32</v>
      </c>
      <c r="K58" s="179" t="s">
        <v>23</v>
      </c>
      <c r="L58" s="169" t="s">
        <v>126</v>
      </c>
      <c r="M58" s="142">
        <v>1.9061882312481999E-3</v>
      </c>
      <c r="N58" s="180"/>
      <c r="U58" s="142" t="s">
        <v>106</v>
      </c>
      <c r="V58" s="142" t="s">
        <v>23</v>
      </c>
      <c r="W58" s="142" t="str">
        <f t="shared" si="5"/>
        <v>Ramstein</v>
      </c>
      <c r="X58" s="142" t="s">
        <v>113</v>
      </c>
      <c r="Y58" s="142">
        <v>9</v>
      </c>
      <c r="AA58" s="142" t="s">
        <v>103</v>
      </c>
      <c r="AB58" s="142" t="s">
        <v>26</v>
      </c>
      <c r="AC58" s="142" t="str">
        <f t="shared" si="6"/>
        <v>Hickam</v>
      </c>
      <c r="AD58" s="142" t="s">
        <v>104</v>
      </c>
      <c r="AE58" s="142">
        <v>0.96997822937407996</v>
      </c>
      <c r="AG58" s="142" t="s">
        <v>105</v>
      </c>
      <c r="AH58" s="142" t="s">
        <v>141</v>
      </c>
      <c r="AI58" s="142" t="str">
        <f>INDEX($C$3:$C$7,MID(AJ58, LEN(AJ58)-1,1)+1)</f>
        <v>Hickam</v>
      </c>
      <c r="AJ58" s="142" t="s">
        <v>120</v>
      </c>
      <c r="AK58" s="142">
        <v>1.3184563184000001E-2</v>
      </c>
      <c r="AM58" s="142" t="s">
        <v>106</v>
      </c>
      <c r="AN58" s="142" t="s">
        <v>32</v>
      </c>
      <c r="AO58" s="142" t="str">
        <f t="shared" si="7"/>
        <v>Hickam</v>
      </c>
      <c r="AP58" s="142" t="s">
        <v>126</v>
      </c>
      <c r="AQ58" s="180">
        <v>6.1757844656840999E-4</v>
      </c>
    </row>
    <row r="59" spans="3:43" x14ac:dyDescent="0.25">
      <c r="C59" s="142" t="s">
        <v>106</v>
      </c>
      <c r="D59" s="142" t="s">
        <v>23</v>
      </c>
      <c r="E59" s="179" t="s">
        <v>31</v>
      </c>
      <c r="F59" s="142">
        <v>1.3647742964000001E-2</v>
      </c>
      <c r="G59" s="169" t="s">
        <v>118</v>
      </c>
      <c r="I59" s="142" t="s">
        <v>103</v>
      </c>
      <c r="J59" s="142" t="s">
        <v>32</v>
      </c>
      <c r="K59" s="179" t="s">
        <v>23</v>
      </c>
      <c r="L59" s="169" t="s">
        <v>126</v>
      </c>
      <c r="M59" s="142">
        <v>1.8887168743781E-3</v>
      </c>
      <c r="U59" s="142" t="s">
        <v>103</v>
      </c>
      <c r="V59" s="142" t="s">
        <v>26</v>
      </c>
      <c r="W59" s="142" t="str">
        <f t="shared" si="5"/>
        <v>Hickam</v>
      </c>
      <c r="X59" s="142" t="s">
        <v>104</v>
      </c>
      <c r="Y59" s="142">
        <v>9</v>
      </c>
      <c r="AA59" s="142" t="s">
        <v>103</v>
      </c>
      <c r="AB59" s="142" t="s">
        <v>32</v>
      </c>
      <c r="AC59" s="142" t="str">
        <f t="shared" si="6"/>
        <v>Hickam</v>
      </c>
      <c r="AD59" s="142" t="s">
        <v>126</v>
      </c>
      <c r="AE59" s="142">
        <v>0.96974799086438002</v>
      </c>
      <c r="AG59" s="142" t="s">
        <v>106</v>
      </c>
      <c r="AH59" s="142" t="s">
        <v>23</v>
      </c>
      <c r="AI59" s="142" t="str">
        <f>INDEX($C$3:$C$7,MID(AJ59, LEN(AJ59)-1,1)+1)</f>
        <v>Langley</v>
      </c>
      <c r="AJ59" s="142" t="s">
        <v>112</v>
      </c>
      <c r="AK59" s="142">
        <v>1.2808614413E-2</v>
      </c>
      <c r="AM59" s="142" t="s">
        <v>103</v>
      </c>
      <c r="AN59" s="142" t="s">
        <v>32</v>
      </c>
      <c r="AO59" s="142" t="str">
        <f t="shared" si="7"/>
        <v>Hickam</v>
      </c>
      <c r="AP59" s="142" t="s">
        <v>126</v>
      </c>
      <c r="AQ59" s="180">
        <v>6.0602620967332001E-4</v>
      </c>
    </row>
    <row r="60" spans="3:43" x14ac:dyDescent="0.25">
      <c r="C60" s="142" t="s">
        <v>103</v>
      </c>
      <c r="D60" s="142" t="s">
        <v>142</v>
      </c>
      <c r="E60" s="179" t="s">
        <v>26</v>
      </c>
      <c r="F60" s="142">
        <v>1.3316805341E-2</v>
      </c>
      <c r="G60" s="169" t="s">
        <v>124</v>
      </c>
      <c r="I60" s="142" t="s">
        <v>105</v>
      </c>
      <c r="J60" s="142" t="s">
        <v>32</v>
      </c>
      <c r="K60" s="179" t="s">
        <v>23</v>
      </c>
      <c r="L60" s="169" t="s">
        <v>126</v>
      </c>
      <c r="M60" s="142">
        <v>1.9218464313855001E-3</v>
      </c>
      <c r="N60" s="180"/>
      <c r="U60" s="142" t="s">
        <v>103</v>
      </c>
      <c r="V60" s="142" t="s">
        <v>26</v>
      </c>
      <c r="W60" s="142" t="str">
        <f t="shared" si="5"/>
        <v>Langley</v>
      </c>
      <c r="X60" s="142" t="s">
        <v>108</v>
      </c>
      <c r="Y60" s="142">
        <v>9</v>
      </c>
      <c r="AA60" s="142" t="s">
        <v>105</v>
      </c>
      <c r="AB60" s="142" t="s">
        <v>26</v>
      </c>
      <c r="AC60" s="142" t="str">
        <f t="shared" si="6"/>
        <v>Langley</v>
      </c>
      <c r="AD60" s="142" t="s">
        <v>108</v>
      </c>
      <c r="AE60" s="142">
        <v>0.96772558955369004</v>
      </c>
      <c r="AG60" s="142" t="s">
        <v>103</v>
      </c>
      <c r="AH60" s="142" t="s">
        <v>142</v>
      </c>
      <c r="AI60" s="142" t="str">
        <f>INDEX($C$3:$C$7,MID(AJ60, LEN(AJ60)-1,1)+1)</f>
        <v>Cheyenne</v>
      </c>
      <c r="AJ60" s="142" t="s">
        <v>119</v>
      </c>
      <c r="AK60" s="142">
        <v>1.2647912822E-2</v>
      </c>
      <c r="AM60" s="142" t="s">
        <v>105</v>
      </c>
      <c r="AN60" s="142" t="s">
        <v>32</v>
      </c>
      <c r="AO60" s="142" t="str">
        <f t="shared" si="7"/>
        <v>Hickam</v>
      </c>
      <c r="AP60" s="142" t="s">
        <v>126</v>
      </c>
      <c r="AQ60" s="180">
        <v>6.2605322263673002E-4</v>
      </c>
    </row>
    <row r="61" spans="3:43" x14ac:dyDescent="0.25">
      <c r="C61" s="142" t="s">
        <v>106</v>
      </c>
      <c r="D61" s="142" t="s">
        <v>141</v>
      </c>
      <c r="E61" s="179" t="s">
        <v>23</v>
      </c>
      <c r="F61" s="142">
        <v>1.3177761479000001E-2</v>
      </c>
      <c r="G61" s="169" t="s">
        <v>117</v>
      </c>
      <c r="I61" s="142" t="s">
        <v>106</v>
      </c>
      <c r="J61" s="142" t="s">
        <v>32</v>
      </c>
      <c r="K61" s="179" t="s">
        <v>26</v>
      </c>
      <c r="L61" s="169" t="s">
        <v>127</v>
      </c>
      <c r="M61" s="142">
        <v>4.2589931636778003E-2</v>
      </c>
      <c r="U61" s="142" t="s">
        <v>103</v>
      </c>
      <c r="V61" s="142" t="s">
        <v>26</v>
      </c>
      <c r="W61" s="142" t="str">
        <f t="shared" si="5"/>
        <v>Ramstein</v>
      </c>
      <c r="X61" s="142" t="s">
        <v>109</v>
      </c>
      <c r="Y61" s="142">
        <v>9</v>
      </c>
      <c r="AA61" s="142" t="s">
        <v>105</v>
      </c>
      <c r="AB61" s="142" t="s">
        <v>23</v>
      </c>
      <c r="AC61" s="142" t="str">
        <f t="shared" si="6"/>
        <v>Cheyenne</v>
      </c>
      <c r="AD61" s="142" t="s">
        <v>110</v>
      </c>
      <c r="AE61" s="142">
        <v>0.84398992541398998</v>
      </c>
      <c r="AG61" s="142" t="s">
        <v>106</v>
      </c>
      <c r="AH61" s="142" t="s">
        <v>141</v>
      </c>
      <c r="AI61" s="142" t="str">
        <f>INDEX($C$3:$C$7,MID(AJ61, LEN(AJ61)-1,1)+1)</f>
        <v>Hickam</v>
      </c>
      <c r="AJ61" s="142" t="s">
        <v>120</v>
      </c>
      <c r="AK61" s="142">
        <v>1.247035566E-2</v>
      </c>
      <c r="AM61" s="142" t="s">
        <v>106</v>
      </c>
      <c r="AN61" s="142" t="s">
        <v>32</v>
      </c>
      <c r="AO61" s="142" t="str">
        <f t="shared" si="7"/>
        <v>Cheyenne</v>
      </c>
      <c r="AP61" s="142" t="s">
        <v>127</v>
      </c>
      <c r="AQ61" s="142">
        <v>3.8120441078989001E-2</v>
      </c>
    </row>
    <row r="62" spans="3:43" x14ac:dyDescent="0.25">
      <c r="C62" s="142" t="s">
        <v>105</v>
      </c>
      <c r="D62" s="142" t="s">
        <v>23</v>
      </c>
      <c r="E62" s="179" t="s">
        <v>31</v>
      </c>
      <c r="F62" s="142">
        <v>1.2070328109E-2</v>
      </c>
      <c r="G62" s="169" t="s">
        <v>125</v>
      </c>
      <c r="I62" s="142" t="s">
        <v>103</v>
      </c>
      <c r="J62" s="142" t="s">
        <v>32</v>
      </c>
      <c r="K62" s="179" t="s">
        <v>26</v>
      </c>
      <c r="L62" s="169" t="s">
        <v>127</v>
      </c>
      <c r="M62" s="142">
        <v>4.0974984226121003E-2</v>
      </c>
      <c r="U62" s="142" t="s">
        <v>106</v>
      </c>
      <c r="V62" s="142" t="s">
        <v>32</v>
      </c>
      <c r="W62" s="142" t="str">
        <f t="shared" si="5"/>
        <v>Hickam</v>
      </c>
      <c r="X62" s="142" t="s">
        <v>126</v>
      </c>
      <c r="Y62" s="142">
        <v>9</v>
      </c>
      <c r="AA62" s="142" t="s">
        <v>103</v>
      </c>
      <c r="AB62" s="142" t="s">
        <v>23</v>
      </c>
      <c r="AC62" s="142" t="str">
        <f t="shared" si="6"/>
        <v>Cheyenne</v>
      </c>
      <c r="AD62" s="142" t="s">
        <v>110</v>
      </c>
      <c r="AE62" s="142">
        <v>0.84146742907303995</v>
      </c>
      <c r="AG62" s="142" t="s">
        <v>105</v>
      </c>
      <c r="AH62" s="142" t="s">
        <v>23</v>
      </c>
      <c r="AI62" s="142" t="str">
        <f>INDEX($C$3:$C$7,MID(AJ62, LEN(AJ62)-1,1)+1)</f>
        <v>Langley</v>
      </c>
      <c r="AJ62" s="142" t="s">
        <v>112</v>
      </c>
      <c r="AK62" s="142">
        <v>1.1799295816E-2</v>
      </c>
      <c r="AM62" s="142" t="s">
        <v>103</v>
      </c>
      <c r="AN62" s="142" t="s">
        <v>32</v>
      </c>
      <c r="AO62" s="142" t="str">
        <f t="shared" si="7"/>
        <v>Cheyenne</v>
      </c>
      <c r="AP62" s="142" t="s">
        <v>127</v>
      </c>
      <c r="AQ62" s="142">
        <v>3.6487543330231E-2</v>
      </c>
    </row>
    <row r="63" spans="3:43" x14ac:dyDescent="0.25">
      <c r="C63" s="142" t="s">
        <v>103</v>
      </c>
      <c r="D63" s="142" t="s">
        <v>23</v>
      </c>
      <c r="E63" s="179" t="s">
        <v>31</v>
      </c>
      <c r="F63" s="142">
        <v>1.201690903E-2</v>
      </c>
      <c r="G63" s="169" t="s">
        <v>125</v>
      </c>
      <c r="I63" s="142" t="s">
        <v>105</v>
      </c>
      <c r="J63" s="142" t="s">
        <v>32</v>
      </c>
      <c r="K63" s="179" t="s">
        <v>26</v>
      </c>
      <c r="L63" s="169" t="s">
        <v>127</v>
      </c>
      <c r="M63" s="142">
        <v>4.8992078131931002E-2</v>
      </c>
      <c r="U63" s="142" t="s">
        <v>106</v>
      </c>
      <c r="V63" s="142" t="s">
        <v>23</v>
      </c>
      <c r="W63" s="142" t="str">
        <f t="shared" si="5"/>
        <v>Cheyenne</v>
      </c>
      <c r="X63" s="142" t="s">
        <v>110</v>
      </c>
      <c r="Y63" s="142">
        <v>8</v>
      </c>
      <c r="AA63" s="142" t="s">
        <v>106</v>
      </c>
      <c r="AB63" s="142" t="s">
        <v>23</v>
      </c>
      <c r="AC63" s="142" t="str">
        <f t="shared" si="6"/>
        <v>Cheyenne</v>
      </c>
      <c r="AD63" s="142" t="s">
        <v>110</v>
      </c>
      <c r="AE63" s="142">
        <v>0.83556365337503002</v>
      </c>
      <c r="AG63" s="142" t="s">
        <v>105</v>
      </c>
      <c r="AH63" s="142" t="s">
        <v>32</v>
      </c>
      <c r="AI63" s="142" t="str">
        <f>INDEX($C$3:$C$7,MID(AJ63, LEN(AJ63)-1,1)+1)</f>
        <v>Langley</v>
      </c>
      <c r="AJ63" s="142" t="s">
        <v>129</v>
      </c>
      <c r="AK63" s="142">
        <v>1.1561397151E-2</v>
      </c>
      <c r="AM63" s="142" t="s">
        <v>105</v>
      </c>
      <c r="AN63" s="142" t="s">
        <v>32</v>
      </c>
      <c r="AO63" s="142" t="str">
        <f t="shared" si="7"/>
        <v>Cheyenne</v>
      </c>
      <c r="AP63" s="142" t="s">
        <v>127</v>
      </c>
      <c r="AQ63" s="142">
        <v>4.4479948464369E-2</v>
      </c>
    </row>
    <row r="64" spans="3:43" x14ac:dyDescent="0.25">
      <c r="C64" s="142" t="s">
        <v>103</v>
      </c>
      <c r="D64" s="142" t="s">
        <v>141</v>
      </c>
      <c r="E64" s="179" t="s">
        <v>23</v>
      </c>
      <c r="F64" s="142">
        <v>1.1960252256E-2</v>
      </c>
      <c r="G64" s="169" t="s">
        <v>137</v>
      </c>
      <c r="I64" s="142" t="s">
        <v>106</v>
      </c>
      <c r="J64" s="142" t="s">
        <v>32</v>
      </c>
      <c r="K64" s="179" t="s">
        <v>29</v>
      </c>
      <c r="L64" s="169" t="s">
        <v>128</v>
      </c>
      <c r="M64" s="142">
        <v>5.0728737568732996E-3</v>
      </c>
      <c r="U64" s="142" t="s">
        <v>105</v>
      </c>
      <c r="V64" s="142" t="s">
        <v>32</v>
      </c>
      <c r="W64" s="142" t="str">
        <f t="shared" si="5"/>
        <v>Hickam</v>
      </c>
      <c r="X64" s="142" t="s">
        <v>126</v>
      </c>
      <c r="Y64" s="142">
        <v>8</v>
      </c>
      <c r="AA64" s="142" t="s">
        <v>106</v>
      </c>
      <c r="AB64" s="142" t="s">
        <v>26</v>
      </c>
      <c r="AC64" s="142" t="str">
        <f t="shared" si="6"/>
        <v>Ramstein</v>
      </c>
      <c r="AD64" s="142" t="s">
        <v>109</v>
      </c>
      <c r="AE64" s="142">
        <v>0.79530256075681005</v>
      </c>
      <c r="AG64" s="142" t="s">
        <v>103</v>
      </c>
      <c r="AH64" s="142" t="s">
        <v>141</v>
      </c>
      <c r="AI64" s="142" t="str">
        <f>INDEX($C$3:$C$7,MID(AJ64, LEN(AJ64)-1,1)+1)</f>
        <v>Hickam</v>
      </c>
      <c r="AJ64" s="142" t="s">
        <v>120</v>
      </c>
      <c r="AK64" s="142">
        <v>1.1350796153E-2</v>
      </c>
      <c r="AM64" s="142" t="s">
        <v>106</v>
      </c>
      <c r="AN64" s="142" t="s">
        <v>32</v>
      </c>
      <c r="AO64" s="142" t="str">
        <f t="shared" si="7"/>
        <v>Qatar</v>
      </c>
      <c r="AP64" s="142" t="s">
        <v>128</v>
      </c>
      <c r="AQ64" s="142">
        <v>2.8370160640070002E-3</v>
      </c>
    </row>
    <row r="65" spans="3:43" x14ac:dyDescent="0.25">
      <c r="C65" s="142" t="s">
        <v>105</v>
      </c>
      <c r="D65" s="142" t="s">
        <v>32</v>
      </c>
      <c r="E65" s="179" t="s">
        <v>31</v>
      </c>
      <c r="F65" s="142">
        <v>1.1703503695000001E-2</v>
      </c>
      <c r="G65" s="169" t="s">
        <v>104</v>
      </c>
      <c r="I65" s="142" t="s">
        <v>103</v>
      </c>
      <c r="J65" s="142" t="s">
        <v>32</v>
      </c>
      <c r="K65" s="179" t="s">
        <v>29</v>
      </c>
      <c r="L65" s="169" t="s">
        <v>128</v>
      </c>
      <c r="M65" s="142">
        <v>5.1104627512689E-3</v>
      </c>
      <c r="U65" s="142" t="s">
        <v>106</v>
      </c>
      <c r="V65" s="142" t="s">
        <v>26</v>
      </c>
      <c r="W65" s="142" t="str">
        <f t="shared" si="5"/>
        <v>Ramstein</v>
      </c>
      <c r="X65" s="142" t="s">
        <v>109</v>
      </c>
      <c r="Y65" s="142">
        <v>7</v>
      </c>
      <c r="AA65" s="142" t="s">
        <v>105</v>
      </c>
      <c r="AB65" s="142" t="s">
        <v>26</v>
      </c>
      <c r="AC65" s="142" t="str">
        <f t="shared" si="6"/>
        <v>Ramstein</v>
      </c>
      <c r="AD65" s="142" t="s">
        <v>109</v>
      </c>
      <c r="AE65" s="142">
        <v>0.78113249901790005</v>
      </c>
      <c r="AG65" s="142" t="s">
        <v>103</v>
      </c>
      <c r="AH65" s="142" t="s">
        <v>32</v>
      </c>
      <c r="AI65" s="142" t="str">
        <f>INDEX($C$3:$C$7,MID(AJ65, LEN(AJ65)-1,1)+1)</f>
        <v>Langley</v>
      </c>
      <c r="AJ65" s="142" t="s">
        <v>129</v>
      </c>
      <c r="AK65" s="142">
        <v>1.1337556246E-2</v>
      </c>
      <c r="AM65" s="142" t="s">
        <v>103</v>
      </c>
      <c r="AN65" s="142" t="s">
        <v>32</v>
      </c>
      <c r="AO65" s="142" t="str">
        <f t="shared" si="7"/>
        <v>Qatar</v>
      </c>
      <c r="AP65" s="142" t="s">
        <v>128</v>
      </c>
      <c r="AQ65" s="142">
        <v>2.8683924667880999E-3</v>
      </c>
    </row>
    <row r="66" spans="3:43" x14ac:dyDescent="0.25">
      <c r="C66" s="142" t="s">
        <v>103</v>
      </c>
      <c r="D66" s="142" t="s">
        <v>32</v>
      </c>
      <c r="E66" s="179" t="s">
        <v>31</v>
      </c>
      <c r="F66" s="142">
        <v>1.1667808908E-2</v>
      </c>
      <c r="G66" s="169" t="s">
        <v>137</v>
      </c>
      <c r="I66" s="142" t="s">
        <v>105</v>
      </c>
      <c r="J66" s="142" t="s">
        <v>32</v>
      </c>
      <c r="K66" s="179" t="s">
        <v>29</v>
      </c>
      <c r="L66" s="169" t="s">
        <v>128</v>
      </c>
      <c r="M66" s="142">
        <v>5.1146059448474003E-3</v>
      </c>
      <c r="U66" s="142" t="s">
        <v>103</v>
      </c>
      <c r="V66" s="142" t="s">
        <v>31</v>
      </c>
      <c r="W66" s="142" t="str">
        <f t="shared" si="5"/>
        <v>Hickam</v>
      </c>
      <c r="X66" s="142" t="s">
        <v>114</v>
      </c>
      <c r="Y66" s="142">
        <v>6</v>
      </c>
      <c r="AA66" s="142" t="s">
        <v>103</v>
      </c>
      <c r="AB66" s="142" t="s">
        <v>26</v>
      </c>
      <c r="AC66" s="142" t="str">
        <f t="shared" si="6"/>
        <v>Ramstein</v>
      </c>
      <c r="AD66" s="142" t="s">
        <v>109</v>
      </c>
      <c r="AE66" s="142">
        <v>0.77897007891897996</v>
      </c>
      <c r="AG66" s="142" t="s">
        <v>103</v>
      </c>
      <c r="AH66" s="142" t="s">
        <v>23</v>
      </c>
      <c r="AI66" s="142" t="str">
        <f>INDEX($C$3:$C$7,MID(AJ66, LEN(AJ66)-1,1)+1)</f>
        <v>Langley</v>
      </c>
      <c r="AJ66" s="142" t="s">
        <v>112</v>
      </c>
      <c r="AK66" s="142">
        <v>1.086516175E-2</v>
      </c>
      <c r="AM66" s="142" t="s">
        <v>105</v>
      </c>
      <c r="AN66" s="142" t="s">
        <v>32</v>
      </c>
      <c r="AO66" s="142" t="str">
        <f t="shared" si="7"/>
        <v>Qatar</v>
      </c>
      <c r="AP66" s="142" t="s">
        <v>128</v>
      </c>
      <c r="AQ66" s="142">
        <v>2.8734124756835001E-3</v>
      </c>
    </row>
    <row r="67" spans="3:43" x14ac:dyDescent="0.25">
      <c r="C67" s="142" t="s">
        <v>103</v>
      </c>
      <c r="D67" s="142" t="s">
        <v>142</v>
      </c>
      <c r="E67" s="179" t="s">
        <v>23</v>
      </c>
      <c r="F67" s="142">
        <v>8.6499926959999994E-3</v>
      </c>
      <c r="G67" s="169" t="s">
        <v>128</v>
      </c>
      <c r="I67" s="142" t="s">
        <v>106</v>
      </c>
      <c r="J67" s="142" t="s">
        <v>32</v>
      </c>
      <c r="K67" s="179" t="s">
        <v>31</v>
      </c>
      <c r="L67" s="169" t="s">
        <v>129</v>
      </c>
      <c r="M67" s="142">
        <v>1.0002643976151999E-3</v>
      </c>
      <c r="U67" s="142" t="s">
        <v>105</v>
      </c>
      <c r="V67" s="142" t="s">
        <v>31</v>
      </c>
      <c r="W67" s="142" t="str">
        <f t="shared" si="5"/>
        <v>Ramstein</v>
      </c>
      <c r="X67" s="142" t="s">
        <v>117</v>
      </c>
      <c r="Y67" s="142">
        <v>6</v>
      </c>
      <c r="AA67" s="142" t="s">
        <v>103</v>
      </c>
      <c r="AB67" s="142" t="s">
        <v>142</v>
      </c>
      <c r="AC67" s="142" t="str">
        <f t="shared" si="6"/>
        <v>Hickam</v>
      </c>
      <c r="AD67" s="142" t="s">
        <v>118</v>
      </c>
      <c r="AE67" s="142">
        <v>0.64508013233226003</v>
      </c>
      <c r="AG67" s="142" t="s">
        <v>105</v>
      </c>
      <c r="AH67" s="142" t="s">
        <v>31</v>
      </c>
      <c r="AI67" s="142" t="str">
        <f>INDEX($C$3:$C$7,MID(AJ67, LEN(AJ67)-1,1)+1)</f>
        <v>Ramstein</v>
      </c>
      <c r="AJ67" s="142" t="s">
        <v>117</v>
      </c>
      <c r="AK67" s="142">
        <v>7.6611126389999999E-3</v>
      </c>
      <c r="AM67" s="142" t="s">
        <v>106</v>
      </c>
      <c r="AN67" s="142" t="s">
        <v>32</v>
      </c>
      <c r="AO67" s="142" t="str">
        <f t="shared" si="7"/>
        <v>Langley</v>
      </c>
      <c r="AP67" s="142" t="s">
        <v>129</v>
      </c>
      <c r="AQ67" s="180">
        <v>5.0000530963153003E-4</v>
      </c>
    </row>
    <row r="68" spans="3:43" x14ac:dyDescent="0.25">
      <c r="C68" s="142" t="s">
        <v>105</v>
      </c>
      <c r="D68" s="142" t="s">
        <v>31</v>
      </c>
      <c r="E68" s="179" t="s">
        <v>32</v>
      </c>
      <c r="F68" s="142">
        <v>8.2747489980000005E-3</v>
      </c>
      <c r="G68" s="169" t="s">
        <v>128</v>
      </c>
      <c r="I68" s="142" t="s">
        <v>103</v>
      </c>
      <c r="J68" s="142" t="s">
        <v>32</v>
      </c>
      <c r="K68" s="179" t="s">
        <v>31</v>
      </c>
      <c r="L68" s="169" t="s">
        <v>129</v>
      </c>
      <c r="M68" s="180">
        <v>9.9620669823759006E-4</v>
      </c>
      <c r="U68" s="142" t="s">
        <v>106</v>
      </c>
      <c r="V68" s="142" t="s">
        <v>141</v>
      </c>
      <c r="W68" s="142" t="str">
        <f t="shared" si="5"/>
        <v>Cheyenne</v>
      </c>
      <c r="X68" s="142" t="s">
        <v>121</v>
      </c>
      <c r="Y68" s="142">
        <v>6</v>
      </c>
      <c r="AA68" s="142" t="s">
        <v>106</v>
      </c>
      <c r="AB68" s="142" t="s">
        <v>31</v>
      </c>
      <c r="AC68" s="142" t="str">
        <f t="shared" si="6"/>
        <v>Ramstein</v>
      </c>
      <c r="AD68" s="142" t="s">
        <v>117</v>
      </c>
      <c r="AE68" s="142">
        <v>0.64475538354669004</v>
      </c>
      <c r="AG68" s="142" t="s">
        <v>105</v>
      </c>
      <c r="AH68" s="142" t="s">
        <v>141</v>
      </c>
      <c r="AI68" s="142" t="str">
        <f>INDEX($C$3:$C$7,MID(AJ68, LEN(AJ68)-1,1)+1)</f>
        <v>Cheyenne</v>
      </c>
      <c r="AJ68" s="142" t="s">
        <v>121</v>
      </c>
      <c r="AK68" s="142">
        <v>7.5266039840000002E-3</v>
      </c>
      <c r="AM68" s="142" t="s">
        <v>103</v>
      </c>
      <c r="AN68" s="142" t="s">
        <v>32</v>
      </c>
      <c r="AO68" s="142" t="str">
        <f t="shared" si="7"/>
        <v>Langley</v>
      </c>
      <c r="AP68" s="142" t="s">
        <v>129</v>
      </c>
      <c r="AQ68" s="180">
        <v>4.9632132695211001E-4</v>
      </c>
    </row>
    <row r="69" spans="3:43" x14ac:dyDescent="0.25">
      <c r="C69" s="142" t="s">
        <v>106</v>
      </c>
      <c r="D69" s="142" t="s">
        <v>31</v>
      </c>
      <c r="E69" s="179" t="s">
        <v>32</v>
      </c>
      <c r="F69" s="142">
        <v>7.9526804619999992E-3</v>
      </c>
      <c r="G69" s="169" t="s">
        <v>129</v>
      </c>
      <c r="I69" s="142" t="s">
        <v>105</v>
      </c>
      <c r="J69" s="142" t="s">
        <v>32</v>
      </c>
      <c r="K69" s="179" t="s">
        <v>31</v>
      </c>
      <c r="L69" s="169" t="s">
        <v>129</v>
      </c>
      <c r="M69" s="142">
        <v>1.0030200712222001E-3</v>
      </c>
      <c r="U69" s="142" t="s">
        <v>106</v>
      </c>
      <c r="V69" s="142" t="s">
        <v>142</v>
      </c>
      <c r="W69" s="142" t="str">
        <f t="shared" si="5"/>
        <v>Hickam</v>
      </c>
      <c r="X69" s="142" t="s">
        <v>118</v>
      </c>
      <c r="Y69" s="142">
        <v>6</v>
      </c>
      <c r="AA69" s="142" t="s">
        <v>103</v>
      </c>
      <c r="AB69" s="142" t="s">
        <v>141</v>
      </c>
      <c r="AC69" s="142" t="str">
        <f t="shared" si="6"/>
        <v>Cheyenne</v>
      </c>
      <c r="AD69" s="142" t="s">
        <v>121</v>
      </c>
      <c r="AE69" s="142">
        <v>0.64449811381010003</v>
      </c>
      <c r="AG69" s="142" t="s">
        <v>106</v>
      </c>
      <c r="AH69" s="142" t="s">
        <v>31</v>
      </c>
      <c r="AI69" s="142" t="str">
        <f>INDEX($C$3:$C$7,MID(AJ69, LEN(AJ69)-1,1)+1)</f>
        <v>Ramstein</v>
      </c>
      <c r="AJ69" s="142" t="s">
        <v>117</v>
      </c>
      <c r="AK69" s="142">
        <v>7.2189137200000001E-3</v>
      </c>
      <c r="AM69" s="142" t="s">
        <v>105</v>
      </c>
      <c r="AN69" s="142" t="s">
        <v>32</v>
      </c>
      <c r="AO69" s="142" t="str">
        <f t="shared" si="7"/>
        <v>Langley</v>
      </c>
      <c r="AP69" s="142" t="s">
        <v>129</v>
      </c>
      <c r="AQ69" s="180">
        <v>5.0231594596638002E-4</v>
      </c>
    </row>
    <row r="70" spans="3:43" x14ac:dyDescent="0.25">
      <c r="C70" s="142" t="s">
        <v>105</v>
      </c>
      <c r="D70" s="142" t="s">
        <v>141</v>
      </c>
      <c r="E70" s="179" t="s">
        <v>26</v>
      </c>
      <c r="F70" s="142">
        <v>7.628339782E-3</v>
      </c>
      <c r="G70" s="169" t="s">
        <v>138</v>
      </c>
      <c r="I70" s="142" t="s">
        <v>106</v>
      </c>
      <c r="J70" s="142" t="s">
        <v>141</v>
      </c>
      <c r="K70" s="179" t="s">
        <v>23</v>
      </c>
      <c r="L70" s="169" t="s">
        <v>120</v>
      </c>
      <c r="M70" s="142">
        <v>1.0023529975898E-3</v>
      </c>
      <c r="U70" s="142" t="s">
        <v>103</v>
      </c>
      <c r="V70" s="142" t="s">
        <v>142</v>
      </c>
      <c r="W70" s="142" t="str">
        <f t="shared" si="5"/>
        <v>Hickam</v>
      </c>
      <c r="X70" s="142" t="s">
        <v>118</v>
      </c>
      <c r="Y70" s="142">
        <v>6</v>
      </c>
      <c r="AA70" s="142" t="s">
        <v>105</v>
      </c>
      <c r="AB70" s="142" t="s">
        <v>31</v>
      </c>
      <c r="AC70" s="142" t="str">
        <f t="shared" si="6"/>
        <v>Ramstein</v>
      </c>
      <c r="AD70" s="142" t="s">
        <v>117</v>
      </c>
      <c r="AE70" s="142">
        <v>0.64432610725853001</v>
      </c>
      <c r="AG70" s="142" t="s">
        <v>103</v>
      </c>
      <c r="AH70" s="142" t="s">
        <v>142</v>
      </c>
      <c r="AI70" s="142" t="str">
        <f>INDEX($C$3:$C$7,MID(AJ70, LEN(AJ70)-1,1)+1)</f>
        <v>Hickam</v>
      </c>
      <c r="AJ70" s="142" t="s">
        <v>118</v>
      </c>
      <c r="AK70" s="142">
        <v>6.7766396040000003E-3</v>
      </c>
      <c r="AM70" s="142" t="s">
        <v>106</v>
      </c>
      <c r="AN70" s="142" t="s">
        <v>141</v>
      </c>
      <c r="AO70" s="142" t="str">
        <f t="shared" si="7"/>
        <v>Hickam</v>
      </c>
      <c r="AP70" s="142" t="s">
        <v>120</v>
      </c>
      <c r="AQ70" s="180">
        <v>5.0212753862199E-4</v>
      </c>
    </row>
    <row r="71" spans="3:43" x14ac:dyDescent="0.25">
      <c r="C71" s="142" t="s">
        <v>103</v>
      </c>
      <c r="D71" s="142" t="s">
        <v>141</v>
      </c>
      <c r="E71" s="179" t="s">
        <v>26</v>
      </c>
      <c r="F71" s="142">
        <v>7.491287781E-3</v>
      </c>
      <c r="G71" s="169" t="s">
        <v>108</v>
      </c>
      <c r="I71" s="142" t="s">
        <v>103</v>
      </c>
      <c r="J71" s="142" t="s">
        <v>141</v>
      </c>
      <c r="K71" s="179" t="s">
        <v>23</v>
      </c>
      <c r="L71" s="169" t="s">
        <v>120</v>
      </c>
      <c r="M71" s="142">
        <v>1.0035644286787999E-3</v>
      </c>
      <c r="U71" s="142" t="s">
        <v>105</v>
      </c>
      <c r="V71" s="142" t="s">
        <v>142</v>
      </c>
      <c r="W71" s="142" t="str">
        <f t="shared" si="5"/>
        <v>Hickam</v>
      </c>
      <c r="X71" s="142" t="s">
        <v>118</v>
      </c>
      <c r="Y71" s="142">
        <v>6</v>
      </c>
      <c r="AA71" s="142" t="s">
        <v>106</v>
      </c>
      <c r="AB71" s="142" t="s">
        <v>141</v>
      </c>
      <c r="AC71" s="142" t="str">
        <f t="shared" si="6"/>
        <v>Cheyenne</v>
      </c>
      <c r="AD71" s="142" t="s">
        <v>121</v>
      </c>
      <c r="AE71" s="142">
        <v>0.64338462150918996</v>
      </c>
      <c r="AG71" s="142" t="s">
        <v>105</v>
      </c>
      <c r="AH71" s="142" t="s">
        <v>142</v>
      </c>
      <c r="AI71" s="142" t="str">
        <f>INDEX($C$3:$C$7,MID(AJ71, LEN(AJ71)-1,1)+1)</f>
        <v>Hickam</v>
      </c>
      <c r="AJ71" s="142" t="s">
        <v>118</v>
      </c>
      <c r="AK71" s="142">
        <v>6.0670939259999997E-3</v>
      </c>
      <c r="AM71" s="142" t="s">
        <v>103</v>
      </c>
      <c r="AN71" s="142" t="s">
        <v>141</v>
      </c>
      <c r="AO71" s="142" t="str">
        <f t="shared" si="7"/>
        <v>Hickam</v>
      </c>
      <c r="AP71" s="142" t="s">
        <v>120</v>
      </c>
      <c r="AQ71" s="180">
        <v>5.0299468831518002E-4</v>
      </c>
    </row>
    <row r="72" spans="3:43" x14ac:dyDescent="0.25">
      <c r="C72" s="142" t="s">
        <v>103</v>
      </c>
      <c r="D72" s="142" t="s">
        <v>31</v>
      </c>
      <c r="E72" s="179" t="s">
        <v>23</v>
      </c>
      <c r="F72" s="142">
        <v>6.8719231980000003E-3</v>
      </c>
      <c r="G72" s="169" t="s">
        <v>137</v>
      </c>
      <c r="I72" s="142" t="s">
        <v>105</v>
      </c>
      <c r="J72" s="142" t="s">
        <v>141</v>
      </c>
      <c r="K72" s="179" t="s">
        <v>23</v>
      </c>
      <c r="L72" s="169" t="s">
        <v>120</v>
      </c>
      <c r="M72" s="142">
        <v>1.0055454309439E-3</v>
      </c>
      <c r="U72" s="142" t="s">
        <v>105</v>
      </c>
      <c r="V72" s="142" t="s">
        <v>26</v>
      </c>
      <c r="W72" s="142" t="str">
        <f t="shared" si="5"/>
        <v>Ramstein</v>
      </c>
      <c r="X72" s="142" t="s">
        <v>109</v>
      </c>
      <c r="Y72" s="142">
        <v>5</v>
      </c>
      <c r="AA72" s="142" t="s">
        <v>103</v>
      </c>
      <c r="AB72" s="142" t="s">
        <v>31</v>
      </c>
      <c r="AC72" s="142" t="str">
        <f t="shared" si="6"/>
        <v>Ramstein</v>
      </c>
      <c r="AD72" s="142" t="s">
        <v>117</v>
      </c>
      <c r="AE72" s="142">
        <v>0.64328053446463995</v>
      </c>
      <c r="AG72" s="142" t="s">
        <v>106</v>
      </c>
      <c r="AH72" s="142" t="s">
        <v>31</v>
      </c>
      <c r="AI72" s="142" t="str">
        <f>INDEX($C$3:$C$7,MID(AJ72, LEN(AJ72)-1,1)+1)</f>
        <v>Hickam</v>
      </c>
      <c r="AJ72" s="142" t="s">
        <v>114</v>
      </c>
      <c r="AK72" s="142">
        <v>5.9878931419999996E-3</v>
      </c>
      <c r="AM72" s="142" t="s">
        <v>105</v>
      </c>
      <c r="AN72" s="142" t="s">
        <v>141</v>
      </c>
      <c r="AO72" s="142" t="str">
        <f t="shared" si="7"/>
        <v>Hickam</v>
      </c>
      <c r="AP72" s="142" t="s">
        <v>120</v>
      </c>
      <c r="AQ72" s="180">
        <v>5.0548092849927995E-4</v>
      </c>
    </row>
    <row r="73" spans="3:43" x14ac:dyDescent="0.25">
      <c r="C73" s="142" t="s">
        <v>103</v>
      </c>
      <c r="D73" s="142" t="s">
        <v>31</v>
      </c>
      <c r="E73" s="179" t="s">
        <v>32</v>
      </c>
      <c r="F73" s="142">
        <v>6.8318393749999999E-3</v>
      </c>
      <c r="G73" s="169" t="s">
        <v>107</v>
      </c>
      <c r="I73" s="142" t="s">
        <v>106</v>
      </c>
      <c r="J73" s="142" t="s">
        <v>141</v>
      </c>
      <c r="K73" s="179" t="s">
        <v>26</v>
      </c>
      <c r="L73" s="169" t="s">
        <v>121</v>
      </c>
      <c r="M73" s="180">
        <v>5.7254861366507002E-4</v>
      </c>
      <c r="U73" s="142" t="s">
        <v>106</v>
      </c>
      <c r="V73" s="142" t="s">
        <v>29</v>
      </c>
      <c r="W73" s="142" t="str">
        <f t="shared" si="5"/>
        <v>Hickam</v>
      </c>
      <c r="X73" s="142" t="s">
        <v>122</v>
      </c>
      <c r="Y73" s="142">
        <v>5</v>
      </c>
      <c r="AA73" s="142" t="s">
        <v>106</v>
      </c>
      <c r="AB73" s="142" t="s">
        <v>31</v>
      </c>
      <c r="AC73" s="142" t="str">
        <f t="shared" si="6"/>
        <v>Hickam</v>
      </c>
      <c r="AD73" s="142" t="s">
        <v>114</v>
      </c>
      <c r="AE73" s="142">
        <v>0.64321094110332999</v>
      </c>
      <c r="AG73" s="142" t="s">
        <v>103</v>
      </c>
      <c r="AH73" s="142" t="s">
        <v>31</v>
      </c>
      <c r="AI73" s="142" t="str">
        <f>INDEX($C$3:$C$7,MID(AJ73, LEN(AJ73)-1,1)+1)</f>
        <v>Ramstein</v>
      </c>
      <c r="AJ73" s="142" t="s">
        <v>117</v>
      </c>
      <c r="AK73" s="142">
        <v>5.8610168680000001E-3</v>
      </c>
      <c r="AM73" s="142" t="s">
        <v>106</v>
      </c>
      <c r="AN73" s="142" t="s">
        <v>141</v>
      </c>
      <c r="AO73" s="142" t="str">
        <f t="shared" si="7"/>
        <v>Cheyenne</v>
      </c>
      <c r="AP73" s="142" t="s">
        <v>121</v>
      </c>
      <c r="AQ73" s="180">
        <v>7.2010800703566002E-5</v>
      </c>
    </row>
    <row r="74" spans="3:43" x14ac:dyDescent="0.25">
      <c r="C74" s="142" t="s">
        <v>106</v>
      </c>
      <c r="D74" s="142" t="s">
        <v>31</v>
      </c>
      <c r="E74" s="179" t="s">
        <v>23</v>
      </c>
      <c r="F74" s="142">
        <v>6.8041576910000002E-3</v>
      </c>
      <c r="G74" s="169" t="s">
        <v>111</v>
      </c>
      <c r="I74" s="142" t="s">
        <v>103</v>
      </c>
      <c r="J74" s="142" t="s">
        <v>141</v>
      </c>
      <c r="K74" s="179" t="s">
        <v>26</v>
      </c>
      <c r="L74" s="169" t="s">
        <v>121</v>
      </c>
      <c r="M74" s="180">
        <v>5.7297292269714996E-4</v>
      </c>
      <c r="U74" s="142" t="s">
        <v>103</v>
      </c>
      <c r="V74" s="142" t="s">
        <v>29</v>
      </c>
      <c r="W74" s="142" t="str">
        <f t="shared" ref="W74:W81" si="8">INDEX($C$3:$C$7,MID(X74, LEN(X74)-1,1)+1)</f>
        <v>Hickam</v>
      </c>
      <c r="X74" s="142" t="s">
        <v>122</v>
      </c>
      <c r="Y74" s="142">
        <v>5</v>
      </c>
      <c r="AA74" s="142" t="s">
        <v>103</v>
      </c>
      <c r="AB74" s="142" t="s">
        <v>31</v>
      </c>
      <c r="AC74" s="142" t="str">
        <f t="shared" ref="AC74:AC81" si="9">INDEX($C$3:$C$7,MID(AD74, LEN(AD74)-1,1)+1)</f>
        <v>Hickam</v>
      </c>
      <c r="AD74" s="142" t="s">
        <v>114</v>
      </c>
      <c r="AE74" s="142">
        <v>0.64302709187244</v>
      </c>
      <c r="AG74" s="142" t="s">
        <v>103</v>
      </c>
      <c r="AH74" s="142" t="s">
        <v>141</v>
      </c>
      <c r="AI74" s="142" t="str">
        <f>INDEX($C$3:$C$7,MID(AJ74, LEN(AJ74)-1,1)+1)</f>
        <v>Cheyenne</v>
      </c>
      <c r="AJ74" s="142" t="s">
        <v>121</v>
      </c>
      <c r="AK74" s="142">
        <v>5.6149006209999996E-3</v>
      </c>
      <c r="AM74" s="142" t="s">
        <v>103</v>
      </c>
      <c r="AN74" s="142" t="s">
        <v>141</v>
      </c>
      <c r="AO74" s="142" t="str">
        <f t="shared" ref="AO74:AO81" si="10">INDEX($C$3:$C$7,MID(AP74, LEN(AP74)-1,1)+1)</f>
        <v>Cheyenne</v>
      </c>
      <c r="AP74" s="142" t="s">
        <v>121</v>
      </c>
      <c r="AQ74" s="180">
        <v>7.1563985310959998E-5</v>
      </c>
    </row>
    <row r="75" spans="3:43" x14ac:dyDescent="0.25">
      <c r="C75" s="142" t="s">
        <v>106</v>
      </c>
      <c r="D75" s="142" t="s">
        <v>142</v>
      </c>
      <c r="E75" s="179" t="s">
        <v>23</v>
      </c>
      <c r="F75" s="142">
        <v>6.8003647990000004E-3</v>
      </c>
      <c r="G75" s="169" t="s">
        <v>109</v>
      </c>
      <c r="I75" s="142" t="s">
        <v>105</v>
      </c>
      <c r="J75" s="142" t="s">
        <v>141</v>
      </c>
      <c r="K75" s="179" t="s">
        <v>26</v>
      </c>
      <c r="L75" s="169" t="s">
        <v>121</v>
      </c>
      <c r="M75" s="180">
        <v>5.7119278024444001E-4</v>
      </c>
      <c r="U75" s="142" t="s">
        <v>105</v>
      </c>
      <c r="V75" s="142" t="s">
        <v>29</v>
      </c>
      <c r="W75" s="142" t="str">
        <f t="shared" si="8"/>
        <v>Hickam</v>
      </c>
      <c r="X75" s="142" t="s">
        <v>122</v>
      </c>
      <c r="Y75" s="142">
        <v>5</v>
      </c>
      <c r="AA75" s="142" t="s">
        <v>105</v>
      </c>
      <c r="AB75" s="142" t="s">
        <v>142</v>
      </c>
      <c r="AC75" s="142" t="str">
        <f t="shared" si="9"/>
        <v>Hickam</v>
      </c>
      <c r="AD75" s="142" t="s">
        <v>118</v>
      </c>
      <c r="AE75" s="142">
        <v>0.64156548951256998</v>
      </c>
      <c r="AG75" s="142" t="s">
        <v>103</v>
      </c>
      <c r="AH75" s="142" t="s">
        <v>29</v>
      </c>
      <c r="AI75" s="142" t="str">
        <f>INDEX($C$3:$C$7,MID(AJ75, LEN(AJ75)-1,1)+1)</f>
        <v>Hickam</v>
      </c>
      <c r="AJ75" s="142" t="s">
        <v>122</v>
      </c>
      <c r="AK75" s="142">
        <v>5.5996966039999997E-3</v>
      </c>
      <c r="AM75" s="142" t="s">
        <v>105</v>
      </c>
      <c r="AN75" s="142" t="s">
        <v>141</v>
      </c>
      <c r="AO75" s="142" t="str">
        <f t="shared" si="10"/>
        <v>Cheyenne</v>
      </c>
      <c r="AP75" s="142" t="s">
        <v>121</v>
      </c>
      <c r="AQ75" s="180">
        <v>7.0763068873126007E-5</v>
      </c>
    </row>
    <row r="76" spans="3:43" x14ac:dyDescent="0.25">
      <c r="C76" s="142" t="s">
        <v>105</v>
      </c>
      <c r="D76" s="142" t="s">
        <v>142</v>
      </c>
      <c r="E76" s="179" t="s">
        <v>23</v>
      </c>
      <c r="F76" s="142">
        <v>6.7968529880000003E-3</v>
      </c>
      <c r="G76" s="169" t="s">
        <v>138</v>
      </c>
      <c r="I76" s="142" t="s">
        <v>106</v>
      </c>
      <c r="J76" s="142" t="s">
        <v>142</v>
      </c>
      <c r="K76" s="179" t="s">
        <v>23</v>
      </c>
      <c r="L76" s="169" t="s">
        <v>118</v>
      </c>
      <c r="M76" s="180">
        <v>5.7094525588815995E-4</v>
      </c>
      <c r="U76" s="142" t="s">
        <v>106</v>
      </c>
      <c r="V76" s="142" t="s">
        <v>31</v>
      </c>
      <c r="W76" s="142" t="str">
        <f t="shared" si="8"/>
        <v>Hickam</v>
      </c>
      <c r="X76" s="142" t="s">
        <v>114</v>
      </c>
      <c r="Y76" s="142">
        <v>5</v>
      </c>
      <c r="AA76" s="142" t="s">
        <v>105</v>
      </c>
      <c r="AB76" s="142" t="s">
        <v>31</v>
      </c>
      <c r="AC76" s="142" t="str">
        <f t="shared" si="9"/>
        <v>Hickam</v>
      </c>
      <c r="AD76" s="142" t="s">
        <v>114</v>
      </c>
      <c r="AE76" s="142">
        <v>0.64077435453686005</v>
      </c>
      <c r="AG76" s="142" t="s">
        <v>103</v>
      </c>
      <c r="AH76" s="142" t="s">
        <v>31</v>
      </c>
      <c r="AI76" s="142" t="str">
        <f>INDEX($C$3:$C$7,MID(AJ76, LEN(AJ76)-1,1)+1)</f>
        <v>Hickam</v>
      </c>
      <c r="AJ76" s="142" t="s">
        <v>114</v>
      </c>
      <c r="AK76" s="142">
        <v>5.5802862500000001E-3</v>
      </c>
      <c r="AM76" s="142" t="s">
        <v>106</v>
      </c>
      <c r="AN76" s="142" t="s">
        <v>142</v>
      </c>
      <c r="AO76" s="142" t="str">
        <f t="shared" si="10"/>
        <v>Hickam</v>
      </c>
      <c r="AP76" s="142" t="s">
        <v>118</v>
      </c>
      <c r="AQ76" s="180">
        <v>7.0944200576045997E-5</v>
      </c>
    </row>
    <row r="77" spans="3:43" x14ac:dyDescent="0.25">
      <c r="C77" s="142" t="s">
        <v>105</v>
      </c>
      <c r="D77" s="142" t="s">
        <v>31</v>
      </c>
      <c r="E77" s="179" t="s">
        <v>23</v>
      </c>
      <c r="F77" s="142">
        <v>6.5762454909999999E-3</v>
      </c>
      <c r="G77" s="169" t="s">
        <v>138</v>
      </c>
      <c r="I77" s="142" t="s">
        <v>103</v>
      </c>
      <c r="J77" s="142" t="s">
        <v>142</v>
      </c>
      <c r="K77" s="179" t="s">
        <v>23</v>
      </c>
      <c r="L77" s="169" t="s">
        <v>118</v>
      </c>
      <c r="M77" s="180">
        <v>5.7286159413411997E-4</v>
      </c>
      <c r="U77" s="142" t="s">
        <v>105</v>
      </c>
      <c r="V77" s="142" t="s">
        <v>31</v>
      </c>
      <c r="W77" s="142" t="str">
        <f t="shared" si="8"/>
        <v>Hickam</v>
      </c>
      <c r="X77" s="142" t="s">
        <v>114</v>
      </c>
      <c r="Y77" s="142">
        <v>5</v>
      </c>
      <c r="AA77" s="142" t="s">
        <v>106</v>
      </c>
      <c r="AB77" s="142" t="s">
        <v>142</v>
      </c>
      <c r="AC77" s="142" t="str">
        <f t="shared" si="9"/>
        <v>Hickam</v>
      </c>
      <c r="AD77" s="142" t="s">
        <v>118</v>
      </c>
      <c r="AE77" s="142">
        <v>0.64073680623759999</v>
      </c>
      <c r="AG77" s="142" t="s">
        <v>105</v>
      </c>
      <c r="AH77" s="142" t="s">
        <v>31</v>
      </c>
      <c r="AI77" s="142" t="str">
        <f>INDEX($C$3:$C$7,MID(AJ77, LEN(AJ77)-1,1)+1)</f>
        <v>Hickam</v>
      </c>
      <c r="AJ77" s="142" t="s">
        <v>114</v>
      </c>
      <c r="AK77" s="142">
        <v>5.5714233389999998E-3</v>
      </c>
      <c r="AM77" s="142" t="s">
        <v>103</v>
      </c>
      <c r="AN77" s="142" t="s">
        <v>142</v>
      </c>
      <c r="AO77" s="142" t="str">
        <f t="shared" si="10"/>
        <v>Hickam</v>
      </c>
      <c r="AP77" s="142" t="s">
        <v>118</v>
      </c>
      <c r="AQ77" s="180">
        <v>7.2312344337062995E-5</v>
      </c>
    </row>
    <row r="78" spans="3:43" x14ac:dyDescent="0.25">
      <c r="C78" s="142" t="s">
        <v>106</v>
      </c>
      <c r="D78" s="142" t="s">
        <v>141</v>
      </c>
      <c r="E78" s="179" t="s">
        <v>26</v>
      </c>
      <c r="F78" s="142">
        <v>6.4611707180000002E-3</v>
      </c>
      <c r="G78" s="169" t="s">
        <v>109</v>
      </c>
      <c r="I78" s="142" t="s">
        <v>105</v>
      </c>
      <c r="J78" s="142" t="s">
        <v>142</v>
      </c>
      <c r="K78" s="179" t="s">
        <v>23</v>
      </c>
      <c r="L78" s="169" t="s">
        <v>118</v>
      </c>
      <c r="M78" s="180">
        <v>5.7173853630716005E-4</v>
      </c>
      <c r="U78" s="142" t="s">
        <v>106</v>
      </c>
      <c r="V78" s="142" t="s">
        <v>31</v>
      </c>
      <c r="W78" s="142" t="str">
        <f t="shared" si="8"/>
        <v>Ramstein</v>
      </c>
      <c r="X78" s="142" t="s">
        <v>117</v>
      </c>
      <c r="Y78" s="142">
        <v>5</v>
      </c>
      <c r="AA78" s="142" t="s">
        <v>105</v>
      </c>
      <c r="AB78" s="142" t="s">
        <v>141</v>
      </c>
      <c r="AC78" s="142" t="str">
        <f t="shared" si="9"/>
        <v>Cheyenne</v>
      </c>
      <c r="AD78" s="142" t="s">
        <v>121</v>
      </c>
      <c r="AE78" s="142">
        <v>0.63992239445443999</v>
      </c>
      <c r="AG78" s="142" t="s">
        <v>106</v>
      </c>
      <c r="AH78" s="142" t="s">
        <v>141</v>
      </c>
      <c r="AI78" s="142" t="str">
        <f>INDEX($C$3:$C$7,MID(AJ78, LEN(AJ78)-1,1)+1)</f>
        <v>Cheyenne</v>
      </c>
      <c r="AJ78" s="142" t="s">
        <v>121</v>
      </c>
      <c r="AK78" s="142">
        <v>5.4493542379999999E-3</v>
      </c>
      <c r="AM78" s="142" t="s">
        <v>105</v>
      </c>
      <c r="AN78" s="142" t="s">
        <v>142</v>
      </c>
      <c r="AO78" s="142" t="str">
        <f t="shared" si="10"/>
        <v>Hickam</v>
      </c>
      <c r="AP78" s="142" t="s">
        <v>118</v>
      </c>
      <c r="AQ78" s="180">
        <v>7.1968213153792007E-5</v>
      </c>
    </row>
    <row r="79" spans="3:43" x14ac:dyDescent="0.25">
      <c r="C79" s="142" t="s">
        <v>103</v>
      </c>
      <c r="D79" s="142" t="s">
        <v>29</v>
      </c>
      <c r="E79" s="179" t="s">
        <v>23</v>
      </c>
      <c r="F79" s="142">
        <v>6.4550545909999998E-3</v>
      </c>
      <c r="G79" s="169" t="s">
        <v>129</v>
      </c>
      <c r="I79" s="142" t="s">
        <v>106</v>
      </c>
      <c r="J79" s="142" t="s">
        <v>142</v>
      </c>
      <c r="K79" s="179" t="s">
        <v>26</v>
      </c>
      <c r="L79" s="169" t="s">
        <v>119</v>
      </c>
      <c r="M79" s="180">
        <v>9.9392345799106008E-4</v>
      </c>
      <c r="U79" s="142" t="s">
        <v>103</v>
      </c>
      <c r="V79" s="142" t="s">
        <v>31</v>
      </c>
      <c r="W79" s="142" t="str">
        <f t="shared" si="8"/>
        <v>Ramstein</v>
      </c>
      <c r="X79" s="142" t="s">
        <v>117</v>
      </c>
      <c r="Y79" s="142">
        <v>5</v>
      </c>
      <c r="AA79" s="142" t="s">
        <v>103</v>
      </c>
      <c r="AB79" s="142" t="s">
        <v>29</v>
      </c>
      <c r="AC79" s="142" t="str">
        <f t="shared" si="9"/>
        <v>Hickam</v>
      </c>
      <c r="AD79" s="142" t="s">
        <v>122</v>
      </c>
      <c r="AE79" s="142">
        <v>0.60677734819194995</v>
      </c>
      <c r="AG79" s="142" t="s">
        <v>106</v>
      </c>
      <c r="AH79" s="142" t="s">
        <v>142</v>
      </c>
      <c r="AI79" s="142" t="str">
        <f>INDEX($C$3:$C$7,MID(AJ79, LEN(AJ79)-1,1)+1)</f>
        <v>Hickam</v>
      </c>
      <c r="AJ79" s="142" t="s">
        <v>118</v>
      </c>
      <c r="AK79" s="142">
        <v>5.2382500079999998E-3</v>
      </c>
      <c r="AM79" s="142" t="s">
        <v>106</v>
      </c>
      <c r="AN79" s="142" t="s">
        <v>142</v>
      </c>
      <c r="AO79" s="142" t="str">
        <f t="shared" si="10"/>
        <v>Cheyenne</v>
      </c>
      <c r="AP79" s="142" t="s">
        <v>119</v>
      </c>
      <c r="AQ79" s="180">
        <v>4.9500910164148996E-4</v>
      </c>
    </row>
    <row r="80" spans="3:43" x14ac:dyDescent="0.25">
      <c r="C80" s="142" t="s">
        <v>106</v>
      </c>
      <c r="D80" s="142" t="s">
        <v>29</v>
      </c>
      <c r="E80" s="179" t="s">
        <v>23</v>
      </c>
      <c r="F80" s="142">
        <v>6.1699037319999997E-3</v>
      </c>
      <c r="G80" s="169" t="s">
        <v>139</v>
      </c>
      <c r="I80" s="142" t="s">
        <v>103</v>
      </c>
      <c r="J80" s="142" t="s">
        <v>142</v>
      </c>
      <c r="K80" s="179" t="s">
        <v>26</v>
      </c>
      <c r="L80" s="169" t="s">
        <v>119</v>
      </c>
      <c r="M80" s="180">
        <v>9.974259212879599E-4</v>
      </c>
      <c r="U80" s="142" t="s">
        <v>103</v>
      </c>
      <c r="V80" s="142" t="s">
        <v>141</v>
      </c>
      <c r="W80" s="142" t="str">
        <f t="shared" si="8"/>
        <v>Cheyenne</v>
      </c>
      <c r="X80" s="142" t="s">
        <v>121</v>
      </c>
      <c r="Y80" s="142">
        <v>5</v>
      </c>
      <c r="AA80" s="142" t="s">
        <v>105</v>
      </c>
      <c r="AB80" s="142" t="s">
        <v>29</v>
      </c>
      <c r="AC80" s="142" t="str">
        <f t="shared" si="9"/>
        <v>Hickam</v>
      </c>
      <c r="AD80" s="142" t="s">
        <v>122</v>
      </c>
      <c r="AE80" s="142">
        <v>0.60646645367412</v>
      </c>
      <c r="AG80" s="142" t="s">
        <v>105</v>
      </c>
      <c r="AH80" s="142" t="s">
        <v>29</v>
      </c>
      <c r="AI80" s="142" t="str">
        <f>INDEX($C$3:$C$7,MID(AJ80, LEN(AJ80)-1,1)+1)</f>
        <v>Hickam</v>
      </c>
      <c r="AJ80" s="142" t="s">
        <v>122</v>
      </c>
      <c r="AK80" s="142">
        <v>4.2781932260000004E-3</v>
      </c>
      <c r="AM80" s="142" t="s">
        <v>103</v>
      </c>
      <c r="AN80" s="142" t="s">
        <v>142</v>
      </c>
      <c r="AO80" s="142" t="str">
        <f t="shared" si="10"/>
        <v>Cheyenne</v>
      </c>
      <c r="AP80" s="142" t="s">
        <v>119</v>
      </c>
      <c r="AQ80" s="180">
        <v>4.9789374085039005E-4</v>
      </c>
    </row>
    <row r="81" spans="3:43" x14ac:dyDescent="0.25">
      <c r="C81" s="142" t="s">
        <v>105</v>
      </c>
      <c r="D81" s="142" t="s">
        <v>29</v>
      </c>
      <c r="E81" s="179" t="s">
        <v>23</v>
      </c>
      <c r="F81" s="142">
        <v>5.9491494149999996E-3</v>
      </c>
      <c r="G81" s="169" t="s">
        <v>109</v>
      </c>
      <c r="I81" s="142" t="s">
        <v>105</v>
      </c>
      <c r="J81" s="142" t="s">
        <v>142</v>
      </c>
      <c r="K81" s="179" t="s">
        <v>26</v>
      </c>
      <c r="L81" s="169" t="s">
        <v>119</v>
      </c>
      <c r="M81" s="142">
        <v>1.0014103533648E-3</v>
      </c>
      <c r="U81" s="142" t="s">
        <v>105</v>
      </c>
      <c r="V81" s="142" t="s">
        <v>141</v>
      </c>
      <c r="W81" s="142" t="str">
        <f t="shared" si="8"/>
        <v>Cheyenne</v>
      </c>
      <c r="X81" s="142" t="s">
        <v>121</v>
      </c>
      <c r="Y81" s="142">
        <v>5</v>
      </c>
      <c r="AA81" s="142" t="s">
        <v>106</v>
      </c>
      <c r="AB81" s="142" t="s">
        <v>29</v>
      </c>
      <c r="AC81" s="142" t="str">
        <f t="shared" si="9"/>
        <v>Hickam</v>
      </c>
      <c r="AD81" s="142" t="s">
        <v>122</v>
      </c>
      <c r="AE81" s="142">
        <v>0.60368229392141004</v>
      </c>
      <c r="AG81" s="142" t="s">
        <v>106</v>
      </c>
      <c r="AH81" s="142" t="s">
        <v>29</v>
      </c>
      <c r="AI81" s="142" t="str">
        <f>INDEX($C$3:$C$7,MID(AJ81, LEN(AJ81)-1,1)+1)</f>
        <v>Hickam</v>
      </c>
      <c r="AJ81" s="142" t="s">
        <v>122</v>
      </c>
      <c r="AK81" s="142">
        <v>3.4741675600000002E-3</v>
      </c>
      <c r="AM81" s="142" t="s">
        <v>105</v>
      </c>
      <c r="AN81" s="142" t="s">
        <v>142</v>
      </c>
      <c r="AO81" s="142" t="str">
        <f t="shared" si="10"/>
        <v>Cheyenne</v>
      </c>
      <c r="AP81" s="142" t="s">
        <v>119</v>
      </c>
      <c r="AQ81" s="180">
        <v>5.0131307596521998E-4</v>
      </c>
    </row>
    <row r="82" spans="3:43" x14ac:dyDescent="0.25">
      <c r="G82" s="169" t="s">
        <v>107</v>
      </c>
    </row>
    <row r="83" spans="3:43" x14ac:dyDescent="0.25">
      <c r="G83" s="169" t="s">
        <v>108</v>
      </c>
    </row>
    <row r="84" spans="3:43" x14ac:dyDescent="0.25">
      <c r="G84" s="169" t="s">
        <v>104</v>
      </c>
    </row>
    <row r="85" spans="3:43" x14ac:dyDescent="0.25">
      <c r="G85" s="169" t="s">
        <v>111</v>
      </c>
    </row>
    <row r="86" spans="3:43" x14ac:dyDescent="0.25">
      <c r="G86" s="169" t="s">
        <v>108</v>
      </c>
      <c r="N86" s="180"/>
    </row>
    <row r="87" spans="3:43" x14ac:dyDescent="0.25">
      <c r="G87" s="169" t="s">
        <v>107</v>
      </c>
    </row>
    <row r="88" spans="3:43" x14ac:dyDescent="0.25">
      <c r="G88" s="169" t="s">
        <v>104</v>
      </c>
    </row>
    <row r="89" spans="3:43" x14ac:dyDescent="0.25">
      <c r="G89" s="169" t="s">
        <v>110</v>
      </c>
    </row>
    <row r="90" spans="3:43" x14ac:dyDescent="0.25">
      <c r="G90" s="169" t="s">
        <v>139</v>
      </c>
    </row>
    <row r="91" spans="3:43" x14ac:dyDescent="0.25">
      <c r="G91" s="169" t="s">
        <v>128</v>
      </c>
    </row>
    <row r="92" spans="3:43" x14ac:dyDescent="0.25">
      <c r="G92" s="169" t="s">
        <v>129</v>
      </c>
    </row>
    <row r="93" spans="3:43" x14ac:dyDescent="0.25">
      <c r="G93" s="169" t="s">
        <v>111</v>
      </c>
    </row>
    <row r="94" spans="3:43" x14ac:dyDescent="0.25">
      <c r="G94" s="169" t="s">
        <v>110</v>
      </c>
    </row>
    <row r="95" spans="3:43" x14ac:dyDescent="0.25">
      <c r="G95" s="169" t="s">
        <v>139</v>
      </c>
    </row>
    <row r="96" spans="3:43" x14ac:dyDescent="0.25">
      <c r="G96" s="169" t="s">
        <v>110</v>
      </c>
    </row>
  </sheetData>
  <pageMargins left="0.7" right="0.7" top="0.75" bottom="0.75" header="0.3" footer="0.3"/>
  <pageSetup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9F89-68E1-4DAC-B5A7-ADEE70401A99}">
  <dimension ref="A1"/>
  <sheetViews>
    <sheetView workbookViewId="0">
      <selection activeCell="N45" sqref="N4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97DD9-6FFE-4EDB-B7E8-B3531435192E}">
  <sheetPr>
    <pageSetUpPr fitToPage="1"/>
  </sheetPr>
  <dimension ref="A1:AM69"/>
  <sheetViews>
    <sheetView topLeftCell="K1" zoomScale="60" zoomScaleNormal="60" workbookViewId="0">
      <selection activeCell="AB23" sqref="AB23"/>
    </sheetView>
  </sheetViews>
  <sheetFormatPr defaultRowHeight="15" x14ac:dyDescent="0.25"/>
  <cols>
    <col min="1" max="1" width="38.7109375" style="1" customWidth="1"/>
    <col min="2" max="2" width="17.28515625" style="1" customWidth="1"/>
    <col min="3" max="3" width="16.5703125" style="1" customWidth="1"/>
    <col min="4" max="4" width="28.5703125" style="1" customWidth="1"/>
    <col min="5" max="5" width="19.42578125" style="1" customWidth="1"/>
    <col min="6" max="7" width="14.85546875" style="1" customWidth="1"/>
    <col min="8" max="8" width="15" style="1" customWidth="1"/>
    <col min="9" max="9" width="9.140625" style="1"/>
    <col min="10" max="10" width="21" style="1" customWidth="1"/>
    <col min="11" max="11" width="20.85546875" style="1" bestFit="1" customWidth="1"/>
    <col min="12" max="12" width="23.140625" style="1" bestFit="1" customWidth="1"/>
    <col min="13" max="13" width="18.140625" style="1" customWidth="1"/>
    <col min="14" max="14" width="20.28515625" style="1" bestFit="1" customWidth="1"/>
    <col min="15" max="15" width="23.5703125" style="1" bestFit="1" customWidth="1"/>
    <col min="16" max="16" width="17.7109375" style="1" customWidth="1"/>
    <col min="17" max="17" width="11.28515625" style="1" customWidth="1"/>
    <col min="18" max="18" width="13.5703125" style="1" bestFit="1" customWidth="1"/>
    <col min="19" max="19" width="9.85546875" style="1" customWidth="1"/>
    <col min="20" max="20" width="10.42578125" style="1" customWidth="1"/>
    <col min="21" max="21" width="14.85546875" style="1" bestFit="1" customWidth="1"/>
    <col min="22" max="22" width="12.42578125" style="1" customWidth="1"/>
    <col min="23" max="23" width="11" style="1" customWidth="1"/>
    <col min="24" max="24" width="10.140625" style="1" customWidth="1"/>
    <col min="25" max="25" width="11.85546875" style="1" customWidth="1"/>
    <col min="26" max="26" width="21.7109375" style="1" bestFit="1" customWidth="1"/>
    <col min="27" max="27" width="12.85546875" style="1" customWidth="1"/>
    <col min="28" max="28" width="40.28515625" style="1" customWidth="1"/>
    <col min="29" max="29" width="20.7109375" style="1" customWidth="1"/>
    <col min="30" max="30" width="15.28515625" style="1" customWidth="1"/>
    <col min="31" max="31" width="34.42578125" style="1" bestFit="1" customWidth="1"/>
    <col min="32" max="32" width="18.5703125" style="1" bestFit="1" customWidth="1"/>
    <col min="33" max="33" width="10.7109375" style="1" bestFit="1" customWidth="1"/>
    <col min="34" max="34" width="6.5703125" style="1" bestFit="1" customWidth="1"/>
    <col min="35" max="35" width="8.5703125" style="1" bestFit="1" customWidth="1"/>
    <col min="36" max="36" width="10.5703125" style="1" bestFit="1" customWidth="1"/>
    <col min="37" max="38" width="4" style="1" customWidth="1"/>
    <col min="39" max="16384" width="9.140625" style="1"/>
  </cols>
  <sheetData>
    <row r="1" spans="1:38" ht="16.5" thickBot="1" x14ac:dyDescent="0.3">
      <c r="J1" s="219" t="s">
        <v>0</v>
      </c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219"/>
      <c r="AC1" s="219"/>
    </row>
    <row r="2" spans="1:38" s="4" customFormat="1" ht="30.75" thickBot="1" x14ac:dyDescent="0.3">
      <c r="A2" s="2" t="s">
        <v>1</v>
      </c>
      <c r="B2" s="3" t="s">
        <v>2</v>
      </c>
      <c r="D2" s="5"/>
      <c r="J2" s="6" t="s">
        <v>3</v>
      </c>
      <c r="K2" s="7" t="s">
        <v>4</v>
      </c>
      <c r="L2" s="8" t="s">
        <v>5</v>
      </c>
      <c r="M2" s="9" t="s">
        <v>6</v>
      </c>
      <c r="N2" s="9" t="s">
        <v>7</v>
      </c>
      <c r="O2" s="9" t="s">
        <v>8</v>
      </c>
      <c r="P2" s="9" t="s">
        <v>9</v>
      </c>
      <c r="Q2" s="9" t="s">
        <v>10</v>
      </c>
      <c r="R2" s="9" t="s">
        <v>11</v>
      </c>
      <c r="S2" s="9" t="s">
        <v>12</v>
      </c>
      <c r="T2" s="9" t="s">
        <v>13</v>
      </c>
      <c r="U2" s="9" t="s">
        <v>14</v>
      </c>
      <c r="V2" s="9" t="s">
        <v>15</v>
      </c>
      <c r="W2" s="9" t="s">
        <v>16</v>
      </c>
      <c r="X2" s="9" t="s">
        <v>17</v>
      </c>
      <c r="Y2" s="9" t="s">
        <v>18</v>
      </c>
      <c r="Z2" s="9" t="s">
        <v>19</v>
      </c>
      <c r="AA2" s="9" t="s">
        <v>20</v>
      </c>
      <c r="AB2" s="9" t="s">
        <v>21</v>
      </c>
      <c r="AC2" s="7" t="s">
        <v>22</v>
      </c>
      <c r="AD2" s="5"/>
      <c r="AK2" s="5"/>
      <c r="AL2" s="5"/>
    </row>
    <row r="3" spans="1:38" x14ac:dyDescent="0.25">
      <c r="A3" s="10" t="s">
        <v>23</v>
      </c>
      <c r="B3" s="11" t="s">
        <v>24</v>
      </c>
      <c r="D3" s="12"/>
      <c r="J3" s="13" t="s">
        <v>24</v>
      </c>
      <c r="K3" s="14" t="s">
        <v>25</v>
      </c>
      <c r="L3" s="15">
        <v>0</v>
      </c>
      <c r="M3" s="16">
        <v>0</v>
      </c>
      <c r="N3" s="16">
        <v>0</v>
      </c>
      <c r="O3" s="16">
        <v>3</v>
      </c>
      <c r="P3" s="16">
        <v>0</v>
      </c>
      <c r="Q3" s="16">
        <v>1</v>
      </c>
      <c r="R3" s="16">
        <v>0</v>
      </c>
      <c r="S3" s="17">
        <v>2500</v>
      </c>
      <c r="T3" s="17">
        <f t="array" ref="T3">SUMPRODUCT(L3:R3,TRANSPOSE($AF$11:$AF$17))*1000000/20000</f>
        <v>2551.6799999999998</v>
      </c>
      <c r="U3" s="16">
        <f>S3/(T3-S3)</f>
        <v>48.37461300309613</v>
      </c>
      <c r="V3" s="18">
        <f>D21*1000/(3*10^8)</f>
        <v>4.6666666666666669E-2</v>
      </c>
      <c r="W3" s="16">
        <f>G37/2 + G39/2</f>
        <v>0.26</v>
      </c>
      <c r="X3" s="16">
        <v>100</v>
      </c>
      <c r="Y3" s="16">
        <f t="array" ref="Y3">SUMPRODUCT(O3:R3, TRANSPOSE($AF$14:$AF$17))*(1000000/20000)/T3</f>
        <v>1</v>
      </c>
      <c r="Z3" s="16">
        <f>1/(T3-S3)+Y3*V3+(1-Y3)*W3</f>
        <v>6.6016511867905123E-2</v>
      </c>
      <c r="AA3" s="16">
        <f>S3/T3</f>
        <v>0.97974667669927273</v>
      </c>
      <c r="AB3" s="16">
        <f t="shared" ref="AB3:AB12" si="0">IF(S3=T3,1,0)</f>
        <v>0</v>
      </c>
      <c r="AC3" s="19">
        <f t="shared" ref="AC3:AC12" si="1">S3/($S$13+$L$28)</f>
        <v>0.25773195876288657</v>
      </c>
      <c r="AD3" s="12"/>
      <c r="AK3" s="12"/>
      <c r="AL3" s="12"/>
    </row>
    <row r="4" spans="1:38" x14ac:dyDescent="0.25">
      <c r="A4" s="20" t="s">
        <v>26</v>
      </c>
      <c r="B4" s="21" t="s">
        <v>27</v>
      </c>
      <c r="D4" s="12"/>
      <c r="J4" s="22" t="s">
        <v>24</v>
      </c>
      <c r="K4" s="23" t="s">
        <v>28</v>
      </c>
      <c r="L4" s="24">
        <v>2</v>
      </c>
      <c r="M4" s="25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  <c r="S4" s="26">
        <v>1000</v>
      </c>
      <c r="T4" s="26">
        <f t="array" ref="T4">SUMPRODUCT(L4:R4,TRANSPOSE($AF$11:$AF$17))*1000000/20000</f>
        <v>2000</v>
      </c>
      <c r="U4" s="25">
        <f t="shared" ref="U4:U12" si="2">S4/(T4-S4)</f>
        <v>1</v>
      </c>
      <c r="V4" s="27">
        <f>E21*1000/(3*10^8)</f>
        <v>2.6333333333333334E-2</v>
      </c>
      <c r="W4" s="25">
        <f>G37/2 + G40/2</f>
        <v>0.25700000000000001</v>
      </c>
      <c r="X4" s="25">
        <v>100</v>
      </c>
      <c r="Y4" s="25">
        <f t="array" ref="Y4">SUMPRODUCT(O4:R4, TRANSPOSE($AF$14:$AF$17))*(1000000/20000)/T4</f>
        <v>0</v>
      </c>
      <c r="Z4" s="25">
        <f>2/(T4-S4)+Y4*V4+(1-Y4)*W4</f>
        <v>0.25900000000000001</v>
      </c>
      <c r="AA4" s="25">
        <f t="shared" ref="AA4:AA12" si="3">S4/T4</f>
        <v>0.5</v>
      </c>
      <c r="AB4" s="25">
        <f t="shared" si="0"/>
        <v>0</v>
      </c>
      <c r="AC4" s="28">
        <f t="shared" si="1"/>
        <v>0.10309278350515463</v>
      </c>
      <c r="AD4" s="12"/>
      <c r="AK4" s="12"/>
      <c r="AL4" s="12"/>
    </row>
    <row r="5" spans="1:38" x14ac:dyDescent="0.25">
      <c r="A5" s="20" t="s">
        <v>29</v>
      </c>
      <c r="B5" s="21" t="s">
        <v>25</v>
      </c>
      <c r="D5" s="12"/>
      <c r="J5" s="29" t="s">
        <v>24</v>
      </c>
      <c r="K5" s="30" t="s">
        <v>30</v>
      </c>
      <c r="L5" s="31">
        <v>0</v>
      </c>
      <c r="M5" s="32">
        <v>0</v>
      </c>
      <c r="N5" s="32">
        <v>0</v>
      </c>
      <c r="O5" s="32">
        <v>0</v>
      </c>
      <c r="P5" s="32">
        <v>1</v>
      </c>
      <c r="Q5" s="32">
        <v>0</v>
      </c>
      <c r="R5" s="32">
        <v>0</v>
      </c>
      <c r="S5" s="26">
        <v>250</v>
      </c>
      <c r="T5" s="26">
        <f t="array" ref="T5">SUMPRODUCT(L5:R5,TRANSPOSE($AF$11:$AF$17))*1000000/20000</f>
        <v>776</v>
      </c>
      <c r="U5" s="32">
        <f t="shared" si="2"/>
        <v>0.47528517110266161</v>
      </c>
      <c r="V5" s="33">
        <f>F21*1000/(3*10^8)</f>
        <v>0.04</v>
      </c>
      <c r="W5" s="32">
        <f>I37/2 + I41/2</f>
        <v>0.28400000000000003</v>
      </c>
      <c r="X5" s="32">
        <v>21</v>
      </c>
      <c r="Y5" s="32">
        <f t="array" ref="Y5">SUMPRODUCT(O5:R5, TRANSPOSE($AF$14:$AF$17))*(1000000/20000)/T5</f>
        <v>1</v>
      </c>
      <c r="Z5" s="32">
        <f>1/(T5-S5)+Y5*V5+(1-Y5)*W5</f>
        <v>4.190114068441065E-2</v>
      </c>
      <c r="AA5" s="32">
        <f t="shared" si="3"/>
        <v>0.32216494845360827</v>
      </c>
      <c r="AB5" s="32">
        <f t="shared" si="0"/>
        <v>0</v>
      </c>
      <c r="AC5" s="34">
        <f t="shared" si="1"/>
        <v>2.5773195876288658E-2</v>
      </c>
      <c r="AD5" s="12"/>
      <c r="AK5" s="12"/>
      <c r="AL5" s="12"/>
    </row>
    <row r="6" spans="1:38" x14ac:dyDescent="0.25">
      <c r="A6" s="20" t="s">
        <v>31</v>
      </c>
      <c r="B6" s="21" t="s">
        <v>28</v>
      </c>
      <c r="D6" s="12"/>
      <c r="J6" s="22" t="s">
        <v>27</v>
      </c>
      <c r="K6" s="23" t="s">
        <v>24</v>
      </c>
      <c r="L6" s="24">
        <v>0</v>
      </c>
      <c r="M6" s="25">
        <v>0</v>
      </c>
      <c r="N6" s="25">
        <v>0</v>
      </c>
      <c r="O6" s="25">
        <v>1</v>
      </c>
      <c r="P6" s="25">
        <v>0</v>
      </c>
      <c r="Q6" s="25">
        <v>0</v>
      </c>
      <c r="R6" s="25">
        <v>0</v>
      </c>
      <c r="S6" s="26">
        <v>250</v>
      </c>
      <c r="T6" s="26">
        <f t="array" ref="T6">SUMPRODUCT(L6:R6,TRANSPOSE($AF$11:$AF$17))*1000000/20000</f>
        <v>776</v>
      </c>
      <c r="U6" s="25">
        <f t="shared" si="2"/>
        <v>0.47528517110266161</v>
      </c>
      <c r="V6" s="27">
        <f>B22*1000/(3*10^8)</f>
        <v>1.7999999999999999E-2</v>
      </c>
      <c r="W6" s="25">
        <f>G38/2 + G37/2</f>
        <v>0.2555</v>
      </c>
      <c r="X6" s="25">
        <v>100</v>
      </c>
      <c r="Y6" s="25">
        <f t="array" ref="Y6">SUMPRODUCT(O6:R6, TRANSPOSE($AF$14:$AF$17))*(1000000/20000)/T6</f>
        <v>1</v>
      </c>
      <c r="Z6" s="25">
        <f t="shared" ref="Z6:Z11" si="4">1/(T6-S6)+Y6*V6+(1-Y6)*W6</f>
        <v>1.9901140684410644E-2</v>
      </c>
      <c r="AA6" s="25">
        <f t="shared" si="3"/>
        <v>0.32216494845360827</v>
      </c>
      <c r="AB6" s="25">
        <f t="shared" si="0"/>
        <v>0</v>
      </c>
      <c r="AC6" s="28">
        <f t="shared" si="1"/>
        <v>2.5773195876288658E-2</v>
      </c>
      <c r="AD6" s="12"/>
      <c r="AK6" s="12"/>
      <c r="AL6" s="12"/>
    </row>
    <row r="7" spans="1:38" ht="15.75" thickBot="1" x14ac:dyDescent="0.3">
      <c r="A7" s="35" t="s">
        <v>32</v>
      </c>
      <c r="B7" s="36" t="s">
        <v>30</v>
      </c>
      <c r="D7" s="12"/>
      <c r="J7" s="29" t="s">
        <v>27</v>
      </c>
      <c r="K7" s="30" t="s">
        <v>25</v>
      </c>
      <c r="L7" s="31">
        <v>0</v>
      </c>
      <c r="M7" s="32">
        <v>0</v>
      </c>
      <c r="N7" s="32">
        <v>0</v>
      </c>
      <c r="O7" s="32">
        <v>0</v>
      </c>
      <c r="P7" s="32">
        <v>1</v>
      </c>
      <c r="Q7" s="32">
        <v>0</v>
      </c>
      <c r="R7" s="32">
        <v>0</v>
      </c>
      <c r="S7" s="26">
        <v>500</v>
      </c>
      <c r="T7" s="26">
        <f t="array" ref="T7">SUMPRODUCT(L7:R7,TRANSPOSE($AF$11:$AF$17))*1000000/20000</f>
        <v>776</v>
      </c>
      <c r="U7" s="32">
        <f t="shared" si="2"/>
        <v>1.8115942028985508</v>
      </c>
      <c r="V7" s="33">
        <f>D22*1000/(3*10^8)</f>
        <v>4.1666666666666664E-2</v>
      </c>
      <c r="W7" s="32">
        <f>G38/2 + G39/2</f>
        <v>0.2535</v>
      </c>
      <c r="X7" s="32">
        <v>100</v>
      </c>
      <c r="Y7" s="32">
        <f t="array" ref="Y7">SUMPRODUCT(O7:R7, TRANSPOSE($AF$14:$AF$17))*(1000000/20000)/T7</f>
        <v>1</v>
      </c>
      <c r="Z7" s="32">
        <f t="shared" si="4"/>
        <v>4.5289855072463768E-2</v>
      </c>
      <c r="AA7" s="32">
        <f t="shared" si="3"/>
        <v>0.64432989690721654</v>
      </c>
      <c r="AB7" s="32">
        <f t="shared" si="0"/>
        <v>0</v>
      </c>
      <c r="AC7" s="34">
        <f t="shared" si="1"/>
        <v>5.1546391752577317E-2</v>
      </c>
      <c r="AD7" s="12"/>
      <c r="AK7" s="12"/>
      <c r="AL7" s="12"/>
    </row>
    <row r="8" spans="1:38" ht="15.75" thickBot="1" x14ac:dyDescent="0.3">
      <c r="D8" s="12"/>
      <c r="J8" s="22" t="s">
        <v>25</v>
      </c>
      <c r="K8" s="23" t="s">
        <v>28</v>
      </c>
      <c r="L8" s="24">
        <v>0</v>
      </c>
      <c r="M8" s="25">
        <v>0</v>
      </c>
      <c r="N8" s="25">
        <v>0</v>
      </c>
      <c r="O8" s="25">
        <v>1</v>
      </c>
      <c r="P8" s="25">
        <v>0</v>
      </c>
      <c r="Q8" s="25">
        <v>0</v>
      </c>
      <c r="R8" s="25">
        <v>0</v>
      </c>
      <c r="S8" s="26">
        <v>500</v>
      </c>
      <c r="T8" s="26">
        <f t="array" ref="T8">SUMPRODUCT(L8:R8,TRANSPOSE($AF$11:$AF$17))*1000000/20000</f>
        <v>776</v>
      </c>
      <c r="U8" s="25">
        <f t="shared" si="2"/>
        <v>1.8115942028985508</v>
      </c>
      <c r="V8" s="27">
        <f>E23*1000/(3*10^8)</f>
        <v>3.7333333333333336E-2</v>
      </c>
      <c r="W8" s="25">
        <f>G39/2 + G40/2</f>
        <v>0.255</v>
      </c>
      <c r="X8" s="25">
        <v>100</v>
      </c>
      <c r="Y8" s="25">
        <f t="array" ref="Y8">SUMPRODUCT(O8:R8, TRANSPOSE($AF$14:$AF$17))*(1000000/20000)/T8</f>
        <v>1</v>
      </c>
      <c r="Z8" s="25">
        <f t="shared" si="4"/>
        <v>4.095652173913044E-2</v>
      </c>
      <c r="AA8" s="25">
        <f t="shared" si="3"/>
        <v>0.64432989690721654</v>
      </c>
      <c r="AB8" s="25">
        <f t="shared" si="0"/>
        <v>0</v>
      </c>
      <c r="AC8" s="28">
        <f t="shared" si="1"/>
        <v>5.1546391752577317E-2</v>
      </c>
      <c r="AD8" s="12"/>
      <c r="AK8" s="12"/>
      <c r="AL8" s="12"/>
    </row>
    <row r="9" spans="1:38" ht="15.75" thickBot="1" x14ac:dyDescent="0.3">
      <c r="A9" s="37" t="s">
        <v>33</v>
      </c>
      <c r="B9" s="38" t="s">
        <v>34</v>
      </c>
      <c r="C9" s="39" t="s">
        <v>35</v>
      </c>
      <c r="D9" s="40" t="s">
        <v>36</v>
      </c>
      <c r="J9" s="29" t="s">
        <v>25</v>
      </c>
      <c r="K9" s="30" t="s">
        <v>30</v>
      </c>
      <c r="L9" s="31">
        <v>0</v>
      </c>
      <c r="M9" s="32">
        <v>0</v>
      </c>
      <c r="N9" s="32">
        <v>0</v>
      </c>
      <c r="O9" s="32">
        <v>0</v>
      </c>
      <c r="P9" s="32">
        <v>0</v>
      </c>
      <c r="Q9" s="32">
        <v>2</v>
      </c>
      <c r="R9" s="32">
        <v>0</v>
      </c>
      <c r="S9" s="26">
        <v>250</v>
      </c>
      <c r="T9" s="26">
        <f t="array" ref="T9">SUMPRODUCT(L9:R9,TRANSPOSE($AF$11:$AF$17))*1000000/20000</f>
        <v>447.36</v>
      </c>
      <c r="U9" s="32">
        <f t="shared" si="2"/>
        <v>1.2667207134171057</v>
      </c>
      <c r="V9" s="33">
        <f>F23*1000/(3*10^8)</f>
        <v>1.5333333333333332E-2</v>
      </c>
      <c r="W9" s="32">
        <f>I39/2 + I41/2</f>
        <v>0.253</v>
      </c>
      <c r="X9" s="32">
        <v>21</v>
      </c>
      <c r="Y9" s="32">
        <f t="array" ref="Y9">SUMPRODUCT(O9:R9, TRANSPOSE($AF$14:$AF$17))*(1000000/20000)/T9</f>
        <v>1</v>
      </c>
      <c r="Z9" s="32">
        <f t="shared" si="4"/>
        <v>2.0400216187001757E-2</v>
      </c>
      <c r="AA9" s="32">
        <f t="shared" si="3"/>
        <v>0.55883404864091557</v>
      </c>
      <c r="AB9" s="32">
        <f t="shared" si="0"/>
        <v>0</v>
      </c>
      <c r="AC9" s="34">
        <f t="shared" si="1"/>
        <v>2.5773195876288658E-2</v>
      </c>
      <c r="AD9" s="12"/>
      <c r="AE9" s="12"/>
      <c r="AF9" s="12"/>
      <c r="AG9" s="12"/>
      <c r="AH9" s="12"/>
      <c r="AI9" s="12"/>
      <c r="AJ9" s="12"/>
      <c r="AK9" s="12"/>
      <c r="AL9" s="12"/>
    </row>
    <row r="10" spans="1:38" x14ac:dyDescent="0.25">
      <c r="A10" s="41" t="s">
        <v>37</v>
      </c>
      <c r="B10" s="42">
        <v>20</v>
      </c>
      <c r="C10" s="43" t="s">
        <v>38</v>
      </c>
      <c r="D10" s="44" t="s">
        <v>39</v>
      </c>
      <c r="J10" s="22" t="s">
        <v>28</v>
      </c>
      <c r="K10" s="23" t="s">
        <v>27</v>
      </c>
      <c r="L10" s="24">
        <v>0</v>
      </c>
      <c r="M10" s="25">
        <v>0</v>
      </c>
      <c r="N10" s="25">
        <v>0</v>
      </c>
      <c r="O10" s="25">
        <v>1</v>
      </c>
      <c r="P10" s="25">
        <v>0</v>
      </c>
      <c r="Q10" s="25">
        <v>0</v>
      </c>
      <c r="R10" s="25">
        <v>0</v>
      </c>
      <c r="S10" s="26">
        <v>500</v>
      </c>
      <c r="T10" s="26">
        <f t="array" ref="T10">SUMPRODUCT(L10:R10,TRANSPOSE($AF$11:$AF$17))*1000000/20000</f>
        <v>776</v>
      </c>
      <c r="U10" s="25">
        <f t="shared" si="2"/>
        <v>1.8115942028985508</v>
      </c>
      <c r="V10" s="27">
        <f>C24*1000/(3*10^8)</f>
        <v>8.3333333333333332E-3</v>
      </c>
      <c r="W10" s="25">
        <f>G38/2 + G40/2</f>
        <v>0.2505</v>
      </c>
      <c r="X10" s="25">
        <v>100</v>
      </c>
      <c r="Y10" s="25">
        <f t="array" ref="Y10">SUMPRODUCT(O10:R10, TRANSPOSE($AF$14:$AF$17))*(1000000/20000)/T10</f>
        <v>1</v>
      </c>
      <c r="Z10" s="25">
        <f t="shared" si="4"/>
        <v>1.1956521739130435E-2</v>
      </c>
      <c r="AA10" s="25">
        <f t="shared" si="3"/>
        <v>0.64432989690721654</v>
      </c>
      <c r="AB10" s="25">
        <f t="shared" si="0"/>
        <v>0</v>
      </c>
      <c r="AC10" s="28">
        <f t="shared" si="1"/>
        <v>5.1546391752577317E-2</v>
      </c>
      <c r="AD10" s="12"/>
      <c r="AE10" s="12" t="s">
        <v>33</v>
      </c>
      <c r="AF10" s="12" t="s">
        <v>34</v>
      </c>
      <c r="AG10" s="12"/>
      <c r="AH10" s="12"/>
      <c r="AI10" s="12"/>
      <c r="AJ10" s="12"/>
      <c r="AK10" s="12"/>
      <c r="AL10" s="12"/>
    </row>
    <row r="11" spans="1:38" ht="15.75" thickBot="1" x14ac:dyDescent="0.3">
      <c r="A11" s="45" t="s">
        <v>40</v>
      </c>
      <c r="B11" s="46">
        <v>20</v>
      </c>
      <c r="C11" s="47" t="s">
        <v>41</v>
      </c>
      <c r="D11" s="28" t="s">
        <v>39</v>
      </c>
      <c r="J11" s="29" t="s">
        <v>30</v>
      </c>
      <c r="K11" s="48" t="s">
        <v>27</v>
      </c>
      <c r="L11" s="49">
        <v>0</v>
      </c>
      <c r="M11" s="50">
        <v>0</v>
      </c>
      <c r="N11" s="50">
        <v>0</v>
      </c>
      <c r="O11" s="50">
        <v>0</v>
      </c>
      <c r="P11" s="50">
        <v>0</v>
      </c>
      <c r="Q11" s="50">
        <v>0</v>
      </c>
      <c r="R11" s="50">
        <v>1</v>
      </c>
      <c r="S11" s="51">
        <v>200</v>
      </c>
      <c r="T11" s="51">
        <f t="array" ref="T11">SUMPRODUCT(L11:R11,TRANSPOSE($AF$11:$AF$17))*1000000/20000</f>
        <v>223.68</v>
      </c>
      <c r="U11" s="50">
        <f t="shared" si="2"/>
        <v>8.4459459459459438</v>
      </c>
      <c r="V11" s="52">
        <f>C25*1000/(3*10^8)</f>
        <v>2.7333333333333334E-2</v>
      </c>
      <c r="W11" s="50">
        <v>0</v>
      </c>
      <c r="X11" s="50" t="s">
        <v>42</v>
      </c>
      <c r="Y11" s="50">
        <f t="array" ref="Y11">SUMPRODUCT(O11:R11, TRANSPOSE($AF$14:$AF$17))*(1000000/20000)/T11</f>
        <v>1</v>
      </c>
      <c r="Z11" s="50">
        <f t="shared" si="4"/>
        <v>6.9563063063063049E-2</v>
      </c>
      <c r="AA11" s="50">
        <f t="shared" si="3"/>
        <v>0.89413447782546496</v>
      </c>
      <c r="AB11" s="50">
        <f t="shared" si="0"/>
        <v>0</v>
      </c>
      <c r="AC11" s="53">
        <f t="shared" si="1"/>
        <v>2.0618556701030927E-2</v>
      </c>
      <c r="AD11" s="12"/>
      <c r="AE11" s="12" t="s">
        <v>37</v>
      </c>
      <c r="AF11" s="54">
        <v>20</v>
      </c>
      <c r="AG11" s="12"/>
      <c r="AH11" s="12"/>
      <c r="AI11" s="12"/>
      <c r="AJ11" s="12"/>
      <c r="AK11" s="12"/>
      <c r="AL11" s="12"/>
    </row>
    <row r="12" spans="1:38" ht="15.75" thickBot="1" x14ac:dyDescent="0.3">
      <c r="A12" s="45" t="s">
        <v>43</v>
      </c>
      <c r="B12" s="46">
        <v>5</v>
      </c>
      <c r="C12" s="47" t="s">
        <v>44</v>
      </c>
      <c r="D12" s="28" t="s">
        <v>45</v>
      </c>
      <c r="J12" s="55" t="s">
        <v>30</v>
      </c>
      <c r="K12" s="56" t="s">
        <v>28</v>
      </c>
      <c r="L12" s="57">
        <v>2</v>
      </c>
      <c r="M12" s="58">
        <v>0</v>
      </c>
      <c r="N12" s="58">
        <v>0</v>
      </c>
      <c r="O12" s="58">
        <v>0</v>
      </c>
      <c r="P12" s="58">
        <v>0</v>
      </c>
      <c r="Q12" s="58">
        <v>0</v>
      </c>
      <c r="R12" s="58">
        <v>0</v>
      </c>
      <c r="S12" s="59">
        <v>1000</v>
      </c>
      <c r="T12" s="59">
        <f t="array" ref="T12">SUMPRODUCT(L12:R12,TRANSPOSE($AF$11:$AF$17))*1000000/20000</f>
        <v>2000</v>
      </c>
      <c r="U12" s="58">
        <f t="shared" si="2"/>
        <v>1</v>
      </c>
      <c r="V12" s="60">
        <f>E25*1000/(3*10^8)</f>
        <v>2.1999999999999999E-2</v>
      </c>
      <c r="W12" s="58">
        <f>I40/2 + I41/2</f>
        <v>0.26050000000000001</v>
      </c>
      <c r="X12" s="58">
        <v>21</v>
      </c>
      <c r="Y12" s="58">
        <f t="array" ref="Y12">SUMPRODUCT(O12:R12, TRANSPOSE($AF$14:$AF$17))*(1000000/20000)/T12</f>
        <v>0</v>
      </c>
      <c r="Z12" s="58">
        <f>2/(T12-S12)+Y12*V12+(1-Y12)*W12</f>
        <v>0.26250000000000001</v>
      </c>
      <c r="AA12" s="58">
        <f t="shared" si="3"/>
        <v>0.5</v>
      </c>
      <c r="AB12" s="58">
        <f t="shared" si="0"/>
        <v>0</v>
      </c>
      <c r="AC12" s="61">
        <f t="shared" si="1"/>
        <v>0.10309278350515463</v>
      </c>
      <c r="AD12" s="12"/>
      <c r="AE12" s="12" t="s">
        <v>40</v>
      </c>
      <c r="AF12" s="54">
        <v>20</v>
      </c>
      <c r="AG12" s="12"/>
      <c r="AH12" s="12"/>
      <c r="AI12" s="12"/>
      <c r="AJ12" s="12"/>
      <c r="AK12" s="12"/>
      <c r="AL12" s="12"/>
    </row>
    <row r="13" spans="1:38" ht="15.75" thickBot="1" x14ac:dyDescent="0.3">
      <c r="A13" s="45" t="s">
        <v>8</v>
      </c>
      <c r="B13" s="46">
        <v>15.52</v>
      </c>
      <c r="C13" s="47" t="s">
        <v>46</v>
      </c>
      <c r="D13" s="28" t="s">
        <v>47</v>
      </c>
      <c r="J13" s="62"/>
      <c r="K13" s="63" t="s">
        <v>48</v>
      </c>
      <c r="L13" s="64"/>
      <c r="M13" s="65"/>
      <c r="N13" s="65"/>
      <c r="O13" s="65"/>
      <c r="P13" s="65"/>
      <c r="Q13" s="65"/>
      <c r="R13" s="65"/>
      <c r="S13" s="66">
        <f>SUM(S3:S12)</f>
        <v>6950</v>
      </c>
      <c r="T13" s="66">
        <f>SUM(T3:T12)</f>
        <v>11102.720000000001</v>
      </c>
      <c r="U13" s="65"/>
      <c r="V13" s="65"/>
      <c r="W13" s="65"/>
      <c r="X13" s="65"/>
      <c r="Y13" s="65"/>
      <c r="Z13" s="65"/>
      <c r="AA13" s="65"/>
      <c r="AB13" s="65"/>
      <c r="AC13" s="67">
        <f>SUM(AC3:AC12)</f>
        <v>0.71649484536082475</v>
      </c>
      <c r="AD13" s="12"/>
      <c r="AE13" s="12" t="s">
        <v>43</v>
      </c>
      <c r="AF13" s="54">
        <v>5</v>
      </c>
      <c r="AG13" s="12"/>
      <c r="AH13" s="12"/>
      <c r="AI13" s="12"/>
      <c r="AJ13" s="12"/>
      <c r="AK13" s="12"/>
      <c r="AL13" s="12"/>
    </row>
    <row r="14" spans="1:38" ht="15.75" thickBot="1" x14ac:dyDescent="0.3">
      <c r="A14" s="45" t="s">
        <v>9</v>
      </c>
      <c r="B14" s="46">
        <v>15.52</v>
      </c>
      <c r="C14" s="47" t="s">
        <v>44</v>
      </c>
      <c r="D14" s="28" t="s">
        <v>49</v>
      </c>
      <c r="J14" s="12"/>
      <c r="K14" s="68" t="s">
        <v>50</v>
      </c>
      <c r="L14" s="69">
        <f t="shared" ref="L14:R14" si="5">SUM(L3:L12)</f>
        <v>4</v>
      </c>
      <c r="M14" s="69">
        <f t="shared" si="5"/>
        <v>0</v>
      </c>
      <c r="N14" s="69">
        <f t="shared" si="5"/>
        <v>0</v>
      </c>
      <c r="O14" s="69">
        <f t="shared" si="5"/>
        <v>6</v>
      </c>
      <c r="P14" s="69">
        <f t="shared" si="5"/>
        <v>2</v>
      </c>
      <c r="Q14" s="69">
        <f t="shared" si="5"/>
        <v>3</v>
      </c>
      <c r="R14" s="69">
        <f t="shared" si="5"/>
        <v>1</v>
      </c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 t="s">
        <v>8</v>
      </c>
      <c r="AF14" s="54">
        <v>15.52</v>
      </c>
      <c r="AG14" s="12"/>
      <c r="AH14" s="12"/>
      <c r="AI14" s="12"/>
      <c r="AJ14" s="12"/>
      <c r="AK14" s="12"/>
      <c r="AL14" s="12"/>
    </row>
    <row r="15" spans="1:38" ht="15.75" thickBot="1" x14ac:dyDescent="0.3">
      <c r="A15" s="45" t="s">
        <v>51</v>
      </c>
      <c r="B15" s="46">
        <v>4.4736000000000002</v>
      </c>
      <c r="C15" s="47" t="s">
        <v>52</v>
      </c>
      <c r="D15" s="28" t="s">
        <v>47</v>
      </c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 t="s">
        <v>9</v>
      </c>
      <c r="AF15" s="54">
        <v>15.52</v>
      </c>
      <c r="AG15" s="12"/>
      <c r="AH15" s="12"/>
      <c r="AI15" s="12"/>
      <c r="AJ15" s="12"/>
      <c r="AK15" s="12"/>
      <c r="AL15" s="12"/>
    </row>
    <row r="16" spans="1:38" ht="15.75" thickBot="1" x14ac:dyDescent="0.3">
      <c r="A16" s="70" t="s">
        <v>53</v>
      </c>
      <c r="B16" s="71">
        <v>4.4736000000000002</v>
      </c>
      <c r="C16" s="72" t="s">
        <v>44</v>
      </c>
      <c r="D16" s="73" t="s">
        <v>45</v>
      </c>
      <c r="R16" s="12"/>
      <c r="S16" s="12"/>
      <c r="T16" s="12"/>
      <c r="U16" s="12"/>
      <c r="V16" s="12"/>
      <c r="W16" s="12"/>
      <c r="X16" s="12"/>
      <c r="Y16" s="12"/>
      <c r="Z16" s="74" t="s">
        <v>54</v>
      </c>
      <c r="AA16" s="74">
        <f>SUMPRODUCT(AC3:AC12,Z3:Z12)+SUMPRODUCT(R18:R27,T18:T27)</f>
        <v>0.10089552559626092</v>
      </c>
      <c r="AB16" s="12"/>
      <c r="AC16" s="12"/>
      <c r="AD16" s="12"/>
      <c r="AE16" s="12" t="s">
        <v>51</v>
      </c>
      <c r="AF16" s="54">
        <v>4.4736000000000002</v>
      </c>
      <c r="AG16" s="12"/>
      <c r="AH16" s="12"/>
      <c r="AI16" s="12"/>
      <c r="AJ16" s="12"/>
      <c r="AK16" s="12"/>
      <c r="AL16" s="12"/>
    </row>
    <row r="17" spans="1:39" ht="15.75" thickBot="1" x14ac:dyDescent="0.3">
      <c r="D17" s="12"/>
      <c r="J17" s="75" t="s">
        <v>3</v>
      </c>
      <c r="K17" s="76" t="s">
        <v>4</v>
      </c>
      <c r="L17" s="77" t="s">
        <v>12</v>
      </c>
      <c r="M17" s="78" t="s">
        <v>13</v>
      </c>
      <c r="N17" s="78" t="s">
        <v>14</v>
      </c>
      <c r="O17" s="78" t="s">
        <v>55</v>
      </c>
      <c r="P17" s="78" t="s">
        <v>16</v>
      </c>
      <c r="Q17" s="78" t="s">
        <v>18</v>
      </c>
      <c r="R17" s="78" t="s">
        <v>56</v>
      </c>
      <c r="S17" s="78" t="s">
        <v>20</v>
      </c>
      <c r="T17" s="79" t="s">
        <v>22</v>
      </c>
      <c r="U17" s="12"/>
      <c r="V17" s="12"/>
      <c r="W17" s="12"/>
      <c r="X17" s="12"/>
      <c r="Y17" s="12"/>
      <c r="Z17" s="68" t="s">
        <v>57</v>
      </c>
      <c r="AA17" s="80">
        <f>AA16*1000</f>
        <v>100.89552559626091</v>
      </c>
      <c r="AB17" s="12"/>
      <c r="AC17" s="12"/>
      <c r="AD17" s="12"/>
      <c r="AE17" s="12" t="s">
        <v>53</v>
      </c>
      <c r="AF17" s="54">
        <v>4.4736000000000002</v>
      </c>
      <c r="AG17" s="12"/>
      <c r="AH17" s="12"/>
      <c r="AI17" s="12"/>
      <c r="AJ17" s="12"/>
      <c r="AK17" s="12"/>
      <c r="AL17" s="12"/>
    </row>
    <row r="18" spans="1:39" ht="15.75" thickBot="1" x14ac:dyDescent="0.3">
      <c r="D18" s="12"/>
      <c r="J18" s="29" t="s">
        <v>25</v>
      </c>
      <c r="K18" s="30" t="s">
        <v>24</v>
      </c>
      <c r="L18" s="81">
        <v>250</v>
      </c>
      <c r="M18" s="82">
        <f t="shared" ref="M18:M27" si="6">T3</f>
        <v>2551.6799999999998</v>
      </c>
      <c r="N18" s="82">
        <f>L18/(M18-L18)</f>
        <v>0.10861631503944945</v>
      </c>
      <c r="O18" s="83">
        <f t="shared" ref="O18:P27" si="7">V3</f>
        <v>4.6666666666666669E-2</v>
      </c>
      <c r="P18" s="82">
        <f t="shared" si="7"/>
        <v>0.26</v>
      </c>
      <c r="Q18" s="82">
        <f t="shared" ref="Q18:Q27" si="8">Y3</f>
        <v>1</v>
      </c>
      <c r="R18" s="82">
        <f>1/(M18-L18)+Q18*O18+(1-Q18)*P18</f>
        <v>4.7101131926824469E-2</v>
      </c>
      <c r="S18" s="82">
        <f>L18/M18</f>
        <v>9.7974667669927268E-2</v>
      </c>
      <c r="T18" s="84">
        <f>L18/($L$28+$S$13)</f>
        <v>2.5773195876288658E-2</v>
      </c>
      <c r="V18" s="12"/>
      <c r="AD18" s="12"/>
      <c r="AE18" s="12"/>
      <c r="AF18" s="12"/>
      <c r="AG18" s="12"/>
      <c r="AH18" s="12"/>
      <c r="AI18" s="12"/>
      <c r="AJ18" s="12"/>
      <c r="AK18" s="12"/>
      <c r="AL18" s="12"/>
    </row>
    <row r="19" spans="1:39" x14ac:dyDescent="0.25">
      <c r="A19" s="220" t="s">
        <v>3</v>
      </c>
      <c r="B19" s="222" t="s">
        <v>58</v>
      </c>
      <c r="C19" s="223"/>
      <c r="D19" s="223"/>
      <c r="E19" s="223"/>
      <c r="F19" s="224"/>
      <c r="G19" s="85"/>
      <c r="H19" s="85"/>
      <c r="I19" s="85"/>
      <c r="J19" s="22" t="s">
        <v>28</v>
      </c>
      <c r="K19" s="23" t="s">
        <v>24</v>
      </c>
      <c r="L19" s="46">
        <v>250</v>
      </c>
      <c r="M19" s="47">
        <f t="shared" si="6"/>
        <v>2000</v>
      </c>
      <c r="N19" s="47">
        <f t="shared" ref="N19:N27" si="9">L19/(M19-L19)</f>
        <v>0.14285714285714285</v>
      </c>
      <c r="O19" s="86">
        <f t="shared" si="7"/>
        <v>2.6333333333333334E-2</v>
      </c>
      <c r="P19" s="47">
        <f t="shared" si="7"/>
        <v>0.25700000000000001</v>
      </c>
      <c r="Q19" s="47">
        <f t="shared" si="8"/>
        <v>0</v>
      </c>
      <c r="R19" s="47">
        <f>2/(M19-L19)+Q19*O19+(1-Q19)*P19</f>
        <v>0.25814285714285717</v>
      </c>
      <c r="S19" s="47">
        <f t="shared" ref="S19:S27" si="10">L19/M19</f>
        <v>0.125</v>
      </c>
      <c r="T19" s="84">
        <f t="shared" ref="T19:T27" si="11">L19/($L$28+$S$13)</f>
        <v>2.5773195876288658E-2</v>
      </c>
      <c r="V19" s="12"/>
      <c r="AD19" s="12"/>
      <c r="AE19" s="12"/>
      <c r="AF19" s="12"/>
      <c r="AG19" s="12"/>
      <c r="AH19" s="12"/>
      <c r="AI19" s="12"/>
      <c r="AJ19" s="12"/>
      <c r="AK19" s="12"/>
      <c r="AL19" s="12"/>
    </row>
    <row r="20" spans="1:39" ht="15.75" thickBot="1" x14ac:dyDescent="0.3">
      <c r="A20" s="221"/>
      <c r="B20" s="35" t="s">
        <v>23</v>
      </c>
      <c r="C20" s="87" t="s">
        <v>26</v>
      </c>
      <c r="D20" s="87" t="s">
        <v>29</v>
      </c>
      <c r="E20" s="87" t="s">
        <v>31</v>
      </c>
      <c r="F20" s="88" t="s">
        <v>32</v>
      </c>
      <c r="G20" s="85"/>
      <c r="H20" s="85"/>
      <c r="I20" s="85"/>
      <c r="J20" s="29" t="s">
        <v>30</v>
      </c>
      <c r="K20" s="30" t="s">
        <v>24</v>
      </c>
      <c r="L20" s="81">
        <v>250</v>
      </c>
      <c r="M20" s="82">
        <f t="shared" si="6"/>
        <v>776</v>
      </c>
      <c r="N20" s="82">
        <f t="shared" si="9"/>
        <v>0.47528517110266161</v>
      </c>
      <c r="O20" s="83">
        <f t="shared" si="7"/>
        <v>0.04</v>
      </c>
      <c r="P20" s="82">
        <f t="shared" si="7"/>
        <v>0.28400000000000003</v>
      </c>
      <c r="Q20" s="82">
        <f t="shared" si="8"/>
        <v>1</v>
      </c>
      <c r="R20" s="82">
        <f t="shared" ref="R20:R26" si="12">1/(M20-L20)+Q20*O20+(1-Q20)*P20</f>
        <v>4.190114068441065E-2</v>
      </c>
      <c r="S20" s="82">
        <f t="shared" si="10"/>
        <v>0.32216494845360827</v>
      </c>
      <c r="T20" s="84">
        <f t="shared" si="11"/>
        <v>2.5773195876288658E-2</v>
      </c>
      <c r="V20" s="12"/>
      <c r="AD20" s="12"/>
      <c r="AE20" s="12"/>
      <c r="AF20" s="12"/>
      <c r="AG20" s="12"/>
      <c r="AH20" s="12"/>
      <c r="AI20" s="12"/>
      <c r="AJ20" s="12"/>
      <c r="AK20" s="12"/>
      <c r="AL20" s="12"/>
    </row>
    <row r="21" spans="1:39" x14ac:dyDescent="0.25">
      <c r="A21" s="89" t="s">
        <v>23</v>
      </c>
      <c r="B21" s="90">
        <v>0</v>
      </c>
      <c r="C21" s="91">
        <v>5400</v>
      </c>
      <c r="D21" s="91">
        <v>14000</v>
      </c>
      <c r="E21" s="91">
        <v>7900</v>
      </c>
      <c r="F21" s="11">
        <v>12000</v>
      </c>
      <c r="G21" s="92"/>
      <c r="H21" s="92"/>
      <c r="I21" s="92"/>
      <c r="J21" s="22" t="s">
        <v>24</v>
      </c>
      <c r="K21" s="23" t="s">
        <v>27</v>
      </c>
      <c r="L21" s="46">
        <v>200</v>
      </c>
      <c r="M21" s="47">
        <f t="shared" si="6"/>
        <v>776</v>
      </c>
      <c r="N21" s="47">
        <f t="shared" si="9"/>
        <v>0.34722222222222221</v>
      </c>
      <c r="O21" s="86">
        <f t="shared" si="7"/>
        <v>1.7999999999999999E-2</v>
      </c>
      <c r="P21" s="47">
        <f t="shared" si="7"/>
        <v>0.2555</v>
      </c>
      <c r="Q21" s="47">
        <f t="shared" si="8"/>
        <v>1</v>
      </c>
      <c r="R21" s="47">
        <f t="shared" si="12"/>
        <v>1.9736111111111111E-2</v>
      </c>
      <c r="S21" s="47">
        <f t="shared" si="10"/>
        <v>0.25773195876288657</v>
      </c>
      <c r="T21" s="84">
        <f t="shared" si="11"/>
        <v>2.0618556701030927E-2</v>
      </c>
      <c r="V21" s="12"/>
      <c r="Z21" s="225" t="s">
        <v>59</v>
      </c>
      <c r="AA21" s="226"/>
      <c r="AD21" s="12"/>
      <c r="AF21" s="12"/>
      <c r="AG21" s="12"/>
      <c r="AH21" s="12"/>
      <c r="AI21" s="12"/>
      <c r="AJ21" s="12"/>
      <c r="AK21" s="12"/>
      <c r="AL21" s="12"/>
    </row>
    <row r="22" spans="1:39" x14ac:dyDescent="0.25">
      <c r="A22" s="93" t="s">
        <v>26</v>
      </c>
      <c r="B22" s="94">
        <v>5400</v>
      </c>
      <c r="C22" s="95">
        <v>0</v>
      </c>
      <c r="D22" s="95">
        <v>12500</v>
      </c>
      <c r="E22" s="95">
        <v>2500</v>
      </c>
      <c r="F22" s="21">
        <v>8200</v>
      </c>
      <c r="G22" s="96"/>
      <c r="H22" s="96"/>
      <c r="I22" s="96"/>
      <c r="J22" s="29" t="s">
        <v>25</v>
      </c>
      <c r="K22" s="30" t="s">
        <v>27</v>
      </c>
      <c r="L22" s="81">
        <v>500</v>
      </c>
      <c r="M22" s="82">
        <f t="shared" si="6"/>
        <v>776</v>
      </c>
      <c r="N22" s="82">
        <f t="shared" si="9"/>
        <v>1.8115942028985508</v>
      </c>
      <c r="O22" s="83">
        <f t="shared" si="7"/>
        <v>4.1666666666666664E-2</v>
      </c>
      <c r="P22" s="82">
        <f t="shared" si="7"/>
        <v>0.2535</v>
      </c>
      <c r="Q22" s="82">
        <f t="shared" si="8"/>
        <v>1</v>
      </c>
      <c r="R22" s="82">
        <f t="shared" si="12"/>
        <v>4.5289855072463768E-2</v>
      </c>
      <c r="S22" s="82">
        <f t="shared" si="10"/>
        <v>0.64432989690721654</v>
      </c>
      <c r="T22" s="84">
        <f t="shared" si="11"/>
        <v>5.1546391752577317E-2</v>
      </c>
      <c r="V22" s="12"/>
      <c r="Z22" s="47" t="s">
        <v>60</v>
      </c>
      <c r="AA22" s="97">
        <f>O47/6000000</f>
        <v>0</v>
      </c>
      <c r="AD22" s="12"/>
      <c r="AF22" s="12"/>
      <c r="AG22" s="12"/>
      <c r="AH22" s="12"/>
      <c r="AI22" s="12"/>
      <c r="AJ22" s="12"/>
      <c r="AK22" s="12"/>
      <c r="AL22" s="12"/>
    </row>
    <row r="23" spans="1:39" x14ac:dyDescent="0.25">
      <c r="A23" s="93" t="s">
        <v>29</v>
      </c>
      <c r="B23" s="94">
        <v>14000</v>
      </c>
      <c r="C23" s="95">
        <v>12500</v>
      </c>
      <c r="D23" s="95">
        <v>0</v>
      </c>
      <c r="E23" s="95">
        <v>11200</v>
      </c>
      <c r="F23" s="21">
        <v>4600</v>
      </c>
      <c r="G23" s="96"/>
      <c r="H23" s="96"/>
      <c r="I23" s="96"/>
      <c r="J23" s="22" t="s">
        <v>28</v>
      </c>
      <c r="K23" s="23" t="s">
        <v>25</v>
      </c>
      <c r="L23" s="46">
        <v>500</v>
      </c>
      <c r="M23" s="47">
        <f t="shared" si="6"/>
        <v>776</v>
      </c>
      <c r="N23" s="47">
        <f t="shared" si="9"/>
        <v>1.8115942028985508</v>
      </c>
      <c r="O23" s="86">
        <f t="shared" si="7"/>
        <v>3.7333333333333336E-2</v>
      </c>
      <c r="P23" s="47">
        <f t="shared" si="7"/>
        <v>0.255</v>
      </c>
      <c r="Q23" s="47">
        <f t="shared" si="8"/>
        <v>1</v>
      </c>
      <c r="R23" s="47">
        <f t="shared" si="12"/>
        <v>4.095652173913044E-2</v>
      </c>
      <c r="S23" s="47">
        <f t="shared" si="10"/>
        <v>0.64432989690721654</v>
      </c>
      <c r="T23" s="84">
        <f t="shared" si="11"/>
        <v>5.1546391752577317E-2</v>
      </c>
      <c r="V23" s="12"/>
      <c r="Z23" s="47" t="s">
        <v>61</v>
      </c>
      <c r="AA23" s="47">
        <v>0</v>
      </c>
      <c r="AD23" s="12"/>
      <c r="AF23" s="12"/>
      <c r="AG23" s="12"/>
      <c r="AH23" s="12"/>
      <c r="AI23" s="12"/>
      <c r="AJ23" s="12"/>
      <c r="AK23" s="12"/>
      <c r="AL23" s="12"/>
    </row>
    <row r="24" spans="1:39" x14ac:dyDescent="0.25">
      <c r="A24" s="93" t="s">
        <v>31</v>
      </c>
      <c r="B24" s="94">
        <v>7900</v>
      </c>
      <c r="C24" s="95">
        <v>2500</v>
      </c>
      <c r="D24" s="95">
        <v>11200</v>
      </c>
      <c r="E24" s="95">
        <v>0</v>
      </c>
      <c r="F24" s="21">
        <v>6600</v>
      </c>
      <c r="G24" s="96"/>
      <c r="H24" s="96"/>
      <c r="I24" s="96"/>
      <c r="J24" s="29" t="s">
        <v>30</v>
      </c>
      <c r="K24" s="30" t="s">
        <v>25</v>
      </c>
      <c r="L24" s="81">
        <v>250</v>
      </c>
      <c r="M24" s="82">
        <f t="shared" si="6"/>
        <v>447.36</v>
      </c>
      <c r="N24" s="82">
        <f t="shared" si="9"/>
        <v>1.2667207134171057</v>
      </c>
      <c r="O24" s="83">
        <f t="shared" si="7"/>
        <v>1.5333333333333332E-2</v>
      </c>
      <c r="P24" s="82">
        <f>W9</f>
        <v>0.253</v>
      </c>
      <c r="Q24" s="82">
        <f t="shared" si="8"/>
        <v>1</v>
      </c>
      <c r="R24" s="82">
        <f t="shared" si="12"/>
        <v>2.0400216187001757E-2</v>
      </c>
      <c r="S24" s="82">
        <f t="shared" si="10"/>
        <v>0.55883404864091557</v>
      </c>
      <c r="T24" s="84">
        <f t="shared" si="11"/>
        <v>2.5773195876288658E-2</v>
      </c>
      <c r="V24" s="12"/>
      <c r="Z24" s="47" t="s">
        <v>62</v>
      </c>
      <c r="AA24" s="47">
        <f>AA17*0.1</f>
        <v>10.089552559626092</v>
      </c>
      <c r="AD24" s="12"/>
      <c r="AF24" s="12"/>
      <c r="AG24" s="12"/>
      <c r="AH24" s="12"/>
      <c r="AI24" s="12"/>
      <c r="AJ24" s="12"/>
      <c r="AK24" s="12"/>
      <c r="AL24" s="12"/>
    </row>
    <row r="25" spans="1:39" ht="15.75" thickBot="1" x14ac:dyDescent="0.3">
      <c r="A25" s="98" t="s">
        <v>32</v>
      </c>
      <c r="B25" s="99">
        <v>12000</v>
      </c>
      <c r="C25" s="100">
        <v>8200</v>
      </c>
      <c r="D25" s="100">
        <v>4600</v>
      </c>
      <c r="E25" s="100">
        <v>6600</v>
      </c>
      <c r="F25" s="36">
        <v>0</v>
      </c>
      <c r="G25" s="92"/>
      <c r="H25" s="92"/>
      <c r="I25" s="92"/>
      <c r="J25" s="22" t="s">
        <v>27</v>
      </c>
      <c r="K25" s="23" t="s">
        <v>28</v>
      </c>
      <c r="L25" s="46">
        <v>250</v>
      </c>
      <c r="M25" s="47">
        <f t="shared" si="6"/>
        <v>776</v>
      </c>
      <c r="N25" s="47">
        <f t="shared" si="9"/>
        <v>0.47528517110266161</v>
      </c>
      <c r="O25" s="86">
        <f t="shared" si="7"/>
        <v>8.3333333333333332E-3</v>
      </c>
      <c r="P25" s="47">
        <f t="shared" si="7"/>
        <v>0.2505</v>
      </c>
      <c r="Q25" s="47">
        <f t="shared" si="8"/>
        <v>1</v>
      </c>
      <c r="R25" s="47">
        <f t="shared" si="12"/>
        <v>1.023447401774398E-2</v>
      </c>
      <c r="S25" s="47">
        <f t="shared" si="10"/>
        <v>0.32216494845360827</v>
      </c>
      <c r="T25" s="84">
        <f t="shared" si="11"/>
        <v>2.5773195876288658E-2</v>
      </c>
      <c r="V25" s="12"/>
      <c r="Z25" s="47" t="s">
        <v>63</v>
      </c>
      <c r="AA25" s="101">
        <f>SUM(AA22:AA24)</f>
        <v>10.089552559626092</v>
      </c>
      <c r="AD25" s="12"/>
      <c r="AF25" s="12"/>
      <c r="AG25" s="12"/>
      <c r="AH25" s="12"/>
      <c r="AI25" s="12"/>
      <c r="AJ25" s="12"/>
      <c r="AK25" s="12"/>
      <c r="AL25" s="12"/>
    </row>
    <row r="26" spans="1:39" x14ac:dyDescent="0.25">
      <c r="D26" s="12"/>
      <c r="E26" s="12"/>
      <c r="F26" s="12"/>
      <c r="G26" s="12"/>
      <c r="H26" s="12"/>
      <c r="I26" s="12"/>
      <c r="J26" s="29" t="s">
        <v>27</v>
      </c>
      <c r="K26" s="30" t="s">
        <v>30</v>
      </c>
      <c r="L26" s="81">
        <v>50</v>
      </c>
      <c r="M26" s="82">
        <f t="shared" si="6"/>
        <v>223.68</v>
      </c>
      <c r="N26" s="82">
        <f t="shared" si="9"/>
        <v>0.28788576692768308</v>
      </c>
      <c r="O26" s="83">
        <f t="shared" si="7"/>
        <v>2.7333333333333334E-2</v>
      </c>
      <c r="P26" s="82">
        <f t="shared" si="7"/>
        <v>0</v>
      </c>
      <c r="Q26" s="82">
        <f t="shared" si="8"/>
        <v>1</v>
      </c>
      <c r="R26" s="82">
        <f t="shared" si="12"/>
        <v>3.3091048671886995E-2</v>
      </c>
      <c r="S26" s="82">
        <f t="shared" si="10"/>
        <v>0.22353361945636624</v>
      </c>
      <c r="T26" s="84">
        <f t="shared" si="11"/>
        <v>5.1546391752577319E-3</v>
      </c>
      <c r="V26" s="12"/>
      <c r="AE26" s="12"/>
      <c r="AF26" s="12"/>
      <c r="AG26" s="12"/>
      <c r="AH26" s="12"/>
      <c r="AI26" s="12"/>
      <c r="AJ26" s="12"/>
      <c r="AK26" s="12"/>
      <c r="AL26" s="12"/>
      <c r="AM26" s="12"/>
    </row>
    <row r="27" spans="1:39" ht="15.75" thickBot="1" x14ac:dyDescent="0.3">
      <c r="I27" s="12"/>
      <c r="J27" s="102" t="s">
        <v>28</v>
      </c>
      <c r="K27" s="103" t="s">
        <v>30</v>
      </c>
      <c r="L27" s="71">
        <v>250</v>
      </c>
      <c r="M27" s="72">
        <f t="shared" si="6"/>
        <v>2000</v>
      </c>
      <c r="N27" s="72">
        <f t="shared" si="9"/>
        <v>0.14285714285714285</v>
      </c>
      <c r="O27" s="104">
        <f t="shared" si="7"/>
        <v>2.1999999999999999E-2</v>
      </c>
      <c r="P27" s="72">
        <f t="shared" si="7"/>
        <v>0.26050000000000001</v>
      </c>
      <c r="Q27" s="72">
        <f t="shared" si="8"/>
        <v>0</v>
      </c>
      <c r="R27" s="72">
        <f>2/(M27-L27)+Q27*O27+(1-Q27)*P27</f>
        <v>0.26164285714285718</v>
      </c>
      <c r="S27" s="72">
        <f t="shared" si="10"/>
        <v>0.125</v>
      </c>
      <c r="T27" s="84">
        <f t="shared" si="11"/>
        <v>2.5773195876288658E-2</v>
      </c>
      <c r="V27" s="12"/>
      <c r="AE27" s="12"/>
      <c r="AF27" s="12"/>
      <c r="AG27" s="12"/>
      <c r="AH27" s="12"/>
      <c r="AI27" s="12"/>
      <c r="AJ27" s="12"/>
      <c r="AK27" s="12"/>
      <c r="AL27" s="12"/>
      <c r="AM27" s="12"/>
    </row>
    <row r="28" spans="1:39" ht="15.75" thickBot="1" x14ac:dyDescent="0.3">
      <c r="A28" s="227" t="s">
        <v>3</v>
      </c>
      <c r="B28" s="229" t="s">
        <v>64</v>
      </c>
      <c r="C28" s="230"/>
      <c r="D28" s="230"/>
      <c r="E28" s="230"/>
      <c r="F28" s="231"/>
      <c r="K28" s="105" t="s">
        <v>48</v>
      </c>
      <c r="L28" s="106">
        <f>SUM(L18:L27)</f>
        <v>2750</v>
      </c>
      <c r="M28" s="107">
        <f>SUM(M18:M27)</f>
        <v>11102.720000000001</v>
      </c>
      <c r="N28" s="107"/>
      <c r="O28" s="107"/>
      <c r="P28" s="107"/>
      <c r="Q28" s="107"/>
      <c r="R28" s="107"/>
      <c r="S28" s="107"/>
      <c r="T28" s="108">
        <f>SUM(T18:T27)</f>
        <v>0.28350515463917525</v>
      </c>
      <c r="AG28" s="12"/>
      <c r="AH28" s="12"/>
    </row>
    <row r="29" spans="1:39" ht="15.75" thickBot="1" x14ac:dyDescent="0.3">
      <c r="A29" s="228"/>
      <c r="B29" s="102" t="s">
        <v>23</v>
      </c>
      <c r="C29" s="109" t="s">
        <v>26</v>
      </c>
      <c r="D29" s="109" t="s">
        <v>29</v>
      </c>
      <c r="E29" s="109" t="s">
        <v>31</v>
      </c>
      <c r="F29" s="103" t="s">
        <v>32</v>
      </c>
      <c r="AE29" s="12"/>
      <c r="AF29" s="12"/>
    </row>
    <row r="30" spans="1:39" x14ac:dyDescent="0.25">
      <c r="A30" s="110" t="s">
        <v>23</v>
      </c>
      <c r="B30" s="90">
        <v>0</v>
      </c>
      <c r="C30" s="91">
        <v>200</v>
      </c>
      <c r="D30" s="91">
        <v>2500</v>
      </c>
      <c r="E30" s="91">
        <v>1000</v>
      </c>
      <c r="F30" s="11">
        <v>250</v>
      </c>
      <c r="AF30" s="12"/>
      <c r="AG30" s="12"/>
    </row>
    <row r="31" spans="1:39" x14ac:dyDescent="0.25">
      <c r="A31" s="111" t="s">
        <v>26</v>
      </c>
      <c r="B31" s="94">
        <v>250</v>
      </c>
      <c r="C31" s="95">
        <v>0</v>
      </c>
      <c r="D31" s="95">
        <v>500</v>
      </c>
      <c r="E31" s="95">
        <v>250</v>
      </c>
      <c r="F31" s="21">
        <v>50</v>
      </c>
      <c r="K31" s="218"/>
      <c r="L31" s="218"/>
      <c r="M31" s="218"/>
      <c r="N31" s="218"/>
      <c r="O31" s="218"/>
      <c r="P31" s="12"/>
      <c r="Q31" s="12"/>
      <c r="AF31" s="12"/>
      <c r="AG31" s="12"/>
    </row>
    <row r="32" spans="1:39" x14ac:dyDescent="0.25">
      <c r="A32" s="111" t="s">
        <v>29</v>
      </c>
      <c r="B32" s="94">
        <v>250</v>
      </c>
      <c r="C32" s="95">
        <v>500</v>
      </c>
      <c r="D32" s="95">
        <v>0</v>
      </c>
      <c r="E32" s="95">
        <v>500</v>
      </c>
      <c r="F32" s="21">
        <v>250</v>
      </c>
      <c r="K32" s="12"/>
      <c r="L32" s="112"/>
      <c r="M32" s="112"/>
      <c r="N32" s="112"/>
      <c r="P32" s="12"/>
      <c r="Q32" s="12"/>
      <c r="AF32" s="12"/>
      <c r="AG32" s="12"/>
    </row>
    <row r="33" spans="1:16" x14ac:dyDescent="0.25">
      <c r="A33" s="111" t="s">
        <v>31</v>
      </c>
      <c r="B33" s="94">
        <v>250</v>
      </c>
      <c r="C33" s="95">
        <v>500</v>
      </c>
      <c r="D33" s="95">
        <v>500</v>
      </c>
      <c r="E33" s="95">
        <v>0</v>
      </c>
      <c r="F33" s="21">
        <v>250</v>
      </c>
      <c r="K33" s="12"/>
      <c r="L33" s="112"/>
      <c r="O33" s="12"/>
    </row>
    <row r="34" spans="1:16" ht="15.75" thickBot="1" x14ac:dyDescent="0.3">
      <c r="A34" s="113" t="s">
        <v>32</v>
      </c>
      <c r="B34" s="99">
        <v>250</v>
      </c>
      <c r="C34" s="100">
        <v>200</v>
      </c>
      <c r="D34" s="100">
        <v>250</v>
      </c>
      <c r="E34" s="100">
        <v>1000</v>
      </c>
      <c r="F34" s="36">
        <v>0</v>
      </c>
      <c r="L34" s="112"/>
      <c r="N34" s="114"/>
    </row>
    <row r="35" spans="1:16" ht="15.75" thickBot="1" x14ac:dyDescent="0.3">
      <c r="A35" s="115"/>
      <c r="B35" s="92"/>
      <c r="C35" s="92"/>
      <c r="D35" s="92"/>
      <c r="E35" s="92"/>
      <c r="F35" s="92"/>
      <c r="K35" s="12"/>
      <c r="L35" s="112"/>
    </row>
    <row r="36" spans="1:16" ht="50.1" customHeight="1" thickBot="1" x14ac:dyDescent="0.3">
      <c r="A36" s="105" t="s">
        <v>65</v>
      </c>
      <c r="B36" s="38" t="s">
        <v>66</v>
      </c>
      <c r="C36" s="39" t="s">
        <v>67</v>
      </c>
      <c r="D36" s="39" t="s">
        <v>68</v>
      </c>
      <c r="E36" s="39" t="s">
        <v>69</v>
      </c>
      <c r="F36" s="116" t="s">
        <v>70</v>
      </c>
      <c r="G36" s="39" t="s">
        <v>71</v>
      </c>
      <c r="H36" s="116" t="s">
        <v>72</v>
      </c>
      <c r="I36" s="117" t="s">
        <v>71</v>
      </c>
      <c r="M36" s="118"/>
      <c r="O36" s="119"/>
      <c r="P36" s="114"/>
    </row>
    <row r="37" spans="1:16" ht="18.75" customHeight="1" x14ac:dyDescent="0.25">
      <c r="A37" s="120" t="s">
        <v>23</v>
      </c>
      <c r="B37" s="121" t="s">
        <v>73</v>
      </c>
      <c r="C37" s="122" t="s">
        <v>74</v>
      </c>
      <c r="D37" s="43">
        <v>21.33</v>
      </c>
      <c r="E37" s="43">
        <v>157.91999999999999</v>
      </c>
      <c r="F37" s="43">
        <v>39400</v>
      </c>
      <c r="G37" s="43">
        <v>0.26200000000000001</v>
      </c>
      <c r="H37" s="43">
        <v>46738</v>
      </c>
      <c r="I37" s="123">
        <v>0.312</v>
      </c>
      <c r="K37" s="12"/>
      <c r="L37" s="12"/>
      <c r="M37" s="124"/>
      <c r="N37" s="124"/>
      <c r="O37" s="125"/>
      <c r="P37" s="114"/>
    </row>
    <row r="38" spans="1:16" x14ac:dyDescent="0.25">
      <c r="A38" s="126" t="s">
        <v>26</v>
      </c>
      <c r="B38" s="127" t="s">
        <v>75</v>
      </c>
      <c r="C38" s="128" t="s">
        <v>76</v>
      </c>
      <c r="D38" s="47">
        <v>38.82</v>
      </c>
      <c r="E38" s="47">
        <v>104.72</v>
      </c>
      <c r="F38" s="47">
        <v>37428</v>
      </c>
      <c r="G38" s="47">
        <v>0.249</v>
      </c>
      <c r="H38" s="47" t="s">
        <v>42</v>
      </c>
      <c r="I38" s="129" t="s">
        <v>42</v>
      </c>
      <c r="K38" s="12"/>
      <c r="L38" s="12"/>
      <c r="M38" s="124"/>
      <c r="N38" s="124"/>
      <c r="O38" s="119"/>
      <c r="P38" s="114"/>
    </row>
    <row r="39" spans="1:16" x14ac:dyDescent="0.25">
      <c r="A39" s="126" t="s">
        <v>29</v>
      </c>
      <c r="B39" s="127" t="s">
        <v>77</v>
      </c>
      <c r="C39" s="128" t="s">
        <v>78</v>
      </c>
      <c r="D39" s="47">
        <v>25.3</v>
      </c>
      <c r="E39" s="47">
        <v>51.52</v>
      </c>
      <c r="F39" s="47">
        <v>38680</v>
      </c>
      <c r="G39" s="47">
        <v>0.25800000000000001</v>
      </c>
      <c r="H39" s="47">
        <v>37411</v>
      </c>
      <c r="I39" s="129">
        <v>0.25</v>
      </c>
      <c r="K39" s="12"/>
      <c r="L39" s="12"/>
      <c r="M39" s="124"/>
      <c r="N39" s="124"/>
    </row>
    <row r="40" spans="1:16" x14ac:dyDescent="0.25">
      <c r="A40" s="126" t="s">
        <v>31</v>
      </c>
      <c r="B40" s="127" t="s">
        <v>79</v>
      </c>
      <c r="C40" s="128" t="s">
        <v>80</v>
      </c>
      <c r="D40" s="47">
        <v>36.9</v>
      </c>
      <c r="E40" s="47">
        <v>76.2</v>
      </c>
      <c r="F40" s="47">
        <v>37748</v>
      </c>
      <c r="G40" s="47">
        <v>0.252</v>
      </c>
      <c r="H40" s="47">
        <v>39661</v>
      </c>
      <c r="I40" s="129">
        <v>0.26500000000000001</v>
      </c>
      <c r="K40" s="12"/>
      <c r="L40" s="12"/>
      <c r="M40" s="124"/>
      <c r="N40" s="124"/>
    </row>
    <row r="41" spans="1:16" ht="15.75" thickBot="1" x14ac:dyDescent="0.3">
      <c r="A41" s="130" t="s">
        <v>32</v>
      </c>
      <c r="B41" s="131" t="s">
        <v>81</v>
      </c>
      <c r="C41" s="132" t="s">
        <v>82</v>
      </c>
      <c r="D41" s="72">
        <v>49.57</v>
      </c>
      <c r="E41" s="72">
        <v>8.4700000000000006</v>
      </c>
      <c r="F41" s="133" t="s">
        <v>42</v>
      </c>
      <c r="G41" s="133" t="s">
        <v>42</v>
      </c>
      <c r="H41" s="72">
        <v>38444</v>
      </c>
      <c r="I41" s="134">
        <v>0.25600000000000001</v>
      </c>
      <c r="J41" s="12"/>
      <c r="K41" s="12"/>
      <c r="L41" s="12"/>
      <c r="M41" s="124"/>
      <c r="N41" s="124"/>
    </row>
    <row r="42" spans="1:16" x14ac:dyDescent="0.25">
      <c r="K42" s="12"/>
      <c r="L42" s="12"/>
      <c r="M42" s="124"/>
      <c r="N42" s="124"/>
    </row>
    <row r="43" spans="1:16" x14ac:dyDescent="0.25">
      <c r="A43" s="85"/>
      <c r="B43" s="85"/>
      <c r="C43" s="135"/>
      <c r="D43" s="135"/>
      <c r="G43" s="136"/>
      <c r="K43" s="12"/>
      <c r="L43" s="12"/>
      <c r="M43" s="124"/>
      <c r="N43" s="124"/>
    </row>
    <row r="44" spans="1:16" x14ac:dyDescent="0.25">
      <c r="A44" s="92"/>
      <c r="B44" s="92"/>
      <c r="C44" s="135"/>
      <c r="D44" s="135"/>
      <c r="K44" s="12"/>
      <c r="L44" s="12"/>
      <c r="M44" s="124"/>
      <c r="N44" s="124"/>
    </row>
    <row r="45" spans="1:16" x14ac:dyDescent="0.25">
      <c r="A45" s="92"/>
      <c r="B45" s="92"/>
      <c r="C45" s="135"/>
      <c r="D45" s="135"/>
      <c r="K45" s="12"/>
      <c r="L45" s="12"/>
      <c r="M45" s="124"/>
      <c r="N45" s="124"/>
    </row>
    <row r="46" spans="1:16" x14ac:dyDescent="0.25">
      <c r="A46" s="92"/>
      <c r="B46" s="92"/>
      <c r="C46" s="135"/>
      <c r="D46" s="135"/>
      <c r="K46" s="12"/>
      <c r="L46" s="12"/>
      <c r="M46" s="124"/>
      <c r="N46" s="124"/>
    </row>
    <row r="47" spans="1:16" x14ac:dyDescent="0.25">
      <c r="A47" s="92"/>
      <c r="B47" s="92"/>
      <c r="C47" s="135"/>
      <c r="D47" s="135"/>
      <c r="N47" s="137"/>
      <c r="O47" s="138"/>
    </row>
    <row r="48" spans="1:16" x14ac:dyDescent="0.25">
      <c r="A48" s="92"/>
      <c r="B48" s="92"/>
      <c r="C48" s="135"/>
      <c r="D48" s="135"/>
      <c r="K48" s="12"/>
    </row>
    <row r="49" spans="1:12" x14ac:dyDescent="0.25">
      <c r="A49" s="135"/>
      <c r="B49" s="135"/>
      <c r="C49" s="135"/>
      <c r="D49" s="135"/>
      <c r="K49" s="139"/>
      <c r="L49" s="138"/>
    </row>
    <row r="50" spans="1:12" x14ac:dyDescent="0.25">
      <c r="K50" s="12"/>
    </row>
    <row r="58" spans="1:12" x14ac:dyDescent="0.25">
      <c r="B58" s="140"/>
    </row>
    <row r="63" spans="1:12" x14ac:dyDescent="0.25">
      <c r="A63" s="141"/>
      <c r="B63" s="141"/>
      <c r="C63" s="141"/>
      <c r="D63" s="135"/>
      <c r="E63" s="135"/>
    </row>
    <row r="64" spans="1:12" x14ac:dyDescent="0.25">
      <c r="A64" s="135"/>
      <c r="B64" s="135"/>
      <c r="C64" s="135"/>
      <c r="D64" s="135"/>
      <c r="E64" s="135"/>
    </row>
    <row r="65" spans="1:17" x14ac:dyDescent="0.25">
      <c r="A65" s="135"/>
      <c r="B65" s="135"/>
      <c r="C65" s="135"/>
      <c r="D65" s="135"/>
      <c r="E65" s="135"/>
    </row>
    <row r="66" spans="1:17" x14ac:dyDescent="0.25">
      <c r="A66" s="135"/>
      <c r="B66" s="135"/>
      <c r="C66" s="135"/>
      <c r="D66" s="135"/>
      <c r="E66" s="135"/>
      <c r="J66" s="12"/>
      <c r="K66" s="12"/>
      <c r="L66" s="12"/>
      <c r="M66" s="12"/>
      <c r="N66" s="12"/>
      <c r="O66" s="12"/>
      <c r="P66" s="12"/>
      <c r="Q66" s="12"/>
    </row>
    <row r="67" spans="1:17" x14ac:dyDescent="0.25">
      <c r="A67" s="135"/>
      <c r="B67" s="135"/>
      <c r="C67" s="135"/>
      <c r="D67" s="135"/>
      <c r="E67" s="135"/>
      <c r="Q67" s="12"/>
    </row>
    <row r="68" spans="1:17" x14ac:dyDescent="0.25">
      <c r="A68" s="135"/>
      <c r="B68" s="135"/>
      <c r="C68" s="135"/>
      <c r="D68" s="135"/>
      <c r="E68" s="135"/>
      <c r="Q68" s="12"/>
    </row>
    <row r="69" spans="1:17" x14ac:dyDescent="0.25">
      <c r="A69" s="135"/>
      <c r="B69" s="135"/>
      <c r="C69" s="135"/>
      <c r="D69" s="135"/>
      <c r="E69" s="135"/>
    </row>
  </sheetData>
  <mergeCells count="7">
    <mergeCell ref="K31:O31"/>
    <mergeCell ref="J1:AC1"/>
    <mergeCell ref="A19:A20"/>
    <mergeCell ref="B19:F19"/>
    <mergeCell ref="Z21:AA21"/>
    <mergeCell ref="A28:A29"/>
    <mergeCell ref="B28:F28"/>
  </mergeCells>
  <conditionalFormatting sqref="AA3:AA13">
    <cfRule type="colorScale" priority="2">
      <colorScale>
        <cfvo type="num" val="0.7"/>
        <cfvo type="num" val="1"/>
        <color rgb="FF00B050"/>
        <color rgb="FFFF0000"/>
      </colorScale>
    </cfRule>
  </conditionalFormatting>
  <conditionalFormatting sqref="S18:S28">
    <cfRule type="colorScale" priority="1">
      <colorScale>
        <cfvo type="num" val="0.7"/>
        <cfvo type="num" val="1"/>
        <color rgb="FF00B050"/>
        <color rgb="FFFF0000"/>
      </colorScale>
    </cfRule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scale="2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</vt:lpstr>
      <vt:lpstr>Raw_Vector</vt:lpstr>
      <vt:lpstr>Raw_Scalar</vt:lpstr>
      <vt:lpstr>Figures</vt:lpstr>
      <vt:lpstr>Optimal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 Hayden</dc:creator>
  <cp:lastModifiedBy>Micah Hayden</cp:lastModifiedBy>
  <dcterms:created xsi:type="dcterms:W3CDTF">2019-05-17T16:59:46Z</dcterms:created>
  <dcterms:modified xsi:type="dcterms:W3CDTF">2019-05-21T16:02:14Z</dcterms:modified>
</cp:coreProperties>
</file>