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ah Hayden\Documents\AFIT\SP2019\CSCE 654 - Communications\Assignments\Project3\"/>
    </mc:Choice>
  </mc:AlternateContent>
  <xr:revisionPtr revIDLastSave="0" documentId="13_ncr:1_{EFF2A36C-A51A-4165-A297-76B4F85ED31E}" xr6:coauthVersionLast="43" xr6:coauthVersionMax="43" xr10:uidLastSave="{00000000-0000-0000-0000-000000000000}"/>
  <bookViews>
    <workbookView xWindow="-120" yWindow="-120" windowWidth="20730" windowHeight="11310" activeTab="3" xr2:uid="{09D6966A-56E8-4463-9806-8089B6ACFC20}"/>
  </bookViews>
  <sheets>
    <sheet name="ExpectedDelay" sheetId="4" r:id="rId1"/>
    <sheet name="NetA_lifetime_load" sheetId="2" r:id="rId2"/>
    <sheet name="NetB_lifetime_load" sheetId="3" r:id="rId3"/>
    <sheet name="NetA_queues" sheetId="5" r:id="rId4"/>
    <sheet name="NetB_queues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6" l="1"/>
  <c r="L8" i="6" s="1"/>
  <c r="J9" i="6"/>
  <c r="J10" i="6"/>
  <c r="J11" i="6"/>
  <c r="L11" i="6" s="1"/>
  <c r="J12" i="6"/>
  <c r="L12" i="6" s="1"/>
  <c r="J7" i="6"/>
  <c r="L7" i="6" s="1"/>
  <c r="L13" i="5"/>
  <c r="J9" i="5"/>
  <c r="J10" i="5"/>
  <c r="J11" i="5"/>
  <c r="J12" i="5"/>
  <c r="L12" i="5" s="1"/>
  <c r="J7" i="5"/>
  <c r="L7" i="5" s="1"/>
  <c r="J8" i="5"/>
  <c r="L8" i="5" s="1"/>
  <c r="P10" i="5"/>
  <c r="L10" i="5"/>
  <c r="L9" i="5"/>
  <c r="L9" i="6"/>
  <c r="L10" i="6"/>
  <c r="P10" i="6"/>
  <c r="L13" i="6" l="1"/>
  <c r="L11" i="5"/>
  <c r="D21" i="4"/>
  <c r="C21" i="4"/>
  <c r="G3" i="4" l="1"/>
  <c r="M20" i="3" l="1"/>
  <c r="H11" i="4"/>
  <c r="L17" i="2" l="1"/>
  <c r="L18" i="3"/>
  <c r="M18" i="3" s="1"/>
  <c r="M14" i="3"/>
  <c r="M15" i="3"/>
  <c r="M16" i="3"/>
  <c r="M17" i="3"/>
  <c r="M13" i="3"/>
  <c r="K3" i="4" l="1"/>
  <c r="J5" i="4"/>
  <c r="J7" i="4" s="1"/>
  <c r="K7" i="4" s="1"/>
  <c r="K15" i="4" s="1"/>
  <c r="J4" i="4"/>
  <c r="J8" i="4" s="1"/>
  <c r="K8" i="4" s="1"/>
  <c r="K16" i="4" s="1"/>
  <c r="F5" i="4"/>
  <c r="G5" i="4" s="1"/>
  <c r="F4" i="4"/>
  <c r="G4" i="4" s="1"/>
  <c r="K18" i="3"/>
  <c r="K14" i="3"/>
  <c r="K15" i="3"/>
  <c r="K16" i="3"/>
  <c r="K17" i="3"/>
  <c r="K13" i="3"/>
  <c r="K12" i="2"/>
  <c r="M12" i="2" s="1"/>
  <c r="K13" i="2"/>
  <c r="M13" i="2" s="1"/>
  <c r="K14" i="2"/>
  <c r="M14" i="2" s="1"/>
  <c r="K15" i="2"/>
  <c r="M15" i="2" s="1"/>
  <c r="K16" i="2"/>
  <c r="M16" i="2" s="1"/>
  <c r="H12" i="4" l="1"/>
  <c r="C22" i="4"/>
  <c r="C25" i="4"/>
  <c r="H13" i="4"/>
  <c r="C23" i="4"/>
  <c r="C26" i="4"/>
  <c r="K11" i="4"/>
  <c r="F7" i="4"/>
  <c r="G7" i="4" s="1"/>
  <c r="H15" i="4" s="1"/>
  <c r="K4" i="4"/>
  <c r="K12" i="4" s="1"/>
  <c r="K5" i="4"/>
  <c r="K13" i="4" s="1"/>
  <c r="J6" i="4"/>
  <c r="K6" i="4" s="1"/>
  <c r="K14" i="4" s="1"/>
  <c r="F8" i="4"/>
  <c r="G8" i="4" s="1"/>
  <c r="H16" i="4" s="1"/>
  <c r="F6" i="4"/>
  <c r="G6" i="4" s="1"/>
  <c r="H14" i="4" s="1"/>
  <c r="L5" i="3"/>
  <c r="L6" i="3"/>
  <c r="L7" i="3"/>
  <c r="L8" i="3"/>
  <c r="L4" i="3"/>
  <c r="K4" i="3"/>
  <c r="K5" i="3"/>
  <c r="K6" i="3"/>
  <c r="K7" i="3"/>
  <c r="K8" i="3"/>
  <c r="O9" i="3"/>
  <c r="K7" i="2"/>
  <c r="K5" i="2"/>
  <c r="K6" i="2"/>
  <c r="K4" i="2"/>
  <c r="O8" i="2"/>
  <c r="K3" i="2"/>
  <c r="D23" i="4" l="1"/>
  <c r="C24" i="4"/>
  <c r="F14" i="4" s="1"/>
  <c r="D26" i="4"/>
  <c r="D25" i="4"/>
  <c r="D22" i="4"/>
  <c r="D24" i="4"/>
  <c r="K9" i="3"/>
  <c r="K8" i="2"/>
  <c r="L6" i="2" s="1"/>
  <c r="L4" i="2" l="1"/>
  <c r="L3" i="2"/>
  <c r="F15" i="4"/>
  <c r="L9" i="3"/>
  <c r="L5" i="2"/>
  <c r="L7" i="2"/>
  <c r="K17" i="2" l="1"/>
  <c r="M17" i="2" s="1"/>
  <c r="L8" i="2"/>
</calcChain>
</file>

<file path=xl/sharedStrings.xml><?xml version="1.0" encoding="utf-8"?>
<sst xmlns="http://schemas.openxmlformats.org/spreadsheetml/2006/main" count="303" uniqueCount="60">
  <si>
    <t>B</t>
  </si>
  <si>
    <t>C</t>
  </si>
  <si>
    <t>D</t>
  </si>
  <si>
    <t>E</t>
  </si>
  <si>
    <t>F</t>
  </si>
  <si>
    <t>Total:</t>
  </si>
  <si>
    <t>Node:</t>
  </si>
  <si>
    <t>Expected %:</t>
  </si>
  <si>
    <t>Sum:</t>
  </si>
  <si>
    <t>Replication</t>
  </si>
  <si>
    <t>Module</t>
  </si>
  <si>
    <t>Count</t>
  </si>
  <si>
    <t>#0</t>
  </si>
  <si>
    <t>#1</t>
  </si>
  <si>
    <t>#2</t>
  </si>
  <si>
    <t>Node</t>
  </si>
  <si>
    <t>Average</t>
  </si>
  <si>
    <t>Percentage</t>
  </si>
  <si>
    <t>15 pps</t>
  </si>
  <si>
    <t>17 pps</t>
  </si>
  <si>
    <t>Mean</t>
  </si>
  <si>
    <t>Traffic Load:</t>
  </si>
  <si>
    <t>Lifetime:</t>
  </si>
  <si>
    <t>Expected:</t>
  </si>
  <si>
    <t>Average (s)</t>
  </si>
  <si>
    <t>Average (Count)</t>
  </si>
  <si>
    <t>Mean (s)</t>
  </si>
  <si>
    <t>Lifetime</t>
  </si>
  <si>
    <t>Link:</t>
  </si>
  <si>
    <t>Delay (ms)</t>
  </si>
  <si>
    <t>A-B</t>
  </si>
  <si>
    <t>A-C</t>
  </si>
  <si>
    <t>B-D</t>
  </si>
  <si>
    <t>B-E</t>
  </si>
  <si>
    <t>C-E</t>
  </si>
  <si>
    <t>C-D</t>
  </si>
  <si>
    <t>Setup:</t>
  </si>
  <si>
    <t>Percentage:</t>
  </si>
  <si>
    <t>Destination:</t>
  </si>
  <si>
    <t>muA</t>
  </si>
  <si>
    <t>muB</t>
  </si>
  <si>
    <t>A1</t>
  </si>
  <si>
    <t>A2</t>
  </si>
  <si>
    <t>E[r_node]</t>
  </si>
  <si>
    <t>Network A:</t>
  </si>
  <si>
    <t>E[r_network]</t>
  </si>
  <si>
    <t>Network B:</t>
  </si>
  <si>
    <t>Time (s)</t>
  </si>
  <si>
    <t>NetA Delay</t>
  </si>
  <si>
    <t>Nodes:</t>
  </si>
  <si>
    <t>NetB Delay:</t>
  </si>
  <si>
    <t>% Difference:</t>
  </si>
  <si>
    <t>Expected (s)</t>
  </si>
  <si>
    <t>Traffic Load</t>
  </si>
  <si>
    <t>Expected Delays:</t>
  </si>
  <si>
    <t>lambda</t>
  </si>
  <si>
    <t>Expected time in system for Nodes A-F:</t>
  </si>
  <si>
    <t>A</t>
  </si>
  <si>
    <t>Nodetime</t>
  </si>
  <si>
    <t>Service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</si>
</sst>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%"/>
    <numFmt numFmtId="166" formatCode="0.000"/>
    <numFmt numFmtId="170" formatCode="0.0000"/>
    <numFmt numFmtId="171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0" fillId="0" borderId="0" xfId="1" applyFont="1"/>
    <xf numFmtId="10" fontId="0" fillId="0" borderId="0" xfId="1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3" fillId="3" borderId="0" xfId="0" applyFont="1" applyFill="1"/>
    <xf numFmtId="0" fontId="0" fillId="0" borderId="0" xfId="0" applyAlignment="1">
      <alignment horizontal="right"/>
    </xf>
    <xf numFmtId="0" fontId="2" fillId="0" borderId="0" xfId="0" applyFont="1"/>
    <xf numFmtId="10" fontId="2" fillId="0" borderId="0" xfId="1" applyNumberFormat="1" applyFont="1"/>
    <xf numFmtId="0" fontId="0" fillId="0" borderId="1" xfId="0" applyBorder="1"/>
    <xf numFmtId="10" fontId="0" fillId="0" borderId="1" xfId="1" applyNumberFormat="1" applyFont="1" applyBorder="1"/>
    <xf numFmtId="9" fontId="2" fillId="0" borderId="0" xfId="1" applyFont="1"/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6" fontId="0" fillId="0" borderId="0" xfId="0" applyNumberFormat="1"/>
    <xf numFmtId="10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165" fontId="0" fillId="0" borderId="1" xfId="1" applyNumberFormat="1" applyFont="1" applyBorder="1"/>
    <xf numFmtId="165" fontId="2" fillId="0" borderId="0" xfId="1" applyNumberFormat="1" applyFont="1"/>
    <xf numFmtId="0" fontId="2" fillId="2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/>
    </xf>
    <xf numFmtId="164" fontId="0" fillId="0" borderId="0" xfId="0" applyNumberFormat="1"/>
    <xf numFmtId="165" fontId="2" fillId="0" borderId="0" xfId="1" applyNumberFormat="1" applyFont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170" fontId="0" fillId="0" borderId="2" xfId="0" applyNumberFormat="1" applyBorder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7" xfId="1" applyNumberFormat="1" applyFont="1" applyBorder="1" applyAlignment="1">
      <alignment horizontal="center"/>
    </xf>
    <xf numFmtId="171" fontId="0" fillId="0" borderId="9" xfId="1" applyNumberFormat="1" applyFont="1" applyBorder="1" applyAlignment="1">
      <alignment horizontal="center"/>
    </xf>
    <xf numFmtId="17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0F-4C7C-88A8-29A7300DA6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0F-4C7C-88A8-29A7300DA6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0F-4C7C-88A8-29A7300DA6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0F-4C7C-88A8-29A7300DA6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80F-4C7C-88A8-29A7300DA648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NetA_lifetime_load!$N$3:$N$7</c:f>
              <c:strCache>
                <c:ptCount val="5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</c:strCache>
            </c:strRef>
          </c:cat>
          <c:val>
            <c:numRef>
              <c:f>NetA_lifetime_load!$L$3:$L$7</c:f>
              <c:numCache>
                <c:formatCode>0.00%</c:formatCode>
                <c:ptCount val="5"/>
                <c:pt idx="0">
                  <c:v>0.10034031041745156</c:v>
                </c:pt>
                <c:pt idx="1">
                  <c:v>0.14953523849522268</c:v>
                </c:pt>
                <c:pt idx="2">
                  <c:v>0.24986443169395528</c:v>
                </c:pt>
                <c:pt idx="3">
                  <c:v>0.3003878674086381</c:v>
                </c:pt>
                <c:pt idx="4">
                  <c:v>0.19987215198473235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0F-4C7C-88A8-29A7300DA64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Traffic Load - Network B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5B-4761-92C5-45A43FEF07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5B-4761-92C5-45A43FEF07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5B-4761-92C5-45A43FEF07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5B-4761-92C5-45A43FEF07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65B-4761-92C5-45A43FEF07CD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NetB_lifetime_load!$J$4:$J$8</c:f>
              <c:strCache>
                <c:ptCount val="5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</c:strCache>
            </c:strRef>
          </c:cat>
          <c:val>
            <c:numRef>
              <c:f>NetB_lifetime_load!$L$4:$L$8</c:f>
              <c:numCache>
                <c:formatCode>0.00%</c:formatCode>
                <c:ptCount val="5"/>
                <c:pt idx="0">
                  <c:v>0.10040388043482408</c:v>
                </c:pt>
                <c:pt idx="1">
                  <c:v>0.14975947560395411</c:v>
                </c:pt>
                <c:pt idx="2">
                  <c:v>0.24995790073729571</c:v>
                </c:pt>
                <c:pt idx="3">
                  <c:v>0.29993967134781402</c:v>
                </c:pt>
                <c:pt idx="4">
                  <c:v>0.1999390718761121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1-4EEB-98C6-6327508C868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7328</xdr:colOff>
      <xdr:row>9</xdr:row>
      <xdr:rowOff>7328</xdr:rowOff>
    </xdr:from>
    <xdr:to>
      <xdr:col>20</xdr:col>
      <xdr:colOff>177800</xdr:colOff>
      <xdr:row>23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A9C23C-5136-4C4B-A94A-62FB39022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10</xdr:row>
      <xdr:rowOff>176212</xdr:rowOff>
    </xdr:from>
    <xdr:to>
      <xdr:col>21</xdr:col>
      <xdr:colOff>333375</xdr:colOff>
      <xdr:row>25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744810-B3A5-4676-9CEC-545C5B75F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FA95-8779-4D51-BF62-F3B98DB8077F}">
  <dimension ref="A1:K26"/>
  <sheetViews>
    <sheetView workbookViewId="0">
      <selection activeCell="G16" sqref="G16"/>
    </sheetView>
  </sheetViews>
  <sheetFormatPr defaultRowHeight="15" x14ac:dyDescent="0.25"/>
  <cols>
    <col min="2" max="2" width="11.28515625" bestFit="1" customWidth="1"/>
    <col min="3" max="4" width="12" bestFit="1" customWidth="1"/>
    <col min="5" max="5" width="17" customWidth="1"/>
    <col min="6" max="6" width="12.5703125" customWidth="1"/>
    <col min="7" max="7" width="11.42578125" customWidth="1"/>
    <col min="8" max="8" width="23.42578125" customWidth="1"/>
    <col min="9" max="9" width="12.7109375" bestFit="1" customWidth="1"/>
    <col min="10" max="10" width="7.5703125" bestFit="1" customWidth="1"/>
  </cols>
  <sheetData>
    <row r="1" spans="1:11" x14ac:dyDescent="0.25">
      <c r="E1" s="31" t="s">
        <v>56</v>
      </c>
      <c r="F1" s="31"/>
      <c r="G1" s="31"/>
      <c r="H1" s="31"/>
      <c r="I1" s="31"/>
      <c r="J1" s="31"/>
      <c r="K1" s="31"/>
    </row>
    <row r="2" spans="1:11" ht="15.75" thickBot="1" x14ac:dyDescent="0.3">
      <c r="A2" t="s">
        <v>36</v>
      </c>
      <c r="E2" s="3" t="s">
        <v>15</v>
      </c>
      <c r="F2" s="3" t="s">
        <v>55</v>
      </c>
      <c r="G2" s="3" t="s">
        <v>43</v>
      </c>
      <c r="H2" s="3"/>
      <c r="I2" s="3" t="s">
        <v>15</v>
      </c>
      <c r="J2" s="3" t="s">
        <v>55</v>
      </c>
      <c r="K2" s="3" t="s">
        <v>43</v>
      </c>
    </row>
    <row r="3" spans="1:11" x14ac:dyDescent="0.25">
      <c r="B3" t="s">
        <v>28</v>
      </c>
      <c r="C3" t="s">
        <v>29</v>
      </c>
      <c r="E3" s="9" t="s">
        <v>41</v>
      </c>
      <c r="F3">
        <v>15</v>
      </c>
      <c r="G3">
        <f>1/(F10-F3)</f>
        <v>0.2</v>
      </c>
      <c r="H3" s="8"/>
      <c r="I3" t="s">
        <v>42</v>
      </c>
      <c r="J3">
        <v>17</v>
      </c>
      <c r="K3">
        <f>1/(F10-J3)</f>
        <v>0.33333333333333331</v>
      </c>
    </row>
    <row r="4" spans="1:11" x14ac:dyDescent="0.25">
      <c r="B4" t="s">
        <v>30</v>
      </c>
      <c r="C4">
        <v>60</v>
      </c>
      <c r="E4" s="9" t="s">
        <v>0</v>
      </c>
      <c r="F4">
        <f>F3*0.5</f>
        <v>7.5</v>
      </c>
      <c r="G4">
        <f>1/($F$11-F4)</f>
        <v>0.4</v>
      </c>
      <c r="H4" s="8"/>
      <c r="I4" t="s">
        <v>0</v>
      </c>
      <c r="J4">
        <f>J3*0.5</f>
        <v>8.5</v>
      </c>
      <c r="K4">
        <f>1/($F$11-J4)</f>
        <v>0.66666666666666663</v>
      </c>
    </row>
    <row r="5" spans="1:11" x14ac:dyDescent="0.25">
      <c r="B5" t="s">
        <v>31</v>
      </c>
      <c r="C5">
        <v>50</v>
      </c>
      <c r="E5" s="9" t="s">
        <v>1</v>
      </c>
      <c r="F5">
        <f>F3*0.5</f>
        <v>7.5</v>
      </c>
      <c r="G5">
        <f>1/($F$11-F5)</f>
        <v>0.4</v>
      </c>
      <c r="H5" s="8"/>
      <c r="I5" t="s">
        <v>1</v>
      </c>
      <c r="J5">
        <f>J3*0.5</f>
        <v>8.5</v>
      </c>
      <c r="K5">
        <f t="shared" ref="K5:K8" si="0">1/($F$11-J5)</f>
        <v>0.66666666666666663</v>
      </c>
    </row>
    <row r="6" spans="1:11" x14ac:dyDescent="0.25">
      <c r="B6" t="s">
        <v>32</v>
      </c>
      <c r="C6">
        <v>40</v>
      </c>
      <c r="E6" s="9" t="s">
        <v>2</v>
      </c>
      <c r="F6">
        <f>F4*0.5</f>
        <v>3.75</v>
      </c>
      <c r="G6">
        <f>1/($F$11-F6)</f>
        <v>0.16</v>
      </c>
      <c r="H6" s="8"/>
      <c r="I6" t="s">
        <v>2</v>
      </c>
      <c r="J6">
        <f>J4*0.5</f>
        <v>4.25</v>
      </c>
      <c r="K6">
        <f t="shared" si="0"/>
        <v>0.17391304347826086</v>
      </c>
    </row>
    <row r="7" spans="1:11" x14ac:dyDescent="0.25">
      <c r="B7" t="s">
        <v>33</v>
      </c>
      <c r="C7">
        <v>30</v>
      </c>
      <c r="E7" s="9" t="s">
        <v>4</v>
      </c>
      <c r="F7">
        <f>0.4*F5</f>
        <v>3</v>
      </c>
      <c r="G7">
        <f>1/($F$11-F7)</f>
        <v>0.14285714285714285</v>
      </c>
      <c r="H7" s="8"/>
      <c r="I7" t="s">
        <v>4</v>
      </c>
      <c r="J7">
        <f>0.4*J5</f>
        <v>3.4000000000000004</v>
      </c>
      <c r="K7">
        <f t="shared" si="0"/>
        <v>0.15151515151515152</v>
      </c>
    </row>
    <row r="8" spans="1:11" x14ac:dyDescent="0.25">
      <c r="B8" t="s">
        <v>34</v>
      </c>
      <c r="C8">
        <v>20</v>
      </c>
      <c r="E8" s="9" t="s">
        <v>3</v>
      </c>
      <c r="F8">
        <f>0.3*(F4+F5)</f>
        <v>4.5</v>
      </c>
      <c r="G8">
        <f>1/($F$11-F8)</f>
        <v>0.18181818181818182</v>
      </c>
      <c r="H8" s="8"/>
      <c r="I8" t="s">
        <v>3</v>
      </c>
      <c r="J8">
        <f>0.3*(J4+J5)</f>
        <v>5.0999999999999996</v>
      </c>
      <c r="K8">
        <f t="shared" si="0"/>
        <v>0.2040816326530612</v>
      </c>
    </row>
    <row r="9" spans="1:11" x14ac:dyDescent="0.25">
      <c r="B9" t="s">
        <v>35</v>
      </c>
      <c r="C9">
        <v>10</v>
      </c>
    </row>
    <row r="10" spans="1:11" x14ac:dyDescent="0.25">
      <c r="E10" s="9" t="s">
        <v>39</v>
      </c>
      <c r="F10">
        <v>20</v>
      </c>
    </row>
    <row r="11" spans="1:11" x14ac:dyDescent="0.25">
      <c r="A11" t="s">
        <v>38</v>
      </c>
      <c r="E11" s="9" t="s">
        <v>40</v>
      </c>
      <c r="F11">
        <v>10</v>
      </c>
      <c r="H11">
        <f>G3*1000</f>
        <v>200</v>
      </c>
      <c r="K11">
        <f>K3*1000</f>
        <v>333.33333333333331</v>
      </c>
    </row>
    <row r="12" spans="1:11" x14ac:dyDescent="0.25">
      <c r="B12" s="1" t="s">
        <v>6</v>
      </c>
      <c r="C12" t="s">
        <v>37</v>
      </c>
      <c r="H12">
        <f t="shared" ref="H12:H16" si="1">G4*1000</f>
        <v>400</v>
      </c>
      <c r="K12">
        <f t="shared" ref="K12:K16" si="2">K4*1000</f>
        <v>666.66666666666663</v>
      </c>
    </row>
    <row r="13" spans="1:11" ht="15.75" thickBot="1" x14ac:dyDescent="0.3">
      <c r="B13" s="1" t="s">
        <v>0</v>
      </c>
      <c r="C13" s="4">
        <v>0.1</v>
      </c>
      <c r="D13" s="4"/>
      <c r="E13" s="3" t="s">
        <v>45</v>
      </c>
      <c r="F13" s="3" t="s">
        <v>47</v>
      </c>
      <c r="H13">
        <f t="shared" si="1"/>
        <v>400</v>
      </c>
      <c r="K13">
        <f t="shared" si="2"/>
        <v>666.66666666666663</v>
      </c>
    </row>
    <row r="14" spans="1:11" x14ac:dyDescent="0.25">
      <c r="B14" s="1" t="s">
        <v>1</v>
      </c>
      <c r="C14" s="4">
        <v>0.15</v>
      </c>
      <c r="D14" s="4"/>
      <c r="E14" t="s">
        <v>44</v>
      </c>
      <c r="F14">
        <f>SUMPRODUCT(C13:C17,C22:C26)</f>
        <v>0.79761688311688317</v>
      </c>
      <c r="H14">
        <f t="shared" si="1"/>
        <v>160</v>
      </c>
      <c r="K14">
        <f t="shared" si="2"/>
        <v>173.91304347826087</v>
      </c>
    </row>
    <row r="15" spans="1:11" x14ac:dyDescent="0.25">
      <c r="B15" s="1" t="s">
        <v>2</v>
      </c>
      <c r="C15" s="4">
        <v>0.25</v>
      </c>
      <c r="D15" s="4"/>
      <c r="E15" t="s">
        <v>46</v>
      </c>
      <c r="F15">
        <f>SUMPRODUCT(D22:D26,C13:C17)</f>
        <v>1.2095057809685137</v>
      </c>
      <c r="H15">
        <f t="shared" si="1"/>
        <v>142.85714285714286</v>
      </c>
      <c r="K15">
        <f t="shared" si="2"/>
        <v>151.51515151515153</v>
      </c>
    </row>
    <row r="16" spans="1:11" x14ac:dyDescent="0.25">
      <c r="B16" s="1" t="s">
        <v>3</v>
      </c>
      <c r="C16" s="4">
        <v>0.3</v>
      </c>
      <c r="D16" s="4"/>
      <c r="H16">
        <f t="shared" si="1"/>
        <v>181.81818181818181</v>
      </c>
      <c r="K16">
        <f t="shared" si="2"/>
        <v>204.08163265306121</v>
      </c>
    </row>
    <row r="17" spans="2:4" x14ac:dyDescent="0.25">
      <c r="B17" s="1" t="s">
        <v>4</v>
      </c>
      <c r="C17" s="4">
        <v>0.2</v>
      </c>
      <c r="D17" s="4"/>
    </row>
    <row r="19" spans="2:4" ht="15.75" thickBot="1" x14ac:dyDescent="0.3">
      <c r="B19" s="30" t="s">
        <v>54</v>
      </c>
      <c r="C19" s="30"/>
      <c r="D19" s="30"/>
    </row>
    <row r="20" spans="2:4" ht="15.75" thickBot="1" x14ac:dyDescent="0.3">
      <c r="B20" s="3" t="s">
        <v>49</v>
      </c>
      <c r="C20" s="3" t="s">
        <v>48</v>
      </c>
      <c r="D20" s="3" t="s">
        <v>50</v>
      </c>
    </row>
    <row r="21" spans="2:4" x14ac:dyDescent="0.25">
      <c r="B21" t="s">
        <v>57</v>
      </c>
      <c r="C21">
        <f>G3</f>
        <v>0.2</v>
      </c>
      <c r="D21">
        <f>K3</f>
        <v>0.33333333333333331</v>
      </c>
    </row>
    <row r="22" spans="2:4" x14ac:dyDescent="0.25">
      <c r="B22" t="s">
        <v>0</v>
      </c>
      <c r="C22" s="23">
        <f>G3+0.06+G4</f>
        <v>0.66</v>
      </c>
      <c r="D22" s="23">
        <f>K3+0.06+K4</f>
        <v>1.06</v>
      </c>
    </row>
    <row r="23" spans="2:4" x14ac:dyDescent="0.25">
      <c r="B23" t="s">
        <v>1</v>
      </c>
      <c r="C23" s="23">
        <f>G3+0.05+G5</f>
        <v>0.65</v>
      </c>
      <c r="D23" s="23">
        <f>K3+0.05+K5</f>
        <v>1.0499999999999998</v>
      </c>
    </row>
    <row r="24" spans="2:4" x14ac:dyDescent="0.25">
      <c r="B24" t="s">
        <v>2</v>
      </c>
      <c r="C24" s="23">
        <f>G3+0.06+G4+0.04+G6</f>
        <v>0.8600000000000001</v>
      </c>
      <c r="D24">
        <f>K3+0.06+K4+0.04+K6</f>
        <v>1.2739130434782608</v>
      </c>
    </row>
    <row r="25" spans="2:4" x14ac:dyDescent="0.25">
      <c r="B25" t="s">
        <v>3</v>
      </c>
      <c r="C25">
        <f>0.5*(G3+0.06+G4+0.03+G8)+0.5*(G3+0.05+G5+0.02+G8)</f>
        <v>0.86181818181818182</v>
      </c>
      <c r="D25">
        <f>0.5*(K3+0.06+K4+0.03+K8)+0.5*(K3+0.05+K5+0.02+K8)</f>
        <v>1.2840816326530611</v>
      </c>
    </row>
    <row r="26" spans="2:4" x14ac:dyDescent="0.25">
      <c r="B26" t="s">
        <v>4</v>
      </c>
      <c r="C26">
        <f>G3+0.05+G5+0.01+G7</f>
        <v>0.80285714285714294</v>
      </c>
      <c r="D26">
        <f>K3+0.05+K5+0.01+K7</f>
        <v>1.2115151515151514</v>
      </c>
    </row>
  </sheetData>
  <mergeCells count="2">
    <mergeCell ref="B19:D19"/>
    <mergeCell ref="E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06F7B-4B30-41AA-A5D1-AEF115CE92AD}">
  <dimension ref="B1:O19"/>
  <sheetViews>
    <sheetView zoomScaleNormal="100" workbookViewId="0">
      <selection activeCell="J10" sqref="J10"/>
    </sheetView>
  </sheetViews>
  <sheetFormatPr defaultRowHeight="15" x14ac:dyDescent="0.25"/>
  <cols>
    <col min="3" max="3" width="11" bestFit="1" customWidth="1"/>
    <col min="4" max="4" width="7.85546875" bestFit="1" customWidth="1"/>
    <col min="5" max="5" width="7" bestFit="1" customWidth="1"/>
    <col min="6" max="6" width="12" bestFit="1" customWidth="1"/>
    <col min="10" max="10" width="9.7109375" bestFit="1" customWidth="1"/>
    <col min="11" max="11" width="15.5703125" bestFit="1" customWidth="1"/>
    <col min="12" max="12" width="13.140625" customWidth="1"/>
    <col min="13" max="13" width="13.140625" bestFit="1" customWidth="1"/>
    <col min="15" max="15" width="11.7109375" bestFit="1" customWidth="1"/>
  </cols>
  <sheetData>
    <row r="1" spans="2:15" x14ac:dyDescent="0.25">
      <c r="B1" t="s">
        <v>18</v>
      </c>
      <c r="I1" t="s">
        <v>21</v>
      </c>
    </row>
    <row r="2" spans="2:15" ht="15.75" thickBot="1" x14ac:dyDescent="0.3">
      <c r="B2" t="s">
        <v>27</v>
      </c>
      <c r="C2" s="1" t="s">
        <v>9</v>
      </c>
      <c r="D2" s="1" t="s">
        <v>10</v>
      </c>
      <c r="E2" t="s">
        <v>11</v>
      </c>
      <c r="F2" t="s">
        <v>20</v>
      </c>
      <c r="J2" s="3" t="s">
        <v>15</v>
      </c>
      <c r="K2" s="3" t="s">
        <v>25</v>
      </c>
      <c r="L2" s="3" t="s">
        <v>17</v>
      </c>
      <c r="N2" s="3" t="s">
        <v>6</v>
      </c>
      <c r="O2" s="3" t="s">
        <v>7</v>
      </c>
    </row>
    <row r="3" spans="2:15" x14ac:dyDescent="0.25">
      <c r="C3" s="1" t="s">
        <v>12</v>
      </c>
      <c r="D3" s="1" t="s">
        <v>4</v>
      </c>
      <c r="E3">
        <v>107412</v>
      </c>
      <c r="F3">
        <v>0.80069819580572799</v>
      </c>
      <c r="J3" s="2" t="s">
        <v>0</v>
      </c>
      <c r="K3">
        <f>AVERAGEIF(D3:D17, J3,E3:E17)</f>
        <v>54154</v>
      </c>
      <c r="L3" s="5">
        <f>K3/$K$8</f>
        <v>0.10034031041745156</v>
      </c>
      <c r="N3" s="1" t="s">
        <v>0</v>
      </c>
      <c r="O3" s="4">
        <v>0.1</v>
      </c>
    </row>
    <row r="4" spans="2:15" x14ac:dyDescent="0.25">
      <c r="C4" s="1" t="s">
        <v>12</v>
      </c>
      <c r="D4" s="1" t="s">
        <v>3</v>
      </c>
      <c r="E4">
        <v>161621</v>
      </c>
      <c r="F4">
        <v>0.86415608973841795</v>
      </c>
      <c r="J4" s="2" t="s">
        <v>1</v>
      </c>
      <c r="K4">
        <f>AVERAGEIF($D$3:$D$17, J4,$E$3:$E$17)</f>
        <v>80704.666666666672</v>
      </c>
      <c r="L4" s="5">
        <f t="shared" ref="L4:L7" si="0">K4/$K$8</f>
        <v>0.14953523849522268</v>
      </c>
      <c r="N4" s="1" t="s">
        <v>1</v>
      </c>
      <c r="O4" s="4">
        <v>0.15</v>
      </c>
    </row>
    <row r="5" spans="2:15" x14ac:dyDescent="0.25">
      <c r="C5" s="1" t="s">
        <v>12</v>
      </c>
      <c r="D5" s="1" t="s">
        <v>2</v>
      </c>
      <c r="E5">
        <v>134835</v>
      </c>
      <c r="F5">
        <v>0.86476510302457599</v>
      </c>
      <c r="J5" s="2" t="s">
        <v>2</v>
      </c>
      <c r="K5">
        <f>AVERAGEIF($D$3:$D$17, J5,$E$3:$E$17)</f>
        <v>134852.66666666666</v>
      </c>
      <c r="L5" s="5">
        <f t="shared" si="0"/>
        <v>0.24986443169395528</v>
      </c>
      <c r="N5" s="1" t="s">
        <v>2</v>
      </c>
      <c r="O5" s="4">
        <v>0.25</v>
      </c>
    </row>
    <row r="6" spans="2:15" x14ac:dyDescent="0.25">
      <c r="C6" s="1" t="s">
        <v>12</v>
      </c>
      <c r="D6" s="1" t="s">
        <v>1</v>
      </c>
      <c r="E6">
        <v>80573</v>
      </c>
      <c r="F6">
        <v>0.64884240228063705</v>
      </c>
      <c r="J6" s="2" t="s">
        <v>3</v>
      </c>
      <c r="K6">
        <f>AVERAGEIF($D$3:$D$17, J6,$E$3:$E$17)</f>
        <v>162120.33333333334</v>
      </c>
      <c r="L6" s="5">
        <f t="shared" si="0"/>
        <v>0.3003878674086381</v>
      </c>
      <c r="N6" s="1" t="s">
        <v>3</v>
      </c>
      <c r="O6" s="4">
        <v>0.3</v>
      </c>
    </row>
    <row r="7" spans="2:15" ht="15.75" thickBot="1" x14ac:dyDescent="0.3">
      <c r="C7" s="1" t="s">
        <v>12</v>
      </c>
      <c r="D7" s="1" t="s">
        <v>0</v>
      </c>
      <c r="E7">
        <v>54200</v>
      </c>
      <c r="F7">
        <v>0.66259501928180797</v>
      </c>
      <c r="J7" s="3" t="s">
        <v>4</v>
      </c>
      <c r="K7" s="12">
        <f>AVERAGEIF($D$3:$D$17, J7,$E$3:$E$17)</f>
        <v>107871.66666666667</v>
      </c>
      <c r="L7" s="13">
        <f t="shared" si="0"/>
        <v>0.19987215198473235</v>
      </c>
      <c r="N7" s="1" t="s">
        <v>4</v>
      </c>
      <c r="O7" s="4">
        <v>0.2</v>
      </c>
    </row>
    <row r="8" spans="2:15" x14ac:dyDescent="0.25">
      <c r="C8" s="1" t="s">
        <v>13</v>
      </c>
      <c r="D8" s="1" t="s">
        <v>4</v>
      </c>
      <c r="E8">
        <v>107891</v>
      </c>
      <c r="F8">
        <v>0.80198962684848596</v>
      </c>
      <c r="J8" s="6" t="s">
        <v>5</v>
      </c>
      <c r="K8" s="10">
        <f>SUM(K3:K7)</f>
        <v>539703.33333333337</v>
      </c>
      <c r="L8" s="14">
        <f>SUM(L3:L7)</f>
        <v>1</v>
      </c>
      <c r="N8" s="1" t="s">
        <v>8</v>
      </c>
      <c r="O8" s="4">
        <f>SUM(O3:O7)</f>
        <v>1</v>
      </c>
    </row>
    <row r="9" spans="2:15" x14ac:dyDescent="0.25">
      <c r="C9" s="1" t="s">
        <v>13</v>
      </c>
      <c r="D9" s="1" t="s">
        <v>3</v>
      </c>
      <c r="E9">
        <v>162321</v>
      </c>
      <c r="F9">
        <v>0.86732942684900904</v>
      </c>
    </row>
    <row r="10" spans="2:15" x14ac:dyDescent="0.25">
      <c r="C10" s="1" t="s">
        <v>13</v>
      </c>
      <c r="D10" s="1" t="s">
        <v>2</v>
      </c>
      <c r="E10">
        <v>135055</v>
      </c>
      <c r="F10">
        <v>0.86774748049669004</v>
      </c>
      <c r="I10" t="s">
        <v>22</v>
      </c>
    </row>
    <row r="11" spans="2:15" ht="15.75" thickBot="1" x14ac:dyDescent="0.3">
      <c r="C11" s="1" t="s">
        <v>13</v>
      </c>
      <c r="D11" s="1" t="s">
        <v>1</v>
      </c>
      <c r="E11">
        <v>80626</v>
      </c>
      <c r="F11">
        <v>0.64844495767850996</v>
      </c>
      <c r="J11" s="3" t="s">
        <v>15</v>
      </c>
      <c r="K11" s="3" t="s">
        <v>24</v>
      </c>
      <c r="L11" s="3" t="s">
        <v>23</v>
      </c>
      <c r="M11" s="3" t="s">
        <v>51</v>
      </c>
    </row>
    <row r="12" spans="2:15" x14ac:dyDescent="0.25">
      <c r="C12" s="1" t="s">
        <v>13</v>
      </c>
      <c r="D12" s="1" t="s">
        <v>0</v>
      </c>
      <c r="E12">
        <v>54035</v>
      </c>
      <c r="F12">
        <v>0.66528955898484299</v>
      </c>
      <c r="J12" s="2" t="s">
        <v>0</v>
      </c>
      <c r="K12">
        <f>AVERAGEIF(D3:D17, J12,F3:F17)</f>
        <v>0.66004888224439029</v>
      </c>
      <c r="L12">
        <v>0.66</v>
      </c>
      <c r="M12" s="26">
        <f>ABS((L12-K12)/L12)</f>
        <v>7.406400665190624E-5</v>
      </c>
    </row>
    <row r="13" spans="2:15" x14ac:dyDescent="0.25">
      <c r="C13" s="1" t="s">
        <v>14</v>
      </c>
      <c r="D13" s="1" t="s">
        <v>4</v>
      </c>
      <c r="E13">
        <v>108312</v>
      </c>
      <c r="F13">
        <v>0.81030302681453803</v>
      </c>
      <c r="J13" s="2" t="s">
        <v>1</v>
      </c>
      <c r="K13">
        <f>AVERAGEIF(D4:D18, J13,F4:F18)</f>
        <v>0.65093532837208334</v>
      </c>
      <c r="L13">
        <v>0.65</v>
      </c>
      <c r="M13" s="26">
        <f t="shared" ref="M13:M17" si="1">ABS((L13-K13)/L13)</f>
        <v>1.4389667262820333E-3</v>
      </c>
    </row>
    <row r="14" spans="2:15" x14ac:dyDescent="0.25">
      <c r="C14" s="1" t="s">
        <v>14</v>
      </c>
      <c r="D14" s="1" t="s">
        <v>3</v>
      </c>
      <c r="E14">
        <v>162419</v>
      </c>
      <c r="F14">
        <v>0.86290101742334302</v>
      </c>
      <c r="J14" s="2" t="s">
        <v>2</v>
      </c>
      <c r="K14">
        <f>AVERAGEIF(D5:D18, J14,F5:F19)</f>
        <v>0.86090212760949736</v>
      </c>
      <c r="L14">
        <v>0.8600000000000001</v>
      </c>
      <c r="M14" s="26">
        <f t="shared" si="1"/>
        <v>1.0489855924386753E-3</v>
      </c>
    </row>
    <row r="15" spans="2:15" x14ac:dyDescent="0.25">
      <c r="C15" s="1" t="s">
        <v>14</v>
      </c>
      <c r="D15" s="1" t="s">
        <v>2</v>
      </c>
      <c r="E15">
        <v>134668</v>
      </c>
      <c r="F15">
        <v>0.85019379930722605</v>
      </c>
      <c r="J15" s="2" t="s">
        <v>3</v>
      </c>
      <c r="K15">
        <f>AVERAGEIF(D6:D18, J15,F6:F20)</f>
        <v>0.86511522213617598</v>
      </c>
      <c r="L15">
        <v>0.86181818181818182</v>
      </c>
      <c r="M15" s="26">
        <f t="shared" si="1"/>
        <v>3.82567969387508E-3</v>
      </c>
    </row>
    <row r="16" spans="2:15" ht="15.75" thickBot="1" x14ac:dyDescent="0.3">
      <c r="C16" s="1" t="s">
        <v>14</v>
      </c>
      <c r="D16" s="1" t="s">
        <v>1</v>
      </c>
      <c r="E16">
        <v>80915</v>
      </c>
      <c r="F16">
        <v>0.65551862515710302</v>
      </c>
      <c r="J16" s="3" t="s">
        <v>4</v>
      </c>
      <c r="K16" s="12">
        <f>AVERAGEIF(D7:D18, J16,F7:F21)</f>
        <v>0.80614632683151199</v>
      </c>
      <c r="L16" s="12">
        <v>0.80285714285714294</v>
      </c>
      <c r="M16" s="27">
        <f t="shared" si="1"/>
        <v>4.0968483666518523E-3</v>
      </c>
      <c r="N16" s="24"/>
    </row>
    <row r="17" spans="3:13" x14ac:dyDescent="0.25">
      <c r="C17" s="1" t="s">
        <v>14</v>
      </c>
      <c r="D17" s="1" t="s">
        <v>0</v>
      </c>
      <c r="E17">
        <v>54227</v>
      </c>
      <c r="F17">
        <v>0.65226206846652002</v>
      </c>
      <c r="J17" s="6" t="s">
        <v>23</v>
      </c>
      <c r="K17" s="7">
        <f>SUMPRODUCT(K12:K16,L3:L7)</f>
        <v>0.79967241796608146</v>
      </c>
      <c r="L17" s="10">
        <f>SUMPRODUCT(L12:L16,O3:O7)</f>
        <v>0.79761688311688317</v>
      </c>
      <c r="M17" s="28">
        <f t="shared" si="1"/>
        <v>2.5770954611263833E-3</v>
      </c>
    </row>
    <row r="19" spans="3:13" x14ac:dyDescent="0.25">
      <c r="J19" s="29"/>
      <c r="M19" s="2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A21F7-07F8-4DA3-997C-BEFBEAB2554C}">
  <dimension ref="B2:O20"/>
  <sheetViews>
    <sheetView zoomScaleNormal="100" workbookViewId="0">
      <selection activeCell="N3" sqref="N3:O9"/>
    </sheetView>
  </sheetViews>
  <sheetFormatPr defaultRowHeight="15" x14ac:dyDescent="0.25"/>
  <cols>
    <col min="3" max="3" width="11.28515625" bestFit="1" customWidth="1"/>
    <col min="6" max="6" width="14.42578125" bestFit="1" customWidth="1"/>
    <col min="11" max="12" width="12.5703125" bestFit="1" customWidth="1"/>
    <col min="13" max="13" width="13.28515625" bestFit="1" customWidth="1"/>
    <col min="15" max="15" width="11.7109375" bestFit="1" customWidth="1"/>
  </cols>
  <sheetData>
    <row r="2" spans="2:15" x14ac:dyDescent="0.25">
      <c r="B2" t="s">
        <v>19</v>
      </c>
      <c r="I2" t="s">
        <v>53</v>
      </c>
    </row>
    <row r="3" spans="2:15" ht="15.75" thickBot="1" x14ac:dyDescent="0.3">
      <c r="B3" t="s">
        <v>27</v>
      </c>
      <c r="C3" s="1" t="s">
        <v>9</v>
      </c>
      <c r="D3" s="1" t="s">
        <v>10</v>
      </c>
      <c r="E3" s="1" t="s">
        <v>11</v>
      </c>
      <c r="F3" t="s">
        <v>26</v>
      </c>
      <c r="G3" s="1"/>
      <c r="J3" s="3" t="s">
        <v>15</v>
      </c>
      <c r="K3" s="3" t="s">
        <v>16</v>
      </c>
      <c r="L3" s="3" t="s">
        <v>17</v>
      </c>
      <c r="N3" s="3" t="s">
        <v>6</v>
      </c>
      <c r="O3" s="3" t="s">
        <v>7</v>
      </c>
    </row>
    <row r="4" spans="2:15" x14ac:dyDescent="0.25">
      <c r="C4" s="1" t="s">
        <v>12</v>
      </c>
      <c r="D4" s="1" t="s">
        <v>4</v>
      </c>
      <c r="E4" s="1">
        <v>122332</v>
      </c>
      <c r="F4">
        <v>1.2071830056578301</v>
      </c>
      <c r="G4" s="1"/>
      <c r="J4" s="2" t="s">
        <v>0</v>
      </c>
      <c r="K4">
        <f>AVERAGEIF($D$4:$D$18, J4,$E$4:$E$18)</f>
        <v>61412</v>
      </c>
      <c r="L4" s="5">
        <f>K4/$K$9</f>
        <v>0.10040388043482408</v>
      </c>
      <c r="N4" s="1" t="s">
        <v>0</v>
      </c>
      <c r="O4" s="4">
        <v>0.1</v>
      </c>
    </row>
    <row r="5" spans="2:15" x14ac:dyDescent="0.25">
      <c r="C5" s="1" t="s">
        <v>12</v>
      </c>
      <c r="D5" s="1" t="s">
        <v>3</v>
      </c>
      <c r="E5" s="1">
        <v>183284</v>
      </c>
      <c r="F5">
        <v>1.2808902060031999</v>
      </c>
      <c r="G5" s="1"/>
      <c r="J5" s="2" t="s">
        <v>1</v>
      </c>
      <c r="K5">
        <f t="shared" ref="K5:K8" si="0">AVERAGEIF($D$4:$D$18, J5,$E$4:$E$18)</f>
        <v>91600.333333333328</v>
      </c>
      <c r="L5" s="5">
        <f t="shared" ref="L5:L8" si="1">K5/$K$9</f>
        <v>0.14975947560395411</v>
      </c>
      <c r="N5" s="1" t="s">
        <v>1</v>
      </c>
      <c r="O5" s="4">
        <v>0.15</v>
      </c>
    </row>
    <row r="6" spans="2:15" x14ac:dyDescent="0.25">
      <c r="C6" s="1" t="s">
        <v>12</v>
      </c>
      <c r="D6" s="1" t="s">
        <v>2</v>
      </c>
      <c r="E6" s="1">
        <v>153158</v>
      </c>
      <c r="F6">
        <v>1.26095663816124</v>
      </c>
      <c r="G6" s="1"/>
      <c r="J6" s="2" t="s">
        <v>2</v>
      </c>
      <c r="K6">
        <f t="shared" si="0"/>
        <v>152886.66666666666</v>
      </c>
      <c r="L6" s="5">
        <f t="shared" si="1"/>
        <v>0.24995790073729571</v>
      </c>
      <c r="N6" s="1" t="s">
        <v>2</v>
      </c>
      <c r="O6" s="4">
        <v>0.25</v>
      </c>
    </row>
    <row r="7" spans="2:15" x14ac:dyDescent="0.25">
      <c r="C7" s="1" t="s">
        <v>12</v>
      </c>
      <c r="D7" s="1" t="s">
        <v>1</v>
      </c>
      <c r="E7" s="1">
        <v>90993</v>
      </c>
      <c r="F7">
        <v>1.0457742989193599</v>
      </c>
      <c r="G7" s="1"/>
      <c r="J7" s="2" t="s">
        <v>3</v>
      </c>
      <c r="K7">
        <f t="shared" si="0"/>
        <v>183458</v>
      </c>
      <c r="L7" s="5">
        <f t="shared" si="1"/>
        <v>0.29993967134781402</v>
      </c>
      <c r="N7" s="1" t="s">
        <v>3</v>
      </c>
      <c r="O7" s="4">
        <v>0.3</v>
      </c>
    </row>
    <row r="8" spans="2:15" ht="15.75" thickBot="1" x14ac:dyDescent="0.3">
      <c r="C8" s="1" t="s">
        <v>12</v>
      </c>
      <c r="D8" s="1" t="s">
        <v>0</v>
      </c>
      <c r="E8" s="1">
        <v>61508</v>
      </c>
      <c r="F8">
        <v>1.04919283433733</v>
      </c>
      <c r="G8" s="1"/>
      <c r="J8" s="3" t="s">
        <v>4</v>
      </c>
      <c r="K8" s="12">
        <f t="shared" si="0"/>
        <v>122292.66666666667</v>
      </c>
      <c r="L8" s="13">
        <f t="shared" si="1"/>
        <v>0.1999390718761121</v>
      </c>
      <c r="N8" s="1" t="s">
        <v>4</v>
      </c>
      <c r="O8" s="4">
        <v>0.2</v>
      </c>
    </row>
    <row r="9" spans="2:15" x14ac:dyDescent="0.25">
      <c r="C9" s="1" t="s">
        <v>13</v>
      </c>
      <c r="D9" s="1" t="s">
        <v>4</v>
      </c>
      <c r="E9" s="1">
        <v>121719</v>
      </c>
      <c r="F9">
        <v>1.1920559400087001</v>
      </c>
      <c r="G9" s="1"/>
      <c r="J9" s="6" t="s">
        <v>5</v>
      </c>
      <c r="K9" s="10">
        <f>SUM(K4:K8)</f>
        <v>611649.66666666663</v>
      </c>
      <c r="L9" s="11">
        <f>SUM(L4:L8)</f>
        <v>1</v>
      </c>
      <c r="N9" s="1" t="s">
        <v>8</v>
      </c>
      <c r="O9" s="4">
        <f>SUM(O4:O8)</f>
        <v>1</v>
      </c>
    </row>
    <row r="10" spans="2:15" x14ac:dyDescent="0.25">
      <c r="C10" s="1" t="s">
        <v>13</v>
      </c>
      <c r="D10" s="1" t="s">
        <v>3</v>
      </c>
      <c r="E10" s="1">
        <v>183740</v>
      </c>
      <c r="F10">
        <v>1.26940994429467</v>
      </c>
      <c r="G10" s="1"/>
    </row>
    <row r="11" spans="2:15" x14ac:dyDescent="0.25">
      <c r="C11" s="1" t="s">
        <v>13</v>
      </c>
      <c r="D11" s="1" t="s">
        <v>2</v>
      </c>
      <c r="E11" s="1">
        <v>152750</v>
      </c>
      <c r="F11">
        <v>1.2601654447852499</v>
      </c>
      <c r="G11" s="1"/>
      <c r="I11" t="s">
        <v>27</v>
      </c>
    </row>
    <row r="12" spans="2:15" ht="15.75" thickBot="1" x14ac:dyDescent="0.3">
      <c r="C12" s="1" t="s">
        <v>13</v>
      </c>
      <c r="D12" s="1" t="s">
        <v>1</v>
      </c>
      <c r="E12" s="1">
        <v>91986</v>
      </c>
      <c r="F12">
        <v>1.0316411653852899</v>
      </c>
      <c r="G12" s="1"/>
      <c r="J12" s="3" t="s">
        <v>15</v>
      </c>
      <c r="K12" s="3" t="s">
        <v>24</v>
      </c>
      <c r="L12" s="3" t="s">
        <v>52</v>
      </c>
      <c r="M12" s="3" t="s">
        <v>51</v>
      </c>
    </row>
    <row r="13" spans="2:15" x14ac:dyDescent="0.25">
      <c r="C13" s="1" t="s">
        <v>13</v>
      </c>
      <c r="D13" s="1" t="s">
        <v>0</v>
      </c>
      <c r="E13" s="1">
        <v>61098</v>
      </c>
      <c r="F13">
        <v>1.03919671512843</v>
      </c>
      <c r="G13" s="1"/>
      <c r="J13" s="2" t="s">
        <v>0</v>
      </c>
      <c r="K13" s="15">
        <f>AVERAGEIF($D$4:$D$18, J13,$F$4:$F$18)</f>
        <v>1.0420905485652268</v>
      </c>
      <c r="L13" s="16">
        <v>1.06</v>
      </c>
      <c r="M13" s="21">
        <f>ABS(L13-K13)/L13</f>
        <v>1.6895708900729521E-2</v>
      </c>
    </row>
    <row r="14" spans="2:15" x14ac:dyDescent="0.25">
      <c r="C14" s="1" t="s">
        <v>14</v>
      </c>
      <c r="D14" s="1" t="s">
        <v>4</v>
      </c>
      <c r="E14" s="1">
        <v>122827</v>
      </c>
      <c r="F14">
        <v>1.2208904737583499</v>
      </c>
      <c r="G14" s="1"/>
      <c r="J14" s="2" t="s">
        <v>1</v>
      </c>
      <c r="K14" s="15">
        <f t="shared" ref="K14:K17" si="2">AVERAGEIF($D$4:$D$18, J14,$F$4:$F$18)</f>
        <v>1.0447305241176235</v>
      </c>
      <c r="L14" s="16">
        <v>1.0499999999999998</v>
      </c>
      <c r="M14" s="21">
        <f t="shared" ref="M14:M18" si="3">ABS(L14-K14)/L14</f>
        <v>5.0185484594060603E-3</v>
      </c>
    </row>
    <row r="15" spans="2:15" x14ac:dyDescent="0.25">
      <c r="C15" s="1" t="s">
        <v>14</v>
      </c>
      <c r="D15" s="1" t="s">
        <v>3</v>
      </c>
      <c r="E15" s="1">
        <v>183350</v>
      </c>
      <c r="F15">
        <v>1.2794283758898499</v>
      </c>
      <c r="G15" s="1"/>
      <c r="J15" s="2" t="s">
        <v>2</v>
      </c>
      <c r="K15" s="15">
        <f t="shared" si="2"/>
        <v>1.2574501728031833</v>
      </c>
      <c r="L15" s="16">
        <v>1.2739130434782608</v>
      </c>
      <c r="M15" s="21">
        <f t="shared" si="3"/>
        <v>1.2923072543576247E-2</v>
      </c>
    </row>
    <row r="16" spans="2:15" x14ac:dyDescent="0.25">
      <c r="C16" s="1" t="s">
        <v>14</v>
      </c>
      <c r="D16" s="1" t="s">
        <v>2</v>
      </c>
      <c r="E16" s="1">
        <v>152752</v>
      </c>
      <c r="F16">
        <v>1.2512284354630601</v>
      </c>
      <c r="G16" s="1"/>
      <c r="J16" s="2" t="s">
        <v>3</v>
      </c>
      <c r="K16" s="15">
        <f t="shared" si="2"/>
        <v>1.2765761753959068</v>
      </c>
      <c r="L16" s="16">
        <v>1.2840816326530611</v>
      </c>
      <c r="M16" s="21">
        <f t="shared" si="3"/>
        <v>5.8450000890107687E-3</v>
      </c>
    </row>
    <row r="17" spans="3:13" ht="15.75" thickBot="1" x14ac:dyDescent="0.3">
      <c r="C17" s="1" t="s">
        <v>14</v>
      </c>
      <c r="D17" s="1" t="s">
        <v>1</v>
      </c>
      <c r="E17" s="1">
        <v>91822</v>
      </c>
      <c r="F17">
        <v>1.0567761080482201</v>
      </c>
      <c r="G17" s="1"/>
      <c r="J17" s="3" t="s">
        <v>4</v>
      </c>
      <c r="K17" s="17">
        <f t="shared" si="2"/>
        <v>1.20670980647496</v>
      </c>
      <c r="L17" s="18">
        <v>1.2115151515151514</v>
      </c>
      <c r="M17" s="22">
        <f t="shared" si="3"/>
        <v>3.9663928545852619E-3</v>
      </c>
    </row>
    <row r="18" spans="3:13" x14ac:dyDescent="0.25">
      <c r="C18" s="1" t="s">
        <v>14</v>
      </c>
      <c r="D18" s="1" t="s">
        <v>0</v>
      </c>
      <c r="E18" s="1">
        <v>61630</v>
      </c>
      <c r="F18">
        <v>1.03788209622992</v>
      </c>
      <c r="G18" s="1"/>
      <c r="J18" s="6" t="s">
        <v>5</v>
      </c>
      <c r="K18" s="19">
        <f>SUMPRODUCT(K13:K17,L4:L8)</f>
        <v>1.19956211298444</v>
      </c>
      <c r="L18" s="20">
        <f>SUMPRODUCT(L13:L17,O4:O8)</f>
        <v>1.2095057809685137</v>
      </c>
      <c r="M18" s="21">
        <f t="shared" si="3"/>
        <v>8.2212653635365326E-3</v>
      </c>
    </row>
    <row r="20" spans="3:13" x14ac:dyDescent="0.25">
      <c r="M20" s="25">
        <f>AVERAGE(M13:M17)</f>
        <v>8.9297445694615715E-3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2D22C-8253-4384-BD4C-31624F09DD32}">
  <dimension ref="B3:Q23"/>
  <sheetViews>
    <sheetView tabSelected="1" topLeftCell="A3" workbookViewId="0">
      <selection activeCell="I6" sqref="I6"/>
    </sheetView>
  </sheetViews>
  <sheetFormatPr defaultRowHeight="15" x14ac:dyDescent="0.25"/>
  <cols>
    <col min="2" max="2" width="12.85546875" bestFit="1" customWidth="1"/>
    <col min="3" max="3" width="11" bestFit="1" customWidth="1"/>
    <col min="4" max="4" width="26.85546875" customWidth="1"/>
    <col min="5" max="5" width="7" bestFit="1" customWidth="1"/>
    <col min="10" max="10" width="11" bestFit="1" customWidth="1"/>
    <col min="11" max="11" width="12" bestFit="1" customWidth="1"/>
    <col min="12" max="12" width="13.140625" bestFit="1" customWidth="1"/>
  </cols>
  <sheetData>
    <row r="3" spans="2:17" ht="15.75" thickBot="1" x14ac:dyDescent="0.3">
      <c r="B3" s="1" t="s">
        <v>58</v>
      </c>
      <c r="C3" s="1" t="s">
        <v>9</v>
      </c>
      <c r="D3" s="1" t="s">
        <v>10</v>
      </c>
      <c r="E3" s="1" t="s">
        <v>11</v>
      </c>
      <c r="F3" s="1" t="s">
        <v>20</v>
      </c>
      <c r="O3" s="3" t="s">
        <v>6</v>
      </c>
      <c r="P3" s="3" t="s">
        <v>7</v>
      </c>
    </row>
    <row r="4" spans="2:17" x14ac:dyDescent="0.25">
      <c r="B4" s="1"/>
      <c r="C4" s="1" t="s">
        <v>12</v>
      </c>
      <c r="D4" s="1" t="s">
        <v>2</v>
      </c>
      <c r="E4" s="1">
        <v>134835</v>
      </c>
      <c r="F4" s="1">
        <v>0.16081840539217701</v>
      </c>
      <c r="O4" s="1" t="s">
        <v>57</v>
      </c>
      <c r="P4" s="4">
        <v>1</v>
      </c>
    </row>
    <row r="5" spans="2:17" x14ac:dyDescent="0.25">
      <c r="B5" s="1"/>
      <c r="C5" s="1" t="s">
        <v>13</v>
      </c>
      <c r="D5" s="1" t="s">
        <v>3</v>
      </c>
      <c r="E5" s="1">
        <v>162321</v>
      </c>
      <c r="F5" s="1">
        <v>0.18439644336185801</v>
      </c>
      <c r="O5" s="1" t="s">
        <v>0</v>
      </c>
      <c r="P5" s="4">
        <v>0.1</v>
      </c>
    </row>
    <row r="6" spans="2:17" ht="15.75" thickBot="1" x14ac:dyDescent="0.3">
      <c r="B6" s="1"/>
      <c r="C6" s="1" t="s">
        <v>13</v>
      </c>
      <c r="D6" s="1" t="s">
        <v>4</v>
      </c>
      <c r="E6" s="1">
        <v>107891</v>
      </c>
      <c r="F6" s="1">
        <v>0.14390456124221801</v>
      </c>
      <c r="I6" s="34" t="s">
        <v>15</v>
      </c>
      <c r="J6" s="35" t="s">
        <v>24</v>
      </c>
      <c r="K6" s="35" t="s">
        <v>52</v>
      </c>
      <c r="L6" s="36" t="s">
        <v>51</v>
      </c>
      <c r="O6" s="1" t="s">
        <v>1</v>
      </c>
      <c r="P6" s="4">
        <v>0.15</v>
      </c>
      <c r="Q6" s="3"/>
    </row>
    <row r="7" spans="2:17" x14ac:dyDescent="0.25">
      <c r="B7" s="1"/>
      <c r="C7" s="1" t="s">
        <v>12</v>
      </c>
      <c r="D7" s="1" t="s">
        <v>0</v>
      </c>
      <c r="E7" s="1">
        <v>270014</v>
      </c>
      <c r="F7" s="1">
        <v>0.40203918014206003</v>
      </c>
      <c r="I7" s="37" t="s">
        <v>57</v>
      </c>
      <c r="J7" s="39">
        <f>AVERAGEIF($D$4:$D$21,I7,$F$4:$F$21)</f>
        <v>0.20079153817770534</v>
      </c>
      <c r="K7" s="39">
        <v>0.2</v>
      </c>
      <c r="L7" s="42">
        <f>ABS(K7-J7)/K7</f>
        <v>3.9576908885266548E-3</v>
      </c>
      <c r="O7" s="1" t="s">
        <v>2</v>
      </c>
      <c r="P7" s="4">
        <v>0.25</v>
      </c>
      <c r="Q7" s="4"/>
    </row>
    <row r="8" spans="2:17" x14ac:dyDescent="0.25">
      <c r="B8" s="1"/>
      <c r="C8" s="1" t="s">
        <v>13</v>
      </c>
      <c r="D8" s="1" t="s">
        <v>2</v>
      </c>
      <c r="E8" s="1">
        <v>135055</v>
      </c>
      <c r="F8" s="1">
        <v>0.16070111365263301</v>
      </c>
      <c r="I8" s="37" t="s">
        <v>0</v>
      </c>
      <c r="J8" s="39">
        <f>AVERAGEIF($D$4:$D$21,I8,$F$4:$F$21)</f>
        <v>0.39962868827183667</v>
      </c>
      <c r="K8" s="39">
        <v>0.4</v>
      </c>
      <c r="L8" s="42">
        <f t="shared" ref="L8:L12" si="0">ABS(K8-J8)/K8</f>
        <v>9.2827932040837058E-4</v>
      </c>
      <c r="O8" s="1" t="s">
        <v>3</v>
      </c>
      <c r="P8" s="4">
        <v>0.3</v>
      </c>
      <c r="Q8" s="4"/>
    </row>
    <row r="9" spans="2:17" x14ac:dyDescent="0.25">
      <c r="B9" s="1"/>
      <c r="C9" s="1" t="s">
        <v>12</v>
      </c>
      <c r="D9" s="1" t="s">
        <v>57</v>
      </c>
      <c r="E9" s="1">
        <v>538662</v>
      </c>
      <c r="F9" s="1">
        <v>0.20115651172644899</v>
      </c>
      <c r="I9" s="37" t="s">
        <v>1</v>
      </c>
      <c r="J9" s="39">
        <f t="shared" ref="J9:J12" si="1">AVERAGEIF($D$4:$D$21,I9,$F$4:$F$21)</f>
        <v>0.40061635879356006</v>
      </c>
      <c r="K9" s="39">
        <v>0.4</v>
      </c>
      <c r="L9" s="42">
        <f t="shared" si="0"/>
        <v>1.5408969839000863E-3</v>
      </c>
      <c r="O9" s="1" t="s">
        <v>4</v>
      </c>
      <c r="P9" s="4">
        <v>0.2</v>
      </c>
      <c r="Q9" s="4"/>
    </row>
    <row r="10" spans="2:17" x14ac:dyDescent="0.25">
      <c r="B10" s="1"/>
      <c r="C10" s="1" t="s">
        <v>13</v>
      </c>
      <c r="D10" s="1" t="s">
        <v>1</v>
      </c>
      <c r="E10" s="1">
        <v>269558</v>
      </c>
      <c r="F10" s="1">
        <v>0.395593121098338</v>
      </c>
      <c r="I10" s="37" t="s">
        <v>2</v>
      </c>
      <c r="J10" s="39">
        <f t="shared" si="1"/>
        <v>0.16047011455506269</v>
      </c>
      <c r="K10" s="39">
        <v>0.16</v>
      </c>
      <c r="L10" s="42">
        <f t="shared" si="0"/>
        <v>2.9382159691417747E-3</v>
      </c>
      <c r="O10" s="1" t="s">
        <v>8</v>
      </c>
      <c r="P10" s="4">
        <f>SUM(P5:P9)</f>
        <v>1</v>
      </c>
      <c r="Q10" s="4"/>
    </row>
    <row r="11" spans="2:17" x14ac:dyDescent="0.25">
      <c r="B11" s="1"/>
      <c r="C11" s="1" t="s">
        <v>13</v>
      </c>
      <c r="D11" s="1" t="s">
        <v>0</v>
      </c>
      <c r="E11" s="1">
        <v>270372</v>
      </c>
      <c r="F11" s="1">
        <v>0.40396023860768898</v>
      </c>
      <c r="I11" s="37" t="s">
        <v>3</v>
      </c>
      <c r="J11" s="39">
        <f t="shared" si="1"/>
        <v>0.18325019036754767</v>
      </c>
      <c r="K11" s="41">
        <v>0.18181818181818182</v>
      </c>
      <c r="L11" s="42">
        <f t="shared" si="0"/>
        <v>7.8760470215121364E-3</v>
      </c>
      <c r="P11" s="1"/>
      <c r="Q11" s="4"/>
    </row>
    <row r="12" spans="2:17" x14ac:dyDescent="0.25">
      <c r="B12" s="1"/>
      <c r="C12" s="1" t="s">
        <v>14</v>
      </c>
      <c r="D12" s="1" t="s">
        <v>4</v>
      </c>
      <c r="E12" s="1">
        <v>108313</v>
      </c>
      <c r="F12" s="1">
        <v>0.14268406710159601</v>
      </c>
      <c r="I12" s="38" t="s">
        <v>4</v>
      </c>
      <c r="J12" s="39">
        <f t="shared" si="1"/>
        <v>0.14333017968435569</v>
      </c>
      <c r="K12" s="40">
        <v>0.14285714285714285</v>
      </c>
      <c r="L12" s="43">
        <f t="shared" si="0"/>
        <v>3.3112577904898521E-3</v>
      </c>
      <c r="P12" s="1"/>
      <c r="Q12" s="4"/>
    </row>
    <row r="13" spans="2:17" x14ac:dyDescent="0.25">
      <c r="B13" s="1"/>
      <c r="C13" s="1" t="s">
        <v>13</v>
      </c>
      <c r="D13" s="1" t="s">
        <v>57</v>
      </c>
      <c r="E13" s="1">
        <v>539934</v>
      </c>
      <c r="F13" s="1">
        <v>0.202770166932906</v>
      </c>
      <c r="L13" s="44">
        <f>AVERAGE(L7:L12)</f>
        <v>3.4253979956631458E-3</v>
      </c>
    </row>
    <row r="14" spans="2:17" x14ac:dyDescent="0.25">
      <c r="B14" s="1"/>
      <c r="C14" s="1" t="s">
        <v>12</v>
      </c>
      <c r="D14" s="1" t="s">
        <v>3</v>
      </c>
      <c r="E14" s="1">
        <v>161621</v>
      </c>
      <c r="F14" s="1">
        <v>0.182400424511172</v>
      </c>
    </row>
    <row r="15" spans="2:17" x14ac:dyDescent="0.25">
      <c r="B15" s="1"/>
      <c r="C15" s="1" t="s">
        <v>12</v>
      </c>
      <c r="D15" s="1" t="s">
        <v>1</v>
      </c>
      <c r="E15" s="1">
        <v>268631</v>
      </c>
      <c r="F15" s="1">
        <v>0.39776195033141698</v>
      </c>
    </row>
    <row r="16" spans="2:17" x14ac:dyDescent="0.25">
      <c r="B16" s="1"/>
      <c r="C16" s="1" t="s">
        <v>14</v>
      </c>
      <c r="D16" s="1" t="s">
        <v>0</v>
      </c>
      <c r="E16" s="1">
        <v>270100</v>
      </c>
      <c r="F16" s="1">
        <v>0.39288664606576101</v>
      </c>
    </row>
    <row r="17" spans="2:6" x14ac:dyDescent="0.25">
      <c r="B17" s="1"/>
      <c r="C17" s="1" t="s">
        <v>14</v>
      </c>
      <c r="D17" s="1" t="s">
        <v>57</v>
      </c>
      <c r="E17" s="1">
        <v>540546</v>
      </c>
      <c r="F17" s="1">
        <v>0.198447935873761</v>
      </c>
    </row>
    <row r="18" spans="2:6" x14ac:dyDescent="0.25">
      <c r="B18" s="1"/>
      <c r="C18" s="1" t="s">
        <v>14</v>
      </c>
      <c r="D18" s="1" t="s">
        <v>1</v>
      </c>
      <c r="E18" s="1">
        <v>270445</v>
      </c>
      <c r="F18" s="1">
        <v>0.40849400495092503</v>
      </c>
    </row>
    <row r="19" spans="2:6" x14ac:dyDescent="0.25">
      <c r="B19" s="1"/>
      <c r="C19" s="1" t="s">
        <v>14</v>
      </c>
      <c r="D19" s="1" t="s">
        <v>2</v>
      </c>
      <c r="E19" s="1">
        <v>134669</v>
      </c>
      <c r="F19" s="1">
        <v>0.15989082462037801</v>
      </c>
    </row>
    <row r="20" spans="2:6" x14ac:dyDescent="0.25">
      <c r="B20" s="1"/>
      <c r="C20" s="1" t="s">
        <v>12</v>
      </c>
      <c r="D20" s="1" t="s">
        <v>4</v>
      </c>
      <c r="E20" s="1">
        <v>107413</v>
      </c>
      <c r="F20" s="1">
        <v>0.14340191070925301</v>
      </c>
    </row>
    <row r="21" spans="2:6" x14ac:dyDescent="0.25">
      <c r="B21" s="1"/>
      <c r="C21" s="1" t="s">
        <v>14</v>
      </c>
      <c r="D21" s="1" t="s">
        <v>3</v>
      </c>
      <c r="E21" s="1">
        <v>162420</v>
      </c>
      <c r="F21" s="1">
        <v>0.18295370322961299</v>
      </c>
    </row>
    <row r="23" spans="2:6" x14ac:dyDescent="0.25">
      <c r="B23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EA22-2C4E-460C-A0C9-CB4F1D5E0DA3}">
  <dimension ref="B3:P21"/>
  <sheetViews>
    <sheetView topLeftCell="A2" workbookViewId="0">
      <selection activeCell="K8" sqref="K8"/>
    </sheetView>
  </sheetViews>
  <sheetFormatPr defaultRowHeight="15" x14ac:dyDescent="0.25"/>
  <cols>
    <col min="2" max="2" width="10" bestFit="1" customWidth="1"/>
    <col min="3" max="3" width="11" bestFit="1" customWidth="1"/>
    <col min="4" max="4" width="23.5703125" bestFit="1" customWidth="1"/>
    <col min="10" max="10" width="11" bestFit="1" customWidth="1"/>
    <col min="11" max="11" width="12" bestFit="1" customWidth="1"/>
    <col min="12" max="12" width="13.140625" bestFit="1" customWidth="1"/>
  </cols>
  <sheetData>
    <row r="3" spans="2:16" ht="15.75" thickBot="1" x14ac:dyDescent="0.3">
      <c r="B3" t="s">
        <v>58</v>
      </c>
      <c r="C3" t="s">
        <v>9</v>
      </c>
      <c r="D3" t="s">
        <v>10</v>
      </c>
      <c r="E3" t="s">
        <v>11</v>
      </c>
      <c r="F3" t="s">
        <v>20</v>
      </c>
      <c r="O3" s="3" t="s">
        <v>6</v>
      </c>
      <c r="P3" s="3" t="s">
        <v>7</v>
      </c>
    </row>
    <row r="4" spans="2:16" x14ac:dyDescent="0.25">
      <c r="C4" t="s">
        <v>14</v>
      </c>
      <c r="D4" t="s">
        <v>4</v>
      </c>
      <c r="E4">
        <v>122827</v>
      </c>
      <c r="F4">
        <v>0.15267966457721799</v>
      </c>
      <c r="O4" s="1" t="s">
        <v>57</v>
      </c>
      <c r="P4" s="4">
        <v>1</v>
      </c>
    </row>
    <row r="5" spans="2:16" x14ac:dyDescent="0.25">
      <c r="C5" t="s">
        <v>13</v>
      </c>
      <c r="D5" t="s">
        <v>0</v>
      </c>
      <c r="E5">
        <v>305772</v>
      </c>
      <c r="F5">
        <v>0.65232860065481402</v>
      </c>
      <c r="O5" s="1" t="s">
        <v>0</v>
      </c>
      <c r="P5" s="4">
        <v>0.1</v>
      </c>
    </row>
    <row r="6" spans="2:16" ht="15.75" thickBot="1" x14ac:dyDescent="0.3">
      <c r="C6" t="s">
        <v>12</v>
      </c>
      <c r="D6" t="s">
        <v>57</v>
      </c>
      <c r="E6">
        <v>611297</v>
      </c>
      <c r="F6">
        <v>0.336813996148144</v>
      </c>
      <c r="I6" s="34" t="s">
        <v>15</v>
      </c>
      <c r="J6" s="35" t="s">
        <v>24</v>
      </c>
      <c r="K6" s="35" t="s">
        <v>52</v>
      </c>
      <c r="L6" s="36" t="s">
        <v>51</v>
      </c>
      <c r="O6" s="1" t="s">
        <v>1</v>
      </c>
      <c r="P6" s="4">
        <v>0.15</v>
      </c>
    </row>
    <row r="7" spans="2:16" x14ac:dyDescent="0.25">
      <c r="C7" t="s">
        <v>12</v>
      </c>
      <c r="D7" t="s">
        <v>0</v>
      </c>
      <c r="E7">
        <v>305911</v>
      </c>
      <c r="F7">
        <v>0.65234093008027505</v>
      </c>
      <c r="I7" s="37" t="s">
        <v>57</v>
      </c>
      <c r="J7" s="39">
        <f>AVERAGEIF($D$4:$D$21,I7,$F$4:$F$21)</f>
        <v>0.33258320888107401</v>
      </c>
      <c r="K7" s="39">
        <v>0.33333333333333331</v>
      </c>
      <c r="L7" s="42">
        <f>ABS(K7-J7)/K7</f>
        <v>2.2503733567779127E-3</v>
      </c>
      <c r="O7" s="1" t="s">
        <v>2</v>
      </c>
      <c r="P7" s="4">
        <v>0.25</v>
      </c>
    </row>
    <row r="8" spans="2:16" x14ac:dyDescent="0.25">
      <c r="C8" t="s">
        <v>12</v>
      </c>
      <c r="D8" t="s">
        <v>2</v>
      </c>
      <c r="E8">
        <v>153158</v>
      </c>
      <c r="F8">
        <v>0.17401876466268801</v>
      </c>
      <c r="I8" s="37" t="s">
        <v>0</v>
      </c>
      <c r="J8" s="39">
        <f>AVERAGEIF($D$4:$D$21,I8,$F$4:$F$21)</f>
        <v>0.65160888586796872</v>
      </c>
      <c r="K8" s="39">
        <v>0.66666666666666663</v>
      </c>
      <c r="L8" s="42">
        <f>ABS(K8-J8)/K8</f>
        <v>2.2586671198046859E-2</v>
      </c>
      <c r="O8" s="1" t="s">
        <v>3</v>
      </c>
      <c r="P8" s="4">
        <v>0.3</v>
      </c>
    </row>
    <row r="9" spans="2:16" x14ac:dyDescent="0.25">
      <c r="C9" t="s">
        <v>12</v>
      </c>
      <c r="D9" t="s">
        <v>4</v>
      </c>
      <c r="E9">
        <v>122332</v>
      </c>
      <c r="F9">
        <v>0.15034122748581799</v>
      </c>
      <c r="I9" s="37" t="s">
        <v>1</v>
      </c>
      <c r="J9" s="39">
        <f t="shared" ref="J8:J12" si="0">AVERAGEIF($D$4:$D$21,I9,$F$4:$F$21)</f>
        <v>0.66299935203761362</v>
      </c>
      <c r="K9" s="39">
        <v>0.66666666666666663</v>
      </c>
      <c r="L9" s="42">
        <f t="shared" ref="L8:L12" si="1">ABS(K9-J9)/K9</f>
        <v>5.5009719435795135E-3</v>
      </c>
      <c r="O9" s="1" t="s">
        <v>4</v>
      </c>
      <c r="P9" s="4">
        <v>0.2</v>
      </c>
    </row>
    <row r="10" spans="2:16" x14ac:dyDescent="0.25">
      <c r="C10" t="s">
        <v>12</v>
      </c>
      <c r="D10" t="s">
        <v>1</v>
      </c>
      <c r="E10">
        <v>305368</v>
      </c>
      <c r="F10">
        <v>0.65948749341572799</v>
      </c>
      <c r="I10" s="37" t="s">
        <v>2</v>
      </c>
      <c r="J10" s="39">
        <f t="shared" si="0"/>
        <v>0.17384350634331799</v>
      </c>
      <c r="K10" s="39">
        <v>0.17391304347826086</v>
      </c>
      <c r="L10" s="42">
        <f t="shared" si="1"/>
        <v>3.9983852592150732E-4</v>
      </c>
      <c r="O10" s="1" t="s">
        <v>8</v>
      </c>
      <c r="P10" s="4">
        <f>SUM(P5:P9)</f>
        <v>1</v>
      </c>
    </row>
    <row r="11" spans="2:16" x14ac:dyDescent="0.25">
      <c r="C11" t="s">
        <v>12</v>
      </c>
      <c r="D11" t="s">
        <v>3</v>
      </c>
      <c r="E11">
        <v>183285</v>
      </c>
      <c r="F11">
        <v>0.20645602183828901</v>
      </c>
      <c r="I11" s="37" t="s">
        <v>3</v>
      </c>
      <c r="J11" s="39">
        <f t="shared" si="0"/>
        <v>0.20506167117600269</v>
      </c>
      <c r="K11" s="39">
        <v>0.2040816326530612</v>
      </c>
      <c r="L11" s="42">
        <f t="shared" si="1"/>
        <v>4.8021887624132738E-3</v>
      </c>
    </row>
    <row r="12" spans="2:16" x14ac:dyDescent="0.25">
      <c r="C12" t="s">
        <v>13</v>
      </c>
      <c r="D12" t="s">
        <v>57</v>
      </c>
      <c r="E12">
        <v>611298</v>
      </c>
      <c r="F12">
        <v>0.33143793328827398</v>
      </c>
      <c r="I12" s="38" t="s">
        <v>4</v>
      </c>
      <c r="J12" s="39">
        <f t="shared" si="0"/>
        <v>0.15116467112537099</v>
      </c>
      <c r="K12" s="40">
        <v>0.15151515151515152</v>
      </c>
      <c r="L12" s="43">
        <f t="shared" si="1"/>
        <v>2.3131705725514817E-3</v>
      </c>
    </row>
    <row r="13" spans="2:16" x14ac:dyDescent="0.25">
      <c r="C13" t="s">
        <v>13</v>
      </c>
      <c r="D13" t="s">
        <v>2</v>
      </c>
      <c r="E13">
        <v>152751</v>
      </c>
      <c r="F13">
        <v>0.17434693551081601</v>
      </c>
      <c r="I13" s="6"/>
      <c r="J13" s="19"/>
      <c r="K13" s="10"/>
      <c r="L13" s="33">
        <f>AVERAGE(L7:L12)</f>
        <v>6.3088690598817583E-3</v>
      </c>
    </row>
    <row r="14" spans="2:16" x14ac:dyDescent="0.25">
      <c r="C14" t="s">
        <v>13</v>
      </c>
      <c r="D14" t="s">
        <v>3</v>
      </c>
      <c r="E14">
        <v>183740</v>
      </c>
      <c r="F14">
        <v>0.20377991304260001</v>
      </c>
    </row>
    <row r="15" spans="2:16" x14ac:dyDescent="0.25">
      <c r="C15" t="s">
        <v>13</v>
      </c>
      <c r="D15" t="s">
        <v>4</v>
      </c>
      <c r="E15">
        <v>121719</v>
      </c>
      <c r="F15">
        <v>0.150473121313077</v>
      </c>
      <c r="K15" s="32"/>
    </row>
    <row r="16" spans="2:16" x14ac:dyDescent="0.25">
      <c r="C16" t="s">
        <v>14</v>
      </c>
      <c r="D16" t="s">
        <v>1</v>
      </c>
      <c r="E16">
        <v>306298</v>
      </c>
      <c r="F16">
        <v>0.67746695327499296</v>
      </c>
    </row>
    <row r="17" spans="3:6" x14ac:dyDescent="0.25">
      <c r="C17" t="s">
        <v>14</v>
      </c>
      <c r="D17" t="s">
        <v>57</v>
      </c>
      <c r="E17">
        <v>612400</v>
      </c>
      <c r="F17">
        <v>0.329497697206804</v>
      </c>
    </row>
    <row r="18" spans="3:6" x14ac:dyDescent="0.25">
      <c r="C18" t="s">
        <v>14</v>
      </c>
      <c r="D18" t="s">
        <v>0</v>
      </c>
      <c r="E18">
        <v>306085</v>
      </c>
      <c r="F18">
        <v>0.65015712686881699</v>
      </c>
    </row>
    <row r="19" spans="3:6" x14ac:dyDescent="0.25">
      <c r="C19" t="s">
        <v>14</v>
      </c>
      <c r="D19" t="s">
        <v>2</v>
      </c>
      <c r="E19">
        <v>152752</v>
      </c>
      <c r="F19">
        <v>0.17316481885644999</v>
      </c>
    </row>
    <row r="20" spans="3:6" x14ac:dyDescent="0.25">
      <c r="C20" t="s">
        <v>14</v>
      </c>
      <c r="D20" t="s">
        <v>3</v>
      </c>
      <c r="E20">
        <v>183350</v>
      </c>
      <c r="F20">
        <v>0.204949078647119</v>
      </c>
    </row>
    <row r="21" spans="3:6" x14ac:dyDescent="0.25">
      <c r="C21" t="s">
        <v>13</v>
      </c>
      <c r="D21" t="s">
        <v>1</v>
      </c>
      <c r="E21">
        <v>305524</v>
      </c>
      <c r="F21">
        <v>0.65204360942212003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ExpectedDelay</vt:lpstr>
      <vt:lpstr>NetA_lifetime_load</vt:lpstr>
      <vt:lpstr>NetB_lifetime_load</vt:lpstr>
      <vt:lpstr>NetA_queues</vt:lpstr>
      <vt:lpstr>NetB_queues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Hayden</dc:creator>
  <cp:lastModifiedBy>Micah Hayden</cp:lastModifiedBy>
  <dcterms:created xsi:type="dcterms:W3CDTF">2019-04-15T21:17:24Z</dcterms:created>
  <dcterms:modified xsi:type="dcterms:W3CDTF">2019-04-22T21:09:33Z</dcterms:modified>
</cp:coreProperties>
</file>