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C7DDF60B-EB68-4123-9A2B-96E0BF5F4423}" xr6:coauthVersionLast="43" xr6:coauthVersionMax="43" xr10:uidLastSave="{00000000-0000-0000-0000-000000000000}"/>
  <bookViews>
    <workbookView xWindow="-120" yWindow="-120" windowWidth="20730" windowHeight="11310" activeTab="1" xr2:uid="{DFA697D2-2C29-43C4-A322-5A73EA6783C9}"/>
  </bookViews>
  <sheets>
    <sheet name="Data" sheetId="1" r:id="rId1"/>
    <sheet name="PacketDelay" sheetId="4" r:id="rId2"/>
  </sheets>
  <definedNames>
    <definedName name="solver_adj" localSheetId="1" hidden="1">PacketDelay!$J$2:$P$21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PacketDelay!$J$2:$P$21</definedName>
    <definedName name="solver_lhs2" localSheetId="1" hidden="1">PacketDelay!$J$2:$P$21</definedName>
    <definedName name="solver_lhs3" localSheetId="1" hidden="1">PacketDelay!$J$2:$P$21</definedName>
    <definedName name="solver_lhs4" localSheetId="1" hidden="1">PacketDelay!$K$2:$L$21</definedName>
    <definedName name="solver_lhs5" localSheetId="1" hidden="1">PacketDelay!$R$2:$R$21</definedName>
    <definedName name="solver_lhs6" localSheetId="1" hidden="1">PacketDelay!$U$22</definedName>
    <definedName name="solver_lhs7" localSheetId="1" hidden="1">PacketDelay!$U$3:$U$4</definedName>
    <definedName name="solver_lhs8" localSheetId="1" hidden="1">PacketDelay!$V$2:$V$22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8</definedName>
    <definedName name="solver_nwt" localSheetId="1" hidden="1">1</definedName>
    <definedName name="solver_opt" localSheetId="1" hidden="1">PacketDelay!$K$31</definedName>
    <definedName name="solver_pre" localSheetId="1" hidden="1">0.0000001</definedName>
    <definedName name="solver_rbv" localSheetId="1" hidden="1">2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el7" localSheetId="1" hidden="1">1</definedName>
    <definedName name="solver_rel8" localSheetId="1" hidden="1">2</definedName>
    <definedName name="solver_rhs1" localSheetId="1" hidden="1">4</definedName>
    <definedName name="solver_rhs2" localSheetId="1" hidden="1">integer</definedName>
    <definedName name="solver_rhs3" localSheetId="1" hidden="1">0</definedName>
    <definedName name="solver_rhs4" localSheetId="1" hidden="1">1</definedName>
    <definedName name="solver_rhs5" localSheetId="1" hidden="1">PacketDelay!$Q$2:$Q$21</definedName>
    <definedName name="solver_rhs6" localSheetId="1" hidden="1">0.7</definedName>
    <definedName name="solver_rhs7" localSheetId="1" hidden="1">0.5</definedName>
    <definedName name="solver_rhs8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8" i="4" l="1"/>
  <c r="I32" i="4"/>
  <c r="I31" i="4"/>
  <c r="I29" i="4"/>
  <c r="I28" i="4"/>
  <c r="I27" i="4"/>
  <c r="I26" i="4"/>
  <c r="R2" i="4" l="1" a="1"/>
  <c r="R2" i="4" s="1"/>
  <c r="U2" i="4" s="1"/>
  <c r="I34" i="4"/>
  <c r="I36" i="4"/>
  <c r="I35" i="4"/>
  <c r="I33" i="4"/>
  <c r="I30" i="4"/>
  <c r="W3" i="4"/>
  <c r="W7" i="4"/>
  <c r="W11" i="4"/>
  <c r="W15" i="4"/>
  <c r="W19" i="4"/>
  <c r="L23" i="4"/>
  <c r="K23" i="4"/>
  <c r="M23" i="4"/>
  <c r="N23" i="4"/>
  <c r="O23" i="4"/>
  <c r="P23" i="4"/>
  <c r="J23" i="4"/>
  <c r="R3" i="4" a="1"/>
  <c r="R3" i="4" s="1"/>
  <c r="T3" i="4" s="1"/>
  <c r="R4" i="4" a="1"/>
  <c r="R4" i="4" s="1"/>
  <c r="U4" i="4" s="1"/>
  <c r="R5" i="4" a="1"/>
  <c r="R5" i="4" s="1"/>
  <c r="V5" i="4" s="1"/>
  <c r="R6" i="4" a="1"/>
  <c r="R6" i="4" s="1"/>
  <c r="V6" i="4" s="1"/>
  <c r="R7" i="4" a="1"/>
  <c r="R7" i="4" s="1"/>
  <c r="V7" i="4" s="1"/>
  <c r="R8" i="4" a="1"/>
  <c r="R8" i="4" s="1"/>
  <c r="U8" i="4" s="1"/>
  <c r="R9" i="4" a="1"/>
  <c r="R9" i="4" s="1"/>
  <c r="V9" i="4" s="1"/>
  <c r="R10" i="4" a="1"/>
  <c r="R10" i="4" s="1"/>
  <c r="V10" i="4" s="1"/>
  <c r="R11" i="4" a="1"/>
  <c r="R11" i="4" s="1"/>
  <c r="V11" i="4" s="1"/>
  <c r="R12" i="4" a="1"/>
  <c r="R12" i="4" s="1"/>
  <c r="U12" i="4" s="1"/>
  <c r="R13" i="4" a="1"/>
  <c r="R13" i="4" s="1"/>
  <c r="V13" i="4" s="1"/>
  <c r="R14" i="4" a="1"/>
  <c r="R14" i="4" s="1"/>
  <c r="V14" i="4" s="1"/>
  <c r="R15" i="4" a="1"/>
  <c r="R15" i="4" s="1"/>
  <c r="V15" i="4" s="1"/>
  <c r="R16" i="4" a="1"/>
  <c r="R16" i="4" s="1"/>
  <c r="U16" i="4" s="1"/>
  <c r="R17" i="4" a="1"/>
  <c r="R17" i="4" s="1"/>
  <c r="V17" i="4" s="1"/>
  <c r="R18" i="4" a="1"/>
  <c r="R18" i="4" s="1"/>
  <c r="U18" i="4" s="1"/>
  <c r="R19" i="4" a="1"/>
  <c r="R19" i="4" s="1"/>
  <c r="U19" i="4" s="1"/>
  <c r="R20" i="4" a="1"/>
  <c r="R20" i="4" s="1"/>
  <c r="U20" i="4" s="1"/>
  <c r="R21" i="4" a="1"/>
  <c r="R21" i="4" s="1"/>
  <c r="V21" i="4" s="1"/>
  <c r="Q22" i="4"/>
  <c r="W4" i="4" s="1"/>
  <c r="K26" i="4" l="1"/>
  <c r="I37" i="4"/>
  <c r="W2" i="4"/>
  <c r="W18" i="4"/>
  <c r="W14" i="4"/>
  <c r="W10" i="4"/>
  <c r="W6" i="4"/>
  <c r="W21" i="4"/>
  <c r="W17" i="4"/>
  <c r="W13" i="4"/>
  <c r="W9" i="4"/>
  <c r="W5" i="4"/>
  <c r="W20" i="4"/>
  <c r="W16" i="4"/>
  <c r="W12" i="4"/>
  <c r="W8" i="4"/>
  <c r="S2" i="4"/>
  <c r="T2" i="4"/>
  <c r="V18" i="4"/>
  <c r="V20" i="4"/>
  <c r="V16" i="4"/>
  <c r="V12" i="4"/>
  <c r="V8" i="4"/>
  <c r="V4" i="4"/>
  <c r="V2" i="4"/>
  <c r="V19" i="4"/>
  <c r="V3" i="4"/>
  <c r="R22" i="4"/>
  <c r="S6" i="4"/>
  <c r="T6" i="4"/>
  <c r="S10" i="4"/>
  <c r="T10" i="4"/>
  <c r="S14" i="4"/>
  <c r="T14" i="4"/>
  <c r="S18" i="4"/>
  <c r="S19" i="4"/>
  <c r="T18" i="4"/>
  <c r="T9" i="4"/>
  <c r="S9" i="4"/>
  <c r="U9" i="4"/>
  <c r="U3" i="4"/>
  <c r="S3" i="4"/>
  <c r="T17" i="4"/>
  <c r="S17" i="4"/>
  <c r="U17" i="4"/>
  <c r="U11" i="4"/>
  <c r="S11" i="4"/>
  <c r="T11" i="4"/>
  <c r="T21" i="4"/>
  <c r="S21" i="4"/>
  <c r="U21" i="4"/>
  <c r="T5" i="4"/>
  <c r="S5" i="4"/>
  <c r="U5" i="4"/>
  <c r="U7" i="4"/>
  <c r="T7" i="4"/>
  <c r="S7" i="4"/>
  <c r="T13" i="4"/>
  <c r="S13" i="4"/>
  <c r="U13" i="4"/>
  <c r="U15" i="4"/>
  <c r="S15" i="4"/>
  <c r="T15" i="4"/>
  <c r="S4" i="4"/>
  <c r="U6" i="4"/>
  <c r="S8" i="4"/>
  <c r="U10" i="4"/>
  <c r="S12" i="4"/>
  <c r="U14" i="4"/>
  <c r="S16" i="4"/>
  <c r="T19" i="4"/>
  <c r="S20" i="4"/>
  <c r="T4" i="4"/>
  <c r="T12" i="4"/>
  <c r="T16" i="4"/>
  <c r="T20" i="4"/>
  <c r="T8" i="4"/>
  <c r="K31" i="4" l="1"/>
  <c r="U31" i="4" s="1"/>
  <c r="U25" i="4"/>
  <c r="U26" i="4" s="1"/>
  <c r="U33" i="4" s="1"/>
  <c r="T22" i="4"/>
  <c r="V22" i="4"/>
  <c r="U22" i="4"/>
  <c r="S22" i="4"/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<sst xmlns="http://schemas.openxmlformats.org/spreadsheetml/2006/main" count="240" uniqueCount="86">
  <si>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</si>
  <si>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</si>
  <si>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</si>
  <si>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</si>
  <si>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</si>
  <si>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</si>
  <si>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</si>
  <si>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</si>
  <si>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</si>
  <si>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</si>
  <si>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</si>
  <si>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</si>
  <si>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</si>
  <si>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</si>
  <si>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</si>
  <si>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</si>
  <si>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</si>
  <si>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</si>
  <si>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</si>
  <si>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</si>
  <si>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</si>
  <si>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</si>
  <si>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</si>
  <si>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</si>
  <si>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</si>
  <si>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</si>
  <si>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</si>
  <si>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</si>
  <si>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</si>
  <si>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</si>
  <si>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</si>
  <si>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</si>
  <si>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</si>
  <si>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</si>
  <si>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</si>
  <si>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</si>
  <si>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</si>
  <si>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</si>
  <si>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</si>
  <si>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</si>
  <si>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</si>
  <si>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</si>
  <si>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</si>
  <si>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</si>
  <si>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</si>
  <si>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</si>
  <si>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</si>
  <si>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</si>
  <si>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</si>
  <si>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</si>
  <si>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</si>
  <si>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</si>
  <si>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</si>
  <si>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</si>
  <si>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</si>
  <si>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</si>
  <si>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</si>
  <si>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</si>
  <si>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</si>
  <si>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Hickam Trenching</t>
  </si>
  <si>
    <t>Cheyenne Trenching</t>
  </si>
  <si>
    <t>Qatar Trenching</t>
  </si>
  <si>
    <t>Langley Trenching</t>
  </si>
  <si>
    <t>Ramstein Trenching</t>
  </si>
  <si>
    <t>Total Install:</t>
  </si>
  <si>
    <t>Lambda</t>
  </si>
  <si>
    <t>Mu</t>
  </si>
  <si>
    <t>Server Cost:</t>
  </si>
  <si>
    <t>Hickam Link:</t>
  </si>
  <si>
    <t>Costs:</t>
  </si>
  <si>
    <t>Cheyenne Link:</t>
  </si>
  <si>
    <t>Qatar Link</t>
  </si>
  <si>
    <t>Langley Link</t>
  </si>
  <si>
    <t>Ramstein Link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</si>
  <si>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</si>
  <si>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</si>
  <si>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</si>
  <si>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</si>
  <si>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</si>
  <si>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</si>
  <si>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</si>
  <si>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</si>
  <si>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</si>
  <si>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</si>
  <si>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Weighted Delay (ms):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</si>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</sst>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topLeftCell="A16" workbookViewId="0">
      <selection activeCell="A17" sqref="A17:F17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83" t="s">
        <v>0</v>
      </c>
      <c r="B1" s="78" t="s">
        <v>1</v>
      </c>
      <c r="C1" s="79"/>
      <c r="D1" s="79"/>
      <c r="E1" s="79"/>
      <c r="F1" s="80"/>
      <c r="H1" s="83" t="s">
        <v>0</v>
      </c>
      <c r="I1" s="78" t="s">
        <v>1</v>
      </c>
      <c r="J1" s="79"/>
      <c r="K1" s="79"/>
      <c r="L1" s="79"/>
      <c r="M1" s="80"/>
      <c r="O1" s="77" t="s">
        <v>46</v>
      </c>
      <c r="P1" s="77"/>
      <c r="Q1" s="77"/>
    </row>
    <row r="2" spans="1:17" ht="16.5" thickTop="1" thickBot="1" x14ac:dyDescent="0.3">
      <c r="A2" s="84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84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B3/$I$20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3"/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</row>
    <row r="8" spans="1:17" ht="15.75" thickTop="1" x14ac:dyDescent="0.25">
      <c r="A8" s="81" t="s">
        <v>7</v>
      </c>
      <c r="B8" s="81"/>
      <c r="C8" s="81"/>
      <c r="D8" s="81"/>
      <c r="E8" s="81"/>
      <c r="F8" s="81"/>
      <c r="H8" s="81" t="s">
        <v>44</v>
      </c>
      <c r="I8" s="82"/>
      <c r="J8" s="82"/>
      <c r="K8" s="82"/>
      <c r="L8" s="82"/>
      <c r="M8" s="82"/>
    </row>
    <row r="9" spans="1:17" ht="15.75" thickBot="1" x14ac:dyDescent="0.3"/>
    <row r="10" spans="1:17" ht="16.5" thickTop="1" thickBot="1" x14ac:dyDescent="0.3">
      <c r="A10" s="83" t="s">
        <v>0</v>
      </c>
      <c r="B10" s="78" t="s">
        <v>1</v>
      </c>
      <c r="C10" s="79"/>
      <c r="D10" s="79"/>
      <c r="E10" s="79"/>
      <c r="F10" s="80"/>
      <c r="H10" s="83" t="s">
        <v>0</v>
      </c>
      <c r="I10" s="78" t="s">
        <v>1</v>
      </c>
      <c r="J10" s="79"/>
      <c r="K10" s="79"/>
      <c r="L10" s="79"/>
      <c r="M10" s="80"/>
    </row>
    <row r="11" spans="1:17" ht="16.5" thickTop="1" thickBot="1" x14ac:dyDescent="0.3">
      <c r="A11" s="85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84"/>
      <c r="I11" s="50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5">
        <f>B3*$I$19/(1000000)</f>
        <v>0</v>
      </c>
      <c r="J12" s="45">
        <f t="shared" ref="J12:M12" si="1">C3*$I$19/(1000000)</f>
        <v>4</v>
      </c>
      <c r="K12" s="45">
        <f t="shared" si="1"/>
        <v>50</v>
      </c>
      <c r="L12" s="45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5">
        <f t="shared" ref="I13:I16" si="2">B4*$I$19/(1000000)</f>
        <v>5</v>
      </c>
      <c r="J13" s="45">
        <f t="shared" ref="J13:J16" si="3">C4*$I$19/(1000000)</f>
        <v>0</v>
      </c>
      <c r="K13" s="45">
        <f t="shared" ref="K13:K16" si="4">D4*$I$19/(1000000)</f>
        <v>10</v>
      </c>
      <c r="L13" s="45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5">
        <f t="shared" si="2"/>
        <v>5</v>
      </c>
      <c r="J14" s="45">
        <f t="shared" si="3"/>
        <v>10</v>
      </c>
      <c r="K14" s="45">
        <f t="shared" si="4"/>
        <v>0</v>
      </c>
      <c r="L14" s="45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5">
        <f t="shared" si="2"/>
        <v>5</v>
      </c>
      <c r="J15" s="45">
        <f t="shared" si="3"/>
        <v>10</v>
      </c>
      <c r="K15" s="45">
        <f t="shared" si="4"/>
        <v>10</v>
      </c>
      <c r="L15" s="45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5">
        <f t="shared" si="2"/>
        <v>5</v>
      </c>
      <c r="J16" s="45">
        <f t="shared" si="3"/>
        <v>4</v>
      </c>
      <c r="K16" s="45">
        <f t="shared" si="4"/>
        <v>5</v>
      </c>
      <c r="L16" s="45">
        <f t="shared" si="5"/>
        <v>20</v>
      </c>
      <c r="M16" s="17">
        <f t="shared" si="6"/>
        <v>0</v>
      </c>
    </row>
    <row r="17" spans="1:13" ht="15.75" thickTop="1" x14ac:dyDescent="0.25">
      <c r="A17" s="81" t="s">
        <v>10</v>
      </c>
      <c r="B17" s="81"/>
      <c r="C17" s="81"/>
      <c r="D17" s="81"/>
      <c r="E17" s="81"/>
      <c r="F17" s="81"/>
      <c r="H17" s="81" t="s">
        <v>51</v>
      </c>
      <c r="I17" s="81"/>
      <c r="J17" s="81"/>
      <c r="K17" s="81"/>
      <c r="L17" s="81"/>
      <c r="M17" s="81"/>
    </row>
    <row r="18" spans="1:13" ht="15.75" thickBot="1" x14ac:dyDescent="0.3">
      <c r="H18" s="45"/>
      <c r="I18" s="45"/>
      <c r="J18" s="45"/>
      <c r="K18" s="45"/>
      <c r="L18" s="45"/>
      <c r="M18" s="45"/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14" t="s">
        <v>8</v>
      </c>
      <c r="I19" s="15">
        <v>20000</v>
      </c>
      <c r="J19" s="1" t="s">
        <v>9</v>
      </c>
      <c r="K19" s="45"/>
      <c r="L19" s="45"/>
      <c r="M19" s="45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14" t="s">
        <v>43</v>
      </c>
      <c r="I20" s="1">
        <f>SUM(B3:F7)</f>
        <v>9700</v>
      </c>
      <c r="J20" s="44" t="s">
        <v>45</v>
      </c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I22" s="46"/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81" t="s">
        <v>21</v>
      </c>
      <c r="B27" s="81"/>
      <c r="C27" s="81"/>
      <c r="D27" s="81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0AE5-F8AA-4CEF-B4FC-912B3D42E77B}">
  <dimension ref="A1:AF37"/>
  <sheetViews>
    <sheetView tabSelected="1" topLeftCell="F9" zoomScale="80" zoomScaleNormal="80" workbookViewId="0">
      <selection activeCell="K31" sqref="K31"/>
    </sheetView>
  </sheetViews>
  <sheetFormatPr defaultRowHeight="15" x14ac:dyDescent="0.25"/>
  <cols>
    <col min="1" max="1" width="38.7109375" customWidth="1"/>
    <col min="2" max="2" width="11.140625" bestFit="1" customWidth="1"/>
    <col min="3" max="3" width="9.85546875" customWidth="1"/>
    <col min="4" max="4" width="29.7109375" customWidth="1"/>
    <col min="8" max="8" width="21" customWidth="1"/>
    <col min="9" max="9" width="19.5703125" bestFit="1" customWidth="1"/>
    <col min="10" max="10" width="15.85546875" bestFit="1" customWidth="1"/>
    <col min="11" max="11" width="20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46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3</v>
      </c>
      <c r="Q2" s="71">
        <v>200</v>
      </c>
      <c r="R2" s="71">
        <f t="array" ref="R2">SUMPRODUCT(J2:P2,TRANSPOSE($Z$10:$Z$16))*1000000/20000</f>
        <v>671.04</v>
      </c>
      <c r="S2" s="58">
        <f>Q2/(R2-Q2)</f>
        <v>0.42459239130434784</v>
      </c>
      <c r="T2" s="59">
        <f>1/(R2-Q2)</f>
        <v>2.1229619565217395E-3</v>
      </c>
      <c r="U2" s="60">
        <f>Q2/R2</f>
        <v>0.29804482594182169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2</v>
      </c>
      <c r="K3" s="62">
        <v>0</v>
      </c>
      <c r="L3" s="62">
        <v>0</v>
      </c>
      <c r="M3" s="62">
        <v>2</v>
      </c>
      <c r="N3" s="62">
        <v>2</v>
      </c>
      <c r="O3" s="62">
        <v>0</v>
      </c>
      <c r="P3" s="62">
        <v>0</v>
      </c>
      <c r="Q3" s="71">
        <v>2500</v>
      </c>
      <c r="R3" s="71">
        <f t="array" ref="R3">SUMPRODUCT(J3:P3,TRANSPOSE($Z$10:$Z$16))*1000000/20000</f>
        <v>5103.9999999999991</v>
      </c>
      <c r="S3" s="61">
        <f t="shared" ref="S3:S22" si="0">Q3/(R3-Q3)</f>
        <v>0.960061443932412</v>
      </c>
      <c r="T3" s="62">
        <f>1/(R3-Q3)</f>
        <v>3.8402457757296478E-4</v>
      </c>
      <c r="U3" s="63">
        <f t="shared" ref="U3:U22" si="1">Q3/R3</f>
        <v>0.48981191222570541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0</v>
      </c>
      <c r="M4" s="62">
        <v>0</v>
      </c>
      <c r="N4" s="62">
        <v>1</v>
      </c>
      <c r="O4" s="62">
        <v>2</v>
      </c>
      <c r="P4" s="62">
        <v>4</v>
      </c>
      <c r="Q4" s="71">
        <v>1000</v>
      </c>
      <c r="R4" s="71">
        <f t="array" ref="R4">SUMPRODUCT(J4:P4,TRANSPOSE($Z$10:$Z$16))*1000000/20000</f>
        <v>2118.0799999999995</v>
      </c>
      <c r="S4" s="61">
        <f t="shared" si="0"/>
        <v>0.89439038351459688</v>
      </c>
      <c r="T4" s="62">
        <f t="shared" ref="T4:T22" si="4">1/(R4-Q4)</f>
        <v>8.9439038351459682E-4</v>
      </c>
      <c r="U4" s="63">
        <f t="shared" si="1"/>
        <v>0.47212569874603427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2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1</v>
      </c>
      <c r="O6" s="62">
        <v>0</v>
      </c>
      <c r="P6" s="62">
        <v>0</v>
      </c>
      <c r="Q6" s="71">
        <v>250</v>
      </c>
      <c r="R6" s="71">
        <f t="array" ref="R6">SUMPRODUCT(J6:P6,TRANSPOSE($Z$10:$Z$16))*1000000/20000</f>
        <v>776</v>
      </c>
      <c r="S6" s="61">
        <f t="shared" si="0"/>
        <v>0.47528517110266161</v>
      </c>
      <c r="T6" s="62">
        <f t="shared" si="4"/>
        <v>1.9011406844106464E-3</v>
      </c>
      <c r="U6" s="63">
        <f t="shared" si="1"/>
        <v>0.32216494845360827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3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1</v>
      </c>
      <c r="O8" s="62">
        <v>0</v>
      </c>
      <c r="P8" s="62">
        <v>0</v>
      </c>
      <c r="Q8" s="71">
        <v>250</v>
      </c>
      <c r="R8" s="71">
        <f t="array" ref="R8">SUMPRODUCT(J8:P8,TRANSPOSE($Z$10:$Z$16))*1000000/20000</f>
        <v>776</v>
      </c>
      <c r="S8" s="61">
        <f t="shared" si="0"/>
        <v>0.47528517110266161</v>
      </c>
      <c r="T8" s="62">
        <f t="shared" si="4"/>
        <v>1.9011406844106464E-3</v>
      </c>
      <c r="U8" s="63">
        <f t="shared" si="1"/>
        <v>0.32216494845360827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1</v>
      </c>
      <c r="O9" s="62">
        <v>0</v>
      </c>
      <c r="P9" s="62">
        <v>0</v>
      </c>
      <c r="Q9" s="71">
        <v>50</v>
      </c>
      <c r="R9" s="71">
        <f t="array" ref="R9">SUMPRODUCT(J9:P9,TRANSPOSE($Z$10:$Z$16))*1000000/20000</f>
        <v>776</v>
      </c>
      <c r="S9" s="61">
        <f t="shared" si="0"/>
        <v>6.8870523415977963E-2</v>
      </c>
      <c r="T9" s="62">
        <f t="shared" si="4"/>
        <v>1.3774104683195593E-3</v>
      </c>
      <c r="U9" s="63">
        <f t="shared" si="1"/>
        <v>6.4432989690721643E-2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2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3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3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1</v>
      </c>
      <c r="O13" s="62">
        <v>0</v>
      </c>
      <c r="P13" s="62">
        <v>0</v>
      </c>
      <c r="Q13" s="71">
        <v>250</v>
      </c>
      <c r="R13" s="71">
        <f t="array" ref="R13">SUMPRODUCT(J13:P13,TRANSPOSE($Z$10:$Z$16))*1000000/20000</f>
        <v>776</v>
      </c>
      <c r="S13" s="61">
        <f t="shared" si="0"/>
        <v>0.47528517110266161</v>
      </c>
      <c r="T13" s="62">
        <f t="shared" si="4"/>
        <v>1.9011406844106464E-3</v>
      </c>
      <c r="U13" s="63">
        <f t="shared" si="1"/>
        <v>0.32216494845360827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1</v>
      </c>
      <c r="O14" s="62">
        <v>0</v>
      </c>
      <c r="P14" s="62">
        <v>0</v>
      </c>
      <c r="Q14" s="71">
        <v>250</v>
      </c>
      <c r="R14" s="71">
        <f t="array" ref="R14">SUMPRODUCT(J14:P14,TRANSPOSE($Z$10:$Z$16))*1000000/20000</f>
        <v>776</v>
      </c>
      <c r="S14" s="61">
        <f t="shared" si="0"/>
        <v>0.47528517110266161</v>
      </c>
      <c r="T14" s="62">
        <f t="shared" si="4"/>
        <v>1.9011406844106464E-3</v>
      </c>
      <c r="U14" s="63">
        <f t="shared" si="1"/>
        <v>0.32216494845360827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1</v>
      </c>
      <c r="O15" s="62">
        <v>0</v>
      </c>
      <c r="P15" s="62">
        <v>0</v>
      </c>
      <c r="Q15" s="71">
        <v>500</v>
      </c>
      <c r="R15" s="71">
        <f t="array" ref="R15">SUMPRODUCT(J15:P15,TRANSPOSE($Z$10:$Z$16))*1000000/20000</f>
        <v>776</v>
      </c>
      <c r="S15" s="61">
        <f t="shared" si="0"/>
        <v>1.8115942028985508</v>
      </c>
      <c r="T15" s="62">
        <f t="shared" si="4"/>
        <v>3.6231884057971015E-3</v>
      </c>
      <c r="U15" s="63">
        <f t="shared" si="1"/>
        <v>0.64432989690721654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3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1</v>
      </c>
      <c r="O17" s="62">
        <v>0</v>
      </c>
      <c r="P17" s="62">
        <v>0</v>
      </c>
      <c r="Q17" s="71">
        <v>250</v>
      </c>
      <c r="R17" s="71">
        <f t="array" ref="R17">SUMPRODUCT(J17:P17,TRANSPOSE($Z$10:$Z$16))*1000000/20000</f>
        <v>776</v>
      </c>
      <c r="S17" s="61">
        <f t="shared" si="0"/>
        <v>0.47528517110266161</v>
      </c>
      <c r="T17" s="62">
        <f t="shared" si="4"/>
        <v>1.9011406844106464E-3</v>
      </c>
      <c r="U17" s="63">
        <f t="shared" si="1"/>
        <v>0.32216494845360827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83" t="s">
        <v>0</v>
      </c>
      <c r="B18" s="78" t="s">
        <v>1</v>
      </c>
      <c r="C18" s="79"/>
      <c r="D18" s="79"/>
      <c r="E18" s="79"/>
      <c r="F18" s="80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2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8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1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56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2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2</v>
      </c>
      <c r="P21" s="62">
        <v>3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19140.800000000007</v>
      </c>
      <c r="S22" s="64">
        <f t="shared" si="0"/>
        <v>1.0274553003982707</v>
      </c>
      <c r="T22" s="65">
        <f t="shared" si="4"/>
        <v>1.0592322684518254E-4</v>
      </c>
      <c r="U22" s="66">
        <f t="shared" si="1"/>
        <v>0.50677087687035005</v>
      </c>
      <c r="V22" s="57">
        <f t="shared" si="2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2</v>
      </c>
      <c r="K23" s="57">
        <f t="shared" ref="K23:P23" si="5">SUM(K2:K21)</f>
        <v>0</v>
      </c>
      <c r="L23" s="57">
        <f>SUM(L2:L21)</f>
        <v>0</v>
      </c>
      <c r="M23" s="57">
        <f t="shared" si="5"/>
        <v>2</v>
      </c>
      <c r="N23" s="57">
        <f t="shared" si="5"/>
        <v>10</v>
      </c>
      <c r="O23" s="57">
        <f t="shared" si="5"/>
        <v>4</v>
      </c>
      <c r="P23" s="57">
        <f t="shared" si="5"/>
        <v>31</v>
      </c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56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86" t="s">
        <v>69</v>
      </c>
      <c r="I25" s="86"/>
      <c r="J25" s="86"/>
      <c r="K25" s="86"/>
      <c r="L25" s="86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4.1430804880583181E-3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SUM(J2:J21)*60000000+SUM(K2:K21)*40000000</f>
        <v>120000000</v>
      </c>
      <c r="J26" s="74" t="s">
        <v>77</v>
      </c>
      <c r="K26" s="74">
        <f>J23*8000+K23*8000+L23*500000+M23*5000+N23*700000+O23*5000+P23*500000</f>
        <v>22546000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4.1430804880583185</v>
      </c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</row>
    <row r="27" spans="1:32" x14ac:dyDescent="0.25">
      <c r="H27" s="57" t="s">
        <v>59</v>
      </c>
      <c r="I27" s="74">
        <f>IF(AND(M2=0, O2=0), 0, C20*10000)+IF( AND(M3=0, O3=0), 0, D20*10000)+IF(AND(M4=0, O4=0), 0, E20*10000)+IF(AND(M5=0, O5=0), 0, F20*10000)</f>
        <v>219000000</v>
      </c>
      <c r="L27" s="57"/>
    </row>
    <row r="28" spans="1:32" x14ac:dyDescent="0.25">
      <c r="H28" t="s">
        <v>60</v>
      </c>
      <c r="I28" s="74">
        <f>IF(AND(M6=0, O6=0), 0, B21*10000)+IF(AND(M7=0, O7=0),0, D21*10000)+IF(AND(M8=0, O8=0), 0, E21*10000)+IF(AND(M9=0, O9=0), 0, F21*10000)</f>
        <v>0</v>
      </c>
      <c r="J28" t="s">
        <v>67</v>
      </c>
      <c r="K28" s="75">
        <f>SUM(J2:P21)*20000</f>
        <v>980000</v>
      </c>
    </row>
    <row r="29" spans="1:32" x14ac:dyDescent="0.25">
      <c r="H29" s="57" t="s">
        <v>61</v>
      </c>
      <c r="I29" s="74">
        <f>IF(AND(M10=0, O10=0), 0, B22*10000)+IF(AND(M11=0, O11=0),0, C22*10000)+IF(AND(M12=0, O12=0), 0, E22*10000)+IF(AND(M13=0, O13=0), 0, F22*10000)</f>
        <v>0</v>
      </c>
    </row>
    <row r="30" spans="1:32" x14ac:dyDescent="0.25">
      <c r="H30" s="57" t="s">
        <v>62</v>
      </c>
      <c r="I30" s="74">
        <f>IF(AND(M14=0, O14=0), 0, B23*10000)+IF(AND(M15=0, O15=0),0, C23*10000)+IF(AND(M16=0, O16=0), 0, D23*10000)+IF(AND(M17=0, O17=0), 0, F23*10000)</f>
        <v>0</v>
      </c>
      <c r="T30" t="s">
        <v>81</v>
      </c>
    </row>
    <row r="31" spans="1:32" x14ac:dyDescent="0.25">
      <c r="H31" s="57" t="s">
        <v>63</v>
      </c>
      <c r="I31" s="74">
        <f>IF(AND(M18=0, O18=0), 0, B24*10000)+IF(AND(M19=0, O19=0),0, C24*10000)+IF(AND(M20=0, O20=0), 0, D24*10000)+IF(AND(M21=0, O21=0), 0, E24*10000)</f>
        <v>66000000</v>
      </c>
      <c r="J31" t="s">
        <v>74</v>
      </c>
      <c r="K31" s="75">
        <f>(I37+K28+K26*120)</f>
        <v>3396500000</v>
      </c>
      <c r="T31" t="s">
        <v>82</v>
      </c>
      <c r="U31" s="76">
        <f>K31/6000000</f>
        <v>566.08333333333337</v>
      </c>
    </row>
    <row r="32" spans="1:32" x14ac:dyDescent="0.25">
      <c r="H32" s="57" t="s">
        <v>68</v>
      </c>
      <c r="I32" s="74">
        <f>((M2+O2)*C20+(M3+O3)*D20+(M4+O4)*E20+(M5+O5)*F20)*5000</f>
        <v>219000000</v>
      </c>
      <c r="T32" t="s">
        <v>83</v>
      </c>
    </row>
    <row r="33" spans="8:21" x14ac:dyDescent="0.25">
      <c r="H33" s="57" t="s">
        <v>70</v>
      </c>
      <c r="I33" s="74">
        <f>((M6+O6)*B21+(M7+O7)*D21+(M8+O8)*E21+(M9+O9)*F21)*5000</f>
        <v>0</v>
      </c>
      <c r="T33" t="s">
        <v>84</v>
      </c>
      <c r="U33">
        <f>U26*0.1</f>
        <v>0.41430804880583189</v>
      </c>
    </row>
    <row r="34" spans="8:21" x14ac:dyDescent="0.25">
      <c r="H34" s="57" t="s">
        <v>71</v>
      </c>
      <c r="I34" s="74">
        <f>((M10+O10)*B22+(M11+O11)*C22+(M12+O12)*E22+(M13+O13)*F22)*5000</f>
        <v>0</v>
      </c>
      <c r="T34" t="s">
        <v>85</v>
      </c>
    </row>
    <row r="35" spans="8:21" x14ac:dyDescent="0.25">
      <c r="H35" s="57" t="s">
        <v>72</v>
      </c>
      <c r="I35" s="74">
        <f>((M14+O14)*B23+(M15+O15)*C23+(M16+O16)*D23+(M17+O17)*F23)*5000</f>
        <v>0</v>
      </c>
    </row>
    <row r="36" spans="8:21" x14ac:dyDescent="0.25">
      <c r="H36" s="57" t="s">
        <v>73</v>
      </c>
      <c r="I36" s="74">
        <f>((M18+O18)*B24+(M19+O19)*C24+(M20+O20)*D24+(M21+O21)*E24)*5000</f>
        <v>66000000</v>
      </c>
    </row>
    <row r="37" spans="8:21" x14ac:dyDescent="0.25">
      <c r="H37" s="73" t="s">
        <v>64</v>
      </c>
      <c r="I37" s="75">
        <f>SUM(I26:I36)</f>
        <v>690000000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PacketDelay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2019-04-25T23:21:19Z</dcterms:created>
  <dcterms:modified xsi:type="dcterms:W3CDTF">2019-05-09T00:41:50Z</dcterms:modified>
</cp:coreProperties>
</file>