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AMH137222\OneDrive - WSP O365\Documents\testhere\"/>
    </mc:Choice>
  </mc:AlternateContent>
  <xr:revisionPtr revIDLastSave="0" documentId="13_ncr:1_{EBD83A4F-4375-4C60-91AE-478A38F9D67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3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F10" i="4"/>
  <c r="C11" i="4"/>
  <c r="E11" i="4" s="1"/>
  <c r="L56" i="3"/>
  <c r="K52" i="3"/>
  <c r="D10" i="4" s="1"/>
  <c r="J56" i="3"/>
  <c r="C10" i="4"/>
  <c r="J52" i="3"/>
  <c r="D9" i="4"/>
  <c r="E9" i="4" s="1"/>
  <c r="K47" i="3"/>
  <c r="L47" i="3" s="1"/>
  <c r="D8" i="4"/>
  <c r="J42" i="3"/>
  <c r="C8" i="4" s="1"/>
  <c r="C5" i="4"/>
  <c r="K37" i="3"/>
  <c r="D5" i="4" s="1"/>
  <c r="C7" i="4"/>
  <c r="D7" i="4"/>
  <c r="K33" i="3"/>
  <c r="L33" i="3" s="1"/>
  <c r="D6" i="4"/>
  <c r="J27" i="3"/>
  <c r="C6" i="4" s="1"/>
  <c r="C3" i="4"/>
  <c r="J4" i="3"/>
  <c r="G11" i="4" l="1"/>
  <c r="M56" i="3"/>
  <c r="M33" i="3"/>
  <c r="E7" i="4"/>
  <c r="L37" i="3"/>
  <c r="L42" i="3"/>
  <c r="L27" i="3"/>
  <c r="L52" i="3"/>
  <c r="J14" i="3"/>
  <c r="D3" i="4" s="1"/>
  <c r="E3" i="4" s="1"/>
  <c r="M8" i="3"/>
  <c r="N8" i="3" s="1"/>
  <c r="K3" i="3"/>
  <c r="L3" i="3" s="1"/>
  <c r="M3" i="3" s="1"/>
  <c r="D18" i="3"/>
  <c r="C18" i="3"/>
  <c r="F9" i="4" l="1"/>
  <c r="G9" i="4" s="1"/>
  <c r="F6" i="4"/>
  <c r="F8" i="4"/>
  <c r="F3" i="4"/>
  <c r="G3" i="4" s="1"/>
  <c r="I3" i="4" s="1"/>
  <c r="F7" i="4"/>
  <c r="G7" i="4" s="1"/>
  <c r="F5" i="4"/>
  <c r="L14" i="3"/>
  <c r="M14" i="3" s="1"/>
  <c r="E6" i="4"/>
  <c r="G6" i="4" s="1"/>
  <c r="M27" i="3"/>
  <c r="E8" i="4"/>
  <c r="G8" i="4" s="1"/>
  <c r="M42" i="3"/>
  <c r="M37" i="3"/>
  <c r="E5" i="4"/>
  <c r="G5" i="4" s="1"/>
  <c r="M47" i="3"/>
  <c r="E10" i="4"/>
  <c r="G10" i="4" s="1"/>
  <c r="M52" i="3"/>
  <c r="B14" i="3"/>
  <c r="B13" i="3"/>
  <c r="B12" i="3"/>
  <c r="B11" i="3"/>
  <c r="B10" i="3"/>
  <c r="C11" i="3"/>
  <c r="C12" i="3"/>
  <c r="C13" i="3"/>
  <c r="C14" i="3"/>
  <c r="C10" i="3"/>
</calcChain>
</file>

<file path=xl/sharedStrings.xml><?xml version="1.0" encoding="utf-8"?>
<sst xmlns="http://schemas.openxmlformats.org/spreadsheetml/2006/main" count="108" uniqueCount="66">
  <si>
    <t>Bikes</t>
  </si>
  <si>
    <t>Cars</t>
  </si>
  <si>
    <t>Light</t>
  </si>
  <si>
    <t>Medium</t>
  </si>
  <si>
    <t>Heavy</t>
  </si>
  <si>
    <t>Total with Bikes</t>
  </si>
  <si>
    <t>Year</t>
  </si>
  <si>
    <t>Bayfield St Location</t>
  </si>
  <si>
    <t>Hanmer St &amp; City Limits</t>
  </si>
  <si>
    <t xml:space="preserve"> @ Hwy 400 Crossing</t>
  </si>
  <si>
    <t>Bike %</t>
  </si>
  <si>
    <t>Cars %</t>
  </si>
  <si>
    <t>Light%</t>
  </si>
  <si>
    <t>Medium%</t>
  </si>
  <si>
    <t>Heavy%</t>
  </si>
  <si>
    <t>Vehicle Classification</t>
  </si>
  <si>
    <t>Recent Data</t>
  </si>
  <si>
    <t>LHRS: 46900</t>
  </si>
  <si>
    <t>IR</t>
  </si>
  <si>
    <t>ADT factor assuming IR</t>
  </si>
  <si>
    <t>2022 May 18</t>
  </si>
  <si>
    <t>2018 October 18</t>
  </si>
  <si>
    <t>2017 June 13</t>
  </si>
  <si>
    <t>AADT</t>
  </si>
  <si>
    <t>SB on Bayfield</t>
  </si>
  <si>
    <t>NB on Bayfield</t>
  </si>
  <si>
    <t>Total NB &amp; SB</t>
  </si>
  <si>
    <t>ADT by applying factor</t>
  </si>
  <si>
    <t>8hrs</t>
  </si>
  <si>
    <t>7-9,11-14,15-18</t>
  </si>
  <si>
    <t>Corresponding</t>
  </si>
  <si>
    <t>ADT(24hr NB&amp;SB)</t>
  </si>
  <si>
    <t>ADT factor wrt 8hr volume</t>
  </si>
  <si>
    <t>March 21 2023 on Bayfied St at Hwy 400 crossing (8-peak hour volumes)</t>
  </si>
  <si>
    <t>May 18, 2022 on Bayfied St at Hwy 400 crossing (8-peak hour volumes)</t>
  </si>
  <si>
    <t>Based on 24 hour count</t>
  </si>
  <si>
    <t>Based on TMC data</t>
  </si>
  <si>
    <t>March 21 2023  on Bayfield St between Coulter Street &amp; Hwy 400 SB ramp terminal - highest volume location (8-peak hour volumes)</t>
  </si>
  <si>
    <t>Existing 2021 traversals-car</t>
  </si>
  <si>
    <t xml:space="preserve">2041 Traversals with improvement - car </t>
  </si>
  <si>
    <t>NB</t>
  </si>
  <si>
    <t>SB</t>
  </si>
  <si>
    <t>8 peak hour total</t>
  </si>
  <si>
    <t>Total NB&amp;SB</t>
  </si>
  <si>
    <t>8hr</t>
  </si>
  <si>
    <t>Factor for 24hr</t>
  </si>
  <si>
    <t xml:space="preserve">Estimated ADT </t>
  </si>
  <si>
    <t>Bayfied St at Hwy 400 crossing</t>
  </si>
  <si>
    <t>Hayfield Section</t>
  </si>
  <si>
    <t>Bayfield St between Coulter Street &amp; Hwy 400 SB ramp terminal (March 2023)</t>
  </si>
  <si>
    <t>AADT factor</t>
  </si>
  <si>
    <t>March 21 2023  on Bayfield St South of Cundles Rd- highest volume location (8-peak hour volumes)</t>
  </si>
  <si>
    <t>March 21 2023  on Bayfield St North of  Cundles Rd - highest volume location (8-peak hour volumes)</t>
  </si>
  <si>
    <t>March 21 2023  on Bayfield St North of  Coulter Street - highest volume location (8-peak hour volumes)</t>
  </si>
  <si>
    <t>Bayfield Rd North of Coulter street</t>
  </si>
  <si>
    <t xml:space="preserve">Bayfield St North of  Cundles Rd </t>
  </si>
  <si>
    <t>Bayfield St South of Cundles Rd</t>
  </si>
  <si>
    <t>March 21 2023  on Bayfield St South of  Livingstone Street - highest volume location (8-peak hour volumes)</t>
  </si>
  <si>
    <t xml:space="preserve">Bayfield St South of  Livingstone Street </t>
  </si>
  <si>
    <t>March 21 2023  on Bayfield St North of  Livingstone Street - highest volume location (8-peak hour volumes)</t>
  </si>
  <si>
    <t xml:space="preserve">Bayfield St North of  Livingstone Street </t>
  </si>
  <si>
    <t>Bayfield St North of Grove St</t>
  </si>
  <si>
    <t>March 21 2023  on Bayfield St North of  Grove Street - highest volume location (8-peak hour volumes)</t>
  </si>
  <si>
    <t>Bayfield St South of Grove St</t>
  </si>
  <si>
    <t>March 21 2023  on Bayfield St South of  Grove Street - highest volume location (8-peak hour volumes)</t>
  </si>
  <si>
    <t>Site Code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</si>
</sst>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9" fillId="0" borderId="0" applyFont="0" applyFill="0" applyBorder="0" applyAlignment="0" applyProtection="0"/>
    <xf numFmtId="0" fontId="20" fillId="0" borderId="0"/>
  </cellStyleXfs>
  <cellXfs count="20">
    <xf numFmtId="0" fontId="0" fillId="0" borderId="0" xfId="0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"/>
    </xf>
    <xf numFmtId="0" fontId="0" fillId="33" borderId="12" xfId="0" applyFill="1" applyBorder="1"/>
    <xf numFmtId="0" fontId="0" fillId="35" borderId="12" xfId="0" applyFill="1" applyBorder="1"/>
    <xf numFmtId="9" fontId="0" fillId="0" borderId="12" xfId="42" applyFont="1" applyBorder="1" applyAlignment="1">
      <alignment horizontal="center"/>
    </xf>
    <xf numFmtId="0" fontId="0" fillId="36" borderId="10" xfId="0" applyFill="1" applyBorder="1"/>
    <xf numFmtId="3" fontId="20" fillId="0" borderId="12" xfId="43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9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3" fontId="18" fillId="0" borderId="12" xfId="0" applyNumberFormat="1" applyFont="1" applyBorder="1" applyAlignment="1">
      <alignment horizontal="center"/>
    </xf>
    <xf numFmtId="0" fontId="18" fillId="0" borderId="0" xfId="0" applyFont="1"/>
    <xf numFmtId="0" fontId="0" fillId="0" borderId="0" xfId="43" applyFont="1" applyAlignment="1">
      <alignment horizontal="center"/>
    </xf>
    <xf numFmtId="3" fontId="0" fillId="0" borderId="0" xfId="0" applyNumberFormat="1"/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3" xr:uid="{B17F853D-6EC8-4CDE-AC70-950B3291317A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F204-C080-42F3-A7CA-70B244D68061}">
  <dimension ref="A1:N56"/>
  <sheetViews>
    <sheetView topLeftCell="A29" workbookViewId="0">
      <selection activeCell="J56" sqref="J56:L56"/>
    </sheetView>
  </sheetViews>
  <sheetFormatPr defaultRowHeight="12.75" x14ac:dyDescent="0.2"/>
  <cols>
    <col min="1" max="1" width="21.7109375" customWidth="1"/>
    <col min="2" max="2" width="23.5703125" customWidth="1"/>
    <col min="3" max="3" width="23.5703125" style="11" customWidth="1"/>
    <col min="4" max="4" width="18.5703125" style="11" customWidth="1"/>
    <col min="9" max="9" width="15.7109375" customWidth="1"/>
    <col min="10" max="10" width="16.42578125" customWidth="1"/>
    <col min="11" max="11" width="15.5703125" customWidth="1"/>
    <col min="12" max="12" width="12.28515625" customWidth="1"/>
    <col min="13" max="13" width="19" customWidth="1"/>
  </cols>
  <sheetData>
    <row r="1" spans="1:14" ht="18" customHeight="1" x14ac:dyDescent="0.2">
      <c r="A1" s="1" t="s">
        <v>6</v>
      </c>
      <c r="B1" s="2" t="s">
        <v>21</v>
      </c>
      <c r="C1" s="2" t="s">
        <v>20</v>
      </c>
      <c r="D1" s="2" t="s">
        <v>22</v>
      </c>
      <c r="J1" s="16" t="s">
        <v>33</v>
      </c>
      <c r="N1" t="s">
        <v>36</v>
      </c>
    </row>
    <row r="2" spans="1:14" ht="18.75" customHeight="1" x14ac:dyDescent="0.2">
      <c r="A2" s="1" t="s">
        <v>7</v>
      </c>
      <c r="B2" s="2" t="s">
        <v>8</v>
      </c>
      <c r="C2" s="2" t="s">
        <v>9</v>
      </c>
      <c r="D2" s="2" t="s">
        <v>9</v>
      </c>
      <c r="J2" t="s">
        <v>24</v>
      </c>
      <c r="K2" t="s">
        <v>25</v>
      </c>
      <c r="L2" t="s">
        <v>26</v>
      </c>
      <c r="M2" t="s">
        <v>27</v>
      </c>
    </row>
    <row r="3" spans="1:14" x14ac:dyDescent="0.2">
      <c r="A3" s="3" t="s">
        <v>0</v>
      </c>
      <c r="B3" s="7">
        <v>23</v>
      </c>
      <c r="C3" s="7">
        <v>182</v>
      </c>
      <c r="D3" s="8"/>
      <c r="I3" s="17" t="s">
        <v>28</v>
      </c>
      <c r="J3" s="18">
        <v>6761</v>
      </c>
      <c r="K3" s="18">
        <f>5262+1190+6175</f>
        <v>12627</v>
      </c>
      <c r="L3" s="18">
        <f>J3+K3</f>
        <v>19388</v>
      </c>
      <c r="M3" s="18">
        <f>L3*$N$8</f>
        <v>39243.079144198986</v>
      </c>
    </row>
    <row r="4" spans="1:14" x14ac:dyDescent="0.2">
      <c r="A4" s="3" t="s">
        <v>1</v>
      </c>
      <c r="B4" s="8">
        <v>15627</v>
      </c>
      <c r="C4" s="8">
        <v>13766</v>
      </c>
      <c r="D4" s="8"/>
      <c r="I4" t="s">
        <v>29</v>
      </c>
      <c r="J4" s="18">
        <f>5262+1190+6175</f>
        <v>12627</v>
      </c>
      <c r="K4">
        <v>6761</v>
      </c>
    </row>
    <row r="5" spans="1:14" x14ac:dyDescent="0.2">
      <c r="A5" s="3" t="s">
        <v>2</v>
      </c>
      <c r="B5" s="8">
        <v>5695</v>
      </c>
      <c r="C5" s="8">
        <v>4665</v>
      </c>
      <c r="D5" s="8"/>
    </row>
    <row r="6" spans="1:14" x14ac:dyDescent="0.2">
      <c r="A6" s="3" t="s">
        <v>3</v>
      </c>
      <c r="B6" s="8">
        <v>394</v>
      </c>
      <c r="C6" s="8">
        <v>905</v>
      </c>
      <c r="D6" s="8"/>
      <c r="I6" t="s">
        <v>30</v>
      </c>
      <c r="J6" s="16" t="s">
        <v>34</v>
      </c>
      <c r="N6" t="s">
        <v>35</v>
      </c>
    </row>
    <row r="7" spans="1:14" x14ac:dyDescent="0.2">
      <c r="A7" s="3" t="s">
        <v>4</v>
      </c>
      <c r="B7" s="8">
        <v>472</v>
      </c>
      <c r="C7" s="8">
        <v>3755</v>
      </c>
      <c r="D7" s="8"/>
      <c r="J7" t="s">
        <v>24</v>
      </c>
      <c r="K7" t="s">
        <v>25</v>
      </c>
      <c r="L7" t="s">
        <v>26</v>
      </c>
      <c r="M7" t="s">
        <v>31</v>
      </c>
      <c r="N7" t="s">
        <v>32</v>
      </c>
    </row>
    <row r="8" spans="1:14" x14ac:dyDescent="0.2">
      <c r="A8" s="4" t="s">
        <v>5</v>
      </c>
      <c r="B8" s="8">
        <v>22211</v>
      </c>
      <c r="C8" s="8">
        <v>23273</v>
      </c>
      <c r="D8" s="8">
        <v>34664</v>
      </c>
      <c r="J8" s="18">
        <v>4828</v>
      </c>
      <c r="K8" s="18">
        <v>6670</v>
      </c>
      <c r="L8" s="18">
        <v>11498</v>
      </c>
      <c r="M8" s="18">
        <f>C8</f>
        <v>23273</v>
      </c>
      <c r="N8" s="19">
        <f>M8/L8</f>
        <v>2.0240911462863105</v>
      </c>
    </row>
    <row r="9" spans="1:14" ht="21" customHeight="1" x14ac:dyDescent="0.2">
      <c r="A9" s="1" t="s">
        <v>15</v>
      </c>
      <c r="B9" s="6"/>
      <c r="C9" s="2" t="s">
        <v>16</v>
      </c>
      <c r="D9" s="12"/>
    </row>
    <row r="10" spans="1:14" x14ac:dyDescent="0.2">
      <c r="A10" s="3" t="s">
        <v>10</v>
      </c>
      <c r="B10" s="5">
        <f>B3/$C$8</f>
        <v>9.882696687148198E-4</v>
      </c>
      <c r="C10" s="5">
        <f>C3/$C$8</f>
        <v>7.8202208567868352E-3</v>
      </c>
      <c r="D10" s="13"/>
      <c r="G10" s="9">
        <v>7.8202208567868352E-3</v>
      </c>
    </row>
    <row r="11" spans="1:14" x14ac:dyDescent="0.2">
      <c r="A11" s="3" t="s">
        <v>11</v>
      </c>
      <c r="B11" s="5">
        <f t="shared" ref="B11:C14" si="0">B4/$C$8</f>
        <v>0.67146478752202121</v>
      </c>
      <c r="C11" s="5">
        <f t="shared" si="0"/>
        <v>0.5915008808490525</v>
      </c>
      <c r="D11" s="13"/>
      <c r="G11" s="9">
        <v>0.5915008808490525</v>
      </c>
    </row>
    <row r="12" spans="1:14" x14ac:dyDescent="0.2">
      <c r="A12" s="3" t="s">
        <v>12</v>
      </c>
      <c r="B12" s="5">
        <f t="shared" si="0"/>
        <v>0.24470416362308253</v>
      </c>
      <c r="C12" s="5">
        <f t="shared" si="0"/>
        <v>0.20044686976324497</v>
      </c>
      <c r="D12" s="13"/>
      <c r="G12" s="9">
        <v>0.20044686976324497</v>
      </c>
      <c r="J12" s="16" t="s">
        <v>37</v>
      </c>
      <c r="N12" t="s">
        <v>36</v>
      </c>
    </row>
    <row r="13" spans="1:14" x14ac:dyDescent="0.2">
      <c r="A13" s="3" t="s">
        <v>13</v>
      </c>
      <c r="B13" s="5">
        <f t="shared" si="0"/>
        <v>1.692948910754952E-2</v>
      </c>
      <c r="C13" s="5">
        <f t="shared" si="0"/>
        <v>3.8886263051604864E-2</v>
      </c>
      <c r="D13" s="13"/>
      <c r="G13" s="9">
        <v>3.8886263051604864E-2</v>
      </c>
      <c r="J13" t="s">
        <v>24</v>
      </c>
      <c r="K13" t="s">
        <v>25</v>
      </c>
      <c r="L13" t="s">
        <v>26</v>
      </c>
      <c r="M13" t="s">
        <v>27</v>
      </c>
    </row>
    <row r="14" spans="1:14" x14ac:dyDescent="0.2">
      <c r="A14" s="3" t="s">
        <v>14</v>
      </c>
      <c r="B14" s="5">
        <f t="shared" si="0"/>
        <v>2.0281012331886734E-2</v>
      </c>
      <c r="C14" s="5">
        <f t="shared" si="0"/>
        <v>0.16134576547931079</v>
      </c>
      <c r="D14" s="14"/>
      <c r="G14" s="9">
        <v>0.16134576547931079</v>
      </c>
      <c r="I14" s="17" t="s">
        <v>28</v>
      </c>
      <c r="J14" s="18">
        <f>10835+877+1436</f>
        <v>13148</v>
      </c>
      <c r="K14" s="18">
        <v>10481</v>
      </c>
      <c r="L14" s="18">
        <f>J14+K14</f>
        <v>23629</v>
      </c>
      <c r="M14" s="18">
        <f>L14*$N$8</f>
        <v>47827.249695599232</v>
      </c>
    </row>
    <row r="15" spans="1:14" x14ac:dyDescent="0.2">
      <c r="C15" s="11" t="s">
        <v>17</v>
      </c>
      <c r="D15" s="11" t="s">
        <v>17</v>
      </c>
      <c r="I15" t="s">
        <v>29</v>
      </c>
    </row>
    <row r="16" spans="1:14" x14ac:dyDescent="0.2">
      <c r="C16" s="11" t="s">
        <v>18</v>
      </c>
      <c r="D16" s="11" t="s">
        <v>18</v>
      </c>
    </row>
    <row r="17" spans="1:13" x14ac:dyDescent="0.2">
      <c r="A17" s="10" t="s">
        <v>19</v>
      </c>
      <c r="C17" s="11">
        <v>0.89</v>
      </c>
      <c r="D17" s="11">
        <v>0.87</v>
      </c>
    </row>
    <row r="18" spans="1:13" x14ac:dyDescent="0.2">
      <c r="A18" s="10" t="s">
        <v>23</v>
      </c>
      <c r="C18" s="15">
        <f>MROUND(C8*C17,100)</f>
        <v>20700</v>
      </c>
      <c r="D18" s="15">
        <f>MROUND(D8*D17,100)</f>
        <v>30200</v>
      </c>
    </row>
    <row r="21" spans="1:13" x14ac:dyDescent="0.2">
      <c r="I21" t="s">
        <v>39</v>
      </c>
      <c r="K21">
        <v>19273</v>
      </c>
    </row>
    <row r="22" spans="1:13" x14ac:dyDescent="0.2">
      <c r="I22" t="s">
        <v>38</v>
      </c>
      <c r="K22">
        <v>13006</v>
      </c>
    </row>
    <row r="25" spans="1:13" x14ac:dyDescent="0.2">
      <c r="J25" s="16" t="s">
        <v>51</v>
      </c>
    </row>
    <row r="26" spans="1:13" x14ac:dyDescent="0.2">
      <c r="J26" t="s">
        <v>24</v>
      </c>
      <c r="K26" t="s">
        <v>25</v>
      </c>
      <c r="L26" t="s">
        <v>26</v>
      </c>
      <c r="M26" t="s">
        <v>27</v>
      </c>
    </row>
    <row r="27" spans="1:13" x14ac:dyDescent="0.2">
      <c r="J27">
        <f>7657+1386+949</f>
        <v>9992</v>
      </c>
      <c r="K27">
        <v>10147</v>
      </c>
      <c r="L27">
        <f>J27+K27</f>
        <v>20139</v>
      </c>
      <c r="M27" s="18">
        <f>L27*$N$8</f>
        <v>40763.171595060005</v>
      </c>
    </row>
    <row r="31" spans="1:13" x14ac:dyDescent="0.2">
      <c r="J31" s="16" t="s">
        <v>52</v>
      </c>
    </row>
    <row r="32" spans="1:13" x14ac:dyDescent="0.2">
      <c r="J32" t="s">
        <v>24</v>
      </c>
      <c r="K32" t="s">
        <v>25</v>
      </c>
      <c r="L32" t="s">
        <v>26</v>
      </c>
      <c r="M32" t="s">
        <v>27</v>
      </c>
    </row>
    <row r="33" spans="10:13" x14ac:dyDescent="0.2">
      <c r="J33">
        <v>9141</v>
      </c>
      <c r="K33">
        <f>8698+1191+805</f>
        <v>10694</v>
      </c>
      <c r="L33">
        <f>J33+K33</f>
        <v>19835</v>
      </c>
      <c r="M33" s="18">
        <f>L33*$N$8</f>
        <v>40147.84788658897</v>
      </c>
    </row>
    <row r="35" spans="10:13" x14ac:dyDescent="0.2">
      <c r="J35" s="16" t="s">
        <v>53</v>
      </c>
    </row>
    <row r="36" spans="10:13" x14ac:dyDescent="0.2">
      <c r="J36" t="s">
        <v>24</v>
      </c>
      <c r="K36" t="s">
        <v>25</v>
      </c>
      <c r="L36" t="s">
        <v>26</v>
      </c>
      <c r="M36" t="s">
        <v>27</v>
      </c>
    </row>
    <row r="37" spans="10:13" x14ac:dyDescent="0.2">
      <c r="J37">
        <v>10934</v>
      </c>
      <c r="K37">
        <f>9560+1087+131</f>
        <v>10778</v>
      </c>
      <c r="L37">
        <f>J37+K37</f>
        <v>21712</v>
      </c>
      <c r="M37" s="18">
        <f>L37*$N$8</f>
        <v>43947.066968168372</v>
      </c>
    </row>
    <row r="40" spans="10:13" x14ac:dyDescent="0.2">
      <c r="J40" s="16" t="s">
        <v>57</v>
      </c>
    </row>
    <row r="41" spans="10:13" x14ac:dyDescent="0.2">
      <c r="J41" t="s">
        <v>24</v>
      </c>
      <c r="K41" t="s">
        <v>25</v>
      </c>
      <c r="L41" t="s">
        <v>26</v>
      </c>
      <c r="M41" t="s">
        <v>27</v>
      </c>
    </row>
    <row r="42" spans="10:13" x14ac:dyDescent="0.2">
      <c r="J42">
        <f>6405+1714+753</f>
        <v>8872</v>
      </c>
      <c r="K42">
        <v>9475</v>
      </c>
      <c r="L42">
        <f>J42+K42</f>
        <v>18347</v>
      </c>
      <c r="M42" s="18">
        <f>L42*$N$8</f>
        <v>37136.000260914938</v>
      </c>
    </row>
    <row r="45" spans="10:13" x14ac:dyDescent="0.2">
      <c r="J45" s="16" t="s">
        <v>59</v>
      </c>
    </row>
    <row r="46" spans="10:13" x14ac:dyDescent="0.2">
      <c r="J46" t="s">
        <v>24</v>
      </c>
      <c r="K46" t="s">
        <v>25</v>
      </c>
      <c r="L46" t="s">
        <v>26</v>
      </c>
      <c r="M46" t="s">
        <v>27</v>
      </c>
    </row>
    <row r="47" spans="10:13" x14ac:dyDescent="0.2">
      <c r="J47">
        <v>7903</v>
      </c>
      <c r="K47">
        <f>7036+683+849</f>
        <v>8568</v>
      </c>
      <c r="L47">
        <f>J47+K47</f>
        <v>16471</v>
      </c>
      <c r="M47" s="18">
        <f>L47*$N$8</f>
        <v>33338.805270481818</v>
      </c>
    </row>
    <row r="50" spans="10:13" x14ac:dyDescent="0.2">
      <c r="J50" s="16" t="s">
        <v>62</v>
      </c>
    </row>
    <row r="51" spans="10:13" x14ac:dyDescent="0.2">
      <c r="J51" t="s">
        <v>24</v>
      </c>
      <c r="K51" t="s">
        <v>25</v>
      </c>
      <c r="L51" t="s">
        <v>26</v>
      </c>
      <c r="M51" t="s">
        <v>27</v>
      </c>
    </row>
    <row r="52" spans="10:13" x14ac:dyDescent="0.2">
      <c r="J52">
        <f>5984</f>
        <v>5984</v>
      </c>
      <c r="K52">
        <f>4875+797+387</f>
        <v>6059</v>
      </c>
      <c r="L52">
        <f>J52+K52</f>
        <v>12043</v>
      </c>
      <c r="M52" s="18">
        <f>L52*$N$8</f>
        <v>24376.129674726039</v>
      </c>
    </row>
    <row r="54" spans="10:13" x14ac:dyDescent="0.2">
      <c r="J54" s="16" t="s">
        <v>64</v>
      </c>
    </row>
    <row r="55" spans="10:13" x14ac:dyDescent="0.2">
      <c r="J55" t="s">
        <v>24</v>
      </c>
      <c r="K55" t="s">
        <v>25</v>
      </c>
      <c r="L55" t="s">
        <v>26</v>
      </c>
      <c r="M55" t="s">
        <v>27</v>
      </c>
    </row>
    <row r="56" spans="10:13" x14ac:dyDescent="0.2">
      <c r="J56">
        <f>4820+441+29</f>
        <v>5290</v>
      </c>
      <c r="K56">
        <v>5302</v>
      </c>
      <c r="L56">
        <f>J56+K56</f>
        <v>10592</v>
      </c>
      <c r="M56" s="18">
        <f>L56*$N$8</f>
        <v>21439.173421464602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395F-BA9A-4859-B080-DE5ADEF772AC}">
  <dimension ref="A1:I11"/>
  <sheetViews>
    <sheetView tabSelected="1" workbookViewId="0">
      <selection activeCell="I11" sqref="I11"/>
    </sheetView>
  </sheetViews>
  <sheetFormatPr defaultRowHeight="12.75" x14ac:dyDescent="0.2"/>
  <cols>
    <col min="1" max="1" width="17.7109375" customWidth="1"/>
    <col min="2" max="2" width="69.7109375" customWidth="1"/>
    <col min="5" max="5" width="12.28515625" customWidth="1"/>
    <col min="6" max="6" width="16.28515625" customWidth="1"/>
    <col min="7" max="7" width="16.5703125" customWidth="1"/>
    <col min="8" max="8" width="15.7109375" customWidth="1"/>
  </cols>
  <sheetData>
    <row r="1" spans="1:9" x14ac:dyDescent="0.2">
      <c r="A1" t="s">
        <v>65</v>
      </c>
      <c r="C1" t="s">
        <v>42</v>
      </c>
      <c r="E1" t="s">
        <v>44</v>
      </c>
      <c r="F1" t="s">
        <v>45</v>
      </c>
      <c r="G1" t="s">
        <v>46</v>
      </c>
      <c r="H1" t="s">
        <v>50</v>
      </c>
      <c r="I1" t="s">
        <v>23</v>
      </c>
    </row>
    <row r="2" spans="1:9" x14ac:dyDescent="0.2">
      <c r="B2" t="s">
        <v>48</v>
      </c>
      <c r="C2" t="s">
        <v>40</v>
      </c>
      <c r="D2" t="s">
        <v>41</v>
      </c>
      <c r="E2" t="s">
        <v>43</v>
      </c>
    </row>
    <row r="3" spans="1:9" x14ac:dyDescent="0.2">
      <c r="A3">
        <v>2303700015</v>
      </c>
      <c r="B3" t="s">
        <v>49</v>
      </c>
      <c r="C3" s="18">
        <f>Sheet1!K14</f>
        <v>10481</v>
      </c>
      <c r="D3" s="18">
        <f>Sheet1!J14</f>
        <v>13148</v>
      </c>
      <c r="E3" s="18">
        <f>C3+D3</f>
        <v>23629</v>
      </c>
      <c r="F3" s="19">
        <f>Sheet1!N8</f>
        <v>2.0240911462863105</v>
      </c>
      <c r="G3" s="18">
        <f>E3*F3</f>
        <v>47827.249695599232</v>
      </c>
      <c r="I3">
        <f>G3*H3</f>
        <v>0</v>
      </c>
    </row>
    <row r="4" spans="1:9" x14ac:dyDescent="0.2">
      <c r="B4" t="s">
        <v>47</v>
      </c>
      <c r="G4" s="18"/>
    </row>
    <row r="5" spans="1:9" x14ac:dyDescent="0.2">
      <c r="A5">
        <v>2303700015</v>
      </c>
      <c r="B5" t="s">
        <v>54</v>
      </c>
      <c r="C5">
        <f>Sheet1!J37</f>
        <v>10934</v>
      </c>
      <c r="D5">
        <f>Sheet1!K37</f>
        <v>10778</v>
      </c>
      <c r="E5">
        <f>Sheet1!L37</f>
        <v>21712</v>
      </c>
      <c r="F5" s="19">
        <f>Sheet1!N8</f>
        <v>2.0240911462863105</v>
      </c>
      <c r="G5" s="18">
        <f>E5*F5</f>
        <v>43947.066968168372</v>
      </c>
    </row>
    <row r="6" spans="1:9" x14ac:dyDescent="0.2">
      <c r="A6">
        <v>2303700016</v>
      </c>
      <c r="B6" t="s">
        <v>56</v>
      </c>
      <c r="C6">
        <f>Sheet1!J27</f>
        <v>9992</v>
      </c>
      <c r="D6">
        <f>Sheet1!K27</f>
        <v>10147</v>
      </c>
      <c r="E6">
        <f>Sheet1!L27</f>
        <v>20139</v>
      </c>
      <c r="F6" s="19">
        <f>Sheet1!N8</f>
        <v>2.0240911462863105</v>
      </c>
      <c r="G6" s="18">
        <f t="shared" ref="G6:G11" si="0">E6*F6</f>
        <v>40763.171595060005</v>
      </c>
    </row>
    <row r="7" spans="1:9" x14ac:dyDescent="0.2">
      <c r="A7">
        <v>2303700016</v>
      </c>
      <c r="B7" t="s">
        <v>55</v>
      </c>
      <c r="C7">
        <f>Sheet1!J33</f>
        <v>9141</v>
      </c>
      <c r="D7">
        <f>Sheet1!K33</f>
        <v>10694</v>
      </c>
      <c r="E7">
        <f>Sheet1!L33</f>
        <v>19835</v>
      </c>
      <c r="F7" s="19">
        <f>Sheet1!N8</f>
        <v>2.0240911462863105</v>
      </c>
      <c r="G7" s="18">
        <f t="shared" si="0"/>
        <v>40147.84788658897</v>
      </c>
    </row>
    <row r="8" spans="1:9" x14ac:dyDescent="0.2">
      <c r="A8">
        <v>2303700023</v>
      </c>
      <c r="B8" t="s">
        <v>58</v>
      </c>
      <c r="C8">
        <f>Sheet1!J42</f>
        <v>8872</v>
      </c>
      <c r="D8">
        <f>Sheet1!K42</f>
        <v>9475</v>
      </c>
      <c r="E8">
        <f>Sheet1!L42</f>
        <v>18347</v>
      </c>
      <c r="F8" s="19">
        <f>Sheet1!N8</f>
        <v>2.0240911462863105</v>
      </c>
      <c r="G8" s="18">
        <f t="shared" si="0"/>
        <v>37136.000260914938</v>
      </c>
    </row>
    <row r="9" spans="1:9" x14ac:dyDescent="0.2">
      <c r="A9">
        <v>2303700023</v>
      </c>
      <c r="B9" t="s">
        <v>60</v>
      </c>
      <c r="C9">
        <v>7903</v>
      </c>
      <c r="D9">
        <f>7036+683+849</f>
        <v>8568</v>
      </c>
      <c r="E9">
        <f>C9+D9</f>
        <v>16471</v>
      </c>
      <c r="F9" s="19">
        <f>Sheet1!N8</f>
        <v>2.0240911462863105</v>
      </c>
      <c r="G9" s="18">
        <f t="shared" si="0"/>
        <v>33338.805270481818</v>
      </c>
    </row>
    <row r="10" spans="1:9" x14ac:dyDescent="0.2">
      <c r="A10">
        <v>2303700020</v>
      </c>
      <c r="B10" t="s">
        <v>61</v>
      </c>
      <c r="C10">
        <f>Sheet1!J52</f>
        <v>5984</v>
      </c>
      <c r="D10">
        <f>Sheet1!K52</f>
        <v>6059</v>
      </c>
      <c r="E10">
        <f>Sheet1!L52</f>
        <v>12043</v>
      </c>
      <c r="F10" s="19">
        <f>Sheet1!N8</f>
        <v>2.0240911462863105</v>
      </c>
      <c r="G10" s="18">
        <f t="shared" si="0"/>
        <v>24376.129674726039</v>
      </c>
    </row>
    <row r="11" spans="1:9" x14ac:dyDescent="0.2">
      <c r="A11">
        <v>2303700020</v>
      </c>
      <c r="B11" t="s">
        <v>63</v>
      </c>
      <c r="C11">
        <f>4820+441+29</f>
        <v>5290</v>
      </c>
      <c r="D11">
        <v>5302</v>
      </c>
      <c r="E11">
        <f>C11+D11</f>
        <v>10592</v>
      </c>
      <c r="F11" s="19">
        <f>Sheet1!N8</f>
        <v>2.0240911462863105</v>
      </c>
      <c r="G11" s="18">
        <f t="shared" si="0"/>
        <v>21439.173421464602</v>
      </c>
      <c r="I11">
        <v>15000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dbb9613-057a-4ae2-a1fa-9a89c406c5e8" xsi:nil="true"/>
    <lcf76f155ced4ddcb4097134ff3c332f xmlns="323ad87a-8af6-4c6c-a04d-46183120dd3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A0D63259FBA848B34211FF238C275D" ma:contentTypeVersion="12" ma:contentTypeDescription="Create a new document." ma:contentTypeScope="" ma:versionID="bb9d81aab52b024b73d5c6386321c0b5">
  <xsd:schema xmlns:xsd="http://www.w3.org/2001/XMLSchema" xmlns:xs="http://www.w3.org/2001/XMLSchema" xmlns:p="http://schemas.microsoft.com/office/2006/metadata/properties" xmlns:ns2="323ad87a-8af6-4c6c-a04d-46183120dd34" xmlns:ns3="0dbb9613-057a-4ae2-a1fa-9a89c406c5e8" targetNamespace="http://schemas.microsoft.com/office/2006/metadata/properties" ma:root="true" ma:fieldsID="bdb2e7cfe41a5371f80e16bdff3171ae" ns2:_="" ns3:_="">
    <xsd:import namespace="323ad87a-8af6-4c6c-a04d-46183120dd34"/>
    <xsd:import namespace="0dbb9613-057a-4ae2-a1fa-9a89c406c5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3ad87a-8af6-4c6c-a04d-46183120d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5d298e1-810f-4711-8be9-ef4702f2a3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bb9613-057a-4ae2-a1fa-9a89c406c5e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0b1939b-c8a7-4223-be04-1059c61e2caf}" ma:internalName="TaxCatchAll" ma:showField="CatchAllData" ma:web="0dbb9613-057a-4ae2-a1fa-9a89c406c5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927E65-B844-4722-92CF-5961BAAD8465}">
  <ds:schemaRefs>
    <ds:schemaRef ds:uri="http://schemas.microsoft.com/office/2006/metadata/properties"/>
    <ds:schemaRef ds:uri="http://schemas.microsoft.com/office/infopath/2007/PartnerControls"/>
    <ds:schemaRef ds:uri="0dbb9613-057a-4ae2-a1fa-9a89c406c5e8"/>
    <ds:schemaRef ds:uri="323ad87a-8af6-4c6c-a04d-46183120dd34"/>
  </ds:schemaRefs>
</ds:datastoreItem>
</file>

<file path=customXml/itemProps2.xml><?xml version="1.0" encoding="utf-8"?>
<ds:datastoreItem xmlns:ds="http://schemas.openxmlformats.org/officeDocument/2006/customXml" ds:itemID="{48AD7FF7-4573-4920-8EE8-32B9778A77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DBFE4F-A204-4C35-ACEE-A6B65CA9A1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3ad87a-8af6-4c6c-a04d-46183120dd34"/>
    <ds:schemaRef ds:uri="0dbb9613-057a-4ae2-a1fa-9a89c406c5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9096ad9-8b60-446a-90b7-017dbb9421a3}" enabled="1" method="Standard" siteId="{3d234255-e20f-4205-88a5-9658a40299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trans-plan inc</dc:creator>
  <cp:lastModifiedBy>Hedayati, Mandana</cp:lastModifiedBy>
  <cp:lastPrinted>2017-05-18T02:01:24Z</cp:lastPrinted>
  <dcterms:created xsi:type="dcterms:W3CDTF">2017-05-17T21:56:49Z</dcterms:created>
  <dcterms:modified xsi:type="dcterms:W3CDTF">2025-04-28T23:10:27Z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0x010100B1A0D63259FBA848B34211FF238C275D</vt:lpwstr>
  </property>
  <property fmtid="{D5CDD505-2E9C-101B-9397-08002B2CF9AE}" pid="3" name="Folder_Number">
    <vt:lpwstr/>
  </property>
  <property fmtid="{D5CDD505-2E9C-101B-9397-08002B2CF9AE}" pid="4" name="Folder_Code">
    <vt:lpwstr/>
  </property>
  <property fmtid="{D5CDD505-2E9C-101B-9397-08002B2CF9AE}" pid="5" name="Folder_Name">
    <vt:lpwstr/>
  </property>
  <property fmtid="{D5CDD505-2E9C-101B-9397-08002B2CF9AE}" pid="6" name="Folder_Description">
    <vt:lpwstr/>
  </property>
  <property fmtid="{D5CDD505-2E9C-101B-9397-08002B2CF9AE}" pid="7" name="/Folder_Name/">
    <vt:lpwstr/>
  </property>
  <property fmtid="{D5CDD505-2E9C-101B-9397-08002B2CF9AE}" pid="8" name="/Folder_Description/">
    <vt:lpwstr/>
  </property>
  <property fmtid="{D5CDD505-2E9C-101B-9397-08002B2CF9AE}" pid="9" name="Folder_Version">
    <vt:lpwstr/>
  </property>
  <property fmtid="{D5CDD505-2E9C-101B-9397-08002B2CF9AE}" pid="10" name="Folder_VersionSeq">
    <vt:lpwstr/>
  </property>
  <property fmtid="{D5CDD505-2E9C-101B-9397-08002B2CF9AE}" pid="11" name="Folder_Manager">
    <vt:lpwstr/>
  </property>
  <property fmtid="{D5CDD505-2E9C-101B-9397-08002B2CF9AE}" pid="12" name="Folder_ManagerDesc">
    <vt:lpwstr/>
  </property>
  <property fmtid="{D5CDD505-2E9C-101B-9397-08002B2CF9AE}" pid="13" name="Folder_Storage">
    <vt:lpwstr/>
  </property>
  <property fmtid="{D5CDD505-2E9C-101B-9397-08002B2CF9AE}" pid="14" name="Folder_StorageDesc">
    <vt:lpwstr/>
  </property>
  <property fmtid="{D5CDD505-2E9C-101B-9397-08002B2CF9AE}" pid="15" name="Folder_Creator">
    <vt:lpwstr/>
  </property>
  <property fmtid="{D5CDD505-2E9C-101B-9397-08002B2CF9AE}" pid="16" name="Folder_CreatorDesc">
    <vt:lpwstr/>
  </property>
  <property fmtid="{D5CDD505-2E9C-101B-9397-08002B2CF9AE}" pid="17" name="Folder_CreateDate">
    <vt:lpwstr/>
  </property>
  <property fmtid="{D5CDD505-2E9C-101B-9397-08002B2CF9AE}" pid="18" name="Folder_Updater">
    <vt:lpwstr/>
  </property>
  <property fmtid="{D5CDD505-2E9C-101B-9397-08002B2CF9AE}" pid="19" name="Folder_UpdaterDesc">
    <vt:lpwstr/>
  </property>
  <property fmtid="{D5CDD505-2E9C-101B-9397-08002B2CF9AE}" pid="20" name="Folder_UpdateDate">
    <vt:lpwstr/>
  </property>
  <property fmtid="{D5CDD505-2E9C-101B-9397-08002B2CF9AE}" pid="21" name="Document_Number">
    <vt:lpwstr/>
  </property>
  <property fmtid="{D5CDD505-2E9C-101B-9397-08002B2CF9AE}" pid="22" name="Document_Name">
    <vt:lpwstr/>
  </property>
  <property fmtid="{D5CDD505-2E9C-101B-9397-08002B2CF9AE}" pid="23" name="Document_FileName">
    <vt:lpwstr/>
  </property>
  <property fmtid="{D5CDD505-2E9C-101B-9397-08002B2CF9AE}" pid="24" name="Document_Version">
    <vt:lpwstr/>
  </property>
  <property fmtid="{D5CDD505-2E9C-101B-9397-08002B2CF9AE}" pid="25" name="Document_VersionSeq">
    <vt:lpwstr/>
  </property>
  <property fmtid="{D5CDD505-2E9C-101B-9397-08002B2CF9AE}" pid="26" name="Document_Creator">
    <vt:lpwstr/>
  </property>
  <property fmtid="{D5CDD505-2E9C-101B-9397-08002B2CF9AE}" pid="27" name="Document_CreatorDesc">
    <vt:lpwstr/>
  </property>
  <property fmtid="{D5CDD505-2E9C-101B-9397-08002B2CF9AE}" pid="28" name="Document_CreateDate">
    <vt:lpwstr/>
  </property>
  <property fmtid="{D5CDD505-2E9C-101B-9397-08002B2CF9AE}" pid="29" name="Document_Updater">
    <vt:lpwstr/>
  </property>
  <property fmtid="{D5CDD505-2E9C-101B-9397-08002B2CF9AE}" pid="30" name="Document_UpdaterDesc">
    <vt:lpwstr/>
  </property>
  <property fmtid="{D5CDD505-2E9C-101B-9397-08002B2CF9AE}" pid="31" name="Document_UpdateDate">
    <vt:lpwstr/>
  </property>
  <property fmtid="{D5CDD505-2E9C-101B-9397-08002B2CF9AE}" pid="32" name="Document_Size">
    <vt:lpwstr/>
  </property>
  <property fmtid="{D5CDD505-2E9C-101B-9397-08002B2CF9AE}" pid="33" name="Document_Storage">
    <vt:lpwstr/>
  </property>
  <property fmtid="{D5CDD505-2E9C-101B-9397-08002B2CF9AE}" pid="34" name="Document_StorageDesc">
    <vt:lpwstr/>
  </property>
  <property fmtid="{D5CDD505-2E9C-101B-9397-08002B2CF9AE}" pid="35" name="Document_Department">
    <vt:lpwstr/>
  </property>
  <property fmtid="{D5CDD505-2E9C-101B-9397-08002B2CF9AE}" pid="36" name="Document_DepartmentDesc">
    <vt:lpwstr/>
  </property>
</Properties>
</file>